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<sst xmlns="http://schemas.openxmlformats.org/spreadsheetml/2006/main" count="2214" uniqueCount="163">
  <si>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</si>
  <si>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</si>
  <si>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</si>
  <si>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</si>
  <si>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</si>
  <si>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</si>
  <si>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</si>
  <si>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</si>
  <si>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</si>
  <si>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</si>
  <si>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</si>
  <si>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</si>
  <si>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</si>
  <si>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</si>
  <si>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</si>
  <si>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</si>
  <si>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</si>
  <si>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</si>
  <si>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</si>
  <si>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</si>
  <si>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</si>
  <si>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</si>
  <si>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</si>
  <si>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</si>
  <si>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</si>
  <si>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</si>
  <si>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</si>
  <si>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</si>
  <si>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</si>
  <si>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</si>
  <si>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</si>
  <si>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</si>
  <si>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</si>
  <si>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</si>
  <si>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</si>
  <si>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</si>
  <si>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</si>
  <si>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</si>
  <si>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</si>
  <si>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</si>
  <si>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</si>
  <si>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</si>
  <si>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</si>
  <si>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</si>
  <si>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</si>
  <si>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</si>
  <si>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</si>
  <si>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</si>
  <si>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</si>
  <si>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</si>
  <si>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</si>
  <si>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</si>
  <si>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</si>
  <si>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</si>
  <si>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</si>
  <si>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</si>
  <si>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</si>
  <si>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</si>
  <si>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</si>
  <si>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</si>
  <si>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</si>
  <si>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</si>
  <si>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</si>
  <si>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</si>
  <si>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</si>
  <si>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</si>
  <si>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</si>
  <si>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</si>
  <si>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</si>
  <si>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</si>
  <si>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</si>
  <si>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</si>
  <si>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</si>
  <si>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</si>
  <si>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</si>
  <si>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</si>
  <si>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</si>
  <si>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</si>
  <si>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</si>
  <si>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</si>
  <si>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</si>
  <si>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</si>
  <si>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</si>
  <si>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</si>
  <si>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</si>
  <si>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</si>
  <si>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</si>
  <si>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</si>
  <si>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</si>
  <si>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</si>
  <si>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</si>
  <si>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</si>
  <si>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</si>
  <si>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</si>
  <si>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</si>
  <si>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</si>
  <si>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</si>
  <si>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</si>
  <si>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</si>
  <si>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</si>
  <si>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</si>
  <si>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</si>
  <si>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</si>
  <si>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</si>
  <si>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NE</t>
  </si>
  <si>
    <t xml:space="preserve">SSE</t>
  </si>
  <si>
    <t xml:space="preserve">E</t>
  </si>
  <si>
    <t xml:space="preserve">WNW </t>
  </si>
  <si>
    <t xml:space="preserve">River Legacy North East</t>
  </si>
  <si>
    <t xml:space="preserve">WNW</t>
  </si>
  <si>
    <t xml:space="preserve">Forecast Rain</t>
  </si>
  <si>
    <t xml:space="preserve">ESE </t>
  </si>
  <si>
    <t xml:space="preserve">Mostly Cloudy  </t>
  </si>
  <si>
    <t xml:space="preserve">Eather</t>
  </si>
  <si>
    <t xml:space="preserve">Light Drizzle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</si>
  <si>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</si>
  <si>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</si>
  <si>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</si>
  <si>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</si>
  <si>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</si>
  <si>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</si>
  <si>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</si>
  <si>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</si>
  <si>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</si>
  <si>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</si>
  <si>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</si>
  <si>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</si>
  <si>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</si>
  <si>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</si>
  <si>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</si>
  <si>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</si>
  <si>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</si>
  <si>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</si>
  <si>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</si>
  <si>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</si>
  <si>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</si>
  <si>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</si>
  <si>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</si>
  <si>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</si>
  <si>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</si>
  <si>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</si>
  <si>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</si>
  <si>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</si>
  <si>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</si>
  <si>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</si>
  <si>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</si>
  <si>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</si>
  <si>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</si>
  <si>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</si>
  <si>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</si>
  <si>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</si>
  <si>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</si>
  <si>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</si>
  <si>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</si>
  <si>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</si>
  <si>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</si>
  <si>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</si>
  <si>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</si>
  <si>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</si>
  <si>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</si>
  <si>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Rain</t>
  </si>
  <si>
    <t xml:space="preserve">Too cold</t>
  </si>
  <si>
    <t xml:space="preserve">Heavy Rain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</si>
</sst>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3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05" activePane="bottomLeft" state="frozen"/>
      <selection pane="topLeft" activeCell="A1" activeCellId="0" sqref="A1"/>
      <selection pane="bottomLeft" activeCell="M325" activeCellId="0" sqref="M325"/>
    </sheetView>
  </sheetViews>
  <sheetFormatPr defaultColWidth="14.51562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5" width="6.74"/>
    <col collapsed="false" customWidth="true" hidden="false" outlineLevel="0" max="47" min="47" style="4" width="6.74"/>
    <col collapsed="false" customWidth="true" hidden="false" outlineLevel="0" max="48" min="48" style="4" width="6.88"/>
    <col collapsed="false" customWidth="true" hidden="false" outlineLevel="0" max="49" min="49" style="4" width="6.61"/>
    <col collapsed="false" customWidth="true" hidden="false" outlineLevel="0" max="51" min="50" style="4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0" t="s">
        <v>42</v>
      </c>
      <c r="AR1" s="0" t="s">
        <v>43</v>
      </c>
      <c r="AS1" s="4" t="s">
        <v>44</v>
      </c>
      <c r="AT1" s="6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55</v>
      </c>
      <c r="G2" s="3" t="n">
        <v>41</v>
      </c>
      <c r="H2" s="3" t="n">
        <v>19</v>
      </c>
      <c r="I2" s="3" t="n">
        <v>40</v>
      </c>
      <c r="J2" s="3" t="s">
        <v>56</v>
      </c>
      <c r="K2" s="3" t="n">
        <v>0</v>
      </c>
      <c r="L2" s="3" t="n">
        <v>0</v>
      </c>
      <c r="M2" s="0" t="s">
        <v>57</v>
      </c>
      <c r="O2" s="0" t="s">
        <v>58</v>
      </c>
      <c r="Q2" s="0" t="s">
        <v>59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Q2" s="0" t="n">
        <v>1</v>
      </c>
      <c r="AR2" s="0" t="n">
        <v>1</v>
      </c>
      <c r="AZ2" s="0" t="s">
        <v>60</v>
      </c>
      <c r="BA2" s="0" t="s">
        <v>61</v>
      </c>
      <c r="BB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62</v>
      </c>
      <c r="G3" s="3" t="n">
        <v>53</v>
      </c>
      <c r="H3" s="3" t="n">
        <v>35</v>
      </c>
      <c r="I3" s="3" t="n">
        <v>50</v>
      </c>
      <c r="J3" s="3" t="s">
        <v>63</v>
      </c>
      <c r="K3" s="3" t="n">
        <v>10</v>
      </c>
      <c r="L3" s="3" t="n">
        <v>0</v>
      </c>
      <c r="M3" s="0" t="s">
        <v>64</v>
      </c>
      <c r="O3" s="0" t="s">
        <v>58</v>
      </c>
      <c r="Q3" s="0" t="s">
        <v>65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Q3" s="0" t="n">
        <v>1</v>
      </c>
      <c r="AR3" s="0" t="n">
        <v>0</v>
      </c>
      <c r="AZ3" s="0" t="s">
        <v>60</v>
      </c>
      <c r="BA3" s="0" t="s">
        <v>61</v>
      </c>
      <c r="BB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66</v>
      </c>
      <c r="G4" s="3" t="n">
        <v>57</v>
      </c>
      <c r="H4" s="3" t="n">
        <v>52</v>
      </c>
      <c r="I4" s="3" t="n">
        <v>83</v>
      </c>
      <c r="J4" s="3" t="s">
        <v>63</v>
      </c>
      <c r="K4" s="3" t="n">
        <v>14</v>
      </c>
      <c r="L4" s="3" t="n">
        <v>0</v>
      </c>
      <c r="M4" s="0" t="s">
        <v>64</v>
      </c>
      <c r="O4" s="0" t="s">
        <v>58</v>
      </c>
      <c r="Q4" s="0" t="s">
        <v>67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Q4" s="0" t="n">
        <v>1</v>
      </c>
      <c r="AR4" s="0" t="n">
        <v>0</v>
      </c>
      <c r="AZ4" s="0" t="s">
        <v>60</v>
      </c>
      <c r="BA4" s="0" t="s">
        <v>61</v>
      </c>
      <c r="BB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55</v>
      </c>
      <c r="G5" s="3" t="n">
        <v>61</v>
      </c>
      <c r="H5" s="3" t="n">
        <v>40</v>
      </c>
      <c r="I5" s="3" t="n">
        <v>46</v>
      </c>
      <c r="J5" s="3" t="s">
        <v>68</v>
      </c>
      <c r="K5" s="3" t="n">
        <v>22</v>
      </c>
      <c r="L5" s="3" t="n">
        <v>0</v>
      </c>
      <c r="M5" s="0" t="s">
        <v>64</v>
      </c>
      <c r="O5" s="0" t="s">
        <v>58</v>
      </c>
      <c r="Q5" s="0" t="s">
        <v>59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R5" s="0" t="n">
        <v>1</v>
      </c>
      <c r="AZ5" s="0" t="s">
        <v>60</v>
      </c>
      <c r="BA5" s="0" t="s">
        <v>61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55</v>
      </c>
      <c r="G6" s="3" t="n">
        <v>54</v>
      </c>
      <c r="H6" s="3" t="n">
        <v>40</v>
      </c>
      <c r="I6" s="3" t="n">
        <v>59</v>
      </c>
      <c r="J6" s="3" t="s">
        <v>69</v>
      </c>
      <c r="K6" s="3" t="n">
        <v>15</v>
      </c>
      <c r="L6" s="3" t="n">
        <v>0</v>
      </c>
      <c r="M6" s="0" t="s">
        <v>64</v>
      </c>
      <c r="O6" s="0" t="s">
        <v>58</v>
      </c>
      <c r="Q6" s="0" t="s">
        <v>70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Q6" s="0" t="n">
        <v>0</v>
      </c>
      <c r="AR6" s="0" t="n">
        <v>0</v>
      </c>
      <c r="AZ6" s="0" t="s">
        <v>60</v>
      </c>
      <c r="BA6" s="0" t="s">
        <v>61</v>
      </c>
      <c r="BB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62</v>
      </c>
      <c r="G7" s="3" t="n">
        <v>44</v>
      </c>
      <c r="H7" s="3" t="n">
        <v>23</v>
      </c>
      <c r="I7" s="3" t="n">
        <v>45</v>
      </c>
      <c r="J7" s="3" t="s">
        <v>71</v>
      </c>
      <c r="K7" s="3" t="n">
        <v>29</v>
      </c>
      <c r="L7" s="3" t="n">
        <v>23</v>
      </c>
      <c r="M7" s="0" t="s">
        <v>64</v>
      </c>
      <c r="O7" s="0" t="s">
        <v>58</v>
      </c>
      <c r="Q7" s="0" t="s">
        <v>59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Q7" s="0" t="n">
        <v>0</v>
      </c>
      <c r="AR7" s="0" t="n">
        <v>0</v>
      </c>
      <c r="AZ7" s="0" t="s">
        <v>60</v>
      </c>
      <c r="BA7" s="0" t="s">
        <v>61</v>
      </c>
      <c r="BB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72</v>
      </c>
      <c r="G8" s="3" t="n">
        <v>52</v>
      </c>
      <c r="H8" s="3" t="n">
        <v>22</v>
      </c>
      <c r="I8" s="3" t="n">
        <v>31</v>
      </c>
      <c r="J8" s="7" t="s">
        <v>73</v>
      </c>
      <c r="K8" s="3" t="n">
        <v>12</v>
      </c>
      <c r="L8" s="3" t="n">
        <v>0</v>
      </c>
      <c r="M8" s="0" t="s">
        <v>64</v>
      </c>
      <c r="O8" s="0" t="s">
        <v>74</v>
      </c>
      <c r="Q8" s="0" t="s">
        <v>75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Q8" s="0" t="n">
        <v>0</v>
      </c>
      <c r="AR8" s="0" t="n">
        <v>0</v>
      </c>
      <c r="AZ8" s="0" t="s">
        <v>60</v>
      </c>
      <c r="BA8" s="0" t="s">
        <v>61</v>
      </c>
      <c r="BB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72</v>
      </c>
      <c r="G9" s="3" t="n">
        <v>56</v>
      </c>
      <c r="H9" s="3" t="n">
        <v>30</v>
      </c>
      <c r="I9" s="3" t="n">
        <v>45</v>
      </c>
      <c r="J9" s="7" t="s">
        <v>76</v>
      </c>
      <c r="K9" s="3" t="n">
        <v>0</v>
      </c>
      <c r="L9" s="3" t="n">
        <v>0</v>
      </c>
      <c r="M9" s="0" t="s">
        <v>64</v>
      </c>
      <c r="O9" s="0" t="s">
        <v>74</v>
      </c>
      <c r="Q9" s="0" t="s">
        <v>77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Q9" s="0" t="n">
        <v>0</v>
      </c>
      <c r="AR9" s="0" t="n">
        <v>0</v>
      </c>
      <c r="AZ9" s="0" t="s">
        <v>60</v>
      </c>
      <c r="BA9" s="0" t="s">
        <v>61</v>
      </c>
      <c r="BB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78</v>
      </c>
      <c r="F10" s="7" t="s">
        <v>62</v>
      </c>
      <c r="G10" s="3" t="n">
        <v>69</v>
      </c>
      <c r="H10" s="3" t="n">
        <v>36</v>
      </c>
      <c r="I10" s="3" t="n">
        <v>39</v>
      </c>
      <c r="J10" s="3" t="s">
        <v>63</v>
      </c>
      <c r="K10" s="3" t="n">
        <v>12</v>
      </c>
      <c r="L10" s="3" t="n">
        <v>0</v>
      </c>
      <c r="M10" s="0" t="s">
        <v>64</v>
      </c>
      <c r="AQ10" s="0" t="n">
        <v>2</v>
      </c>
      <c r="AR10" s="0" t="n">
        <v>1</v>
      </c>
      <c r="AZ10" s="0" t="s">
        <v>60</v>
      </c>
      <c r="BA10" s="0" t="s">
        <v>61</v>
      </c>
      <c r="BB10" s="0" t="n">
        <v>1</v>
      </c>
      <c r="BC10" s="0" t="s">
        <v>79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80</v>
      </c>
      <c r="F11" s="7" t="s">
        <v>62</v>
      </c>
      <c r="G11" s="3" t="n">
        <v>73</v>
      </c>
      <c r="H11" s="3" t="n">
        <v>56</v>
      </c>
      <c r="I11" s="3" t="n">
        <v>55</v>
      </c>
      <c r="J11" s="7" t="s">
        <v>81</v>
      </c>
      <c r="K11" s="3" t="n">
        <v>20</v>
      </c>
      <c r="L11" s="3" t="n">
        <v>0</v>
      </c>
      <c r="M11" s="0" t="s">
        <v>64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66</v>
      </c>
      <c r="G12" s="3" t="n">
        <v>70</v>
      </c>
      <c r="H12" s="3" t="n">
        <v>57</v>
      </c>
      <c r="I12" s="3" t="n">
        <v>63</v>
      </c>
      <c r="J12" s="7" t="s">
        <v>82</v>
      </c>
      <c r="K12" s="3" t="n">
        <v>9</v>
      </c>
      <c r="L12" s="3" t="n">
        <v>0</v>
      </c>
      <c r="M12" s="0" t="s">
        <v>64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83</v>
      </c>
      <c r="F13" s="7" t="s">
        <v>66</v>
      </c>
      <c r="G13" s="3" t="n">
        <v>62</v>
      </c>
      <c r="H13" s="3" t="n">
        <v>51</v>
      </c>
      <c r="I13" s="3" t="n">
        <v>65</v>
      </c>
      <c r="J13" s="3" t="s">
        <v>84</v>
      </c>
      <c r="K13" s="3" t="n">
        <v>8</v>
      </c>
      <c r="L13" s="3" t="n">
        <v>0</v>
      </c>
      <c r="M13" s="0" t="s">
        <v>64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85</v>
      </c>
      <c r="G14" s="3" t="n">
        <v>57</v>
      </c>
      <c r="H14" s="3" t="n">
        <v>51</v>
      </c>
      <c r="I14" s="3" t="n">
        <v>81</v>
      </c>
      <c r="J14" s="7" t="s">
        <v>86</v>
      </c>
      <c r="K14" s="7" t="n">
        <v>16</v>
      </c>
      <c r="L14" s="3" t="n">
        <v>0</v>
      </c>
      <c r="M14" s="0" t="s">
        <v>64</v>
      </c>
      <c r="O14" s="0" t="s">
        <v>58</v>
      </c>
      <c r="Q14" s="0" t="s">
        <v>59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Q14" s="0" t="n">
        <v>1</v>
      </c>
      <c r="AR14" s="0" t="n">
        <v>0</v>
      </c>
      <c r="AZ14" s="0" t="s">
        <v>60</v>
      </c>
      <c r="BA14" s="0" t="s">
        <v>61</v>
      </c>
      <c r="BB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72</v>
      </c>
      <c r="G15" s="3" t="n">
        <v>67</v>
      </c>
      <c r="H15" s="3" t="n">
        <v>38</v>
      </c>
      <c r="I15" s="3" t="n">
        <v>36</v>
      </c>
      <c r="J15" s="3" t="s">
        <v>87</v>
      </c>
      <c r="K15" s="3" t="n">
        <v>9</v>
      </c>
      <c r="L15" s="3" t="n">
        <v>0</v>
      </c>
      <c r="M15" s="0" t="s">
        <v>64</v>
      </c>
      <c r="O15" s="0" t="s">
        <v>74</v>
      </c>
      <c r="Q15" s="0" t="s">
        <v>88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Q15" s="0" t="n">
        <v>1</v>
      </c>
      <c r="AR15" s="0" t="n">
        <v>0</v>
      </c>
      <c r="AZ15" s="0" t="s">
        <v>60</v>
      </c>
      <c r="BA15" s="0" t="s">
        <v>61</v>
      </c>
      <c r="BB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62</v>
      </c>
      <c r="G16" s="3" t="n">
        <v>64</v>
      </c>
      <c r="H16" s="3" t="n">
        <v>22</v>
      </c>
      <c r="I16" s="3" t="n">
        <v>21</v>
      </c>
      <c r="J16" s="7" t="s">
        <v>86</v>
      </c>
      <c r="K16" s="3" t="n">
        <v>8</v>
      </c>
      <c r="L16" s="3" t="n">
        <v>0</v>
      </c>
      <c r="M16" s="0" t="s">
        <v>64</v>
      </c>
      <c r="O16" s="0" t="s">
        <v>74</v>
      </c>
      <c r="Q16" s="0" t="s">
        <v>65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Q16" s="0" t="n">
        <v>1</v>
      </c>
      <c r="AR16" s="0" t="n">
        <v>0</v>
      </c>
      <c r="AZ16" s="0" t="s">
        <v>60</v>
      </c>
      <c r="BA16" s="0" t="s">
        <v>61</v>
      </c>
      <c r="BB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66</v>
      </c>
      <c r="G17" s="3" t="n">
        <v>60</v>
      </c>
      <c r="H17" s="3" t="n">
        <v>38</v>
      </c>
      <c r="I17" s="3" t="n">
        <v>34</v>
      </c>
      <c r="J17" s="7" t="s">
        <v>89</v>
      </c>
      <c r="K17" s="3" t="n">
        <v>16</v>
      </c>
      <c r="L17" s="3" t="n">
        <v>0</v>
      </c>
      <c r="M17" s="0" t="s">
        <v>64</v>
      </c>
      <c r="O17" s="0" t="s">
        <v>74</v>
      </c>
      <c r="Q17" s="0" t="s">
        <v>90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Q17" s="0" t="n">
        <v>0</v>
      </c>
      <c r="AR17" s="0" t="n">
        <v>0</v>
      </c>
      <c r="AZ17" s="0" t="s">
        <v>60</v>
      </c>
      <c r="BA17" s="0" t="s">
        <v>61</v>
      </c>
      <c r="BB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80</v>
      </c>
      <c r="F18" s="7" t="s">
        <v>66</v>
      </c>
      <c r="G18" s="3" t="n">
        <v>59</v>
      </c>
      <c r="H18" s="3" t="n">
        <v>51</v>
      </c>
      <c r="I18" s="3" t="n">
        <v>70</v>
      </c>
      <c r="J18" s="3" t="s">
        <v>63</v>
      </c>
      <c r="K18" s="3" t="n">
        <v>17</v>
      </c>
      <c r="L18" s="3" t="n">
        <v>29</v>
      </c>
      <c r="M18" s="0" t="s">
        <v>64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91</v>
      </c>
      <c r="G19" s="3" t="n">
        <v>66</v>
      </c>
      <c r="H19" s="3" t="n">
        <v>63</v>
      </c>
      <c r="I19" s="3" t="n">
        <v>90</v>
      </c>
      <c r="J19" s="3" t="s">
        <v>63</v>
      </c>
      <c r="K19" s="3" t="n">
        <v>22</v>
      </c>
      <c r="L19" s="3" t="n">
        <v>0</v>
      </c>
      <c r="M19" s="0" t="s">
        <v>64</v>
      </c>
      <c r="O19" s="0" t="s">
        <v>58</v>
      </c>
      <c r="Q19" s="0" t="s">
        <v>59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Q19" s="0" t="n">
        <v>1</v>
      </c>
      <c r="AR19" s="0" t="n">
        <v>0</v>
      </c>
      <c r="AZ19" s="0" t="s">
        <v>60</v>
      </c>
      <c r="BA19" s="0" t="s">
        <v>61</v>
      </c>
      <c r="BB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62</v>
      </c>
      <c r="G20" s="3" t="n">
        <v>69</v>
      </c>
      <c r="H20" s="3" t="n">
        <v>53</v>
      </c>
      <c r="I20" s="3" t="n">
        <v>57</v>
      </c>
      <c r="J20" s="3" t="s">
        <v>56</v>
      </c>
      <c r="K20" s="3" t="n">
        <v>3</v>
      </c>
      <c r="L20" s="3" t="n">
        <v>0</v>
      </c>
      <c r="M20" s="0" t="s">
        <v>64</v>
      </c>
      <c r="O20" s="0" t="s">
        <v>74</v>
      </c>
      <c r="Q20" s="0" t="s">
        <v>92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Q20" s="0" t="n">
        <v>0</v>
      </c>
      <c r="AR20" s="0" t="n">
        <v>0</v>
      </c>
      <c r="AZ20" s="0" t="s">
        <v>60</v>
      </c>
      <c r="BA20" s="0" t="s">
        <v>61</v>
      </c>
      <c r="BB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72</v>
      </c>
      <c r="G21" s="3" t="n">
        <v>81</v>
      </c>
      <c r="I21" s="3" t="n">
        <v>64</v>
      </c>
      <c r="J21" s="3" t="s">
        <v>63</v>
      </c>
      <c r="K21" s="3" t="n">
        <v>14</v>
      </c>
      <c r="L21" s="3" t="n">
        <v>0</v>
      </c>
      <c r="M21" s="0" t="s">
        <v>64</v>
      </c>
      <c r="O21" s="0" t="s">
        <v>74</v>
      </c>
      <c r="Q21" s="0" t="s">
        <v>93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94</v>
      </c>
      <c r="G22" s="3" t="n">
        <v>82</v>
      </c>
      <c r="H22" s="3" t="n">
        <v>65</v>
      </c>
      <c r="I22" s="3" t="n">
        <v>56</v>
      </c>
      <c r="J22" s="3" t="s">
        <v>63</v>
      </c>
      <c r="K22" s="3" t="n">
        <v>14</v>
      </c>
      <c r="L22" s="3" t="n">
        <v>22</v>
      </c>
      <c r="M22" s="9" t="s">
        <v>64</v>
      </c>
      <c r="O22" s="0" t="s">
        <v>74</v>
      </c>
      <c r="Q22" s="0" t="s">
        <v>95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Q22" s="0" t="n">
        <v>2</v>
      </c>
      <c r="AR22" s="0" t="n">
        <v>0</v>
      </c>
      <c r="AZ22" s="0" t="s">
        <v>60</v>
      </c>
      <c r="BA22" s="0" t="s">
        <v>61</v>
      </c>
      <c r="BB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96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58</v>
      </c>
      <c r="Q24" s="0" t="s">
        <v>59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80</v>
      </c>
      <c r="F25" s="0" t="s">
        <v>91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91</v>
      </c>
      <c r="G26" s="3" t="n">
        <v>70</v>
      </c>
      <c r="I26" s="3" t="n">
        <v>70</v>
      </c>
      <c r="O26" s="0" t="s">
        <v>74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Q26" s="0" t="n">
        <v>1</v>
      </c>
      <c r="AR26" s="0" t="n">
        <v>1</v>
      </c>
      <c r="AZ26" s="0" t="s">
        <v>60</v>
      </c>
      <c r="BA26" s="0" t="s">
        <v>61</v>
      </c>
      <c r="BB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91</v>
      </c>
      <c r="G27" s="3" t="n">
        <v>67</v>
      </c>
      <c r="I27" s="3" t="n">
        <v>84</v>
      </c>
      <c r="O27" s="0" t="s">
        <v>74</v>
      </c>
      <c r="Q27" s="0" t="s">
        <v>65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Q27" s="0" t="n">
        <v>1</v>
      </c>
      <c r="AR27" s="0" t="n">
        <v>1</v>
      </c>
      <c r="AZ27" s="0" t="s">
        <v>60</v>
      </c>
      <c r="BA27" s="0" t="s">
        <v>61</v>
      </c>
      <c r="BB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74</v>
      </c>
      <c r="Q28" s="0" t="s">
        <v>67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Q28" s="0" t="n">
        <v>1</v>
      </c>
      <c r="AR28" s="0" t="n">
        <v>0</v>
      </c>
      <c r="AZ28" s="0" t="s">
        <v>60</v>
      </c>
      <c r="BA28" s="0" t="s">
        <v>61</v>
      </c>
      <c r="BB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94</v>
      </c>
      <c r="G29" s="3" t="n">
        <v>66</v>
      </c>
      <c r="I29" s="3" t="n">
        <v>64</v>
      </c>
      <c r="BB29" s="0" t="n">
        <v>1</v>
      </c>
      <c r="BC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58</v>
      </c>
      <c r="Q30" s="0" t="s">
        <v>88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Q30" s="0" t="n">
        <v>0</v>
      </c>
      <c r="AR30" s="0" t="n">
        <v>0</v>
      </c>
      <c r="AZ30" s="0" t="s">
        <v>60</v>
      </c>
      <c r="BA30" s="0" t="s">
        <v>61</v>
      </c>
      <c r="BB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7" t="s">
        <v>66</v>
      </c>
      <c r="G31" s="3" t="n">
        <v>50</v>
      </c>
      <c r="H31" s="3" t="n">
        <v>42</v>
      </c>
      <c r="I31" s="3" t="n">
        <v>73</v>
      </c>
      <c r="J31" s="7" t="s">
        <v>87</v>
      </c>
      <c r="K31" s="3" t="n">
        <v>18</v>
      </c>
      <c r="L31" s="3" t="n">
        <v>28</v>
      </c>
      <c r="M31" s="0" t="s">
        <v>64</v>
      </c>
      <c r="O31" s="0" t="s">
        <v>58</v>
      </c>
      <c r="Q31" s="0" t="s">
        <v>90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Q31" s="0" t="n">
        <v>0</v>
      </c>
      <c r="AR31" s="0" t="n">
        <v>1</v>
      </c>
      <c r="AZ31" s="0" t="s">
        <v>60</v>
      </c>
      <c r="BA31" s="0" t="s">
        <v>61</v>
      </c>
      <c r="BB31" s="0" t="n">
        <v>0</v>
      </c>
    </row>
    <row r="32" customFormat="false" ht="12.8" hidden="false" customHeight="false" outlineLevel="0" collapsed="false">
      <c r="A32" s="1" t="n">
        <v>43911.4951388889</v>
      </c>
      <c r="B32" s="2" t="n">
        <v>43911.6277777778</v>
      </c>
      <c r="C32" s="0" t="n">
        <v>1</v>
      </c>
      <c r="F32" s="7" t="s">
        <v>62</v>
      </c>
      <c r="G32" s="3" t="n">
        <v>49</v>
      </c>
      <c r="H32" s="3" t="n">
        <v>49</v>
      </c>
      <c r="I32" s="3" t="n">
        <v>71</v>
      </c>
      <c r="J32" s="3" t="s">
        <v>104</v>
      </c>
      <c r="K32" s="3" t="n">
        <v>7</v>
      </c>
      <c r="L32" s="3" t="n">
        <v>0</v>
      </c>
      <c r="M32" s="0" t="s">
        <v>64</v>
      </c>
      <c r="O32" s="0" t="s">
        <v>58</v>
      </c>
      <c r="Q32" s="0" t="s">
        <v>92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Q32" s="0" t="n">
        <v>0</v>
      </c>
      <c r="AR32" s="0" t="n">
        <v>1</v>
      </c>
      <c r="AZ32" s="0" t="s">
        <v>60</v>
      </c>
      <c r="BA32" s="0" t="s">
        <v>61</v>
      </c>
      <c r="BB32" s="0" t="n">
        <v>0</v>
      </c>
    </row>
    <row r="33" customFormat="false" ht="12.8" hidden="false" customHeight="false" outlineLevel="0" collapsed="false">
      <c r="A33" s="1" t="n">
        <f aca="false">A32+1</f>
        <v>43912.4951388889</v>
      </c>
      <c r="B33" s="2" t="n">
        <v>43912.6277777778</v>
      </c>
      <c r="C33" s="0" t="n">
        <v>1</v>
      </c>
      <c r="F33" s="10" t="s">
        <v>91</v>
      </c>
      <c r="G33" s="3" t="n">
        <v>56</v>
      </c>
      <c r="H33" s="3" t="n">
        <v>55</v>
      </c>
      <c r="I33" s="3" t="n">
        <v>97</v>
      </c>
      <c r="J33" s="3" t="s">
        <v>105</v>
      </c>
      <c r="K33" s="3" t="n">
        <v>7</v>
      </c>
      <c r="L33" s="3" t="n">
        <v>0</v>
      </c>
      <c r="M33" s="0" t="s">
        <v>64</v>
      </c>
      <c r="O33" s="0" t="s">
        <v>58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Q33" s="0" t="n">
        <v>0</v>
      </c>
      <c r="AR33" s="0" t="n">
        <v>0</v>
      </c>
      <c r="AZ33" s="0" t="s">
        <v>60</v>
      </c>
      <c r="BA33" s="0" t="s">
        <v>61</v>
      </c>
      <c r="BB33" s="0" t="n">
        <v>0</v>
      </c>
    </row>
    <row r="34" customFormat="false" ht="12.8" hidden="false" customHeight="false" outlineLevel="0" collapsed="false">
      <c r="A34" s="1" t="n">
        <f aca="false">A33+1</f>
        <v>43913.4951388889</v>
      </c>
      <c r="B34" s="2" t="n">
        <v>43944.5895833333</v>
      </c>
      <c r="C34" s="0" t="n">
        <v>1</v>
      </c>
      <c r="F34" s="0" t="s">
        <v>72</v>
      </c>
      <c r="G34" s="3" t="n">
        <v>66</v>
      </c>
      <c r="H34" s="3" t="n">
        <v>62</v>
      </c>
      <c r="I34" s="3" t="n">
        <v>88</v>
      </c>
      <c r="J34" s="3" t="s">
        <v>106</v>
      </c>
      <c r="K34" s="3" t="n">
        <v>8</v>
      </c>
      <c r="L34" s="3" t="n">
        <v>0</v>
      </c>
      <c r="M34" s="0" t="s">
        <v>64</v>
      </c>
      <c r="O34" s="0" t="s">
        <v>74</v>
      </c>
      <c r="Q34" s="0" t="s">
        <v>65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Q34" s="0" t="n">
        <v>2</v>
      </c>
      <c r="AR34" s="0" t="n">
        <v>0</v>
      </c>
      <c r="AZ34" s="0" t="s">
        <v>60</v>
      </c>
      <c r="BA34" s="0" t="s">
        <v>61</v>
      </c>
      <c r="BB34" s="0" t="n">
        <v>0</v>
      </c>
    </row>
    <row r="35" customFormat="false" ht="12.8" hidden="false" customHeight="false" outlineLevel="0" collapsed="false">
      <c r="A35" s="1" t="n">
        <f aca="false">A34+1</f>
        <v>43914.4951388889</v>
      </c>
      <c r="B35" s="2" t="n">
        <v>43914.6076388889</v>
      </c>
      <c r="C35" s="0" t="n">
        <v>1</v>
      </c>
      <c r="F35" s="7" t="s">
        <v>72</v>
      </c>
      <c r="G35" s="3" t="n">
        <v>83</v>
      </c>
      <c r="H35" s="3" t="n">
        <v>54</v>
      </c>
      <c r="I35" s="3" t="n">
        <v>34</v>
      </c>
      <c r="J35" s="7" t="s">
        <v>107</v>
      </c>
      <c r="K35" s="3" t="n">
        <v>20</v>
      </c>
      <c r="L35" s="3" t="n">
        <v>0</v>
      </c>
      <c r="M35" s="0" t="s">
        <v>64</v>
      </c>
      <c r="O35" s="0" t="s">
        <v>74</v>
      </c>
      <c r="Q35" s="0" t="s">
        <v>67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Q35" s="0" t="n">
        <v>5</v>
      </c>
      <c r="AR35" s="0" t="n">
        <v>0</v>
      </c>
      <c r="AZ35" s="0" t="s">
        <v>60</v>
      </c>
      <c r="BA35" s="0" t="s">
        <v>61</v>
      </c>
      <c r="BB35" s="0" t="n">
        <v>0</v>
      </c>
    </row>
    <row r="36" customFormat="false" ht="12.8" hidden="false" customHeight="false" outlineLevel="0" collapsed="false">
      <c r="A36" s="1" t="n">
        <f aca="false">A35+1</f>
        <v>43915.4951388889</v>
      </c>
      <c r="B36" s="2" t="n">
        <v>43915.4840277778</v>
      </c>
      <c r="C36" s="0" t="n">
        <v>1</v>
      </c>
      <c r="F36" s="0" t="s">
        <v>72</v>
      </c>
      <c r="G36" s="3" t="n">
        <v>83</v>
      </c>
      <c r="H36" s="3" t="n">
        <v>51</v>
      </c>
      <c r="I36" s="3" t="n">
        <v>33</v>
      </c>
      <c r="J36" s="3" t="s">
        <v>63</v>
      </c>
      <c r="K36" s="3" t="n">
        <v>16</v>
      </c>
      <c r="L36" s="3" t="n">
        <v>0</v>
      </c>
      <c r="M36" s="0" t="s">
        <v>64</v>
      </c>
      <c r="O36" s="0" t="s">
        <v>74</v>
      </c>
      <c r="Q36" s="0" t="s">
        <v>70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Q36" s="0" t="n">
        <v>5</v>
      </c>
      <c r="AR36" s="0" t="n">
        <v>0</v>
      </c>
      <c r="AZ36" s="0" t="s">
        <v>60</v>
      </c>
      <c r="BA36" s="0" t="s">
        <v>61</v>
      </c>
      <c r="BB36" s="0" t="n">
        <v>0</v>
      </c>
    </row>
    <row r="37" customFormat="false" ht="12.8" hidden="false" customHeight="false" outlineLevel="0" collapsed="false">
      <c r="A37" s="1" t="n">
        <f aca="false">A36+1</f>
        <v>43916.4951388889</v>
      </c>
      <c r="B37" s="2" t="n">
        <v>43916.6263888889</v>
      </c>
      <c r="C37" s="0" t="n">
        <v>1</v>
      </c>
      <c r="F37" s="0" t="s">
        <v>102</v>
      </c>
      <c r="G37" s="7" t="n">
        <v>82</v>
      </c>
      <c r="H37" s="3" t="n">
        <v>67</v>
      </c>
      <c r="I37" s="3" t="n">
        <v>60</v>
      </c>
      <c r="J37" s="3" t="s">
        <v>63</v>
      </c>
      <c r="K37" s="3" t="n">
        <v>18</v>
      </c>
      <c r="L37" s="3" t="n">
        <v>0</v>
      </c>
      <c r="M37" s="0" t="s">
        <v>64</v>
      </c>
      <c r="O37" s="0" t="s">
        <v>58</v>
      </c>
      <c r="Q37" s="0" t="s">
        <v>88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Q37" s="0" t="n">
        <v>3</v>
      </c>
      <c r="AR37" s="0" t="n">
        <v>0</v>
      </c>
      <c r="AZ37" s="0" t="s">
        <v>60</v>
      </c>
      <c r="BA37" s="0" t="s">
        <v>61</v>
      </c>
      <c r="BB37" s="0" t="n">
        <v>0</v>
      </c>
    </row>
    <row r="38" customFormat="false" ht="12.8" hidden="false" customHeight="false" outlineLevel="0" collapsed="false">
      <c r="A38" s="1" t="n">
        <f aca="false">A37+1</f>
        <v>43917.4951388889</v>
      </c>
      <c r="B38" s="2" t="n">
        <v>43917.5736111111</v>
      </c>
      <c r="C38" s="0" t="n">
        <v>1</v>
      </c>
      <c r="F38" s="7" t="s">
        <v>66</v>
      </c>
      <c r="G38" s="3" t="n">
        <v>80</v>
      </c>
      <c r="H38" s="3" t="n">
        <v>66</v>
      </c>
      <c r="I38" s="3" t="n">
        <v>62</v>
      </c>
      <c r="J38" s="7" t="s">
        <v>81</v>
      </c>
      <c r="K38" s="3" t="n">
        <v>21</v>
      </c>
      <c r="L38" s="3" t="n">
        <v>31</v>
      </c>
      <c r="M38" s="0" t="s">
        <v>64</v>
      </c>
      <c r="O38" s="0" t="s">
        <v>74</v>
      </c>
      <c r="Q38" s="0" t="s">
        <v>108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Q38" s="0" t="n">
        <v>3</v>
      </c>
      <c r="AR38" s="0" t="n">
        <v>0</v>
      </c>
      <c r="AZ38" s="0" t="s">
        <v>60</v>
      </c>
      <c r="BA38" s="0" t="s">
        <v>61</v>
      </c>
      <c r="BB38" s="0" t="n">
        <v>0</v>
      </c>
    </row>
    <row r="39" customFormat="false" ht="12.8" hidden="false" customHeight="false" outlineLevel="0" collapsed="false">
      <c r="A39" s="1" t="n">
        <f aca="false">A38+1</f>
        <v>43918.4951388889</v>
      </c>
      <c r="B39" s="2" t="n">
        <v>43918.4951388889</v>
      </c>
      <c r="C39" s="0" t="n">
        <v>0</v>
      </c>
      <c r="D39" s="0" t="s">
        <v>80</v>
      </c>
      <c r="F39" s="8" t="s">
        <v>62</v>
      </c>
      <c r="G39" s="3" t="n">
        <v>68</v>
      </c>
      <c r="H39" s="3" t="n">
        <v>30</v>
      </c>
      <c r="I39" s="3" t="n">
        <v>20</v>
      </c>
      <c r="J39" s="3" t="s">
        <v>109</v>
      </c>
      <c r="K39" s="3" t="n">
        <v>18</v>
      </c>
      <c r="L39" s="3" t="n">
        <v>28</v>
      </c>
      <c r="M39" s="0" t="s">
        <v>64</v>
      </c>
    </row>
    <row r="40" customFormat="false" ht="12.8" hidden="false" customHeight="false" outlineLevel="0" collapsed="false">
      <c r="A40" s="1" t="n">
        <f aca="false">A39+1</f>
        <v>43919.4951388889</v>
      </c>
      <c r="B40" s="2" t="n">
        <v>43919.5</v>
      </c>
      <c r="C40" s="0" t="n">
        <v>0</v>
      </c>
      <c r="D40" s="0" t="s">
        <v>96</v>
      </c>
      <c r="F40" s="8" t="s">
        <v>66</v>
      </c>
      <c r="G40" s="3" t="n">
        <v>68</v>
      </c>
      <c r="H40" s="3" t="n">
        <v>41</v>
      </c>
      <c r="I40" s="3" t="n">
        <v>78</v>
      </c>
      <c r="J40" s="3" t="s">
        <v>104</v>
      </c>
      <c r="K40" s="3" t="n">
        <v>6</v>
      </c>
      <c r="L40" s="0"/>
      <c r="M40" s="0" t="s">
        <v>110</v>
      </c>
    </row>
    <row r="41" customFormat="false" ht="12.8" hidden="false" customHeight="false" outlineLevel="0" collapsed="false">
      <c r="A41" s="1" t="n">
        <f aca="false">A40+1</f>
        <v>43920.4951388889</v>
      </c>
      <c r="B41" s="2" t="n">
        <v>43920.65</v>
      </c>
      <c r="C41" s="0" t="n">
        <v>1</v>
      </c>
      <c r="F41" s="7" t="s">
        <v>85</v>
      </c>
      <c r="G41" s="3" t="n">
        <v>55</v>
      </c>
      <c r="H41" s="3" t="n">
        <v>53</v>
      </c>
      <c r="I41" s="3" t="n">
        <v>97</v>
      </c>
      <c r="J41" s="7" t="s">
        <v>111</v>
      </c>
      <c r="K41" s="3" t="n">
        <v>18</v>
      </c>
      <c r="L41" s="3" t="n">
        <v>26</v>
      </c>
      <c r="M41" s="7" t="s">
        <v>85</v>
      </c>
      <c r="O41" s="0" t="s">
        <v>58</v>
      </c>
      <c r="Q41" s="0" t="s">
        <v>65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Q41" s="0" t="n">
        <v>1</v>
      </c>
      <c r="AR41" s="0" t="n">
        <v>0</v>
      </c>
      <c r="AZ41" s="0" t="s">
        <v>60</v>
      </c>
      <c r="BA41" s="0" t="s">
        <v>61</v>
      </c>
      <c r="BB41" s="0" t="n">
        <v>0</v>
      </c>
    </row>
    <row r="42" customFormat="false" ht="12.8" hidden="false" customHeight="false" outlineLevel="0" collapsed="false">
      <c r="A42" s="1" t="n">
        <f aca="false">A41+1</f>
        <v>43921.4951388889</v>
      </c>
      <c r="B42" s="2" t="n">
        <v>43921.5986111111</v>
      </c>
      <c r="C42" s="0" t="n">
        <v>1</v>
      </c>
      <c r="F42" s="7" t="s">
        <v>112</v>
      </c>
      <c r="G42" s="3" t="n">
        <v>74</v>
      </c>
      <c r="H42" s="3" t="n">
        <v>56</v>
      </c>
      <c r="I42" s="3" t="n">
        <v>55</v>
      </c>
      <c r="J42" s="3" t="s">
        <v>63</v>
      </c>
      <c r="K42" s="3" t="n">
        <v>23</v>
      </c>
      <c r="L42" s="3" t="n">
        <v>29</v>
      </c>
      <c r="M42" s="0" t="s">
        <v>64</v>
      </c>
      <c r="O42" s="0" t="s">
        <v>74</v>
      </c>
      <c r="Q42" s="0" t="s">
        <v>95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Q42" s="0" t="n">
        <v>1</v>
      </c>
      <c r="AR42" s="0" t="n">
        <v>0</v>
      </c>
      <c r="AZ42" s="0" t="s">
        <v>60</v>
      </c>
      <c r="BA42" s="0" t="s">
        <v>61</v>
      </c>
      <c r="BB42" s="0" t="n">
        <v>0</v>
      </c>
    </row>
    <row r="43" customFormat="false" ht="12.8" hidden="false" customHeight="false" outlineLevel="0" collapsed="false">
      <c r="A43" s="1" t="n">
        <f aca="false">A42+1</f>
        <v>43922.4951388889</v>
      </c>
      <c r="B43" s="2" t="n">
        <v>43922.5944444445</v>
      </c>
      <c r="C43" s="0" t="n">
        <v>1</v>
      </c>
      <c r="F43" s="7" t="s">
        <v>62</v>
      </c>
      <c r="G43" s="3" t="n">
        <v>70</v>
      </c>
      <c r="H43" s="3" t="n">
        <v>50</v>
      </c>
      <c r="I43" s="3" t="n">
        <v>49</v>
      </c>
      <c r="J43" s="3" t="s">
        <v>63</v>
      </c>
      <c r="K43" s="3" t="n">
        <v>14</v>
      </c>
      <c r="L43" s="3" t="n">
        <v>0</v>
      </c>
      <c r="M43" s="0" t="s">
        <v>64</v>
      </c>
      <c r="O43" s="0" t="s">
        <v>74</v>
      </c>
      <c r="Q43" s="0" t="s">
        <v>88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Q43" s="0" t="n">
        <v>0</v>
      </c>
      <c r="AR43" s="0" t="n">
        <v>0</v>
      </c>
      <c r="AZ43" s="0" t="s">
        <v>60</v>
      </c>
      <c r="BA43" s="0" t="s">
        <v>61</v>
      </c>
      <c r="BB43" s="0" t="n">
        <v>0</v>
      </c>
    </row>
    <row r="44" customFormat="false" ht="12.8" hidden="false" customHeight="false" outlineLevel="0" collapsed="false">
      <c r="A44" s="1" t="n">
        <f aca="false">A43+1</f>
        <v>43923.4951388889</v>
      </c>
      <c r="B44" s="2" t="n">
        <v>43923.4951388889</v>
      </c>
      <c r="C44" s="0" t="n">
        <v>0</v>
      </c>
      <c r="D44" s="0" t="s">
        <v>96</v>
      </c>
      <c r="F44" s="0" t="s">
        <v>91</v>
      </c>
      <c r="G44" s="3" t="n">
        <v>66</v>
      </c>
      <c r="H44" s="3" t="n">
        <v>63</v>
      </c>
      <c r="I44" s="3" t="n">
        <v>81</v>
      </c>
      <c r="J44" s="0" t="s">
        <v>63</v>
      </c>
      <c r="K44" s="3" t="n">
        <v>17</v>
      </c>
      <c r="L44" s="3" t="n">
        <v>24</v>
      </c>
      <c r="M44" s="0" t="s">
        <v>110</v>
      </c>
    </row>
    <row r="45" customFormat="false" ht="12.8" hidden="false" customHeight="false" outlineLevel="0" collapsed="false">
      <c r="A45" s="1" t="n">
        <f aca="false">A44+1</f>
        <v>43924.4951388889</v>
      </c>
      <c r="B45" s="2" t="n">
        <v>43924.4951388889</v>
      </c>
      <c r="C45" s="0" t="n">
        <v>0</v>
      </c>
      <c r="D45" s="0" t="s">
        <v>96</v>
      </c>
      <c r="F45" s="7" t="s">
        <v>66</v>
      </c>
      <c r="G45" s="3" t="n">
        <v>45</v>
      </c>
      <c r="H45" s="3" t="n">
        <v>42</v>
      </c>
      <c r="I45" s="3" t="n">
        <v>96</v>
      </c>
      <c r="J45" s="3" t="s">
        <v>84</v>
      </c>
      <c r="K45" s="3" t="n">
        <v>20</v>
      </c>
      <c r="L45" s="3" t="n">
        <v>30</v>
      </c>
      <c r="M45" s="0" t="s">
        <v>110</v>
      </c>
    </row>
    <row r="46" customFormat="false" ht="12.8" hidden="false" customHeight="false" outlineLevel="0" collapsed="false">
      <c r="A46" s="1" t="n">
        <f aca="false">A45+1</f>
        <v>43925.4951388889</v>
      </c>
      <c r="B46" s="2" t="n">
        <v>43925.4951388889</v>
      </c>
      <c r="C46" s="0" t="n">
        <v>0</v>
      </c>
      <c r="D46" s="7" t="s">
        <v>113</v>
      </c>
      <c r="F46" s="7" t="s">
        <v>114</v>
      </c>
      <c r="G46" s="3" t="n">
        <v>40</v>
      </c>
      <c r="H46" s="3" t="n">
        <v>38</v>
      </c>
      <c r="I46" s="3" t="n">
        <v>93</v>
      </c>
      <c r="J46" s="3" t="s">
        <v>104</v>
      </c>
      <c r="K46" s="3" t="n">
        <v>0</v>
      </c>
      <c r="L46" s="3" t="n">
        <v>0</v>
      </c>
      <c r="M46" s="7" t="s">
        <v>114</v>
      </c>
    </row>
    <row r="47" customFormat="false" ht="12.8" hidden="false" customHeight="false" outlineLevel="0" collapsed="false">
      <c r="A47" s="1" t="n">
        <f aca="false">A46+1</f>
        <v>43926.4951388889</v>
      </c>
      <c r="B47" s="2" t="n">
        <v>43926.5236111111</v>
      </c>
      <c r="C47" s="0" t="n">
        <v>1</v>
      </c>
      <c r="F47" s="7" t="s">
        <v>66</v>
      </c>
      <c r="G47" s="3" t="n">
        <v>55</v>
      </c>
      <c r="H47" s="3" t="n">
        <v>51</v>
      </c>
      <c r="I47" s="3" t="n">
        <v>86</v>
      </c>
      <c r="J47" s="3" t="s">
        <v>115</v>
      </c>
      <c r="K47" s="3" t="n">
        <v>6</v>
      </c>
      <c r="L47" s="3" t="n">
        <v>0</v>
      </c>
      <c r="M47" s="0" t="s">
        <v>64</v>
      </c>
      <c r="N47" s="0" t="n">
        <v>0</v>
      </c>
      <c r="O47" s="0" t="s">
        <v>74</v>
      </c>
      <c r="Q47" s="0" t="s">
        <v>90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Q47" s="0" t="n">
        <v>0</v>
      </c>
      <c r="AR47" s="0" t="n">
        <v>0</v>
      </c>
      <c r="AZ47" s="0" t="s">
        <v>60</v>
      </c>
      <c r="BA47" s="0" t="s">
        <v>61</v>
      </c>
      <c r="BB47" s="0" t="n">
        <v>0</v>
      </c>
    </row>
    <row r="48" customFormat="false" ht="12.8" hidden="false" customHeight="false" outlineLevel="0" collapsed="false">
      <c r="A48" s="1" t="n">
        <f aca="false">A47+1</f>
        <v>43927.4951388889</v>
      </c>
      <c r="B48" s="2" t="n">
        <v>43927.6222222222</v>
      </c>
      <c r="C48" s="0" t="n">
        <v>1</v>
      </c>
      <c r="F48" s="7" t="s">
        <v>66</v>
      </c>
      <c r="G48" s="3" t="n">
        <v>70</v>
      </c>
      <c r="H48" s="3" t="n">
        <v>64</v>
      </c>
      <c r="I48" s="3" t="n">
        <v>81</v>
      </c>
      <c r="J48" s="3" t="s">
        <v>63</v>
      </c>
      <c r="K48" s="3" t="n">
        <v>13</v>
      </c>
      <c r="L48" s="3" t="n">
        <v>0</v>
      </c>
      <c r="M48" s="0" t="s">
        <v>64</v>
      </c>
      <c r="N48" s="0" t="n">
        <v>0</v>
      </c>
      <c r="O48" s="0" t="s">
        <v>58</v>
      </c>
      <c r="Q48" s="0" t="s">
        <v>92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Q48" s="0" t="n">
        <v>5</v>
      </c>
      <c r="AR48" s="0" t="n">
        <v>1</v>
      </c>
      <c r="AZ48" s="0" t="s">
        <v>60</v>
      </c>
      <c r="BA48" s="0" t="s">
        <v>61</v>
      </c>
      <c r="BB48" s="0" t="n">
        <v>0</v>
      </c>
    </row>
    <row r="49" customFormat="false" ht="12.8" hidden="false" customHeight="false" outlineLevel="0" collapsed="false">
      <c r="A49" s="1" t="n">
        <f aca="false">A48+1</f>
        <v>43928.4951388889</v>
      </c>
      <c r="B49" s="2" t="n">
        <v>43928.4868055556</v>
      </c>
      <c r="C49" s="0" t="n">
        <v>1</v>
      </c>
      <c r="F49" s="7" t="s">
        <v>62</v>
      </c>
      <c r="G49" s="3" t="n">
        <v>83</v>
      </c>
      <c r="H49" s="3" t="n">
        <v>67</v>
      </c>
      <c r="I49" s="3" t="n">
        <v>58</v>
      </c>
      <c r="J49" s="7" t="s">
        <v>81</v>
      </c>
      <c r="K49" s="3" t="n">
        <v>14</v>
      </c>
      <c r="L49" s="3" t="n">
        <v>20</v>
      </c>
      <c r="M49" s="0" t="s">
        <v>64</v>
      </c>
      <c r="N49" s="0" t="n">
        <v>0</v>
      </c>
      <c r="O49" s="0" t="s">
        <v>74</v>
      </c>
      <c r="Q49" s="0" t="s">
        <v>116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Q49" s="0" t="n">
        <v>0</v>
      </c>
      <c r="AR49" s="0" t="n">
        <v>0</v>
      </c>
      <c r="AZ49" s="0" t="s">
        <v>60</v>
      </c>
      <c r="BA49" s="0" t="s">
        <v>61</v>
      </c>
      <c r="BB49" s="0" t="n">
        <v>0</v>
      </c>
    </row>
    <row r="50" customFormat="false" ht="12.8" hidden="false" customHeight="false" outlineLevel="0" collapsed="false">
      <c r="A50" s="1" t="n">
        <f aca="false">A49+1</f>
        <v>43929.4951388889</v>
      </c>
      <c r="B50" s="2" t="n">
        <v>43929.5513888889</v>
      </c>
      <c r="C50" s="0" t="n">
        <v>1</v>
      </c>
      <c r="F50" s="0" t="s">
        <v>72</v>
      </c>
      <c r="G50" s="7" t="n">
        <v>93</v>
      </c>
      <c r="H50" s="3" t="n">
        <v>59</v>
      </c>
      <c r="I50" s="3" t="n">
        <v>32</v>
      </c>
      <c r="J50" s="7" t="s">
        <v>82</v>
      </c>
      <c r="K50" s="3" t="n">
        <v>16</v>
      </c>
      <c r="L50" s="3" t="n">
        <v>23</v>
      </c>
      <c r="M50" s="0" t="s">
        <v>64</v>
      </c>
      <c r="N50" s="0" t="n">
        <v>0</v>
      </c>
      <c r="O50" s="0" t="s">
        <v>58</v>
      </c>
      <c r="Q50" s="0" t="s">
        <v>117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Q50" s="0" t="n">
        <v>0</v>
      </c>
      <c r="AR50" s="0" t="n">
        <v>1</v>
      </c>
      <c r="AZ50" s="0" t="s">
        <v>60</v>
      </c>
      <c r="BA50" s="0" t="s">
        <v>61</v>
      </c>
      <c r="BB50" s="0" t="n">
        <v>0</v>
      </c>
    </row>
    <row r="51" customFormat="false" ht="12.8" hidden="false" customHeight="false" outlineLevel="0" collapsed="false">
      <c r="A51" s="1" t="n">
        <f aca="false">A50+1</f>
        <v>43930.4951388889</v>
      </c>
      <c r="B51" s="2" t="n">
        <v>43930.5715277778</v>
      </c>
      <c r="C51" s="0" t="n">
        <v>1</v>
      </c>
      <c r="F51" s="7" t="s">
        <v>66</v>
      </c>
      <c r="G51" s="3" t="n">
        <v>76</v>
      </c>
      <c r="H51" s="3" t="n">
        <v>45</v>
      </c>
      <c r="I51" s="3" t="n">
        <v>43</v>
      </c>
      <c r="J51" s="7" t="s">
        <v>87</v>
      </c>
      <c r="K51" s="7" t="n">
        <v>10</v>
      </c>
      <c r="L51" s="3" t="n">
        <v>0</v>
      </c>
      <c r="M51" s="0" t="s">
        <v>64</v>
      </c>
      <c r="N51" s="0" t="n">
        <v>0</v>
      </c>
      <c r="O51" s="0" t="s">
        <v>74</v>
      </c>
      <c r="Q51" s="0" t="s">
        <v>88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Q51" s="0" t="n">
        <v>1</v>
      </c>
      <c r="AR51" s="0" t="n">
        <v>1</v>
      </c>
      <c r="AZ51" s="0" t="s">
        <v>60</v>
      </c>
      <c r="BA51" s="0" t="s">
        <v>61</v>
      </c>
      <c r="BB51" s="0" t="n">
        <v>0</v>
      </c>
    </row>
    <row r="52" customFormat="false" ht="12.8" hidden="false" customHeight="false" outlineLevel="0" collapsed="false">
      <c r="A52" s="1" t="n">
        <f aca="false">A51+1</f>
        <v>43931.4951388889</v>
      </c>
      <c r="B52" s="2" t="n">
        <v>43931.4951388889</v>
      </c>
      <c r="C52" s="0" t="n">
        <v>0</v>
      </c>
      <c r="D52" s="0" t="s">
        <v>80</v>
      </c>
      <c r="F52" s="7" t="s">
        <v>118</v>
      </c>
      <c r="G52" s="3" t="n">
        <v>69</v>
      </c>
      <c r="H52" s="3" t="n">
        <v>37</v>
      </c>
      <c r="I52" s="3" t="n">
        <v>31</v>
      </c>
      <c r="J52" s="3" t="s">
        <v>119</v>
      </c>
      <c r="K52" s="3" t="n">
        <v>8</v>
      </c>
      <c r="L52" s="3" t="n">
        <v>0</v>
      </c>
      <c r="M52" s="0" t="s">
        <v>64</v>
      </c>
    </row>
    <row r="53" customFormat="false" ht="12.8" hidden="false" customHeight="false" outlineLevel="0" collapsed="false">
      <c r="A53" s="1" t="n">
        <f aca="false">A52+1</f>
        <v>43932.4951388889</v>
      </c>
      <c r="B53" s="2" t="n">
        <v>43932.4951388889</v>
      </c>
      <c r="C53" s="0" t="n">
        <v>0</v>
      </c>
      <c r="D53" s="0" t="s">
        <v>120</v>
      </c>
      <c r="F53" s="0" t="s">
        <v>102</v>
      </c>
      <c r="G53" s="3" t="n">
        <v>68</v>
      </c>
      <c r="H53" s="3" t="n">
        <v>57</v>
      </c>
      <c r="I53" s="3" t="n">
        <v>68</v>
      </c>
      <c r="J53" s="7" t="s">
        <v>89</v>
      </c>
      <c r="K53" s="3" t="n">
        <v>13</v>
      </c>
      <c r="L53" s="3" t="n">
        <v>0</v>
      </c>
      <c r="M53" s="0" t="s">
        <v>64</v>
      </c>
    </row>
    <row r="54" customFormat="false" ht="12.8" hidden="false" customHeight="false" outlineLevel="0" collapsed="false">
      <c r="A54" s="1" t="n">
        <f aca="false">A53+1</f>
        <v>43933.4951388889</v>
      </c>
      <c r="B54" s="2" t="n">
        <v>43933.5736111111</v>
      </c>
      <c r="C54" s="0" t="n">
        <v>1</v>
      </c>
      <c r="F54" s="0" t="s">
        <v>72</v>
      </c>
      <c r="G54" s="3" t="n">
        <v>80</v>
      </c>
      <c r="H54" s="3" t="n">
        <v>57</v>
      </c>
      <c r="I54" s="3" t="n">
        <v>45</v>
      </c>
      <c r="J54" s="3" t="s">
        <v>82</v>
      </c>
      <c r="K54" s="3" t="n">
        <v>16</v>
      </c>
      <c r="L54" s="3" t="n">
        <v>29</v>
      </c>
      <c r="M54" s="0" t="s">
        <v>64</v>
      </c>
      <c r="N54" s="0" t="n">
        <v>0</v>
      </c>
      <c r="O54" s="0" t="s">
        <v>58</v>
      </c>
      <c r="Q54" s="0" t="s">
        <v>121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Q54" s="0" t="n">
        <v>0</v>
      </c>
      <c r="AR54" s="0" t="n">
        <v>0</v>
      </c>
      <c r="AZ54" s="0" t="s">
        <v>60</v>
      </c>
      <c r="BA54" s="0" t="s">
        <v>61</v>
      </c>
      <c r="BB54" s="0" t="n">
        <v>0</v>
      </c>
    </row>
    <row r="55" customFormat="false" ht="12.8" hidden="false" customHeight="false" outlineLevel="0" collapsed="false">
      <c r="A55" s="1" t="n">
        <f aca="false">A54+1</f>
        <v>43934.4951388889</v>
      </c>
      <c r="B55" s="2" t="n">
        <v>43934.5513888889</v>
      </c>
      <c r="C55" s="0" t="n">
        <v>1</v>
      </c>
      <c r="F55" s="0" t="s">
        <v>72</v>
      </c>
      <c r="G55" s="3" t="n">
        <v>52</v>
      </c>
      <c r="H55" s="3" t="n">
        <v>33</v>
      </c>
      <c r="I55" s="3" t="n">
        <v>49</v>
      </c>
      <c r="J55" s="3" t="s">
        <v>84</v>
      </c>
      <c r="K55" s="3" t="n">
        <v>14</v>
      </c>
      <c r="L55" s="3" t="n">
        <v>23</v>
      </c>
      <c r="M55" s="0" t="s">
        <v>64</v>
      </c>
      <c r="N55" s="0" t="n">
        <v>0</v>
      </c>
      <c r="O55" s="0" t="s">
        <v>74</v>
      </c>
      <c r="Q55" s="0" t="s">
        <v>65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Q55" s="0" t="n">
        <v>0</v>
      </c>
      <c r="AR55" s="0" t="n">
        <v>0</v>
      </c>
      <c r="AZ55" s="0" t="s">
        <v>60</v>
      </c>
      <c r="BA55" s="0" t="s">
        <v>61</v>
      </c>
      <c r="BB55" s="0" t="n">
        <v>0</v>
      </c>
    </row>
    <row r="56" customFormat="false" ht="12.8" hidden="false" customHeight="false" outlineLevel="0" collapsed="false">
      <c r="A56" s="1" t="n">
        <f aca="false">A55+1</f>
        <v>43935.4951388889</v>
      </c>
      <c r="B56" s="2" t="n">
        <v>43935.5604166667</v>
      </c>
      <c r="C56" s="0" t="n">
        <v>1</v>
      </c>
      <c r="F56" s="0" t="s">
        <v>72</v>
      </c>
      <c r="G56" s="3" t="n">
        <v>53</v>
      </c>
      <c r="H56" s="3" t="n">
        <v>33</v>
      </c>
      <c r="I56" s="3" t="n">
        <v>47</v>
      </c>
      <c r="J56" s="3" t="s">
        <v>84</v>
      </c>
      <c r="K56" s="3" t="n">
        <v>19</v>
      </c>
      <c r="L56" s="3" t="n">
        <v>28</v>
      </c>
      <c r="M56" s="0" t="s">
        <v>64</v>
      </c>
      <c r="N56" s="0" t="n">
        <v>0</v>
      </c>
      <c r="O56" s="0" t="s">
        <v>74</v>
      </c>
      <c r="Q56" s="0" t="s">
        <v>70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Q56" s="0" t="n">
        <v>3</v>
      </c>
      <c r="AR56" s="0" t="n">
        <v>0</v>
      </c>
      <c r="AZ56" s="0" t="s">
        <v>60</v>
      </c>
      <c r="BA56" s="0" t="s">
        <v>61</v>
      </c>
      <c r="BB56" s="0" t="n">
        <v>0</v>
      </c>
    </row>
    <row r="57" customFormat="false" ht="12.8" hidden="false" customHeight="false" outlineLevel="0" collapsed="false">
      <c r="A57" s="1" t="n">
        <f aca="false">A56+1</f>
        <v>43936.4951388889</v>
      </c>
      <c r="B57" s="2" t="n">
        <v>43936.6347222222</v>
      </c>
      <c r="C57" s="0" t="n">
        <v>1</v>
      </c>
      <c r="F57" s="0" t="s">
        <v>72</v>
      </c>
      <c r="G57" s="3" t="n">
        <v>61</v>
      </c>
      <c r="H57" s="3" t="n">
        <v>36</v>
      </c>
      <c r="I57" s="3" t="n">
        <v>39</v>
      </c>
      <c r="J57" s="3" t="s">
        <v>115</v>
      </c>
      <c r="K57" s="3" t="n">
        <v>5</v>
      </c>
      <c r="L57" s="3" t="n">
        <v>0</v>
      </c>
      <c r="M57" s="0" t="s">
        <v>64</v>
      </c>
      <c r="N57" s="0" t="n">
        <v>0</v>
      </c>
      <c r="O57" s="0" t="s">
        <v>74</v>
      </c>
      <c r="Q57" s="0" t="s">
        <v>75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Q57" s="0" t="n">
        <v>3</v>
      </c>
      <c r="AR57" s="0" t="n">
        <v>1</v>
      </c>
      <c r="AZ57" s="0" t="s">
        <v>60</v>
      </c>
      <c r="BA57" s="0" t="s">
        <v>61</v>
      </c>
      <c r="BB57" s="0" t="n">
        <v>0</v>
      </c>
    </row>
    <row r="58" customFormat="false" ht="12.8" hidden="false" customHeight="false" outlineLevel="0" collapsed="false">
      <c r="A58" s="1" t="n">
        <f aca="false">A57+1</f>
        <v>43937.4951388889</v>
      </c>
      <c r="B58" s="2" t="n">
        <v>43937.5597222222</v>
      </c>
      <c r="C58" s="0" t="n">
        <v>1</v>
      </c>
      <c r="F58" s="7" t="s">
        <v>118</v>
      </c>
      <c r="G58" s="3" t="n">
        <v>73</v>
      </c>
      <c r="H58" s="3" t="n">
        <v>47</v>
      </c>
      <c r="I58" s="3" t="n">
        <v>39</v>
      </c>
      <c r="J58" s="3" t="s">
        <v>63</v>
      </c>
      <c r="K58" s="3" t="n">
        <v>18</v>
      </c>
      <c r="L58" s="3" t="n">
        <v>26</v>
      </c>
      <c r="M58" s="0" t="s">
        <v>64</v>
      </c>
      <c r="N58" s="0" t="n">
        <v>0</v>
      </c>
      <c r="O58" s="0" t="s">
        <v>58</v>
      </c>
      <c r="Q58" s="0" t="s">
        <v>116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Q58" s="0" t="n">
        <v>0</v>
      </c>
      <c r="AR58" s="0" t="n">
        <v>0</v>
      </c>
      <c r="AZ58" s="0" t="s">
        <v>60</v>
      </c>
      <c r="BA58" s="0" t="s">
        <v>61</v>
      </c>
      <c r="BB58" s="0" t="n">
        <v>0</v>
      </c>
    </row>
    <row r="59" customFormat="false" ht="12.8" hidden="false" customHeight="false" outlineLevel="0" collapsed="false">
      <c r="A59" s="1" t="n">
        <f aca="false">A58+1</f>
        <v>43938.4951388889</v>
      </c>
      <c r="B59" s="2" t="n">
        <v>43938.5472222222</v>
      </c>
      <c r="C59" s="0" t="n">
        <v>1</v>
      </c>
      <c r="F59" s="0" t="s">
        <v>91</v>
      </c>
      <c r="G59" s="3" t="n">
        <v>54</v>
      </c>
      <c r="H59" s="3" t="n">
        <v>44</v>
      </c>
      <c r="I59" s="3" t="n">
        <v>49</v>
      </c>
      <c r="J59" s="3" t="s">
        <v>87</v>
      </c>
      <c r="K59" s="3" t="n">
        <v>14</v>
      </c>
      <c r="L59" s="3" t="n">
        <v>0</v>
      </c>
      <c r="M59" s="0" t="s">
        <v>64</v>
      </c>
      <c r="N59" s="0" t="n">
        <v>0</v>
      </c>
      <c r="O59" s="0" t="s">
        <v>74</v>
      </c>
      <c r="Q59" s="0" t="s">
        <v>108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Q59" s="0" t="n">
        <v>3</v>
      </c>
      <c r="AR59" s="0" t="n">
        <v>0</v>
      </c>
      <c r="AZ59" s="0" t="s">
        <v>60</v>
      </c>
      <c r="BA59" s="0" t="s">
        <v>61</v>
      </c>
      <c r="BB59" s="0" t="n">
        <v>0</v>
      </c>
    </row>
    <row r="60" customFormat="false" ht="12.8" hidden="false" customHeight="false" outlineLevel="0" collapsed="false">
      <c r="A60" s="1" t="n">
        <f aca="false">A59+1</f>
        <v>43939.4951388889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122</v>
      </c>
      <c r="K60" s="0" t="n">
        <v>3</v>
      </c>
      <c r="L60" s="3" t="n">
        <v>0</v>
      </c>
      <c r="M60" s="0" t="s">
        <v>64</v>
      </c>
      <c r="N60" s="0" t="n">
        <v>0</v>
      </c>
      <c r="O60" s="0" t="s">
        <v>58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Q60" s="0" t="n">
        <v>2</v>
      </c>
      <c r="AR60" s="0" t="n">
        <v>0</v>
      </c>
      <c r="AZ60" s="0" t="s">
        <v>60</v>
      </c>
      <c r="BA60" s="0" t="s">
        <v>61</v>
      </c>
      <c r="BB60" s="0" t="n">
        <v>0</v>
      </c>
    </row>
    <row r="61" customFormat="false" ht="12.8" hidden="false" customHeight="false" outlineLevel="0" collapsed="false">
      <c r="A61" s="1" t="n">
        <f aca="false">A60+1</f>
        <v>43940.4951388889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64</v>
      </c>
      <c r="N61" s="0" t="n">
        <v>0</v>
      </c>
      <c r="O61" s="0" t="s">
        <v>74</v>
      </c>
      <c r="Q61" s="0" t="s">
        <v>65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Q61" s="0" t="n">
        <v>0</v>
      </c>
      <c r="AR61" s="0" t="n">
        <v>0</v>
      </c>
      <c r="AZ61" s="0" t="s">
        <v>60</v>
      </c>
      <c r="BA61" s="0" t="s">
        <v>61</v>
      </c>
      <c r="BB61" s="0" t="n">
        <v>0</v>
      </c>
    </row>
    <row r="62" customFormat="false" ht="12.8" hidden="false" customHeight="false" outlineLevel="0" collapsed="false">
      <c r="A62" s="1" t="n">
        <f aca="false">A61+1</f>
        <v>43941.4951388889</v>
      </c>
      <c r="B62" s="2" t="n">
        <v>43941.6125</v>
      </c>
      <c r="C62" s="0" t="n">
        <v>1</v>
      </c>
      <c r="F62" s="7" t="s">
        <v>55</v>
      </c>
      <c r="G62" s="3" t="n">
        <v>76</v>
      </c>
      <c r="H62" s="3" t="n">
        <v>57</v>
      </c>
      <c r="I62" s="3" t="n">
        <v>52</v>
      </c>
      <c r="J62" s="3" t="s">
        <v>106</v>
      </c>
      <c r="K62" s="3" t="n">
        <v>7</v>
      </c>
      <c r="L62" s="3" t="n">
        <v>0</v>
      </c>
      <c r="M62" s="0" t="s">
        <v>64</v>
      </c>
      <c r="N62" s="0" t="n">
        <v>0</v>
      </c>
      <c r="O62" s="0" t="s">
        <v>74</v>
      </c>
      <c r="AF62" s="3"/>
      <c r="BB62" s="0" t="n">
        <v>1</v>
      </c>
      <c r="BC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72</v>
      </c>
      <c r="G63" s="3" t="n">
        <v>76</v>
      </c>
      <c r="H63" s="3" t="n">
        <v>56</v>
      </c>
      <c r="I63" s="3" t="n">
        <v>50</v>
      </c>
      <c r="J63" s="3" t="s">
        <v>63</v>
      </c>
      <c r="K63" s="3" t="n">
        <v>22</v>
      </c>
      <c r="L63" s="3" t="n">
        <v>30</v>
      </c>
      <c r="M63" s="0" t="s">
        <v>110</v>
      </c>
      <c r="N63" s="0" t="n">
        <v>0</v>
      </c>
      <c r="O63" s="0" t="s">
        <v>58</v>
      </c>
      <c r="Q63" s="0" t="s">
        <v>67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Q63" s="0" t="n">
        <v>5</v>
      </c>
      <c r="AR63" s="0" t="n">
        <v>0</v>
      </c>
      <c r="AZ63" s="0" t="s">
        <v>60</v>
      </c>
      <c r="BA63" s="0" t="s">
        <v>61</v>
      </c>
      <c r="BB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123</v>
      </c>
      <c r="F64" s="0" t="s">
        <v>91</v>
      </c>
      <c r="G64" s="3" t="n">
        <v>74</v>
      </c>
      <c r="H64" s="3" t="n">
        <v>59</v>
      </c>
      <c r="I64" s="3" t="n">
        <v>59</v>
      </c>
      <c r="J64" s="3" t="s">
        <v>63</v>
      </c>
      <c r="K64" s="3" t="n">
        <v>12</v>
      </c>
      <c r="L64" s="3" t="n">
        <v>0</v>
      </c>
      <c r="M64" s="0" t="s">
        <v>110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91</v>
      </c>
      <c r="G65" s="3" t="n">
        <v>73</v>
      </c>
      <c r="H65" s="3" t="n">
        <v>62</v>
      </c>
      <c r="I65" s="3" t="n">
        <v>68</v>
      </c>
      <c r="J65" s="3" t="s">
        <v>63</v>
      </c>
      <c r="K65" s="3" t="n">
        <v>9</v>
      </c>
      <c r="L65" s="3" t="n">
        <v>0</v>
      </c>
      <c r="M65" s="0" t="s">
        <v>64</v>
      </c>
      <c r="N65" s="0" t="n">
        <v>0</v>
      </c>
      <c r="O65" s="0" t="s">
        <v>58</v>
      </c>
      <c r="Q65" s="0" t="s">
        <v>108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Q65" s="0" t="n">
        <v>1</v>
      </c>
      <c r="AR65" s="0" t="n">
        <v>1</v>
      </c>
      <c r="AZ65" s="0" t="s">
        <v>60</v>
      </c>
      <c r="BA65" s="0" t="s">
        <v>61</v>
      </c>
      <c r="BB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91</v>
      </c>
      <c r="G66" s="3" t="n">
        <v>66</v>
      </c>
      <c r="H66" s="3" t="n">
        <v>61</v>
      </c>
      <c r="I66" s="3" t="n">
        <v>84</v>
      </c>
      <c r="J66" s="3" t="s">
        <v>84</v>
      </c>
      <c r="K66" s="3" t="n">
        <v>5</v>
      </c>
      <c r="L66" s="3" t="n">
        <v>0</v>
      </c>
      <c r="M66" s="0" t="s">
        <v>64</v>
      </c>
      <c r="N66" s="0" t="n">
        <v>0</v>
      </c>
      <c r="O66" s="0" t="s">
        <v>74</v>
      </c>
      <c r="Q66" s="0" t="s">
        <v>121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Q66" s="0" t="n">
        <v>0</v>
      </c>
      <c r="AR66" s="0" t="n">
        <v>0</v>
      </c>
      <c r="AZ66" s="0" t="s">
        <v>60</v>
      </c>
      <c r="BA66" s="0" t="s">
        <v>61</v>
      </c>
      <c r="BB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72</v>
      </c>
      <c r="G67" s="3" t="n">
        <v>74</v>
      </c>
      <c r="H67" s="3" t="n">
        <v>42</v>
      </c>
      <c r="I67" s="3" t="n">
        <v>30</v>
      </c>
      <c r="J67" s="3" t="s">
        <v>119</v>
      </c>
      <c r="K67" s="3" t="n">
        <v>10</v>
      </c>
      <c r="L67" s="3" t="n">
        <v>0</v>
      </c>
      <c r="M67" s="0" t="s">
        <v>64</v>
      </c>
      <c r="N67" s="0" t="n">
        <v>0</v>
      </c>
      <c r="O67" s="0" t="s">
        <v>58</v>
      </c>
      <c r="Q67" s="0" t="s">
        <v>95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Q67" s="0" t="n">
        <v>4</v>
      </c>
      <c r="AR67" s="0" t="n">
        <v>0</v>
      </c>
      <c r="AZ67" s="0" t="s">
        <v>60</v>
      </c>
      <c r="BA67" s="0" t="s">
        <v>61</v>
      </c>
      <c r="BB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94</v>
      </c>
      <c r="G68" s="3" t="n">
        <v>85</v>
      </c>
      <c r="H68" s="3" t="n">
        <v>35</v>
      </c>
      <c r="I68" s="3" t="n">
        <v>33</v>
      </c>
      <c r="J68" s="3" t="s">
        <v>63</v>
      </c>
      <c r="K68" s="3" t="n">
        <v>8</v>
      </c>
      <c r="L68" s="3" t="n">
        <v>0</v>
      </c>
      <c r="M68" s="0" t="s">
        <v>64</v>
      </c>
      <c r="N68" s="0" t="n">
        <v>0</v>
      </c>
      <c r="O68" s="0" t="s">
        <v>74</v>
      </c>
      <c r="Q68" s="0" t="s">
        <v>70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Q68" s="0" t="n">
        <v>3</v>
      </c>
      <c r="AR68" s="0" t="n">
        <v>1</v>
      </c>
      <c r="AZ68" s="0" t="s">
        <v>60</v>
      </c>
      <c r="BA68" s="0" t="s">
        <v>61</v>
      </c>
      <c r="BB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91</v>
      </c>
      <c r="G69" s="3" t="n">
        <v>81</v>
      </c>
      <c r="H69" s="3" t="n">
        <v>59</v>
      </c>
      <c r="I69" s="3" t="n">
        <v>47</v>
      </c>
      <c r="J69" s="3" t="s">
        <v>73</v>
      </c>
      <c r="K69" s="3" t="n">
        <v>12</v>
      </c>
      <c r="L69" s="3" t="n">
        <v>0</v>
      </c>
      <c r="M69" s="0" t="s">
        <v>64</v>
      </c>
      <c r="N69" s="0" t="n">
        <v>0</v>
      </c>
      <c r="O69" s="0" t="s">
        <v>58</v>
      </c>
      <c r="Q69" s="0" t="s">
        <v>92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Q69" s="0" t="n">
        <v>3</v>
      </c>
      <c r="AR69" s="0" t="n">
        <v>2</v>
      </c>
      <c r="AZ69" s="0" t="s">
        <v>60</v>
      </c>
      <c r="BA69" s="0" t="s">
        <v>61</v>
      </c>
      <c r="BB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94</v>
      </c>
      <c r="G70" s="3" t="n">
        <v>78</v>
      </c>
      <c r="H70" s="3" t="n">
        <v>64</v>
      </c>
      <c r="I70" s="3" t="n">
        <v>64</v>
      </c>
      <c r="J70" s="3" t="s">
        <v>105</v>
      </c>
      <c r="K70" s="3" t="n">
        <v>12</v>
      </c>
      <c r="L70" s="3" t="n">
        <v>0</v>
      </c>
      <c r="M70" s="0" t="s">
        <v>64</v>
      </c>
      <c r="N70" s="0" t="n">
        <v>0</v>
      </c>
      <c r="O70" s="0" t="s">
        <v>74</v>
      </c>
      <c r="Q70" s="0" t="s">
        <v>90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Q70" s="0" t="n">
        <v>5</v>
      </c>
      <c r="AR70" s="0" t="n">
        <v>1</v>
      </c>
      <c r="AZ70" s="0" t="s">
        <v>60</v>
      </c>
      <c r="BA70" s="0" t="s">
        <v>61</v>
      </c>
      <c r="BB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66</v>
      </c>
      <c r="G71" s="3" t="n">
        <v>75</v>
      </c>
      <c r="H71" s="3" t="n">
        <v>63</v>
      </c>
      <c r="I71" s="3" t="n">
        <v>62</v>
      </c>
      <c r="J71" s="3" t="s">
        <v>63</v>
      </c>
      <c r="K71" s="3" t="n">
        <v>20</v>
      </c>
      <c r="L71" s="3" t="n">
        <v>29</v>
      </c>
      <c r="M71" s="0" t="s">
        <v>64</v>
      </c>
      <c r="N71" s="0" t="n">
        <v>0</v>
      </c>
      <c r="O71" s="0" t="s">
        <v>58</v>
      </c>
      <c r="Q71" s="0" t="s">
        <v>88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Q71" s="0" t="n">
        <v>0</v>
      </c>
      <c r="AR71" s="0" t="n">
        <v>0</v>
      </c>
      <c r="AZ71" s="0" t="s">
        <v>60</v>
      </c>
      <c r="BA71" s="0" t="s">
        <v>61</v>
      </c>
      <c r="BB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72</v>
      </c>
      <c r="G72" s="3" t="n">
        <v>76</v>
      </c>
      <c r="H72" s="3" t="n">
        <v>46</v>
      </c>
      <c r="I72" s="3" t="n">
        <v>35</v>
      </c>
      <c r="J72" s="3" t="s">
        <v>56</v>
      </c>
      <c r="K72" s="3" t="n">
        <v>3</v>
      </c>
      <c r="L72" s="3" t="n">
        <v>0</v>
      </c>
      <c r="M72" s="0" t="s">
        <v>64</v>
      </c>
      <c r="N72" s="0" t="n">
        <v>0</v>
      </c>
      <c r="O72" s="0" t="s">
        <v>74</v>
      </c>
      <c r="Q72" s="0" t="s">
        <v>67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Q72" s="0" t="n">
        <v>0</v>
      </c>
      <c r="AR72" s="0" t="n">
        <v>1</v>
      </c>
      <c r="AZ72" s="0" t="s">
        <v>60</v>
      </c>
      <c r="BA72" s="0" t="s">
        <v>61</v>
      </c>
      <c r="BB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72</v>
      </c>
      <c r="G73" s="3" t="n">
        <v>76</v>
      </c>
      <c r="H73" s="3" t="n">
        <v>54</v>
      </c>
      <c r="I73" s="3" t="n">
        <v>46</v>
      </c>
      <c r="J73" s="7" t="s">
        <v>81</v>
      </c>
      <c r="K73" s="3" t="n">
        <v>21</v>
      </c>
      <c r="L73" s="3" t="n">
        <v>35</v>
      </c>
      <c r="M73" s="0" t="s">
        <v>64</v>
      </c>
      <c r="N73" s="0" t="n">
        <v>0</v>
      </c>
      <c r="O73" s="0" t="s">
        <v>74</v>
      </c>
      <c r="Q73" s="0" t="s">
        <v>108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Q73" s="0" t="n">
        <v>1</v>
      </c>
      <c r="AR73" s="0" t="n">
        <v>0</v>
      </c>
      <c r="AZ73" s="0" t="s">
        <v>60</v>
      </c>
      <c r="BA73" s="0" t="s">
        <v>61</v>
      </c>
      <c r="BB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94</v>
      </c>
      <c r="G74" s="3" t="n">
        <v>80</v>
      </c>
      <c r="H74" s="3" t="n">
        <v>70</v>
      </c>
      <c r="I74" s="3" t="n">
        <v>71</v>
      </c>
      <c r="J74" s="3" t="s">
        <v>63</v>
      </c>
      <c r="K74" s="3" t="n">
        <v>24</v>
      </c>
      <c r="L74" s="3" t="n">
        <v>33</v>
      </c>
      <c r="M74" s="0" t="s">
        <v>64</v>
      </c>
      <c r="N74" s="0" t="n">
        <v>0</v>
      </c>
      <c r="O74" s="0" t="s">
        <v>58</v>
      </c>
      <c r="Q74" s="0" t="s">
        <v>70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Q74" s="0" t="n">
        <v>0</v>
      </c>
      <c r="AR74" s="0" t="n">
        <v>0</v>
      </c>
      <c r="AZ74" s="0" t="s">
        <v>60</v>
      </c>
      <c r="BA74" s="0" t="s">
        <v>61</v>
      </c>
      <c r="BB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72</v>
      </c>
      <c r="G75" s="3" t="n">
        <v>86</v>
      </c>
      <c r="H75" s="3" t="n">
        <v>67</v>
      </c>
      <c r="I75" s="3" t="n">
        <v>53</v>
      </c>
      <c r="J75" s="3" t="s">
        <v>63</v>
      </c>
      <c r="K75" s="3" t="n">
        <v>20</v>
      </c>
      <c r="L75" s="3" t="n">
        <v>25</v>
      </c>
      <c r="M75" s="0" t="s">
        <v>64</v>
      </c>
      <c r="N75" s="0" t="n">
        <v>0</v>
      </c>
      <c r="O75" s="0" t="s">
        <v>58</v>
      </c>
      <c r="Q75" s="0" t="s">
        <v>65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Q75" s="0" t="n">
        <v>0</v>
      </c>
      <c r="AR75" s="0" t="n">
        <v>0</v>
      </c>
      <c r="AZ75" s="0" t="s">
        <v>60</v>
      </c>
      <c r="BA75" s="0" t="s">
        <v>61</v>
      </c>
      <c r="BB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72</v>
      </c>
      <c r="G76" s="3" t="n">
        <f aca="false">(78+81)/2</f>
        <v>79.5</v>
      </c>
      <c r="H76" s="3" t="n">
        <v>68</v>
      </c>
      <c r="I76" s="3" t="n">
        <v>64</v>
      </c>
      <c r="J76" s="3" t="s">
        <v>63</v>
      </c>
      <c r="K76" s="3" t="n">
        <f aca="false">(17+22)/2</f>
        <v>19.5</v>
      </c>
      <c r="L76" s="3" t="n">
        <v>0</v>
      </c>
      <c r="M76" s="0" t="s">
        <v>64</v>
      </c>
      <c r="N76" s="0" t="n">
        <v>0</v>
      </c>
      <c r="O76" s="0" t="s">
        <v>74</v>
      </c>
      <c r="Q76" s="0" t="s">
        <v>95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Q76" s="0" t="n">
        <v>1</v>
      </c>
      <c r="AR76" s="0" t="n">
        <v>1</v>
      </c>
      <c r="AZ76" s="0" t="s">
        <v>60</v>
      </c>
      <c r="BA76" s="0" t="s">
        <v>61</v>
      </c>
      <c r="BB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63</v>
      </c>
      <c r="K77" s="3" t="n">
        <v>24</v>
      </c>
      <c r="L77" s="3" t="n">
        <v>33</v>
      </c>
      <c r="M77" s="0" t="s">
        <v>64</v>
      </c>
      <c r="N77" s="0" t="n">
        <v>0</v>
      </c>
      <c r="O77" s="0" t="s">
        <v>58</v>
      </c>
      <c r="Q77" s="0" t="s">
        <v>65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Q77" s="0" t="n">
        <v>0</v>
      </c>
      <c r="AR77" s="0" t="n">
        <v>0</v>
      </c>
      <c r="AZ77" s="0" t="s">
        <v>60</v>
      </c>
      <c r="BA77" s="0" t="s">
        <v>61</v>
      </c>
      <c r="BB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72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64</v>
      </c>
      <c r="N78" s="0" t="n">
        <v>0</v>
      </c>
      <c r="O78" s="0" t="s">
        <v>74</v>
      </c>
      <c r="Q78" s="0" t="s">
        <v>117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Q78" s="0" t="n">
        <v>0</v>
      </c>
      <c r="AR78" s="0" t="n">
        <v>0</v>
      </c>
      <c r="AZ78" s="0" t="s">
        <v>60</v>
      </c>
      <c r="BA78" s="0" t="s">
        <v>61</v>
      </c>
      <c r="BB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89</v>
      </c>
      <c r="K79" s="3" t="n">
        <v>22</v>
      </c>
      <c r="L79" s="3" t="n">
        <v>31</v>
      </c>
      <c r="M79" s="0" t="s">
        <v>64</v>
      </c>
      <c r="N79" s="0" t="n">
        <v>0</v>
      </c>
      <c r="O79" s="0" t="s">
        <v>58</v>
      </c>
      <c r="Q79" s="0" t="s">
        <v>67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Q79" s="0" t="n">
        <v>0</v>
      </c>
      <c r="AR79" s="0" t="n">
        <v>0</v>
      </c>
      <c r="AZ79" s="0" t="s">
        <v>60</v>
      </c>
      <c r="BA79" s="0" t="s">
        <v>61</v>
      </c>
      <c r="BB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91</v>
      </c>
      <c r="G80" s="3" t="n">
        <v>72</v>
      </c>
      <c r="H80" s="3" t="n">
        <v>50</v>
      </c>
      <c r="I80" s="3" t="n">
        <v>44</v>
      </c>
      <c r="J80" s="3" t="s">
        <v>84</v>
      </c>
      <c r="K80" s="3" t="n">
        <v>21</v>
      </c>
      <c r="L80" s="3" t="n">
        <v>33</v>
      </c>
      <c r="M80" s="0" t="s">
        <v>64</v>
      </c>
      <c r="N80" s="0" t="n">
        <v>0</v>
      </c>
      <c r="O80" s="0" t="s">
        <v>58</v>
      </c>
      <c r="Q80" s="0" t="s">
        <v>88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Q80" s="0" t="n">
        <v>0</v>
      </c>
      <c r="AR80" s="0" t="n">
        <v>0</v>
      </c>
      <c r="AZ80" s="0" t="s">
        <v>60</v>
      </c>
      <c r="BA80" s="0" t="s">
        <v>61</v>
      </c>
      <c r="BB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72</v>
      </c>
      <c r="G81" s="3" t="n">
        <v>73</v>
      </c>
      <c r="H81" s="3" t="n">
        <v>47</v>
      </c>
      <c r="I81" s="3" t="n">
        <v>44</v>
      </c>
      <c r="J81" s="7" t="s">
        <v>111</v>
      </c>
      <c r="K81" s="3" t="n">
        <v>5</v>
      </c>
      <c r="L81" s="3" t="n">
        <v>0</v>
      </c>
      <c r="M81" s="0" t="s">
        <v>64</v>
      </c>
      <c r="N81" s="0" t="n">
        <v>0</v>
      </c>
      <c r="O81" s="0" t="s">
        <v>74</v>
      </c>
      <c r="Q81" s="0" t="s">
        <v>124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72</v>
      </c>
      <c r="G82" s="3" t="n">
        <v>76</v>
      </c>
      <c r="H82" s="3" t="n">
        <v>49</v>
      </c>
      <c r="I82" s="3" t="n">
        <v>38</v>
      </c>
      <c r="J82" s="3" t="s">
        <v>106</v>
      </c>
      <c r="K82" s="3" t="n">
        <v>9</v>
      </c>
      <c r="L82" s="3" t="n">
        <v>0</v>
      </c>
      <c r="M82" s="0" t="s">
        <v>64</v>
      </c>
      <c r="N82" s="0" t="n">
        <v>0</v>
      </c>
      <c r="O82" s="0" t="s">
        <v>74</v>
      </c>
      <c r="Q82" s="0" t="s">
        <v>95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Q82" s="0" t="n">
        <v>3</v>
      </c>
      <c r="AZ82" s="0" t="s">
        <v>60</v>
      </c>
      <c r="BA82" s="0" t="s">
        <v>61</v>
      </c>
      <c r="BB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72</v>
      </c>
      <c r="G83" s="3" t="n">
        <v>74</v>
      </c>
      <c r="H83" s="3" t="n">
        <v>52</v>
      </c>
      <c r="I83" s="3" t="n">
        <v>44</v>
      </c>
      <c r="J83" s="3" t="s">
        <v>63</v>
      </c>
      <c r="K83" s="3" t="n">
        <v>12</v>
      </c>
      <c r="L83" s="3" t="n">
        <v>18</v>
      </c>
      <c r="M83" s="0" t="s">
        <v>64</v>
      </c>
      <c r="N83" s="0" t="n">
        <v>0</v>
      </c>
      <c r="O83" s="0" t="s">
        <v>58</v>
      </c>
      <c r="Q83" s="0" t="s">
        <v>65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Q83" s="0" t="n">
        <v>0</v>
      </c>
      <c r="AR83" s="0" t="n">
        <v>0</v>
      </c>
      <c r="AZ83" s="0" t="s">
        <v>60</v>
      </c>
      <c r="BA83" s="0" t="s">
        <v>61</v>
      </c>
      <c r="BB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96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125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91</v>
      </c>
      <c r="G85" s="3" t="n">
        <v>79</v>
      </c>
      <c r="H85" s="3" t="n">
        <v>56</v>
      </c>
      <c r="I85" s="3" t="n">
        <v>43</v>
      </c>
      <c r="J85" s="3" t="s">
        <v>73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58</v>
      </c>
      <c r="Q85" s="0" t="s">
        <v>67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Q85" s="0" t="n">
        <v>5</v>
      </c>
      <c r="AR85" s="0" t="n">
        <v>0</v>
      </c>
      <c r="AZ85" s="0" t="s">
        <v>60</v>
      </c>
      <c r="BA85" s="0" t="s">
        <v>61</v>
      </c>
      <c r="BB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126</v>
      </c>
      <c r="K86" s="3" t="n">
        <v>12</v>
      </c>
      <c r="L86" s="3" t="n">
        <v>0</v>
      </c>
      <c r="M86" s="0" t="s">
        <v>64</v>
      </c>
      <c r="N86" s="0" t="n">
        <v>0</v>
      </c>
      <c r="O86" s="0" t="s">
        <v>74</v>
      </c>
      <c r="Q86" s="0" t="s">
        <v>108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91</v>
      </c>
      <c r="G87" s="3" t="n">
        <v>81</v>
      </c>
      <c r="H87" s="3" t="n">
        <v>58</v>
      </c>
      <c r="I87" s="3" t="n">
        <v>45</v>
      </c>
      <c r="J87" s="3" t="s">
        <v>73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58</v>
      </c>
      <c r="Q87" s="0" t="s">
        <v>95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Q87" s="0" t="n">
        <v>7</v>
      </c>
      <c r="AR87" s="0" t="n">
        <v>0</v>
      </c>
      <c r="AZ87" s="0" t="s">
        <v>60</v>
      </c>
      <c r="BA87" s="0" t="s">
        <v>61</v>
      </c>
      <c r="BB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96</v>
      </c>
      <c r="F88" s="0" t="s">
        <v>91</v>
      </c>
      <c r="G88" s="3" t="n">
        <v>84</v>
      </c>
      <c r="H88" s="3" t="n">
        <v>61</v>
      </c>
      <c r="I88" s="3" t="n">
        <v>49</v>
      </c>
      <c r="J88" s="3" t="s">
        <v>105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72</v>
      </c>
      <c r="G89" s="3" t="n">
        <v>83</v>
      </c>
      <c r="H89" s="3" t="n">
        <v>64</v>
      </c>
      <c r="I89" s="3" t="n">
        <v>54</v>
      </c>
      <c r="J89" s="3" t="s">
        <v>63</v>
      </c>
      <c r="K89" s="3" t="n">
        <v>21</v>
      </c>
      <c r="L89" s="3" t="n">
        <v>0</v>
      </c>
      <c r="M89" s="0" t="s">
        <v>64</v>
      </c>
      <c r="N89" s="0" t="n">
        <v>0</v>
      </c>
      <c r="O89" s="0" t="s">
        <v>74</v>
      </c>
      <c r="Q89" s="0" t="s">
        <v>65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Q89" s="0" t="n">
        <v>1</v>
      </c>
      <c r="AR89" s="0" t="n">
        <v>0</v>
      </c>
      <c r="AT89" s="6" t="n">
        <f aca="false">60*V89-SUM(AU89:AY89)</f>
        <v>0</v>
      </c>
      <c r="AU89" s="4" t="n">
        <f aca="false">4+50/60</f>
        <v>4.83333333333333</v>
      </c>
      <c r="AV89" s="4" t="n">
        <f aca="false">13+36/60</f>
        <v>13.6</v>
      </c>
      <c r="AW89" s="4" t="n">
        <f aca="false">20+25/60</f>
        <v>20.4166666666667</v>
      </c>
      <c r="AX89" s="4" t="n">
        <f aca="false">30+52/60</f>
        <v>30.8666666666667</v>
      </c>
      <c r="AY89" s="4" t="n">
        <f aca="false">13+17/60</f>
        <v>13.2833333333333</v>
      </c>
      <c r="AZ89" s="0" t="s">
        <v>60</v>
      </c>
      <c r="BA89" s="0" t="s">
        <v>61</v>
      </c>
      <c r="BB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72</v>
      </c>
      <c r="G90" s="3" t="n">
        <v>69</v>
      </c>
      <c r="H90" s="3" t="n">
        <v>66</v>
      </c>
      <c r="I90" s="3" t="n">
        <v>90</v>
      </c>
      <c r="J90" s="3" t="s">
        <v>73</v>
      </c>
      <c r="K90" s="3" t="n">
        <v>9</v>
      </c>
      <c r="L90" s="3" t="n">
        <v>0</v>
      </c>
      <c r="M90" s="0" t="s">
        <v>64</v>
      </c>
      <c r="N90" s="0" t="n">
        <v>0</v>
      </c>
      <c r="O90" s="0" t="s">
        <v>58</v>
      </c>
      <c r="Q90" s="0" t="s">
        <v>124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Q90" s="0" t="n">
        <v>4</v>
      </c>
      <c r="AR90" s="0" t="n">
        <v>0</v>
      </c>
      <c r="AT90" s="6" t="n">
        <f aca="false">60*V90-SUM(AU90:AY90)</f>
        <v>0.466666666666654</v>
      </c>
      <c r="AU90" s="4" t="n">
        <f aca="false">7+18/60</f>
        <v>7.3</v>
      </c>
      <c r="AV90" s="4" t="n">
        <f aca="false">8+18/60</f>
        <v>8.3</v>
      </c>
      <c r="AW90" s="4" t="n">
        <v>1</v>
      </c>
      <c r="AX90" s="4" t="n">
        <f aca="false">54+50/60</f>
        <v>54.8333333333333</v>
      </c>
      <c r="AY90" s="4" t="n">
        <f aca="false">19+6/60</f>
        <v>19.1</v>
      </c>
      <c r="AZ90" s="0" t="s">
        <v>60</v>
      </c>
      <c r="BA90" s="0" t="s">
        <v>61</v>
      </c>
      <c r="BB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72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126</v>
      </c>
      <c r="K91" s="3" t="n">
        <v>9</v>
      </c>
      <c r="L91" s="3" t="n">
        <v>0</v>
      </c>
      <c r="M91" s="0" t="s">
        <v>64</v>
      </c>
      <c r="N91" s="0" t="n">
        <v>0</v>
      </c>
      <c r="O91" s="0" t="s">
        <v>74</v>
      </c>
      <c r="Q91" s="0" t="s">
        <v>108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Q91" s="0" t="n">
        <v>1</v>
      </c>
      <c r="AR91" s="0" t="n">
        <v>0</v>
      </c>
      <c r="AT91" s="6" t="n">
        <f aca="false">60*V91-SUM(AU91:AY91)</f>
        <v>0</v>
      </c>
      <c r="AU91" s="4" t="n">
        <f aca="false">1+16/60</f>
        <v>1.26666666666667</v>
      </c>
      <c r="AV91" s="4" t="n">
        <f aca="false">14+28/60</f>
        <v>14.4666666666667</v>
      </c>
      <c r="AW91" s="4" t="n">
        <f aca="false">16+20/60</f>
        <v>16.3333333333333</v>
      </c>
      <c r="AX91" s="4" t="n">
        <f aca="false">58+46/60</f>
        <v>58.7666666666667</v>
      </c>
      <c r="AY91" s="4" t="n">
        <f aca="false">8+39/60</f>
        <v>8.65</v>
      </c>
      <c r="AZ91" s="0" t="s">
        <v>60</v>
      </c>
      <c r="BA91" s="0" t="s">
        <v>61</v>
      </c>
      <c r="BB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91</v>
      </c>
      <c r="G92" s="3" t="n">
        <v>74</v>
      </c>
      <c r="H92" s="3" t="n">
        <v>64</v>
      </c>
      <c r="I92" s="3" t="n">
        <v>71</v>
      </c>
      <c r="J92" s="7" t="s">
        <v>111</v>
      </c>
      <c r="K92" s="3" t="n">
        <v>14</v>
      </c>
      <c r="L92" s="3" t="n">
        <v>0</v>
      </c>
      <c r="M92" s="0" t="s">
        <v>64</v>
      </c>
      <c r="N92" s="0" t="n">
        <v>0</v>
      </c>
      <c r="O92" s="0" t="s">
        <v>74</v>
      </c>
      <c r="Q92" s="0" t="s">
        <v>70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Q92" s="0" t="n">
        <v>3</v>
      </c>
      <c r="AR92" s="0" t="n">
        <v>0</v>
      </c>
      <c r="AT92" s="6" t="n">
        <f aca="false">60*V92-SUM(AU92:AY92)</f>
        <v>12.3833333333333</v>
      </c>
      <c r="AU92" s="4" t="n">
        <f aca="false">27+50/60</f>
        <v>27.8333333333333</v>
      </c>
      <c r="AV92" s="4" t="n">
        <f aca="false">36+21/60</f>
        <v>36.35</v>
      </c>
      <c r="AW92" s="4" t="n">
        <f aca="false">20+56/60</f>
        <v>20.9333333333333</v>
      </c>
      <c r="AX92" s="4" t="n">
        <f aca="false">17+21/60</f>
        <v>17.35</v>
      </c>
      <c r="AY92" s="4" t="n">
        <f aca="false">8+12/60</f>
        <v>8.2</v>
      </c>
      <c r="AZ92" s="0" t="s">
        <v>60</v>
      </c>
      <c r="BA92" s="0" t="s">
        <v>61</v>
      </c>
      <c r="BB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91</v>
      </c>
      <c r="G93" s="3" t="n">
        <v>76</v>
      </c>
      <c r="H93" s="3" t="n">
        <v>72</v>
      </c>
      <c r="I93" s="3" t="n">
        <v>84</v>
      </c>
      <c r="J93" s="3" t="s">
        <v>105</v>
      </c>
      <c r="K93" s="3" t="n">
        <v>10</v>
      </c>
      <c r="L93" s="3" t="n">
        <v>0</v>
      </c>
      <c r="M93" s="0" t="s">
        <v>64</v>
      </c>
      <c r="N93" s="0" t="n">
        <v>0</v>
      </c>
      <c r="O93" s="0" t="s">
        <v>58</v>
      </c>
      <c r="Q93" s="0" t="s">
        <v>67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Q93" s="0" t="n">
        <v>2</v>
      </c>
      <c r="AR93" s="0" t="n">
        <v>0</v>
      </c>
      <c r="AT93" s="6" t="n">
        <f aca="false">60*V93-SUM(AU93:AY93)</f>
        <v>-0.0333333333333314</v>
      </c>
      <c r="AU93" s="4" t="n">
        <f aca="false">41+4/60</f>
        <v>41.0666666666667</v>
      </c>
      <c r="AV93" s="4" t="n">
        <f aca="false">54+30/60</f>
        <v>54.5</v>
      </c>
      <c r="AW93" s="4" t="n">
        <f aca="false">3+58/60</f>
        <v>3.96666666666667</v>
      </c>
      <c r="AX93" s="4" t="n">
        <f aca="false">30/60</f>
        <v>0.5</v>
      </c>
      <c r="AY93" s="4" t="n">
        <v>0</v>
      </c>
      <c r="AZ93" s="0" t="s">
        <v>60</v>
      </c>
      <c r="BA93" s="0" t="s">
        <v>61</v>
      </c>
      <c r="BB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72</v>
      </c>
      <c r="G94" s="3" t="n">
        <v>78</v>
      </c>
      <c r="H94" s="3" t="n">
        <v>72</v>
      </c>
      <c r="I94" s="3" t="n">
        <v>81</v>
      </c>
      <c r="J94" s="3" t="s">
        <v>63</v>
      </c>
      <c r="K94" s="3" t="n">
        <v>18</v>
      </c>
      <c r="L94" s="3" t="n">
        <v>0</v>
      </c>
      <c r="M94" s="0" t="s">
        <v>64</v>
      </c>
      <c r="N94" s="0" t="n">
        <v>0</v>
      </c>
      <c r="O94" s="0" t="s">
        <v>74</v>
      </c>
      <c r="Q94" s="0" t="s">
        <v>95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Q94" s="0" t="n">
        <v>4</v>
      </c>
      <c r="AR94" s="0" t="n">
        <v>1</v>
      </c>
      <c r="AT94" s="6" t="n">
        <f aca="false">60*V94-SUM(AU94:AY94)</f>
        <v>24.3</v>
      </c>
      <c r="AU94" s="4" t="n">
        <f aca="false">17+9/60</f>
        <v>17.15</v>
      </c>
      <c r="AV94" s="4" t="n">
        <f aca="false">25</f>
        <v>25</v>
      </c>
      <c r="AW94" s="4" t="n">
        <f aca="false">14+8/60</f>
        <v>14.1333333333333</v>
      </c>
      <c r="AX94" s="4" t="n">
        <f aca="false">27+43/60</f>
        <v>27.7166666666667</v>
      </c>
      <c r="AY94" s="4" t="n">
        <f aca="false">48+56/60</f>
        <v>48.9333333333333</v>
      </c>
      <c r="AZ94" s="0" t="s">
        <v>60</v>
      </c>
      <c r="BA94" s="0" t="s">
        <v>61</v>
      </c>
      <c r="BB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66</v>
      </c>
      <c r="G95" s="3" t="n">
        <v>81</v>
      </c>
      <c r="H95" s="3" t="n">
        <v>73</v>
      </c>
      <c r="I95" s="3" t="n">
        <v>63</v>
      </c>
      <c r="J95" s="3" t="s">
        <v>63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58</v>
      </c>
      <c r="Q95" s="0" t="s">
        <v>127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Q95" s="0" t="n">
        <v>1</v>
      </c>
      <c r="AR95" s="0" t="n">
        <v>2</v>
      </c>
      <c r="AT95" s="6" t="n">
        <f aca="false">60*V95-SUM(AU95:AY95)</f>
        <v>0.933333333333337</v>
      </c>
      <c r="AU95" s="4" t="n">
        <f aca="false">6+4/60</f>
        <v>6.06666666666667</v>
      </c>
      <c r="AV95" s="4" t="n">
        <f aca="false">26+21/60</f>
        <v>26.35</v>
      </c>
      <c r="AW95" s="4" t="n">
        <f aca="false">13+33/60</f>
        <v>13.55</v>
      </c>
      <c r="AX95" s="4" t="n">
        <f aca="false">32+14/60</f>
        <v>32.2333333333333</v>
      </c>
      <c r="AY95" s="4" t="n">
        <f aca="false">35+52/60</f>
        <v>35.8666666666667</v>
      </c>
      <c r="AZ95" s="0" t="s">
        <v>60</v>
      </c>
      <c r="BA95" s="0" t="s">
        <v>61</v>
      </c>
      <c r="BB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96</v>
      </c>
      <c r="F96" s="7" t="s">
        <v>85</v>
      </c>
      <c r="G96" s="3" t="n">
        <v>86</v>
      </c>
      <c r="H96" s="3" t="n">
        <v>70</v>
      </c>
      <c r="I96" s="3" t="n">
        <v>59</v>
      </c>
      <c r="J96" s="3" t="s">
        <v>63</v>
      </c>
      <c r="K96" s="3" t="n">
        <v>16</v>
      </c>
      <c r="L96" s="3" t="n">
        <v>29</v>
      </c>
      <c r="M96" s="0" t="s">
        <v>99</v>
      </c>
      <c r="AF96" s="3"/>
      <c r="AT96" s="6"/>
      <c r="BB96" s="0" t="n">
        <v>1</v>
      </c>
      <c r="BC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80</v>
      </c>
      <c r="F97" s="0" t="s">
        <v>91</v>
      </c>
      <c r="G97" s="3" t="n">
        <v>85</v>
      </c>
      <c r="H97" s="3" t="n">
        <v>71</v>
      </c>
      <c r="I97" s="3" t="n">
        <v>79</v>
      </c>
      <c r="J97" s="3" t="s">
        <v>63</v>
      </c>
      <c r="K97" s="3" t="n">
        <v>16</v>
      </c>
      <c r="L97" s="3" t="n">
        <v>29</v>
      </c>
      <c r="M97" s="0" t="s">
        <v>64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91</v>
      </c>
      <c r="G98" s="3" t="n">
        <v>68</v>
      </c>
      <c r="H98" s="3" t="n">
        <v>58</v>
      </c>
      <c r="I98" s="3" t="n">
        <v>70</v>
      </c>
      <c r="J98" s="7" t="s">
        <v>128</v>
      </c>
      <c r="K98" s="3" t="n">
        <v>12</v>
      </c>
      <c r="L98" s="3" t="n">
        <v>0</v>
      </c>
      <c r="M98" s="0" t="s">
        <v>64</v>
      </c>
      <c r="N98" s="0" t="n">
        <v>0</v>
      </c>
      <c r="O98" s="0" t="s">
        <v>58</v>
      </c>
      <c r="Q98" s="0" t="s">
        <v>70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Q98" s="0" t="n">
        <v>2</v>
      </c>
      <c r="AR98" s="0" t="n">
        <v>1</v>
      </c>
      <c r="AT98" s="5" t="n">
        <f aca="false">60*V98-SUM(AU98:AY98)</f>
        <v>2.13333333333333</v>
      </c>
      <c r="AU98" s="4" t="n">
        <f aca="false">27+11/60</f>
        <v>27.1833333333333</v>
      </c>
      <c r="AV98" s="4" t="n">
        <f aca="false">44+1/6</f>
        <v>44.1666666666667</v>
      </c>
      <c r="AW98" s="4" t="n">
        <f aca="false">25+24/60</f>
        <v>25.4</v>
      </c>
      <c r="AX98" s="4" t="n">
        <f aca="false">11+32/60</f>
        <v>11.5333333333333</v>
      </c>
      <c r="AY98" s="4" t="n">
        <f aca="false">28+9/60</f>
        <v>28.15</v>
      </c>
      <c r="AZ98" s="0" t="s">
        <v>60</v>
      </c>
      <c r="BA98" s="0" t="s">
        <v>61</v>
      </c>
      <c r="BB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55</v>
      </c>
      <c r="G99" s="3" t="n">
        <f aca="false">AVERAGE(79,82)</f>
        <v>80.5</v>
      </c>
      <c r="H99" s="3" t="n">
        <v>59</v>
      </c>
      <c r="I99" s="3" t="n">
        <v>47</v>
      </c>
      <c r="J99" s="3" t="s">
        <v>63</v>
      </c>
      <c r="K99" s="3" t="n">
        <v>10</v>
      </c>
      <c r="L99" s="3" t="n">
        <v>0</v>
      </c>
      <c r="M99" s="0" t="s">
        <v>64</v>
      </c>
      <c r="N99" s="0" t="n">
        <v>0</v>
      </c>
      <c r="O99" s="0" t="s">
        <v>58</v>
      </c>
      <c r="Q99" s="0" t="s">
        <v>65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Q99" s="0" t="n">
        <v>1</v>
      </c>
      <c r="AR99" s="0" t="n">
        <v>1</v>
      </c>
      <c r="AT99" s="5" t="n">
        <f aca="false">60*V99-SUM(AU99:AY99)</f>
        <v>8.99866666666668</v>
      </c>
      <c r="AU99" s="4" t="n">
        <f aca="false">22/60</f>
        <v>0.366666666666667</v>
      </c>
      <c r="AV99" s="4" t="n">
        <f aca="false">5+2/60</f>
        <v>5.03333333333333</v>
      </c>
      <c r="AW99" s="4" t="n">
        <f aca="false">36+57/60</f>
        <v>36.95</v>
      </c>
      <c r="AX99" s="4" t="n">
        <f aca="false">60+5/60</f>
        <v>60.0833333333333</v>
      </c>
      <c r="AY99" s="4" t="n">
        <f aca="false">3.08/60</f>
        <v>0.0513333333333333</v>
      </c>
      <c r="AZ99" s="0" t="s">
        <v>60</v>
      </c>
      <c r="BA99" s="0" t="s">
        <v>61</v>
      </c>
      <c r="BB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80</v>
      </c>
      <c r="F100" s="0" t="s">
        <v>72</v>
      </c>
      <c r="G100" s="3" t="n">
        <v>95</v>
      </c>
      <c r="H100" s="3" t="n">
        <v>60</v>
      </c>
      <c r="I100" s="3" t="n">
        <v>44</v>
      </c>
      <c r="J100" s="7" t="s">
        <v>129</v>
      </c>
      <c r="K100" s="3" t="n">
        <v>12</v>
      </c>
      <c r="L100" s="3" t="n">
        <v>22</v>
      </c>
      <c r="M100" s="0" t="s">
        <v>64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130</v>
      </c>
      <c r="F101" s="0" t="s">
        <v>72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64</v>
      </c>
      <c r="N101" s="0" t="n">
        <v>0</v>
      </c>
      <c r="O101" s="0" t="s">
        <v>74</v>
      </c>
      <c r="Q101" s="0" t="s">
        <v>124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Q101" s="0" t="n">
        <v>1</v>
      </c>
      <c r="AR101" s="0" t="n">
        <v>1</v>
      </c>
      <c r="AT101" s="5" t="n">
        <f aca="false">60*V101-SUM(AU101:AY101)</f>
        <v>11.5245</v>
      </c>
      <c r="AU101" s="4" t="n">
        <f aca="false">13/60</f>
        <v>0.216666666666667</v>
      </c>
      <c r="AV101" s="4" t="n">
        <f aca="false">28*37/60</f>
        <v>17.2666666666667</v>
      </c>
      <c r="AW101" s="4" t="n">
        <f aca="false">47+14/60</f>
        <v>47.2333333333333</v>
      </c>
      <c r="AX101" s="4" t="n">
        <f aca="false">34+45/60</f>
        <v>34.75</v>
      </c>
      <c r="AY101" s="4" t="n">
        <f aca="false">0.53/60</f>
        <v>0.00883333333333333</v>
      </c>
      <c r="AZ101" s="0" t="s">
        <v>60</v>
      </c>
      <c r="BA101" s="0" t="s">
        <v>61</v>
      </c>
      <c r="BB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130</v>
      </c>
      <c r="F102" s="0" t="s">
        <v>72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106</v>
      </c>
      <c r="K102" s="3" t="n">
        <v>12</v>
      </c>
      <c r="L102" s="3" t="n">
        <v>0</v>
      </c>
      <c r="M102" s="0" t="s">
        <v>64</v>
      </c>
      <c r="N102" s="0" t="n">
        <v>0</v>
      </c>
      <c r="O102" s="0" t="s">
        <v>74</v>
      </c>
      <c r="Q102" s="0" t="s">
        <v>67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Q102" s="0" t="n">
        <v>2</v>
      </c>
      <c r="AR102" s="0" t="n">
        <v>0</v>
      </c>
      <c r="AT102" s="5" t="n">
        <f aca="false">60*V102-SUM(AU102:AY102)</f>
        <v>0</v>
      </c>
      <c r="AU102" s="4" t="n">
        <f aca="false">1+26/60</f>
        <v>1.43333333333333</v>
      </c>
      <c r="AV102" s="4" t="n">
        <f aca="false">65+39/60</f>
        <v>65.65</v>
      </c>
      <c r="AW102" s="4" t="n">
        <f aca="false">20+34/60</f>
        <v>20.5666666666667</v>
      </c>
      <c r="AX102" s="4" t="n">
        <f aca="false">25+53/60</f>
        <v>25.8833333333333</v>
      </c>
      <c r="AY102" s="4" t="n">
        <f aca="false">1+47/60</f>
        <v>1.78333333333333</v>
      </c>
      <c r="AZ102" s="0" t="s">
        <v>60</v>
      </c>
      <c r="BA102" s="0" t="s">
        <v>61</v>
      </c>
      <c r="BB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89</v>
      </c>
      <c r="K103" s="3" t="n">
        <v>3</v>
      </c>
      <c r="L103" s="3" t="n">
        <v>0</v>
      </c>
      <c r="M103" s="0" t="s">
        <v>64</v>
      </c>
      <c r="N103" s="0" t="n">
        <v>0</v>
      </c>
      <c r="O103" s="0" t="s">
        <v>74</v>
      </c>
      <c r="Q103" s="0" t="s">
        <v>95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T103" s="5" t="n">
        <f aca="false">60*V103-SUM(AU103:AY103)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106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74</v>
      </c>
      <c r="Q104" s="0" t="s">
        <v>127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Q104" s="0" t="n">
        <v>1</v>
      </c>
      <c r="AR104" s="0" t="n">
        <v>3</v>
      </c>
      <c r="AT104" s="5" t="n">
        <f aca="false">60*V104-SUM(AU104:AY104)</f>
        <v>56.9833333333333</v>
      </c>
      <c r="AU104" s="4" t="n">
        <f aca="false">27.25</f>
        <v>27.25</v>
      </c>
      <c r="AV104" s="4" t="n">
        <f aca="false">13+43/60</f>
        <v>13.7166666666667</v>
      </c>
      <c r="AW104" s="4" t="n">
        <f aca="false">14+50/60</f>
        <v>14.8333333333333</v>
      </c>
      <c r="AX104" s="4" t="n">
        <f aca="false">6+13/60</f>
        <v>6.21666666666667</v>
      </c>
      <c r="AY104" s="4" t="n">
        <v>0</v>
      </c>
      <c r="AZ104" s="0" t="s">
        <v>60</v>
      </c>
      <c r="BA104" s="0" t="s">
        <v>61</v>
      </c>
      <c r="BB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55</v>
      </c>
      <c r="G105" s="3" t="n">
        <v>84</v>
      </c>
      <c r="H105" s="3" t="n">
        <v>70</v>
      </c>
      <c r="I105" s="3" t="n">
        <v>65</v>
      </c>
      <c r="J105" s="3" t="s">
        <v>63</v>
      </c>
      <c r="K105" s="3" t="n">
        <v>12</v>
      </c>
      <c r="L105" s="3" t="n">
        <v>0</v>
      </c>
      <c r="M105" s="0" t="s">
        <v>64</v>
      </c>
      <c r="N105" s="0" t="n">
        <v>0</v>
      </c>
      <c r="O105" s="0" t="s">
        <v>74</v>
      </c>
      <c r="Q105" s="0" t="s">
        <v>124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Q105" s="0" t="n">
        <v>4</v>
      </c>
      <c r="AR105" s="0" t="n">
        <v>0</v>
      </c>
      <c r="AT105" s="5" t="n">
        <f aca="false">60*V105-SUM(AU105:AY105)</f>
        <v>0.25</v>
      </c>
      <c r="AU105" s="4" t="n">
        <f aca="false">3+28/60</f>
        <v>3.46666666666667</v>
      </c>
      <c r="AV105" s="4" t="n">
        <f aca="false">36+3/60</f>
        <v>36.05</v>
      </c>
      <c r="AW105" s="4" t="n">
        <f aca="false">25+52/60</f>
        <v>25.8666666666667</v>
      </c>
      <c r="AX105" s="4" t="n">
        <f aca="false">15+28/60</f>
        <v>15.4666666666667</v>
      </c>
      <c r="AY105" s="4" t="n">
        <f aca="false">37+54/60</f>
        <v>37.9</v>
      </c>
      <c r="AZ105" s="0" t="s">
        <v>60</v>
      </c>
      <c r="BA105" s="0" t="s">
        <v>61</v>
      </c>
      <c r="BB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72</v>
      </c>
      <c r="G106" s="3" t="n">
        <v>91</v>
      </c>
      <c r="H106" s="3" t="n">
        <v>64</v>
      </c>
      <c r="I106" s="3" t="n">
        <v>41</v>
      </c>
      <c r="J106" s="3" t="s">
        <v>63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58</v>
      </c>
      <c r="Q106" s="0" t="s">
        <v>59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Q106" s="0" t="n">
        <v>0</v>
      </c>
      <c r="AR106" s="0" t="n">
        <v>0</v>
      </c>
      <c r="AT106" s="5" t="n">
        <f aca="false">60*V106-SUM(AU106:AY106)</f>
        <v>0.449999999999989</v>
      </c>
      <c r="AU106" s="4" t="n">
        <v>3.25</v>
      </c>
      <c r="AV106" s="4" t="n">
        <f aca="false">19+33/60</f>
        <v>19.55</v>
      </c>
      <c r="AW106" s="4" t="n">
        <f aca="false">6+2/60</f>
        <v>6.03333333333333</v>
      </c>
      <c r="AX106" s="4" t="n">
        <f aca="false">70+13/60</f>
        <v>70.2166666666667</v>
      </c>
      <c r="AY106" s="4" t="n">
        <f aca="false">2.5</f>
        <v>2.5</v>
      </c>
      <c r="AZ106" s="0" t="s">
        <v>60</v>
      </c>
      <c r="BA106" s="0" t="s">
        <v>61</v>
      </c>
      <c r="BB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72</v>
      </c>
      <c r="G107" s="3" t="n">
        <v>86</v>
      </c>
      <c r="H107" s="3" t="n">
        <v>74</v>
      </c>
      <c r="I107" s="3" t="n">
        <v>66</v>
      </c>
      <c r="J107" s="3" t="s">
        <v>73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74</v>
      </c>
      <c r="Q107" s="0" t="s">
        <v>59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Q107" s="0" t="n">
        <v>1</v>
      </c>
      <c r="AR107" s="0" t="n">
        <v>0</v>
      </c>
      <c r="AT107" s="5" t="n">
        <f aca="false">60*V107-SUM(AU107:AY107)</f>
        <v>0.849999999999994</v>
      </c>
      <c r="AU107" s="4" t="n">
        <f aca="false">5+38/60</f>
        <v>5.63333333333333</v>
      </c>
      <c r="AV107" s="4" t="n">
        <f aca="false">10+45/60</f>
        <v>10.75</v>
      </c>
      <c r="AW107" s="4" t="n">
        <f aca="false">53+46/60</f>
        <v>53.7666666666667</v>
      </c>
      <c r="AX107" s="4" t="n">
        <f aca="false">20</f>
        <v>20</v>
      </c>
      <c r="AY107" s="4" t="n">
        <v>0</v>
      </c>
      <c r="AZ107" s="0" t="s">
        <v>60</v>
      </c>
      <c r="BA107" s="0" t="s">
        <v>61</v>
      </c>
      <c r="BB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131</v>
      </c>
      <c r="F108" s="7" t="s">
        <v>55</v>
      </c>
      <c r="G108" s="3" t="n">
        <v>93</v>
      </c>
      <c r="H108" s="3" t="n">
        <v>74</v>
      </c>
      <c r="I108" s="3" t="n">
        <v>54</v>
      </c>
      <c r="J108" s="3" t="s">
        <v>63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72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86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74</v>
      </c>
      <c r="Q109" s="0" t="s">
        <v>59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Q109" s="0" t="n">
        <v>0</v>
      </c>
      <c r="AR109" s="0" t="n">
        <v>0</v>
      </c>
      <c r="AT109" s="5" t="n">
        <f aca="false">60*V109-SUM(AU109:AY109)</f>
        <v>0.299999999999983</v>
      </c>
      <c r="AU109" s="4" t="n">
        <v>0</v>
      </c>
      <c r="AV109" s="4" t="n">
        <f aca="false">25/60</f>
        <v>0.416666666666667</v>
      </c>
      <c r="AW109" s="4" t="n">
        <f aca="false">5+33/60</f>
        <v>5.55</v>
      </c>
      <c r="AX109" s="4" t="n">
        <f aca="false">81+3/60</f>
        <v>81.05</v>
      </c>
      <c r="AY109" s="4" t="n">
        <f aca="false">35+41/60</f>
        <v>35.6833333333333</v>
      </c>
      <c r="AZ109" s="0" t="s">
        <v>60</v>
      </c>
      <c r="BA109" s="0" t="s">
        <v>61</v>
      </c>
      <c r="BB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80</v>
      </c>
      <c r="F110" s="7" t="s">
        <v>55</v>
      </c>
      <c r="G110" s="3" t="n">
        <v>91</v>
      </c>
      <c r="H110" s="3" t="n">
        <v>69</v>
      </c>
      <c r="I110" s="3" t="n">
        <v>48</v>
      </c>
      <c r="J110" s="7" t="s">
        <v>76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72</v>
      </c>
      <c r="G111" s="3" t="n">
        <v>94</v>
      </c>
      <c r="H111" s="3" t="n">
        <v>71</v>
      </c>
      <c r="I111" s="3" t="n">
        <v>47</v>
      </c>
      <c r="J111" s="7" t="s">
        <v>122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74</v>
      </c>
      <c r="Q111" s="0" t="s">
        <v>59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Q111" s="0" t="n">
        <v>1</v>
      </c>
      <c r="AR111" s="0" t="n">
        <v>1</v>
      </c>
      <c r="AT111" s="5" t="n">
        <f aca="false">60*V111-SUM(AU111:AY111)</f>
        <v>0.11666666666666</v>
      </c>
      <c r="AU111" s="4" t="n">
        <f aca="false">4+27/60</f>
        <v>4.45</v>
      </c>
      <c r="AV111" s="4" t="n">
        <f aca="false">20+54/60</f>
        <v>20.9</v>
      </c>
      <c r="AW111" s="4" t="n">
        <f aca="false">9+35/60</f>
        <v>9.58333333333333</v>
      </c>
      <c r="AX111" s="4" t="n">
        <f aca="false">67+12/60</f>
        <v>67.2</v>
      </c>
      <c r="AY111" s="4" t="n">
        <f aca="false">23+45/60</f>
        <v>23.75</v>
      </c>
      <c r="AZ111" s="0" t="s">
        <v>60</v>
      </c>
      <c r="BA111" s="0" t="s">
        <v>61</v>
      </c>
      <c r="BB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72</v>
      </c>
      <c r="G112" s="3" t="n">
        <v>93</v>
      </c>
      <c r="H112" s="3" t="n">
        <v>67</v>
      </c>
      <c r="I112" s="3" t="n">
        <v>42</v>
      </c>
      <c r="J112" s="7" t="s">
        <v>81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74</v>
      </c>
      <c r="Q112" s="0" t="s">
        <v>59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Q112" s="0" t="n">
        <v>0</v>
      </c>
      <c r="AR112" s="0" t="n">
        <v>0</v>
      </c>
      <c r="AT112" s="5" t="n">
        <f aca="false">60*V112-SUM(AU112:AY112)</f>
        <v>0.0666666666666629</v>
      </c>
      <c r="AU112" s="4" t="n">
        <f aca="false">19/60</f>
        <v>0.316666666666667</v>
      </c>
      <c r="AV112" s="4" t="n">
        <f aca="false">9+11/60</f>
        <v>9.18333333333333</v>
      </c>
      <c r="AW112" s="4" t="n">
        <f aca="false">14+1/60</f>
        <v>14.0166666666667</v>
      </c>
      <c r="AX112" s="4" t="n">
        <f aca="false">39+44/60</f>
        <v>39.7333333333333</v>
      </c>
      <c r="AY112" s="4" t="n">
        <f aca="false">41/60</f>
        <v>0.683333333333333</v>
      </c>
      <c r="AZ112" s="0" t="s">
        <v>60</v>
      </c>
      <c r="BA112" s="0" t="s">
        <v>61</v>
      </c>
      <c r="BB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72</v>
      </c>
      <c r="G113" s="3" t="n">
        <v>97</v>
      </c>
      <c r="H113" s="3" t="n">
        <f aca="false">(56+44)/2</f>
        <v>50</v>
      </c>
      <c r="I113" s="3" t="n">
        <v>26</v>
      </c>
      <c r="J113" s="7" t="s">
        <v>82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74</v>
      </c>
      <c r="Q113" s="0" t="s">
        <v>132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Q113" s="0" t="n">
        <v>0</v>
      </c>
      <c r="AR113" s="0" t="n">
        <v>0</v>
      </c>
      <c r="AT113" s="5" t="n">
        <v>0</v>
      </c>
      <c r="AU113" s="4" t="n">
        <v>0</v>
      </c>
      <c r="AV113" s="4" t="n">
        <f aca="false">9+20/60</f>
        <v>9.33333333333333</v>
      </c>
      <c r="AW113" s="4" t="n">
        <f aca="false">21+23/60</f>
        <v>21.3833333333333</v>
      </c>
      <c r="AX113" s="4" t="n">
        <v>0.333333333333333</v>
      </c>
      <c r="AY113" s="4" t="n">
        <v>0</v>
      </c>
      <c r="AZ113" s="0" t="s">
        <v>60</v>
      </c>
      <c r="BA113" s="0" t="s">
        <v>61</v>
      </c>
      <c r="BB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72</v>
      </c>
      <c r="G114" s="3" t="n">
        <v>76</v>
      </c>
      <c r="H114" s="3" t="n">
        <v>43</v>
      </c>
      <c r="I114" s="3" t="n">
        <v>23</v>
      </c>
      <c r="J114" s="3" t="s">
        <v>69</v>
      </c>
      <c r="K114" s="3" t="n">
        <v>12</v>
      </c>
      <c r="L114" s="3" t="n">
        <v>25</v>
      </c>
      <c r="M114" s="0" t="s">
        <v>64</v>
      </c>
      <c r="N114" s="0" t="n">
        <v>0</v>
      </c>
      <c r="O114" s="0" t="s">
        <v>58</v>
      </c>
      <c r="Q114" s="0" t="s">
        <v>70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Q114" s="0" t="n">
        <v>5</v>
      </c>
      <c r="AR114" s="0" t="n">
        <v>1</v>
      </c>
      <c r="AT114" s="5" t="n">
        <f aca="false">60*V114-SUM(AU114:AY114)</f>
        <v>83.68</v>
      </c>
      <c r="AU114" s="4" t="n">
        <f aca="false">51/60</f>
        <v>0.85</v>
      </c>
      <c r="AV114" s="4" t="n">
        <f aca="false">(33+3/60)</f>
        <v>33.05</v>
      </c>
      <c r="AW114" s="4" t="n">
        <f aca="false">17/60</f>
        <v>0.283333333333333</v>
      </c>
      <c r="AX114" s="4" t="n">
        <f aca="false">(14+54/60)/60</f>
        <v>0.248333333333333</v>
      </c>
      <c r="AY114" s="4" t="n">
        <f aca="false">(53+18/60)/60</f>
        <v>0.888333333333333</v>
      </c>
      <c r="AZ114" s="0" t="s">
        <v>60</v>
      </c>
      <c r="BA114" s="0" t="s">
        <v>61</v>
      </c>
      <c r="BB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72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84</v>
      </c>
      <c r="K115" s="3" t="n">
        <v>7</v>
      </c>
      <c r="L115" s="3" t="n">
        <v>0</v>
      </c>
      <c r="M115" s="0" t="s">
        <v>64</v>
      </c>
      <c r="N115" s="0" t="n">
        <v>0</v>
      </c>
      <c r="O115" s="0" t="s">
        <v>58</v>
      </c>
      <c r="Q115" s="0" t="s">
        <v>124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Q115" s="0" t="n">
        <v>0</v>
      </c>
      <c r="AR115" s="0" t="n">
        <v>0</v>
      </c>
      <c r="AT115" s="5" t="n">
        <f aca="false">60*V115-SUM(AU115:AY115)</f>
        <v>0.38333333333334</v>
      </c>
      <c r="AU115" s="4" t="n">
        <v>0</v>
      </c>
      <c r="AV115" s="4" t="n">
        <f aca="false">7+16/60</f>
        <v>7.26666666666667</v>
      </c>
      <c r="AW115" s="4" t="n">
        <f aca="false">25+43/60</f>
        <v>25.7166666666667</v>
      </c>
      <c r="AX115" s="4" t="n">
        <f aca="false">53+38/60</f>
        <v>53.6333333333333</v>
      </c>
      <c r="AY115" s="4" t="n">
        <v>0</v>
      </c>
      <c r="AZ115" s="0" t="s">
        <v>60</v>
      </c>
      <c r="BA115" s="0" t="s">
        <v>61</v>
      </c>
      <c r="BB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72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63</v>
      </c>
      <c r="K116" s="3" t="n">
        <v>15</v>
      </c>
      <c r="L116" s="3" t="n">
        <v>29</v>
      </c>
      <c r="M116" s="0" t="s">
        <v>64</v>
      </c>
      <c r="N116" s="0" t="n">
        <v>0</v>
      </c>
      <c r="O116" s="0" t="s">
        <v>74</v>
      </c>
      <c r="Q116" s="0" t="s">
        <v>95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Q116" s="0" t="n">
        <v>6</v>
      </c>
      <c r="AR116" s="0" t="n">
        <v>0</v>
      </c>
      <c r="AT116" s="5" t="n">
        <f aca="false">60*V116-SUM(AU116:AY116)</f>
        <v>40.3455555555555</v>
      </c>
      <c r="AU116" s="4" t="n">
        <f aca="false">1+20/60</f>
        <v>1.33333333333333</v>
      </c>
      <c r="AV116" s="4" t="n">
        <f aca="false">23+7/60</f>
        <v>23.1166666666667</v>
      </c>
      <c r="AW116" s="4" t="n">
        <f aca="false">16+33/60</f>
        <v>16.55</v>
      </c>
      <c r="AX116" s="4" t="n">
        <f aca="false">49+58/60</f>
        <v>49.9666666666667</v>
      </c>
      <c r="AY116" s="4" t="n">
        <f aca="false">(41+16/60)/60</f>
        <v>0.687777777777778</v>
      </c>
      <c r="AZ116" s="0" t="s">
        <v>60</v>
      </c>
      <c r="BA116" s="0" t="s">
        <v>61</v>
      </c>
      <c r="BB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72</v>
      </c>
      <c r="G117" s="3" t="n">
        <v>92</v>
      </c>
      <c r="H117" s="3" t="n">
        <v>56</v>
      </c>
      <c r="I117" s="3" t="n">
        <v>30</v>
      </c>
      <c r="J117" s="3" t="s">
        <v>63</v>
      </c>
      <c r="K117" s="3" t="n">
        <v>13</v>
      </c>
      <c r="L117" s="3" t="n">
        <v>22</v>
      </c>
      <c r="M117" s="0" t="s">
        <v>64</v>
      </c>
      <c r="N117" s="0" t="n">
        <v>0</v>
      </c>
      <c r="O117" s="0" t="s">
        <v>58</v>
      </c>
      <c r="Q117" s="0" t="s">
        <v>132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Q117" s="0" t="n">
        <v>0</v>
      </c>
      <c r="AR117" s="0" t="n">
        <v>0</v>
      </c>
      <c r="AT117" s="5" t="n">
        <f aca="false">60*V117-SUM(AU117:AY117)</f>
        <v>40.8833333333333</v>
      </c>
      <c r="AU117" s="4" t="n">
        <f aca="false">52+36/60</f>
        <v>52.6</v>
      </c>
      <c r="AV117" s="4" t="n">
        <f aca="false">15+57/60</f>
        <v>15.95</v>
      </c>
      <c r="AW117" s="4" t="n">
        <f aca="false">20+35/60</f>
        <v>20.5833333333333</v>
      </c>
      <c r="AX117" s="4" t="n">
        <f aca="false">59/60</f>
        <v>0.983333333333333</v>
      </c>
      <c r="AY117" s="4" t="n">
        <v>0</v>
      </c>
      <c r="AZ117" s="0" t="s">
        <v>60</v>
      </c>
      <c r="BA117" s="0" t="s">
        <v>61</v>
      </c>
      <c r="BB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72</v>
      </c>
      <c r="G118" s="3" t="n">
        <v>92</v>
      </c>
      <c r="H118" s="3" t="n">
        <v>57</v>
      </c>
      <c r="I118" s="3" t="n">
        <v>31</v>
      </c>
      <c r="J118" s="3" t="s">
        <v>115</v>
      </c>
      <c r="K118" s="3" t="n">
        <v>13</v>
      </c>
      <c r="L118" s="3" t="n">
        <v>18</v>
      </c>
      <c r="M118" s="0" t="s">
        <v>64</v>
      </c>
      <c r="N118" s="0" t="n">
        <v>0</v>
      </c>
      <c r="O118" s="0" t="s">
        <v>74</v>
      </c>
      <c r="Q118" s="0" t="s">
        <v>132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Q118" s="0" t="n">
        <v>0</v>
      </c>
      <c r="AR118" s="0" t="n">
        <v>0</v>
      </c>
      <c r="AT118" s="5" t="n">
        <f aca="false">60*V118-SUM(AU118:AY118)</f>
        <v>0.166666666666671</v>
      </c>
      <c r="AU118" s="4" t="n">
        <f aca="false">9+3/60</f>
        <v>9.05</v>
      </c>
      <c r="AV118" s="4" t="n">
        <f aca="false">62+3/60</f>
        <v>62.05</v>
      </c>
      <c r="AW118" s="4" t="n">
        <f aca="false">32+42/60</f>
        <v>32.7</v>
      </c>
      <c r="AX118" s="4" t="n">
        <f aca="false">5+2/60</f>
        <v>5.03333333333333</v>
      </c>
      <c r="AY118" s="4" t="n">
        <v>0</v>
      </c>
      <c r="AZ118" s="0" t="s">
        <v>60</v>
      </c>
      <c r="BA118" s="0" t="s">
        <v>61</v>
      </c>
      <c r="BB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72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63</v>
      </c>
      <c r="K119" s="3" t="n">
        <v>7</v>
      </c>
      <c r="L119" s="3" t="n">
        <v>0</v>
      </c>
      <c r="M119" s="0" t="s">
        <v>64</v>
      </c>
      <c r="N119" s="0" t="n">
        <v>0</v>
      </c>
      <c r="O119" s="0" t="s">
        <v>58</v>
      </c>
      <c r="Q119" s="0" t="s">
        <v>132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Q119" s="0" t="n">
        <v>0</v>
      </c>
      <c r="AR119" s="0" t="n">
        <v>1</v>
      </c>
      <c r="AT119" s="5" t="n">
        <f aca="false">60*V119-SUM(AU119:AY119)</f>
        <v>0</v>
      </c>
      <c r="AU119" s="4" t="n">
        <f aca="false">0+12/60</f>
        <v>0.2</v>
      </c>
      <c r="AV119" s="4" t="n">
        <f aca="false">5+24/60</f>
        <v>5.4</v>
      </c>
      <c r="AW119" s="4" t="n">
        <f aca="false">7+26/60</f>
        <v>7.43333333333333</v>
      </c>
      <c r="AX119" s="4" t="n">
        <f aca="false">87+58/60</f>
        <v>87.9666666666667</v>
      </c>
      <c r="AY119" s="4" t="n">
        <v>2</v>
      </c>
      <c r="AZ119" s="0" t="s">
        <v>60</v>
      </c>
      <c r="BA119" s="0" t="s">
        <v>61</v>
      </c>
      <c r="BB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72</v>
      </c>
      <c r="G120" s="3" t="n">
        <v>92</v>
      </c>
      <c r="H120" s="3" t="n">
        <v>63</v>
      </c>
      <c r="I120" s="3" t="n">
        <v>39</v>
      </c>
      <c r="J120" s="3" t="s">
        <v>105</v>
      </c>
      <c r="K120" s="3" t="n">
        <v>11</v>
      </c>
      <c r="L120" s="3" t="n">
        <v>0</v>
      </c>
      <c r="M120" s="0" t="s">
        <v>64</v>
      </c>
      <c r="N120" s="0" t="n">
        <v>0</v>
      </c>
      <c r="O120" s="0" t="s">
        <v>74</v>
      </c>
      <c r="Q120" s="0" t="s">
        <v>59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Q120" s="0" t="n">
        <v>2</v>
      </c>
      <c r="AR120" s="0" t="n">
        <v>0</v>
      </c>
      <c r="AT120" s="5" t="n">
        <v>0</v>
      </c>
      <c r="AU120" s="4" t="n">
        <v>0</v>
      </c>
      <c r="AV120" s="4" t="n">
        <f aca="false">1+26/60</f>
        <v>1.43333333333333</v>
      </c>
      <c r="AW120" s="4" t="n">
        <f aca="false">11+14/60</f>
        <v>11.2333333333333</v>
      </c>
      <c r="AX120" s="4" t="n">
        <f aca="false">37</f>
        <v>37</v>
      </c>
      <c r="AY120" s="4" t="n">
        <f aca="false">74+27/60</f>
        <v>74.45</v>
      </c>
      <c r="AZ120" s="0" t="s">
        <v>60</v>
      </c>
      <c r="BA120" s="0" t="s">
        <v>61</v>
      </c>
      <c r="BB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72</v>
      </c>
      <c r="G121" s="3" t="n">
        <v>93</v>
      </c>
      <c r="H121" s="3" t="n">
        <v>54</v>
      </c>
      <c r="I121" s="3" t="n">
        <v>28</v>
      </c>
      <c r="J121" s="3" t="s">
        <v>105</v>
      </c>
      <c r="K121" s="3" t="n">
        <v>17</v>
      </c>
      <c r="L121" s="3" t="n">
        <v>28</v>
      </c>
      <c r="M121" s="0" t="s">
        <v>64</v>
      </c>
      <c r="N121" s="0" t="n">
        <v>0</v>
      </c>
      <c r="O121" s="0" t="s">
        <v>58</v>
      </c>
      <c r="Q121" s="0" t="s">
        <v>59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Q121" s="0" t="n">
        <v>3</v>
      </c>
      <c r="AR121" s="0" t="n">
        <v>1</v>
      </c>
      <c r="AT121" s="5" t="n">
        <f aca="false">60*V121-SUM(AU121:AY121)</f>
        <v>-0.0999999999999943</v>
      </c>
      <c r="AU121" s="4" t="n">
        <v>0</v>
      </c>
      <c r="AV121" s="4" t="n">
        <f aca="false">11+9/60</f>
        <v>11.15</v>
      </c>
      <c r="AW121" s="4" t="n">
        <f aca="false">34+10/60</f>
        <v>34.1666666666667</v>
      </c>
      <c r="AX121" s="4" t="n">
        <f aca="false">78+24/60</f>
        <v>78.4</v>
      </c>
      <c r="AY121" s="4" t="n">
        <f aca="false">11+23/60</f>
        <v>11.3833333333333</v>
      </c>
      <c r="AZ121" s="0" t="s">
        <v>60</v>
      </c>
      <c r="BA121" s="0" t="s">
        <v>61</v>
      </c>
      <c r="BB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72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63</v>
      </c>
      <c r="K122" s="3" t="n">
        <v>14</v>
      </c>
      <c r="L122" s="3" t="n">
        <v>23</v>
      </c>
      <c r="M122" s="0" t="s">
        <v>64</v>
      </c>
      <c r="N122" s="0" t="n">
        <v>0</v>
      </c>
      <c r="O122" s="0" t="s">
        <v>58</v>
      </c>
      <c r="Q122" s="0" t="s">
        <v>59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Q122" s="0" t="n">
        <v>2</v>
      </c>
      <c r="AR122" s="0" t="n">
        <v>0</v>
      </c>
      <c r="AT122" s="5" t="n">
        <v>0</v>
      </c>
      <c r="AU122" s="4" t="n">
        <f aca="false">0.11/60</f>
        <v>0.00183333333333333</v>
      </c>
      <c r="AV122" s="4" t="n">
        <f aca="false">3+57/60</f>
        <v>3.95</v>
      </c>
      <c r="AW122" s="4" t="n">
        <v>25</v>
      </c>
      <c r="AX122" s="4" t="n">
        <f aca="false">71+42/60</f>
        <v>71.7</v>
      </c>
      <c r="AY122" s="4" t="n">
        <f aca="false">32+14/60</f>
        <v>32.2333333333333</v>
      </c>
      <c r="AZ122" s="0" t="s">
        <v>60</v>
      </c>
      <c r="BA122" s="0" t="s">
        <v>61</v>
      </c>
      <c r="BB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80</v>
      </c>
      <c r="F123" s="0" t="s">
        <v>72</v>
      </c>
      <c r="G123" s="3" t="n">
        <v>88</v>
      </c>
      <c r="H123" s="3" t="n">
        <v>68</v>
      </c>
      <c r="I123" s="3" t="n">
        <v>52</v>
      </c>
      <c r="J123" s="3" t="s">
        <v>126</v>
      </c>
      <c r="K123" s="3" t="n">
        <v>16</v>
      </c>
      <c r="L123" s="3" t="n">
        <v>0</v>
      </c>
      <c r="M123" s="0" t="s">
        <v>99</v>
      </c>
      <c r="AT123" s="5" t="n">
        <f aca="false">60*V123-SUM(AU123:AY123)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72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63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58</v>
      </c>
      <c r="Q124" s="0" t="s">
        <v>59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Q124" s="0" t="n">
        <v>3</v>
      </c>
      <c r="AR124" s="0" t="n">
        <v>3</v>
      </c>
      <c r="AT124" s="5" t="n">
        <f aca="false">60*V124-SUM(AU124:AY124)</f>
        <v>2.33333333333334</v>
      </c>
      <c r="AU124" s="4" t="n">
        <f aca="false">35+11/60</f>
        <v>35.1833333333333</v>
      </c>
      <c r="AV124" s="4" t="n">
        <f aca="false">86+30/60</f>
        <v>86.5</v>
      </c>
      <c r="AW124" s="4" t="n">
        <f aca="false">18+2/60</f>
        <v>18.0333333333333</v>
      </c>
      <c r="AX124" s="4" t="n">
        <f aca="false">57/60</f>
        <v>0.95</v>
      </c>
      <c r="AY124" s="4" t="n">
        <v>0</v>
      </c>
      <c r="AZ124" s="0" t="s">
        <v>60</v>
      </c>
      <c r="BA124" s="0" t="s">
        <v>61</v>
      </c>
      <c r="BB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72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109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58</v>
      </c>
      <c r="Q125" s="0" t="s">
        <v>59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Q125" s="0" t="n">
        <v>1</v>
      </c>
      <c r="AR125" s="0" t="n">
        <v>0</v>
      </c>
      <c r="AT125" s="5" t="n">
        <f aca="false">60*V125-SUM(AU125:AY125)</f>
        <v>0.0500000000000043</v>
      </c>
      <c r="AU125" s="4" t="n">
        <v>0</v>
      </c>
      <c r="AV125" s="4" t="n">
        <f aca="false">6+55/60</f>
        <v>6.91666666666667</v>
      </c>
      <c r="AW125" s="4" t="n">
        <f aca="false">10.5</f>
        <v>10.5</v>
      </c>
      <c r="AX125" s="4" t="n">
        <f aca="false">40+15/60</f>
        <v>40.25</v>
      </c>
      <c r="AY125" s="4" t="n">
        <f aca="false">5+17/60</f>
        <v>5.28333333333333</v>
      </c>
      <c r="AZ125" s="0" t="s">
        <v>60</v>
      </c>
      <c r="BA125" s="0" t="s">
        <v>61</v>
      </c>
      <c r="BB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72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63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58</v>
      </c>
      <c r="Q126" s="0" t="s">
        <v>59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Q126" s="0" t="n">
        <v>2</v>
      </c>
      <c r="AR126" s="0" t="n">
        <v>1</v>
      </c>
      <c r="AT126" s="5" t="n">
        <f aca="false">60*V126-SUM(AU126:AY126)</f>
        <v>0.0166666666666515</v>
      </c>
      <c r="AU126" s="4" t="n">
        <f aca="false">39+18/60</f>
        <v>39.3</v>
      </c>
      <c r="AV126" s="4" t="n">
        <f aca="false">86+17/60</f>
        <v>86.2833333333333</v>
      </c>
      <c r="AW126" s="4" t="n">
        <f aca="false">10+39/60</f>
        <v>10.65</v>
      </c>
      <c r="AX126" s="4" t="n">
        <f aca="false">0.75</f>
        <v>0.75</v>
      </c>
      <c r="AY126" s="4" t="n">
        <v>0</v>
      </c>
      <c r="AZ126" s="0" t="s">
        <v>60</v>
      </c>
      <c r="BA126" s="0" t="s">
        <v>61</v>
      </c>
      <c r="BB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109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58</v>
      </c>
      <c r="Q127" s="0" t="s">
        <v>132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Q127" s="0" t="n">
        <v>0</v>
      </c>
      <c r="AR127" s="0" t="n">
        <v>1</v>
      </c>
      <c r="AT127" s="5" t="n">
        <v>0</v>
      </c>
      <c r="AU127" s="4" t="n">
        <f aca="false">5+27/60</f>
        <v>5.45</v>
      </c>
      <c r="AV127" s="4" t="n">
        <f aca="false">31+9/60</f>
        <v>31.15</v>
      </c>
      <c r="AW127" s="4" t="n">
        <f aca="false">47+1/60</f>
        <v>47.0166666666667</v>
      </c>
      <c r="AX127" s="4" t="n">
        <f aca="false">24+47/60</f>
        <v>24.7833333333333</v>
      </c>
      <c r="AY127" s="4" t="n">
        <f aca="false">16/60</f>
        <v>0.266666666666667</v>
      </c>
      <c r="AZ127" s="0" t="s">
        <v>60</v>
      </c>
      <c r="BA127" s="0" t="s">
        <v>61</v>
      </c>
      <c r="BB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72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74</v>
      </c>
      <c r="Q128" s="0" t="s">
        <v>59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Q128" s="0" t="n">
        <v>2</v>
      </c>
      <c r="AR128" s="0" t="n">
        <v>0</v>
      </c>
      <c r="AT128" s="5" t="n">
        <f aca="false">60*V128-SUM(AU128:AY128)</f>
        <v>60.1</v>
      </c>
      <c r="AU128" s="4" t="n">
        <f aca="false">41+7/60</f>
        <v>41.1166666666667</v>
      </c>
      <c r="AV128" s="4" t="n">
        <f aca="false">26+16/60</f>
        <v>26.2666666666667</v>
      </c>
      <c r="AW128" s="4" t="n">
        <f aca="false">20+31/60</f>
        <v>20.5166666666667</v>
      </c>
      <c r="AX128" s="4" t="n">
        <v>0</v>
      </c>
      <c r="AY128" s="4" t="n">
        <v>0</v>
      </c>
      <c r="AZ128" s="0" t="s">
        <v>60</v>
      </c>
      <c r="BA128" s="0" t="s">
        <v>61</v>
      </c>
      <c r="BB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72</v>
      </c>
      <c r="G129" s="3" t="n">
        <v>85</v>
      </c>
      <c r="H129" s="3" t="n">
        <v>70</v>
      </c>
      <c r="I129" s="3" t="n">
        <v>61</v>
      </c>
      <c r="J129" s="3" t="s">
        <v>106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58</v>
      </c>
      <c r="Q129" s="0" t="s">
        <v>132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Q129" s="0" t="n">
        <v>0</v>
      </c>
      <c r="AR129" s="0" t="n">
        <v>1</v>
      </c>
      <c r="AT129" s="5" t="n">
        <v>0</v>
      </c>
      <c r="AU129" s="4" t="n">
        <v>0</v>
      </c>
      <c r="AV129" s="4" t="n">
        <f aca="false">15+31/60</f>
        <v>15.5166666666667</v>
      </c>
      <c r="AW129" s="4" t="n">
        <f aca="false">34+5/60</f>
        <v>34.0833333333333</v>
      </c>
      <c r="AX129" s="4" t="n">
        <f aca="false">55+49/60</f>
        <v>55.8166666666667</v>
      </c>
      <c r="AY129" s="4" t="n">
        <f aca="false">49/60</f>
        <v>0.816666666666667</v>
      </c>
      <c r="AZ129" s="0" t="s">
        <v>60</v>
      </c>
      <c r="BA129" s="0" t="s">
        <v>61</v>
      </c>
      <c r="BB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91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63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133</v>
      </c>
      <c r="Q130" s="0" t="s">
        <v>134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Q130" s="0" t="n">
        <v>2</v>
      </c>
      <c r="AR130" s="0" t="n">
        <v>0</v>
      </c>
      <c r="AT130" s="5" t="n">
        <f aca="false">60*V130-SUM(AU130:AY130)</f>
        <v>40.8333333333333</v>
      </c>
      <c r="AU130" s="4" t="n">
        <f aca="false">60+3/60</f>
        <v>60.05</v>
      </c>
      <c r="AV130" s="4" t="n">
        <f aca="false">42+38/60</f>
        <v>42.6333333333333</v>
      </c>
      <c r="AW130" s="4" t="n">
        <f aca="false">3+29/60</f>
        <v>3.48333333333333</v>
      </c>
      <c r="AX130" s="4" t="n">
        <v>0</v>
      </c>
      <c r="AY130" s="4" t="n">
        <v>0</v>
      </c>
      <c r="AZ130" s="0" t="s">
        <v>60</v>
      </c>
      <c r="BA130" s="0" t="s">
        <v>61</v>
      </c>
      <c r="BB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1" t="s">
        <v>135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63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58</v>
      </c>
      <c r="Q131" s="0" t="s">
        <v>132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Q131" s="0" t="n">
        <v>1</v>
      </c>
      <c r="AR131" s="0" t="n">
        <v>2</v>
      </c>
      <c r="AT131" s="5" t="n">
        <v>0</v>
      </c>
      <c r="AU131" s="4" t="n">
        <f aca="false">0+52/60</f>
        <v>0.866666666666667</v>
      </c>
      <c r="AV131" s="4" t="n">
        <f aca="false">36+30/60</f>
        <v>36.5</v>
      </c>
      <c r="AW131" s="4" t="n">
        <f aca="false">25+38/50</f>
        <v>25.76</v>
      </c>
      <c r="AX131" s="4" t="n">
        <f aca="false">35+22/60</f>
        <v>35.3666666666667</v>
      </c>
      <c r="AY131" s="4" t="n">
        <f aca="false">6+30/60</f>
        <v>6.5</v>
      </c>
      <c r="AZ131" s="0" t="s">
        <v>60</v>
      </c>
      <c r="BA131" s="0" t="s">
        <v>61</v>
      </c>
      <c r="BB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80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63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72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63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133</v>
      </c>
      <c r="Q133" s="0" t="s">
        <v>132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Q133" s="0" t="n">
        <v>1</v>
      </c>
      <c r="AR133" s="0" t="n">
        <v>0</v>
      </c>
      <c r="AS133" s="0" t="n">
        <v>0</v>
      </c>
      <c r="AT133" s="5" t="n">
        <f aca="false">60*V133-SUM(AU133:AY133)</f>
        <v>0.75</v>
      </c>
      <c r="AU133" s="4" t="n">
        <f aca="false">42+15/60</f>
        <v>42.25</v>
      </c>
      <c r="AV133" s="4" t="n">
        <f aca="false">48+32/60</f>
        <v>48.5333333333333</v>
      </c>
      <c r="AW133" s="4" t="n">
        <f aca="false">15+22/60</f>
        <v>15.3666666666667</v>
      </c>
      <c r="AX133" s="4" t="n">
        <f aca="false">2+6/60</f>
        <v>2.1</v>
      </c>
      <c r="AY133" s="4" t="n">
        <v>0</v>
      </c>
      <c r="AZ133" s="0" t="s">
        <v>60</v>
      </c>
      <c r="BA133" s="0" t="s">
        <v>61</v>
      </c>
      <c r="BB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63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133</v>
      </c>
      <c r="Q134" s="0" t="s">
        <v>132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Q134" s="0" t="n">
        <v>0</v>
      </c>
      <c r="AR134" s="0" t="n">
        <v>1</v>
      </c>
      <c r="AS134" s="0" t="n">
        <v>1</v>
      </c>
      <c r="AT134" s="5" t="n">
        <f aca="false">60*V134-SUM(AU134:AY134)</f>
        <v>32.3</v>
      </c>
      <c r="AU134" s="4" t="n">
        <f aca="false">52+17/60</f>
        <v>52.2833333333333</v>
      </c>
      <c r="AV134" s="4" t="n">
        <f aca="false">18+48/60</f>
        <v>18.8</v>
      </c>
      <c r="AW134" s="4" t="n">
        <f aca="false">8+37/60</f>
        <v>8.61666666666667</v>
      </c>
      <c r="AX134" s="4" t="n">
        <v>0</v>
      </c>
      <c r="AY134" s="4" t="n">
        <v>0</v>
      </c>
      <c r="AZ134" s="0" t="s">
        <v>60</v>
      </c>
      <c r="BA134" s="0" t="s">
        <v>61</v>
      </c>
      <c r="BB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63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58</v>
      </c>
      <c r="Q135" s="0" t="s">
        <v>132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Q135" s="0" t="n">
        <v>2</v>
      </c>
      <c r="AR135" s="0" t="n">
        <v>1</v>
      </c>
      <c r="AS135" s="0" t="n">
        <v>0</v>
      </c>
      <c r="AT135" s="5" t="n">
        <f aca="false">60*V135-SUM(AU135:AY135)</f>
        <v>0.049999999999983</v>
      </c>
      <c r="AU135" s="4" t="n">
        <f aca="false">1+23/60</f>
        <v>1.38333333333333</v>
      </c>
      <c r="AV135" s="4" t="n">
        <f aca="false">22+44/60</f>
        <v>22.7333333333333</v>
      </c>
      <c r="AW135" s="4" t="n">
        <f aca="false">27+52/60</f>
        <v>27.8666666666667</v>
      </c>
      <c r="AX135" s="4" t="n">
        <f aca="false">57+46/60</f>
        <v>57.7666666666667</v>
      </c>
      <c r="AY135" s="4" t="n">
        <f aca="false">2+12/60</f>
        <v>2.2</v>
      </c>
      <c r="AZ135" s="0" t="s">
        <v>60</v>
      </c>
      <c r="BA135" s="0" t="s">
        <v>61</v>
      </c>
      <c r="BB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91</v>
      </c>
      <c r="G136" s="3" t="n">
        <v>92</v>
      </c>
      <c r="H136" s="3" t="n">
        <v>76</v>
      </c>
      <c r="I136" s="3" t="n">
        <v>59</v>
      </c>
      <c r="J136" s="3" t="s">
        <v>136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58</v>
      </c>
      <c r="Q136" s="0" t="s">
        <v>132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Q136" s="0" t="n">
        <v>0</v>
      </c>
      <c r="AR136" s="0" t="n">
        <v>0</v>
      </c>
      <c r="AS136" s="0" t="n">
        <v>0</v>
      </c>
      <c r="AT136" s="5" t="n">
        <f aca="false">60*V136-SUM(AU136:AY136)</f>
        <v>26.7166666666667</v>
      </c>
      <c r="AU136" s="4" t="n">
        <f aca="false">13+23/60</f>
        <v>13.3833333333333</v>
      </c>
      <c r="AV136" s="4" t="n">
        <f aca="false">23+15/60</f>
        <v>23.25</v>
      </c>
      <c r="AW136" s="4" t="n">
        <f aca="false">39/60</f>
        <v>0.65</v>
      </c>
      <c r="AX136" s="4" t="n">
        <v>0</v>
      </c>
      <c r="AY136" s="4" t="n">
        <v>0</v>
      </c>
      <c r="AZ136" s="0" t="s">
        <v>60</v>
      </c>
      <c r="BA136" s="0" t="s">
        <v>61</v>
      </c>
      <c r="BB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72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105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133</v>
      </c>
      <c r="Q137" s="0" t="s">
        <v>134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Q137" s="0" t="n">
        <v>0</v>
      </c>
      <c r="AR137" s="0" t="n">
        <v>0</v>
      </c>
      <c r="AS137" s="0" t="n">
        <v>0</v>
      </c>
      <c r="AT137" s="5" t="n">
        <f aca="false">60*V137-SUM(AU137:AY137)</f>
        <v>38.9833333333333</v>
      </c>
      <c r="AU137" s="4" t="n">
        <f aca="false">16+9/60</f>
        <v>16.15</v>
      </c>
      <c r="AV137" s="4" t="n">
        <f aca="false">39+14/60</f>
        <v>39.2333333333333</v>
      </c>
      <c r="AW137" s="4" t="n">
        <f aca="false">27+38/60</f>
        <v>27.6333333333333</v>
      </c>
      <c r="AX137" s="4" t="n">
        <v>0</v>
      </c>
      <c r="AY137" s="4" t="n">
        <v>0</v>
      </c>
      <c r="AZ137" s="0" t="s">
        <v>60</v>
      </c>
      <c r="BA137" s="0" t="s">
        <v>61</v>
      </c>
      <c r="BB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72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63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58</v>
      </c>
      <c r="Q138" s="0" t="s">
        <v>132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Q138" s="0" t="n">
        <v>0</v>
      </c>
      <c r="AR138" s="0" t="n">
        <v>1</v>
      </c>
      <c r="AT138" s="5" t="n">
        <f aca="false">60*V138-SUM(AU138:AY138)</f>
        <v>0.216666666666669</v>
      </c>
      <c r="AU138" s="4" t="n">
        <f aca="false">2/60</f>
        <v>0.0333333333333333</v>
      </c>
      <c r="AV138" s="4" t="n">
        <f aca="false">2</f>
        <v>2</v>
      </c>
      <c r="AW138" s="4" t="n">
        <f aca="false">8+43/60</f>
        <v>8.71666666666667</v>
      </c>
      <c r="AX138" s="4" t="n">
        <f aca="false">51+31/60</f>
        <v>51.5166666666667</v>
      </c>
      <c r="AY138" s="4" t="n">
        <f aca="false">24+31/60</f>
        <v>24.5166666666667</v>
      </c>
      <c r="AZ138" s="0" t="s">
        <v>60</v>
      </c>
      <c r="BA138" s="0" t="s">
        <v>61</v>
      </c>
      <c r="BB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72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133</v>
      </c>
      <c r="Q139" s="0" t="s">
        <v>134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Q139" s="0" t="n">
        <v>0</v>
      </c>
      <c r="AR139" s="0" t="n">
        <v>0</v>
      </c>
      <c r="AS139" s="0" t="n">
        <v>0</v>
      </c>
      <c r="AT139" s="5" t="n">
        <f aca="false">60*V139-SUM(AU139:AY139)</f>
        <v>6</v>
      </c>
      <c r="AU139" s="4" t="n">
        <f aca="false">38+56/60</f>
        <v>38.9333333333333</v>
      </c>
      <c r="AV139" s="4" t="n">
        <f aca="false">46+46/60</f>
        <v>46.7666666666667</v>
      </c>
      <c r="AW139" s="4" t="n">
        <f aca="false">18+40/60</f>
        <v>18.6666666666667</v>
      </c>
      <c r="AX139" s="4" t="n">
        <f aca="false">18+38/60</f>
        <v>18.6333333333333</v>
      </c>
      <c r="AY139" s="4" t="n">
        <v>0</v>
      </c>
      <c r="AZ139" s="0" t="s">
        <v>60</v>
      </c>
      <c r="BA139" s="0" t="s">
        <v>61</v>
      </c>
      <c r="BB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126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58</v>
      </c>
      <c r="Q140" s="0" t="s">
        <v>134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Q140" s="0" t="n">
        <v>1</v>
      </c>
      <c r="AR140" s="0" t="n">
        <v>3</v>
      </c>
      <c r="AS140" s="0" t="n">
        <v>0</v>
      </c>
      <c r="AT140" s="5" t="n">
        <f aca="false">60*V140-SUM(AU140:AY140)</f>
        <v>6.95</v>
      </c>
      <c r="AU140" s="4" t="n">
        <f aca="false">68+50/60</f>
        <v>68.8333333333333</v>
      </c>
      <c r="AV140" s="4" t="n">
        <f aca="false">29+24/60</f>
        <v>29.4</v>
      </c>
      <c r="AW140" s="4" t="n">
        <f aca="false">11</f>
        <v>11</v>
      </c>
      <c r="AX140" s="4" t="n">
        <f aca="false">4+49/60</f>
        <v>4.81666666666667</v>
      </c>
      <c r="AY140" s="4" t="n">
        <v>0</v>
      </c>
      <c r="AZ140" s="0" t="s">
        <v>60</v>
      </c>
      <c r="BA140" s="0" t="s">
        <v>61</v>
      </c>
      <c r="BB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126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133</v>
      </c>
      <c r="Q141" s="0" t="s">
        <v>134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Q141" s="0" t="n">
        <v>1</v>
      </c>
      <c r="AR141" s="0" t="n">
        <v>3</v>
      </c>
      <c r="AS141" s="0" t="n">
        <v>1</v>
      </c>
      <c r="AT141" s="5" t="n">
        <f aca="false">60*V141-SUM(AU141:AY141)</f>
        <v>6.95</v>
      </c>
      <c r="AU141" s="4" t="n">
        <f aca="false">68+50/60</f>
        <v>68.8333333333333</v>
      </c>
      <c r="AV141" s="4" t="n">
        <f aca="false">29+24/60</f>
        <v>29.4</v>
      </c>
      <c r="AW141" s="4" t="n">
        <f aca="false">11</f>
        <v>11</v>
      </c>
      <c r="AX141" s="4" t="n">
        <f aca="false">4+49/60</f>
        <v>4.81666666666667</v>
      </c>
      <c r="AY141" s="4" t="n">
        <v>0</v>
      </c>
      <c r="AZ141" s="0" t="s">
        <v>60</v>
      </c>
      <c r="BA141" s="0" t="s">
        <v>61</v>
      </c>
      <c r="BB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137</v>
      </c>
      <c r="F142" s="0" t="s">
        <v>91</v>
      </c>
      <c r="G142" s="3" t="n">
        <v>79</v>
      </c>
      <c r="H142" s="3" t="n">
        <v>75</v>
      </c>
      <c r="I142" s="3" t="n">
        <v>88</v>
      </c>
      <c r="J142" s="3" t="s">
        <v>126</v>
      </c>
      <c r="K142" s="3" t="n">
        <v>10</v>
      </c>
      <c r="L142" s="3" t="n">
        <v>0</v>
      </c>
      <c r="M142" s="0" t="s">
        <v>99</v>
      </c>
      <c r="Q142" s="0" t="s">
        <v>132</v>
      </c>
      <c r="AZ142" s="0" t="s">
        <v>60</v>
      </c>
      <c r="BA142" s="0" t="s">
        <v>61</v>
      </c>
      <c r="BB142" s="0" t="n">
        <v>1</v>
      </c>
      <c r="BC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105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133</v>
      </c>
      <c r="Q143" s="0" t="s">
        <v>134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Q143" s="0" t="n">
        <v>0</v>
      </c>
      <c r="AR143" s="0" t="n">
        <v>0</v>
      </c>
      <c r="AS143" s="0" t="n">
        <v>0</v>
      </c>
      <c r="AT143" s="5" t="n">
        <f aca="false">60*V143-SUM(AU143:AY143)</f>
        <v>30.3333333333333</v>
      </c>
      <c r="AU143" s="4" t="n">
        <f aca="false">60+41/60</f>
        <v>60.6833333333333</v>
      </c>
      <c r="AV143" s="4" t="n">
        <f aca="false">22+43/60</f>
        <v>22.7166666666667</v>
      </c>
      <c r="AW143" s="4" t="n">
        <f aca="false">5</f>
        <v>5</v>
      </c>
      <c r="AX143" s="4" t="n">
        <v>0.266666666666667</v>
      </c>
      <c r="AY143" s="4" t="n">
        <v>0</v>
      </c>
      <c r="AZ143" s="0" t="s">
        <v>60</v>
      </c>
      <c r="BA143" s="0" t="s">
        <v>61</v>
      </c>
      <c r="BB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72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63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58</v>
      </c>
      <c r="Q144" s="0" t="s">
        <v>134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Q144" s="0" t="n">
        <v>1</v>
      </c>
      <c r="AR144" s="0" t="n">
        <v>0</v>
      </c>
      <c r="AS144" s="0" t="n">
        <v>0</v>
      </c>
      <c r="AT144" s="5" t="n">
        <f aca="false">60*V144-SUM(AU144:AY144)</f>
        <v>5.06666666666666</v>
      </c>
      <c r="AU144" s="4" t="n">
        <f aca="false">60+47/60</f>
        <v>60.7833333333333</v>
      </c>
      <c r="AV144" s="4" t="n">
        <f aca="false">37+38/60</f>
        <v>37.6333333333333</v>
      </c>
      <c r="AW144" s="4" t="n">
        <f aca="false">11+6/60</f>
        <v>11.1</v>
      </c>
      <c r="AX144" s="4" t="n">
        <f aca="false">5+11/60</f>
        <v>5.18333333333333</v>
      </c>
      <c r="AY144" s="4" t="n">
        <f aca="false">14/60</f>
        <v>0.233333333333333</v>
      </c>
      <c r="AZ144" s="0" t="s">
        <v>60</v>
      </c>
      <c r="BA144" s="0" t="s">
        <v>61</v>
      </c>
      <c r="BB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94</v>
      </c>
      <c r="G145" s="3" t="n">
        <v>91</v>
      </c>
      <c r="H145" s="3" t="n">
        <v>76</v>
      </c>
      <c r="I145" s="3" t="n">
        <f aca="false">(65+59)/2</f>
        <v>62</v>
      </c>
      <c r="J145" s="12" t="s">
        <v>138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133</v>
      </c>
      <c r="Q145" s="0" t="s">
        <v>132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Q145" s="0" t="n">
        <v>0</v>
      </c>
      <c r="AR145" s="0" t="n">
        <v>0</v>
      </c>
      <c r="AS145" s="0" t="n">
        <v>0</v>
      </c>
      <c r="AT145" s="5" t="n">
        <f aca="false">60*V145-SUM(AU145:AY145)</f>
        <v>1.86666666666667</v>
      </c>
      <c r="AU145" s="4" t="n">
        <f aca="false">23+6/60</f>
        <v>23.1</v>
      </c>
      <c r="AV145" s="4" t="n">
        <f aca="false">57+40/60</f>
        <v>57.6666666666667</v>
      </c>
      <c r="AW145" s="4" t="n">
        <f aca="false">8+22/60</f>
        <v>8.36666666666667</v>
      </c>
      <c r="AX145" s="4" t="n">
        <v>0</v>
      </c>
      <c r="AY145" s="4" t="n">
        <v>0</v>
      </c>
      <c r="AZ145" s="0" t="s">
        <v>60</v>
      </c>
      <c r="BA145" s="0" t="s">
        <v>61</v>
      </c>
      <c r="BB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72</v>
      </c>
      <c r="G146" s="3" t="n">
        <v>94</v>
      </c>
      <c r="H146" s="3" t="n">
        <v>78</v>
      </c>
      <c r="I146" s="3" t="n">
        <f aca="false">(68+72)/2</f>
        <v>70</v>
      </c>
      <c r="J146" s="3" t="s">
        <v>139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58</v>
      </c>
      <c r="Q146" s="0" t="s">
        <v>134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Q146" s="0" t="n">
        <v>1</v>
      </c>
      <c r="AR146" s="0" t="n">
        <v>0</v>
      </c>
      <c r="AS146" s="0" t="n">
        <v>0</v>
      </c>
      <c r="AT146" s="5" t="n">
        <v>0</v>
      </c>
      <c r="AU146" s="4" t="n">
        <f aca="false">2+43/60</f>
        <v>2.71666666666667</v>
      </c>
      <c r="AV146" s="4" t="n">
        <f aca="false">58+40/60</f>
        <v>58.6666666666667</v>
      </c>
      <c r="AW146" s="4" t="n">
        <f aca="false">39+58/60</f>
        <v>39.9666666666667</v>
      </c>
      <c r="AX146" s="4" t="n">
        <f aca="false">27+33/70</f>
        <v>27.4714285714286</v>
      </c>
      <c r="AY146" s="4" t="n">
        <f aca="false">28/60</f>
        <v>0.466666666666667</v>
      </c>
      <c r="AZ146" s="0" t="s">
        <v>60</v>
      </c>
      <c r="BA146" s="0" t="s">
        <v>61</v>
      </c>
      <c r="BB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94</v>
      </c>
      <c r="G147" s="3" t="n">
        <v>96</v>
      </c>
      <c r="H147" s="3" t="n">
        <v>71</v>
      </c>
      <c r="I147" s="3" t="n">
        <v>42</v>
      </c>
      <c r="J147" s="3" t="s">
        <v>73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133</v>
      </c>
      <c r="Q147" s="0" t="s">
        <v>132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Q147" s="0" t="n">
        <v>0</v>
      </c>
      <c r="AR147" s="0" t="n">
        <v>0</v>
      </c>
      <c r="AS147" s="0" t="n">
        <v>0</v>
      </c>
      <c r="AT147" s="5" t="n">
        <v>0</v>
      </c>
      <c r="AU147" s="4" t="n">
        <v>0</v>
      </c>
      <c r="AV147" s="4" t="n">
        <f aca="false">5+42/60</f>
        <v>5.7</v>
      </c>
      <c r="AW147" s="4" t="n">
        <f aca="false">12+38/60</f>
        <v>12.6333333333333</v>
      </c>
      <c r="AX147" s="4" t="n">
        <f aca="false">76+36/60</f>
        <v>76.6</v>
      </c>
      <c r="AY147" s="4" t="n">
        <f aca="false">33/60</f>
        <v>0.55</v>
      </c>
      <c r="AZ147" s="0" t="s">
        <v>60</v>
      </c>
      <c r="BA147" s="0" t="s">
        <v>61</v>
      </c>
      <c r="BB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94</v>
      </c>
      <c r="G148" s="3" t="n">
        <f aca="false">(96+99)/2</f>
        <v>97.5</v>
      </c>
      <c r="H148" s="3" t="n">
        <v>73</v>
      </c>
      <c r="I148" s="3" t="n">
        <v>42</v>
      </c>
      <c r="J148" s="3" t="s">
        <v>63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58</v>
      </c>
      <c r="Q148" s="0" t="s">
        <v>134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Q148" s="0" t="n">
        <v>1</v>
      </c>
      <c r="AR148" s="0" t="n">
        <v>0</v>
      </c>
      <c r="AS148" s="0" t="n">
        <v>0</v>
      </c>
      <c r="AT148" s="5" t="n">
        <v>0</v>
      </c>
      <c r="AU148" s="4" t="n">
        <f aca="false">18+8/60</f>
        <v>18.1333333333333</v>
      </c>
      <c r="AV148" s="4" t="n">
        <f aca="false">25+21/60</f>
        <v>25.35</v>
      </c>
      <c r="AW148" s="4" t="n">
        <f aca="false">50+58/60</f>
        <v>50.9666666666667</v>
      </c>
      <c r="AX148" s="4" t="n">
        <f aca="false">36+49/60</f>
        <v>36.8166666666667</v>
      </c>
      <c r="AY148" s="4" t="n">
        <f aca="false">7/60</f>
        <v>0.116666666666667</v>
      </c>
      <c r="AZ148" s="0" t="s">
        <v>60</v>
      </c>
      <c r="BA148" s="0" t="s">
        <v>61</v>
      </c>
      <c r="BB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94</v>
      </c>
      <c r="G149" s="3" t="n">
        <v>94</v>
      </c>
      <c r="H149" s="3" t="n">
        <v>72</v>
      </c>
      <c r="I149" s="3" t="n">
        <v>50</v>
      </c>
      <c r="J149" s="3" t="s">
        <v>63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133</v>
      </c>
      <c r="Q149" s="0" t="s">
        <v>134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Q149" s="0" t="n">
        <v>1</v>
      </c>
      <c r="AR149" s="0" t="n">
        <v>0</v>
      </c>
      <c r="AS149" s="0" t="n">
        <v>0</v>
      </c>
      <c r="AT149" s="5" t="n">
        <f aca="false">60*V149-SUM(AU149:AY149)</f>
        <v>4.38333333333333</v>
      </c>
      <c r="AU149" s="4" t="n">
        <f aca="false">47+44/60</f>
        <v>47.7333333333333</v>
      </c>
      <c r="AV149" s="4" t="n">
        <f aca="false">58+55/60</f>
        <v>58.9166666666667</v>
      </c>
      <c r="AW149" s="4" t="n">
        <f aca="false">20+58/60</f>
        <v>20.9666666666667</v>
      </c>
      <c r="AX149" s="4" t="n">
        <f aca="false">1+46/60</f>
        <v>1.76666666666667</v>
      </c>
      <c r="AY149" s="4" t="n">
        <f aca="false">14/60</f>
        <v>0.233333333333333</v>
      </c>
      <c r="AZ149" s="0" t="s">
        <v>60</v>
      </c>
      <c r="BA149" s="0" t="s">
        <v>61</v>
      </c>
      <c r="BB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63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58</v>
      </c>
      <c r="Q150" s="0" t="s">
        <v>134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5" t="n">
        <f aca="false">60*V150-SUM(AU150:AY150)</f>
        <v>25.7</v>
      </c>
      <c r="AU150" s="4" t="n">
        <f aca="false">25+30/60</f>
        <v>25.5</v>
      </c>
      <c r="AV150" s="4" t="n">
        <f aca="false">44+51/60</f>
        <v>44.85</v>
      </c>
      <c r="AW150" s="4" t="n">
        <f aca="false">41+15/60</f>
        <v>41.25</v>
      </c>
      <c r="AX150" s="4" t="n">
        <f aca="false">42/60</f>
        <v>0.7</v>
      </c>
      <c r="AY150" s="4" t="n">
        <v>0</v>
      </c>
      <c r="AZ150" s="0" t="s">
        <v>60</v>
      </c>
      <c r="BA150" s="0" t="s">
        <v>61</v>
      </c>
      <c r="BB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72</v>
      </c>
      <c r="G151" s="3" t="n">
        <v>94</v>
      </c>
      <c r="H151" s="3" t="n">
        <v>73</v>
      </c>
      <c r="I151" s="3" t="n">
        <f aca="false">(52+49)/2</f>
        <v>50.5</v>
      </c>
      <c r="J151" s="3" t="s">
        <v>63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133</v>
      </c>
      <c r="Q151" s="0" t="s">
        <v>134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Q151" s="0" t="n">
        <v>1</v>
      </c>
      <c r="AR151" s="0" t="n">
        <v>0</v>
      </c>
      <c r="AS151" s="0" t="n">
        <v>0</v>
      </c>
      <c r="AT151" s="5" t="n">
        <f aca="false">60*V151-SUM(AU151:AY151)</f>
        <v>20.3333333333333</v>
      </c>
      <c r="AU151" s="4" t="n">
        <f aca="false">17+55/60</f>
        <v>17.9166666666667</v>
      </c>
      <c r="AV151" s="4" t="n">
        <f aca="false">30+46/60</f>
        <v>30.7666666666667</v>
      </c>
      <c r="AW151" s="4" t="n">
        <f aca="false">37+47/60</f>
        <v>37.7833333333333</v>
      </c>
      <c r="AX151" s="4" t="n">
        <f aca="false">18+33/60</f>
        <v>18.55</v>
      </c>
      <c r="AY151" s="4" t="n">
        <f aca="false">1+39/60</f>
        <v>1.65</v>
      </c>
      <c r="AZ151" s="0" t="s">
        <v>60</v>
      </c>
      <c r="BA151" s="0" t="s">
        <v>61</v>
      </c>
      <c r="BB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94</v>
      </c>
      <c r="G152" s="3" t="n">
        <v>95</v>
      </c>
      <c r="H152" s="3" t="n">
        <v>74</v>
      </c>
      <c r="I152" s="3" t="n">
        <f aca="false">(52+49)/2</f>
        <v>50.5</v>
      </c>
      <c r="J152" s="3" t="s">
        <v>106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58</v>
      </c>
      <c r="Q152" s="0" t="s">
        <v>134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Q152" s="0" t="n">
        <v>1</v>
      </c>
      <c r="AR152" s="0" t="n">
        <v>0</v>
      </c>
      <c r="AS152" s="0" t="n">
        <v>0</v>
      </c>
      <c r="AT152" s="5" t="n">
        <f aca="false">60*V152-SUM(AU152:AY152)</f>
        <v>20.5</v>
      </c>
      <c r="AU152" s="4" t="n">
        <f aca="false">29+5/60</f>
        <v>29.0833333333333</v>
      </c>
      <c r="AV152" s="4" t="n">
        <f aca="false">53+23/60</f>
        <v>53.3833333333333</v>
      </c>
      <c r="AW152" s="4" t="n">
        <f aca="false">36+51/60</f>
        <v>36.85</v>
      </c>
      <c r="AX152" s="4" t="n">
        <f aca="false">11/60</f>
        <v>0.183333333333333</v>
      </c>
      <c r="AY152" s="4" t="n">
        <v>0</v>
      </c>
      <c r="AZ152" s="0" t="s">
        <v>60</v>
      </c>
      <c r="BA152" s="0" t="s">
        <v>61</v>
      </c>
      <c r="BB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72</v>
      </c>
      <c r="G153" s="3" t="n">
        <v>90</v>
      </c>
      <c r="H153" s="3" t="n">
        <v>53</v>
      </c>
      <c r="I153" s="3" t="n">
        <f aca="false">(59+53)/2</f>
        <v>56</v>
      </c>
      <c r="J153" s="3" t="s">
        <v>63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133</v>
      </c>
      <c r="Q153" s="0" t="s">
        <v>132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Q153" s="0" t="n">
        <v>0</v>
      </c>
      <c r="AR153" s="0" t="n">
        <v>1</v>
      </c>
      <c r="AS153" s="0" t="n">
        <v>0</v>
      </c>
      <c r="AT153" s="5" t="n">
        <f aca="false">60*V153-SUM(AU153:AY153)</f>
        <v>46.9166666666667</v>
      </c>
      <c r="AU153" s="4" t="n">
        <f aca="false">48+35/60</f>
        <v>48.5833333333333</v>
      </c>
      <c r="AV153" s="4" t="n">
        <f aca="false">11+28/60</f>
        <v>11.4666666666667</v>
      </c>
      <c r="AW153" s="4" t="n">
        <f aca="false">2/60</f>
        <v>0.0333333333333333</v>
      </c>
      <c r="AX153" s="4" t="n">
        <v>0</v>
      </c>
      <c r="AY153" s="4" t="n">
        <v>0</v>
      </c>
      <c r="AZ153" s="0" t="s">
        <v>60</v>
      </c>
      <c r="BA153" s="0" t="s">
        <v>61</v>
      </c>
      <c r="BB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94</v>
      </c>
      <c r="G154" s="3" t="n">
        <v>91</v>
      </c>
      <c r="H154" s="3" t="n">
        <v>71</v>
      </c>
      <c r="I154" s="3" t="n">
        <v>51</v>
      </c>
      <c r="J154" s="3" t="s">
        <v>63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58</v>
      </c>
      <c r="Q154" s="0" t="s">
        <v>132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Q154" s="0" t="n">
        <v>0</v>
      </c>
      <c r="AR154" s="0" t="n">
        <v>0</v>
      </c>
      <c r="AS154" s="0" t="n">
        <v>0</v>
      </c>
      <c r="AT154" s="5" t="n">
        <f aca="false">60*V154-SUM(AU154:AY154)</f>
        <v>26.0166666666667</v>
      </c>
      <c r="AU154" s="4" t="n">
        <f aca="false">54+54/60</f>
        <v>54.9</v>
      </c>
      <c r="AV154" s="4" t="n">
        <f aca="false">23+9/60</f>
        <v>23.15</v>
      </c>
      <c r="AW154" s="4" t="n">
        <f aca="false">56/60</f>
        <v>0.933333333333333</v>
      </c>
      <c r="AX154" s="4" t="n">
        <v>0</v>
      </c>
      <c r="AY154" s="4" t="n">
        <v>0</v>
      </c>
      <c r="AZ154" s="0" t="s">
        <v>60</v>
      </c>
      <c r="BA154" s="0" t="s">
        <v>61</v>
      </c>
      <c r="BB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94</v>
      </c>
      <c r="G155" s="3" t="n">
        <v>92</v>
      </c>
      <c r="H155" s="3" t="n">
        <v>72</v>
      </c>
      <c r="I155" s="3" t="n">
        <v>53</v>
      </c>
      <c r="J155" s="3" t="s">
        <v>63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133</v>
      </c>
      <c r="Q155" s="0" t="s">
        <v>134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5" t="n">
        <f aca="false">60*V155-SUM(AU155:AY155)</f>
        <v>9.83333333333331</v>
      </c>
      <c r="AU155" s="4" t="n">
        <f aca="false">43+3/60</f>
        <v>43.05</v>
      </c>
      <c r="AV155" s="4" t="n">
        <f aca="false">78+29/60</f>
        <v>78.4833333333333</v>
      </c>
      <c r="AW155" s="4" t="n">
        <f aca="false">7++38/60</f>
        <v>7.63333333333333</v>
      </c>
      <c r="AX155" s="4" t="n">
        <v>0</v>
      </c>
      <c r="AY155" s="4" t="n">
        <v>0</v>
      </c>
      <c r="AZ155" s="0" t="s">
        <v>60</v>
      </c>
      <c r="BA155" s="0" t="s">
        <v>61</v>
      </c>
      <c r="BB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126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58</v>
      </c>
      <c r="Q156" s="0" t="s">
        <v>134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Q156" s="0" t="n">
        <v>1</v>
      </c>
      <c r="AR156" s="0" t="n">
        <v>0</v>
      </c>
      <c r="AS156" s="0" t="n">
        <v>0</v>
      </c>
      <c r="AT156" s="5" t="n">
        <f aca="false">60*V156-SUM(AU156:AY156)</f>
        <v>0.650000000000006</v>
      </c>
      <c r="AU156" s="4" t="n">
        <f aca="false">15+29/60</f>
        <v>15.4833333333333</v>
      </c>
      <c r="AV156" s="4" t="n">
        <f aca="false">79+10/60</f>
        <v>79.1666666666667</v>
      </c>
      <c r="AW156" s="4" t="n">
        <f aca="false">31+52/60</f>
        <v>31.8666666666667</v>
      </c>
      <c r="AX156" s="4" t="n">
        <f aca="false">6+50/60</f>
        <v>6.83333333333333</v>
      </c>
      <c r="AY156" s="4" t="n">
        <v>0</v>
      </c>
      <c r="AZ156" s="0" t="s">
        <v>60</v>
      </c>
      <c r="BA156" s="0" t="s">
        <v>61</v>
      </c>
      <c r="BB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0" t="s">
        <v>140</v>
      </c>
      <c r="F157" s="0" t="s">
        <v>94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2" t="s">
        <v>89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140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105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140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140</v>
      </c>
      <c r="F160" s="7" t="s">
        <v>62</v>
      </c>
      <c r="G160" s="3" t="n">
        <v>96</v>
      </c>
      <c r="H160" s="3" t="n">
        <v>72</v>
      </c>
      <c r="I160" s="3" t="n">
        <v>63</v>
      </c>
      <c r="J160" s="7" t="s">
        <v>111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140</v>
      </c>
      <c r="F161" s="7" t="s">
        <v>62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126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140</v>
      </c>
      <c r="F162" s="7" t="s">
        <v>62</v>
      </c>
      <c r="G162" s="3" t="n">
        <v>84</v>
      </c>
      <c r="H162" s="3" t="n">
        <v>72</v>
      </c>
      <c r="I162" s="3" t="n">
        <v>72</v>
      </c>
      <c r="J162" s="3" t="s">
        <v>105</v>
      </c>
      <c r="K162" s="3" t="n">
        <f aca="false">(7+7+3)/3</f>
        <v>5.66666666666667</v>
      </c>
      <c r="L162" s="3" t="n">
        <v>0</v>
      </c>
      <c r="M162" s="0" t="s">
        <v>99</v>
      </c>
      <c r="N162" s="0" t="n">
        <v>0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85</v>
      </c>
      <c r="G163" s="3" t="n">
        <v>76</v>
      </c>
      <c r="H163" s="3" t="n">
        <v>76</v>
      </c>
      <c r="I163" s="3" t="n">
        <v>100</v>
      </c>
      <c r="J163" s="3" t="s">
        <v>105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133</v>
      </c>
      <c r="Q163" s="0" t="s">
        <v>132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Q163" s="0" t="n">
        <v>0</v>
      </c>
      <c r="AR163" s="0" t="n">
        <v>0</v>
      </c>
      <c r="AS163" s="0" t="n">
        <v>0</v>
      </c>
      <c r="BA163" s="0" t="s">
        <v>61</v>
      </c>
      <c r="BB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91</v>
      </c>
      <c r="G164" s="3" t="n">
        <v>85</v>
      </c>
      <c r="H164" s="3" t="n">
        <v>74</v>
      </c>
      <c r="I164" s="3" t="n">
        <v>69</v>
      </c>
      <c r="J164" s="3" t="s">
        <v>63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133</v>
      </c>
      <c r="Q164" s="0" t="s">
        <v>132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Q164" s="0" t="n">
        <v>1</v>
      </c>
      <c r="AR164" s="0" t="n">
        <v>1</v>
      </c>
      <c r="AS164" s="0" t="n">
        <v>0</v>
      </c>
      <c r="AT164" s="5" t="n">
        <f aca="false">60*V164-SUM(AU164:AY164)</f>
        <v>3.9</v>
      </c>
      <c r="AU164" s="4" t="n">
        <f aca="false">38+43/60</f>
        <v>38.7166666666667</v>
      </c>
      <c r="AV164" s="4" t="n">
        <f aca="false">21+45/60</f>
        <v>21.75</v>
      </c>
      <c r="AW164" s="4" t="n">
        <f aca="false">38/60</f>
        <v>0.633333333333333</v>
      </c>
      <c r="AX164" s="4" t="n">
        <v>0</v>
      </c>
      <c r="AY164" s="4" t="n">
        <v>0</v>
      </c>
      <c r="AZ164" s="0" t="s">
        <v>60</v>
      </c>
      <c r="BA164" s="0" t="s">
        <v>61</v>
      </c>
      <c r="BB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72</v>
      </c>
      <c r="G165" s="3" t="n">
        <v>90</v>
      </c>
      <c r="H165" s="3" t="n">
        <v>71</v>
      </c>
      <c r="I165" s="3" t="n">
        <v>54</v>
      </c>
      <c r="J165" s="3" t="s">
        <v>63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133</v>
      </c>
      <c r="Q165" s="0" t="s">
        <v>132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Q165" s="0" t="n">
        <v>0</v>
      </c>
      <c r="AR165" s="0" t="n">
        <v>0</v>
      </c>
      <c r="AS165" s="0" t="n">
        <v>0</v>
      </c>
      <c r="AT165" s="5" t="n">
        <f aca="false">60*V165-SUM(AU165:AY165)</f>
        <v>35.6166666666667</v>
      </c>
      <c r="AU165" s="4" t="n">
        <f aca="false">52+26/60</f>
        <v>52.4333333333333</v>
      </c>
      <c r="AV165" s="4" t="n">
        <f aca="false">8+49/60</f>
        <v>8.81666666666667</v>
      </c>
      <c r="AW165" s="4" t="n">
        <f aca="false">2+8/60</f>
        <v>2.13333333333333</v>
      </c>
      <c r="AX165" s="4" t="n">
        <v>0</v>
      </c>
      <c r="AY165" s="4" t="n">
        <v>0</v>
      </c>
      <c r="AZ165" s="0" t="s">
        <v>60</v>
      </c>
      <c r="BA165" s="0" t="s">
        <v>61</v>
      </c>
      <c r="BB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55</v>
      </c>
      <c r="G166" s="3" t="n">
        <v>86</v>
      </c>
      <c r="H166" s="3" t="n">
        <v>50</v>
      </c>
      <c r="I166" s="3" t="n">
        <v>59</v>
      </c>
      <c r="J166" s="7" t="s">
        <v>87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133</v>
      </c>
      <c r="Q166" s="0" t="s">
        <v>132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Q166" s="0" t="n">
        <v>0</v>
      </c>
      <c r="AR166" s="0" t="n">
        <v>1</v>
      </c>
      <c r="AS166" s="0" t="n">
        <v>0</v>
      </c>
      <c r="AT166" s="5" t="n">
        <f aca="false">60*V166-SUM(AU166:AY166)</f>
        <v>41.88</v>
      </c>
      <c r="AU166" s="4" t="n">
        <f aca="false">28+52/60</f>
        <v>28.8666666666667</v>
      </c>
      <c r="AV166" s="4" t="n">
        <f aca="false">28+46/50</f>
        <v>28.92</v>
      </c>
      <c r="AW166" s="4" t="n">
        <f aca="false">1+20/60</f>
        <v>1.33333333333333</v>
      </c>
      <c r="AX166" s="4" t="n">
        <v>0</v>
      </c>
      <c r="AY166" s="4" t="n">
        <v>0</v>
      </c>
      <c r="AZ166" s="0" t="s">
        <v>60</v>
      </c>
      <c r="BA166" s="0" t="s">
        <v>61</v>
      </c>
      <c r="BB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62</v>
      </c>
      <c r="G167" s="3" t="n">
        <v>85</v>
      </c>
      <c r="H167" s="3" t="n">
        <v>66</v>
      </c>
      <c r="I167" s="3" t="n">
        <v>53</v>
      </c>
      <c r="J167" s="3" t="s">
        <v>84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133</v>
      </c>
      <c r="Q167" s="0" t="s">
        <v>132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Q167" s="0" t="n">
        <v>2</v>
      </c>
      <c r="AR167" s="0" t="n">
        <v>0</v>
      </c>
      <c r="AS167" s="0" t="n">
        <v>0</v>
      </c>
      <c r="AT167" s="5" t="n">
        <f aca="false">60*V167-SUM(AU167:AY167)</f>
        <v>8.7</v>
      </c>
      <c r="AU167" s="4" t="n">
        <f aca="false">73+17/60</f>
        <v>73.2833333333333</v>
      </c>
      <c r="AV167" s="4" t="n">
        <f aca="false">27+40/60</f>
        <v>27.6666666666667</v>
      </c>
      <c r="AW167" s="4" t="n">
        <f aca="false">1+21/60</f>
        <v>1.35</v>
      </c>
      <c r="AX167" s="4" t="n">
        <v>0</v>
      </c>
      <c r="AY167" s="4" t="n">
        <v>0</v>
      </c>
      <c r="AZ167" s="0" t="s">
        <v>60</v>
      </c>
      <c r="BA167" s="0" t="s">
        <v>61</v>
      </c>
      <c r="BB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72</v>
      </c>
      <c r="G168" s="3" t="n">
        <v>94</v>
      </c>
      <c r="H168" s="3" t="n">
        <v>60</v>
      </c>
      <c r="I168" s="3" t="n">
        <v>32</v>
      </c>
      <c r="J168" s="7" t="s">
        <v>84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133</v>
      </c>
      <c r="Q168" s="0" t="s">
        <v>132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Q168" s="0" t="n">
        <v>1</v>
      </c>
      <c r="AR168" s="0" t="n">
        <v>0</v>
      </c>
      <c r="AS168" s="0" t="n">
        <v>0</v>
      </c>
      <c r="AT168" s="5" t="n">
        <v>0</v>
      </c>
      <c r="AU168" s="4" t="n">
        <f aca="false">9+6/60</f>
        <v>9.1</v>
      </c>
      <c r="AV168" s="4" t="n">
        <f aca="false">56+18/60</f>
        <v>56.3</v>
      </c>
      <c r="AW168" s="4" t="n">
        <f aca="false">42+30/60</f>
        <v>42.5</v>
      </c>
      <c r="AX168" s="4" t="n">
        <f aca="false">1+52/60</f>
        <v>1.86666666666667</v>
      </c>
      <c r="AY168" s="4" t="n">
        <f aca="false">22/60</f>
        <v>0.366666666666667</v>
      </c>
      <c r="AZ168" s="0" t="s">
        <v>60</v>
      </c>
      <c r="BA168" s="0" t="s">
        <v>61</v>
      </c>
      <c r="BB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72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133</v>
      </c>
      <c r="Q169" s="0" t="s">
        <v>134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Q169" s="0" t="n">
        <v>3</v>
      </c>
      <c r="AR169" s="0" t="n">
        <v>0</v>
      </c>
      <c r="AS169" s="0" t="n">
        <v>0</v>
      </c>
      <c r="AT169" s="5" t="n">
        <v>0</v>
      </c>
      <c r="AU169" s="4" t="n">
        <f aca="false">4+51/60</f>
        <v>4.85</v>
      </c>
      <c r="AV169" s="4" t="n">
        <f aca="false">64+1/60</f>
        <v>64.0166666666667</v>
      </c>
      <c r="AW169" s="4" t="n">
        <f aca="false">67+16/60</f>
        <v>67.2666666666667</v>
      </c>
      <c r="AX169" s="4" t="n">
        <f aca="false">7/60</f>
        <v>0.116666666666667</v>
      </c>
      <c r="AY169" s="4" t="n">
        <v>0</v>
      </c>
      <c r="AZ169" s="0" t="s">
        <v>60</v>
      </c>
      <c r="BA169" s="0" t="s">
        <v>61</v>
      </c>
      <c r="BB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72</v>
      </c>
      <c r="G170" s="3" t="n">
        <v>87</v>
      </c>
      <c r="H170" s="3" t="n">
        <v>60</v>
      </c>
      <c r="I170" s="3" t="n">
        <v>40</v>
      </c>
      <c r="J170" s="3" t="s">
        <v>106</v>
      </c>
      <c r="K170" s="3" t="n">
        <v>5</v>
      </c>
      <c r="L170" s="3" t="n">
        <v>0</v>
      </c>
      <c r="M170" s="0" t="s">
        <v>64</v>
      </c>
      <c r="N170" s="0" t="n">
        <v>0</v>
      </c>
      <c r="O170" s="0" t="s">
        <v>133</v>
      </c>
      <c r="Q170" s="0" t="s">
        <v>134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Q170" s="0" t="n">
        <v>2</v>
      </c>
      <c r="AR170" s="0" t="n">
        <v>1</v>
      </c>
      <c r="AS170" s="0" t="n">
        <v>1</v>
      </c>
      <c r="AT170" s="5" t="n">
        <f aca="false">60*V170-SUM(AU170:AY170)</f>
        <v>10.05</v>
      </c>
      <c r="AU170" s="4" t="n">
        <f aca="false">1+49/60</f>
        <v>1.81666666666667</v>
      </c>
      <c r="AV170" s="4" t="n">
        <f aca="false">81+43/60</f>
        <v>81.7166666666667</v>
      </c>
      <c r="AW170" s="4" t="n">
        <f aca="false">48+30/60</f>
        <v>48.5</v>
      </c>
      <c r="AX170" s="4" t="n">
        <f aca="false">2+55/60</f>
        <v>2.91666666666667</v>
      </c>
      <c r="AY170" s="4" t="n">
        <v>0</v>
      </c>
      <c r="AZ170" s="0" t="s">
        <v>60</v>
      </c>
      <c r="BA170" s="0" t="s">
        <v>61</v>
      </c>
      <c r="BB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62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126</v>
      </c>
      <c r="K171" s="3" t="n">
        <f aca="false">(13+8)/2</f>
        <v>10.5</v>
      </c>
      <c r="L171" s="3" t="n">
        <v>0</v>
      </c>
      <c r="M171" s="0" t="s">
        <v>64</v>
      </c>
      <c r="N171" s="0" t="n">
        <v>0</v>
      </c>
      <c r="O171" s="0" t="s">
        <v>133</v>
      </c>
      <c r="Q171" s="0" t="s">
        <v>132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Q171" s="0" t="n">
        <v>1</v>
      </c>
      <c r="AR171" s="0" t="n">
        <v>0</v>
      </c>
      <c r="AS171" s="0" t="n">
        <v>0</v>
      </c>
      <c r="AT171" s="5" t="n">
        <f aca="false">60*V171-SUM(AU171:AY171)</f>
        <v>8.13333333333334</v>
      </c>
      <c r="AU171" s="4" t="n">
        <f aca="false">57+40/60</f>
        <v>57.6666666666667</v>
      </c>
      <c r="AV171" s="4" t="n">
        <f aca="false">25+35/60</f>
        <v>25.5833333333333</v>
      </c>
      <c r="AW171" s="4" t="n">
        <f aca="false">15+51/60</f>
        <v>15.85</v>
      </c>
      <c r="AX171" s="4" t="n">
        <f aca="false">46/60</f>
        <v>0.766666666666667</v>
      </c>
      <c r="AY171" s="4" t="n">
        <v>0</v>
      </c>
      <c r="AZ171" s="0" t="s">
        <v>60</v>
      </c>
      <c r="BA171" s="0" t="s">
        <v>61</v>
      </c>
      <c r="BB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72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105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133</v>
      </c>
      <c r="Q172" s="0" t="s">
        <v>132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Q172" s="0" t="n">
        <v>0</v>
      </c>
      <c r="AR172" s="0" t="n">
        <v>0</v>
      </c>
      <c r="AS172" s="0" t="n">
        <v>0</v>
      </c>
      <c r="AT172" s="6" t="n">
        <f aca="false">60*V172-SUM(AU172:AY172)</f>
        <v>82.0333333333333</v>
      </c>
      <c r="AU172" s="4" t="n">
        <f aca="false">19+29/60</f>
        <v>19.4833333333333</v>
      </c>
      <c r="AV172" s="4" t="n">
        <f aca="false">6+46/60</f>
        <v>6.76666666666667</v>
      </c>
      <c r="AW172" s="4" t="n">
        <f aca="false">43/60</f>
        <v>0.716666666666667</v>
      </c>
      <c r="AX172" s="4" t="n">
        <v>0</v>
      </c>
      <c r="AY172" s="4" t="n">
        <v>0</v>
      </c>
      <c r="AZ172" s="0" t="s">
        <v>60</v>
      </c>
      <c r="BA172" s="0" t="s">
        <v>61</v>
      </c>
      <c r="BB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55</v>
      </c>
      <c r="G173" s="3" t="n">
        <v>91</v>
      </c>
      <c r="H173" s="3" t="n">
        <v>69</v>
      </c>
      <c r="I173" s="3" t="n">
        <v>50</v>
      </c>
      <c r="J173" s="3" t="s">
        <v>105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133</v>
      </c>
      <c r="Q173" s="0" t="s">
        <v>132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Q173" s="0" t="n">
        <v>0</v>
      </c>
      <c r="AR173" s="0" t="n">
        <v>0</v>
      </c>
      <c r="AS173" s="0" t="n">
        <v>0</v>
      </c>
      <c r="AT173" s="5" t="n">
        <f aca="false">60*V173-SUM(AU173:AY173)</f>
        <v>14.55</v>
      </c>
      <c r="AU173" s="4" t="n">
        <f aca="false">18+40/60</f>
        <v>18.6666666666667</v>
      </c>
      <c r="AV173" s="4" t="n">
        <f aca="false">66+7/10</f>
        <v>66.7</v>
      </c>
      <c r="AW173" s="4" t="n">
        <f aca="false">10+5/60</f>
        <v>10.0833333333333</v>
      </c>
      <c r="AX173" s="4" t="n">
        <v>0</v>
      </c>
      <c r="AY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131</v>
      </c>
      <c r="F174" s="7" t="s">
        <v>118</v>
      </c>
      <c r="G174" s="3" t="n">
        <v>92</v>
      </c>
      <c r="H174" s="3" t="n">
        <v>68</v>
      </c>
      <c r="I174" s="3" t="n">
        <f aca="false">(48+42)/2</f>
        <v>45</v>
      </c>
      <c r="J174" s="3" t="s">
        <v>105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72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73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133</v>
      </c>
      <c r="Q175" s="0" t="s">
        <v>132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Q175" s="0" t="n">
        <v>0</v>
      </c>
      <c r="AR175" s="0" t="n">
        <v>0</v>
      </c>
      <c r="AS175" s="0" t="n">
        <v>0</v>
      </c>
      <c r="AT175" s="5" t="n">
        <f aca="false">60*V175-SUM(AU175:AY175)</f>
        <v>0.0333333333333314</v>
      </c>
      <c r="AU175" s="4" t="n">
        <v>4</v>
      </c>
      <c r="AV175" s="4" t="n">
        <f aca="false">60+29.5</f>
        <v>89.5</v>
      </c>
      <c r="AW175" s="4" t="n">
        <f aca="false">17+13/60</f>
        <v>17.2166666666667</v>
      </c>
      <c r="AX175" s="4" t="n">
        <f aca="false">1+15/60</f>
        <v>1.25</v>
      </c>
      <c r="AY175" s="4" t="n">
        <v>0</v>
      </c>
      <c r="AZ175" s="0" t="s">
        <v>60</v>
      </c>
      <c r="BA175" s="0" t="s">
        <v>61</v>
      </c>
      <c r="BB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72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136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133</v>
      </c>
      <c r="Q176" s="0" t="s">
        <v>132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Q176" s="0" t="n">
        <v>2</v>
      </c>
      <c r="AR176" s="0" t="n">
        <v>0</v>
      </c>
      <c r="AS176" s="0" t="n">
        <v>0</v>
      </c>
      <c r="AT176" s="5" t="n">
        <f aca="false">60*V176-SUM(AU176:AY176)</f>
        <v>6.71666666666667</v>
      </c>
      <c r="AU176" s="0" t="n">
        <f aca="false">37+54/60</f>
        <v>37.9</v>
      </c>
      <c r="AV176" s="4" t="n">
        <f aca="false">24+20/60</f>
        <v>24.3333333333333</v>
      </c>
      <c r="AW176" s="4" t="n">
        <f aca="false">10+47/60</f>
        <v>10.7833333333333</v>
      </c>
      <c r="AX176" s="4" t="n">
        <f aca="false">16/60</f>
        <v>0.266666666666667</v>
      </c>
      <c r="AY176" s="4" t="n">
        <v>0</v>
      </c>
      <c r="AZ176" s="0" t="s">
        <v>60</v>
      </c>
      <c r="BA176" s="0" t="s">
        <v>61</v>
      </c>
      <c r="BB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55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81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133</v>
      </c>
      <c r="Q177" s="0" t="s">
        <v>132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Q177" s="0" t="n">
        <v>1</v>
      </c>
      <c r="AR177" s="0" t="n">
        <v>0</v>
      </c>
      <c r="AS177" s="0" t="n">
        <v>0</v>
      </c>
      <c r="AT177" s="5" t="n">
        <f aca="false">60*V177-SUM(AU177:AY177)</f>
        <v>0.233333333333334</v>
      </c>
      <c r="AU177" s="4" t="n">
        <f aca="false">2.25</f>
        <v>2.25</v>
      </c>
      <c r="AV177" s="4" t="n">
        <f aca="false">37+26/60</f>
        <v>37.4333333333333</v>
      </c>
      <c r="AW177" s="4" t="n">
        <f aca="false">31+15/60</f>
        <v>31.25</v>
      </c>
      <c r="AX177" s="4" t="n">
        <f aca="false">12+50/60</f>
        <v>12.8333333333333</v>
      </c>
      <c r="AY177" s="4" t="n">
        <v>0</v>
      </c>
      <c r="AZ177" s="0" t="s">
        <v>60</v>
      </c>
      <c r="BA177" s="0" t="s">
        <v>61</v>
      </c>
      <c r="BB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55</v>
      </c>
      <c r="G178" s="3" t="n">
        <v>97</v>
      </c>
      <c r="H178" s="3" t="n">
        <v>73</v>
      </c>
      <c r="I178" s="3" t="n">
        <v>47</v>
      </c>
      <c r="J178" s="3" t="s">
        <v>63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133</v>
      </c>
      <c r="Q178" s="0" t="s">
        <v>132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Q178" s="0" t="n">
        <v>2</v>
      </c>
      <c r="AR178" s="0" t="n">
        <v>0</v>
      </c>
      <c r="AS178" s="0" t="n">
        <v>0</v>
      </c>
      <c r="AT178" s="5" t="n">
        <f aca="false">60*V178-SUM(AU178:AY178)</f>
        <v>28.8166666666667</v>
      </c>
      <c r="AU178" s="4" t="n">
        <f aca="false">46+31/60</f>
        <v>46.5166666666667</v>
      </c>
      <c r="AV178" s="4" t="n">
        <f aca="false">7+6/60</f>
        <v>7.1</v>
      </c>
      <c r="AW178" s="4" t="n">
        <f aca="false">4+34/60</f>
        <v>4.56666666666667</v>
      </c>
      <c r="AX178" s="4" t="n">
        <v>0</v>
      </c>
      <c r="AY178" s="4" t="n">
        <v>0</v>
      </c>
      <c r="AZ178" s="0" t="s">
        <v>60</v>
      </c>
      <c r="BA178" s="0" t="s">
        <v>61</v>
      </c>
      <c r="BB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72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63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133</v>
      </c>
      <c r="Q179" s="0" t="s">
        <v>132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Q179" s="0" t="n">
        <v>1</v>
      </c>
      <c r="AR179" s="0" t="n">
        <v>0</v>
      </c>
      <c r="AS179" s="0" t="n">
        <v>0</v>
      </c>
      <c r="AT179" s="5" t="n">
        <f aca="false">60*V179-SUM(AU179:AY179)</f>
        <v>34.1666666666667</v>
      </c>
      <c r="AU179" s="4" t="n">
        <f aca="false">55+55/60</f>
        <v>55.9166666666667</v>
      </c>
      <c r="AV179" s="4" t="n">
        <f aca="false">18+6/60</f>
        <v>18.1</v>
      </c>
      <c r="AW179" s="4" t="n">
        <f aca="false">3+49/60</f>
        <v>3.81666666666667</v>
      </c>
      <c r="AX179" s="4" t="n">
        <v>0</v>
      </c>
      <c r="AY179" s="4" t="n">
        <v>0</v>
      </c>
      <c r="AZ179" s="0" t="s">
        <v>60</v>
      </c>
      <c r="BA179" s="0" t="s">
        <v>61</v>
      </c>
      <c r="BB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55</v>
      </c>
      <c r="G180" s="3" t="n">
        <f aca="false">(95+98)/2</f>
        <v>96.5</v>
      </c>
      <c r="H180" s="3" t="n">
        <v>71</v>
      </c>
      <c r="I180" s="3" t="n">
        <v>43</v>
      </c>
      <c r="J180" s="3" t="s">
        <v>63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133</v>
      </c>
      <c r="Q180" s="0" t="s">
        <v>132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Q180" s="0" t="n">
        <v>1</v>
      </c>
      <c r="AR180" s="0" t="n">
        <v>0</v>
      </c>
      <c r="AS180" s="0" t="n">
        <v>0</v>
      </c>
      <c r="AT180" s="5" t="n">
        <f aca="false">60*V180-SUM(AU180:AY180)</f>
        <v>14.3666666666667</v>
      </c>
      <c r="AU180" s="4" t="n">
        <f aca="false">78+31/60</f>
        <v>78.5166666666667</v>
      </c>
      <c r="AV180" s="4" t="n">
        <f aca="false">17+34/60</f>
        <v>17.5666666666667</v>
      </c>
      <c r="AW180" s="4" t="n">
        <f aca="false">33/60</f>
        <v>0.55</v>
      </c>
      <c r="AX180" s="4" t="n">
        <v>0</v>
      </c>
      <c r="AY180" s="4" t="n">
        <v>0</v>
      </c>
      <c r="AZ180" s="0" t="s">
        <v>60</v>
      </c>
      <c r="BA180" s="0" t="s">
        <v>61</v>
      </c>
      <c r="BB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55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63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133</v>
      </c>
      <c r="Q181" s="0" t="s">
        <v>132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Q181" s="0" t="n">
        <v>1</v>
      </c>
      <c r="AR181" s="0" t="n">
        <v>0</v>
      </c>
      <c r="AS181" s="0" t="n">
        <v>0</v>
      </c>
      <c r="AT181" s="5" t="n">
        <f aca="false">60*V181-SUM(AU181:AY181)</f>
        <v>18.1166666666667</v>
      </c>
      <c r="AU181" s="4" t="n">
        <f aca="false">67+58/60</f>
        <v>67.9666666666667</v>
      </c>
      <c r="AV181" s="4" t="n">
        <f aca="false">33+2/60</f>
        <v>33.0333333333333</v>
      </c>
      <c r="AW181" s="4" t="n">
        <f aca="false">3+53/60</f>
        <v>3.88333333333333</v>
      </c>
      <c r="AX181" s="4" t="n">
        <v>0</v>
      </c>
      <c r="AY181" s="4" t="n">
        <v>0</v>
      </c>
      <c r="AZ181" s="0" t="s">
        <v>60</v>
      </c>
      <c r="BA181" s="0" t="s">
        <v>61</v>
      </c>
      <c r="BB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62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141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133</v>
      </c>
      <c r="Q182" s="0" t="s">
        <v>132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Q182" s="0" t="n">
        <v>0</v>
      </c>
      <c r="AR182" s="0" t="n">
        <v>0</v>
      </c>
      <c r="AS182" s="0" t="n">
        <v>0</v>
      </c>
      <c r="AT182" s="5" t="n">
        <f aca="false">60*V182-SUM(AU182:AY182)</f>
        <v>0.0333333333333314</v>
      </c>
      <c r="AU182" s="4" t="n">
        <f aca="false">32/60</f>
        <v>0.533333333333333</v>
      </c>
      <c r="AV182" s="4" t="n">
        <f aca="false">55+17/60</f>
        <v>55.2833333333333</v>
      </c>
      <c r="AW182" s="4" t="n">
        <f aca="false">67+51/60</f>
        <v>67.85</v>
      </c>
      <c r="AX182" s="4" t="n">
        <f aca="false">11+18/60</f>
        <v>11.3</v>
      </c>
      <c r="AY182" s="4" t="n">
        <v>0</v>
      </c>
      <c r="AZ182" s="0" t="s">
        <v>60</v>
      </c>
      <c r="BA182" s="0" t="s">
        <v>61</v>
      </c>
      <c r="BB182" s="0" t="n">
        <v>1</v>
      </c>
      <c r="BC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62</v>
      </c>
      <c r="G183" s="3" t="n">
        <v>87</v>
      </c>
      <c r="H183" s="3" t="n">
        <f aca="false">(67+70)/2</f>
        <v>68.5</v>
      </c>
      <c r="I183" s="3" t="n">
        <v>54</v>
      </c>
      <c r="J183" s="3" t="s">
        <v>125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133</v>
      </c>
      <c r="Q183" s="0" t="s">
        <v>132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Q183" s="0" t="n">
        <v>0</v>
      </c>
      <c r="AR183" s="0" t="n">
        <v>0</v>
      </c>
      <c r="AS183" s="0" t="n">
        <v>0</v>
      </c>
      <c r="AT183" s="5" t="n">
        <f aca="false">60*V183-SUM(AU183:AY183)</f>
        <v>12.8104166666667</v>
      </c>
      <c r="AU183" s="4" t="n">
        <f aca="false">AVERAGE(AU175:AU182)</f>
        <v>36.7</v>
      </c>
      <c r="AV183" s="4" t="n">
        <f aca="false">AVERAGE(AV175:AV182)</f>
        <v>35.29375</v>
      </c>
      <c r="AW183" s="4" t="n">
        <f aca="false">AVERAGE(AW175:AW182)</f>
        <v>17.4895833333333</v>
      </c>
      <c r="AX183" s="4" t="n">
        <f aca="false">AVERAGE(AX175:AX182)</f>
        <v>3.20625</v>
      </c>
      <c r="AY183" s="4" t="n">
        <v>0</v>
      </c>
      <c r="AZ183" s="0" t="s">
        <v>60</v>
      </c>
      <c r="BA183" s="0" t="s">
        <v>61</v>
      </c>
      <c r="BB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83</v>
      </c>
      <c r="F184" s="0" t="s">
        <v>72</v>
      </c>
      <c r="G184" s="3" t="n">
        <v>91</v>
      </c>
      <c r="H184" s="3" t="n">
        <v>68</v>
      </c>
      <c r="I184" s="3" t="n">
        <v>41</v>
      </c>
      <c r="J184" s="3" t="s">
        <v>84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55</v>
      </c>
      <c r="G185" s="3" t="n">
        <v>87</v>
      </c>
      <c r="H185" s="3" t="n">
        <v>58</v>
      </c>
      <c r="I185" s="3" t="n">
        <v>37</v>
      </c>
      <c r="J185" s="3" t="s">
        <v>87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133</v>
      </c>
      <c r="Q185" s="0" t="s">
        <v>132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Q185" s="0" t="n">
        <v>3</v>
      </c>
      <c r="AR185" s="0" t="n">
        <v>0</v>
      </c>
      <c r="AS185" s="0" t="n">
        <v>0</v>
      </c>
      <c r="AT185" s="5" t="n">
        <f aca="false">60*V185-SUM(AU185:AY185)</f>
        <v>17.1666666666667</v>
      </c>
      <c r="AU185" s="4" t="n">
        <f aca="false">70+35/60</f>
        <v>70.5833333333333</v>
      </c>
      <c r="AV185" s="4" t="n">
        <f aca="false">26+19/60</f>
        <v>26.3166666666667</v>
      </c>
      <c r="AW185" s="4" t="n">
        <f aca="false">12+7/60</f>
        <v>12.1166666666667</v>
      </c>
      <c r="AX185" s="4" t="n">
        <f aca="false">49/60</f>
        <v>0.816666666666667</v>
      </c>
      <c r="AY185" s="4" t="n">
        <v>0</v>
      </c>
      <c r="AZ185" s="0" t="s">
        <v>60</v>
      </c>
      <c r="BA185" s="0" t="s">
        <v>61</v>
      </c>
      <c r="BB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118</v>
      </c>
      <c r="G186" s="3" t="n">
        <v>73</v>
      </c>
      <c r="H186" s="3" t="n">
        <v>54</v>
      </c>
      <c r="I186" s="3" t="n">
        <v>48</v>
      </c>
      <c r="J186" s="7" t="s">
        <v>76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133</v>
      </c>
      <c r="Q186" s="0" t="s">
        <v>142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Q186" s="0" t="n">
        <v>0</v>
      </c>
      <c r="AR186" s="0" t="n">
        <v>0</v>
      </c>
      <c r="AS186" s="0" t="n">
        <v>0</v>
      </c>
      <c r="AT186" s="5" t="n">
        <v>0</v>
      </c>
      <c r="AU186" s="4" t="n">
        <f aca="false">4+54/60</f>
        <v>4.9</v>
      </c>
      <c r="AV186" s="4" t="n">
        <f aca="false">28+9/60</f>
        <v>28.15</v>
      </c>
      <c r="AW186" s="4" t="n">
        <f aca="false">5+51/60</f>
        <v>5.85</v>
      </c>
      <c r="AX186" s="4" t="n">
        <f aca="false">7+3/60</f>
        <v>7.05</v>
      </c>
      <c r="AY186" s="4" t="n">
        <f aca="false">19+18/60</f>
        <v>19.3</v>
      </c>
      <c r="AZ186" s="0" t="s">
        <v>60</v>
      </c>
      <c r="BA186" s="0" t="s">
        <v>61</v>
      </c>
      <c r="BB186" s="0" t="n">
        <v>1</v>
      </c>
      <c r="BC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118</v>
      </c>
      <c r="G187" s="7" t="n">
        <v>93</v>
      </c>
      <c r="H187" s="3" t="n">
        <v>62</v>
      </c>
      <c r="I187" s="3" t="n">
        <v>37</v>
      </c>
      <c r="J187" s="3" t="s">
        <v>56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133</v>
      </c>
      <c r="Q187" s="0" t="s">
        <v>132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Q187" s="0" t="n">
        <v>3</v>
      </c>
      <c r="AR187" s="0" t="n">
        <v>1</v>
      </c>
      <c r="AS187" s="0" t="n">
        <v>0</v>
      </c>
      <c r="AT187" s="5" t="n">
        <v>0</v>
      </c>
      <c r="AU187" s="4" t="n">
        <f aca="false">20+59/60</f>
        <v>20.9833333333333</v>
      </c>
      <c r="AV187" s="4" t="n">
        <f aca="false">26+52/60</f>
        <v>26.8666666666667</v>
      </c>
      <c r="AW187" s="4" t="n">
        <f aca="false">20+52/60</f>
        <v>20.8666666666667</v>
      </c>
      <c r="AX187" s="4" t="n">
        <f aca="false">10+36/60</f>
        <v>10.6</v>
      </c>
      <c r="AY187" s="4" t="n">
        <v>0</v>
      </c>
      <c r="AZ187" s="0" t="s">
        <v>60</v>
      </c>
      <c r="BA187" s="0" t="s">
        <v>61</v>
      </c>
      <c r="BB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55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119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133</v>
      </c>
      <c r="Q188" s="0" t="s">
        <v>143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Q188" s="0" t="n">
        <v>1</v>
      </c>
      <c r="AR188" s="0" t="n">
        <v>1</v>
      </c>
      <c r="AS188" s="0" t="n">
        <v>0</v>
      </c>
      <c r="AT188" s="5" t="n">
        <v>0</v>
      </c>
      <c r="AU188" s="4" t="n">
        <v>0</v>
      </c>
      <c r="AV188" s="4" t="n">
        <f aca="false">6</f>
        <v>6</v>
      </c>
      <c r="AW188" s="4" t="n">
        <f aca="false">7+19/60</f>
        <v>7.31666666666667</v>
      </c>
      <c r="AX188" s="4" t="n">
        <f aca="false">21+30/60</f>
        <v>21.5</v>
      </c>
      <c r="AY188" s="4" t="n">
        <f aca="false">13+41/60</f>
        <v>13.6833333333333</v>
      </c>
      <c r="AZ188" s="0" t="s">
        <v>60</v>
      </c>
      <c r="BA188" s="0" t="s">
        <v>61</v>
      </c>
      <c r="BB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80</v>
      </c>
      <c r="F189" s="7" t="s">
        <v>118</v>
      </c>
      <c r="G189" s="3" t="n">
        <v>91</v>
      </c>
      <c r="H189" s="3" t="n">
        <v>63</v>
      </c>
      <c r="I189" s="3" t="n">
        <v>38</v>
      </c>
      <c r="J189" s="3" t="s">
        <v>105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83</v>
      </c>
      <c r="F190" s="7" t="s">
        <v>118</v>
      </c>
      <c r="G190" s="3" t="n">
        <v>94</v>
      </c>
      <c r="H190" s="3" t="n">
        <v>65</v>
      </c>
      <c r="I190" s="3" t="n">
        <v>38</v>
      </c>
      <c r="J190" s="3" t="s">
        <v>104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55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125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133</v>
      </c>
      <c r="Q191" s="0" t="s">
        <v>132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Q191" s="0" t="n">
        <v>1</v>
      </c>
      <c r="AR191" s="0" t="n">
        <v>1</v>
      </c>
      <c r="AS191" s="0" t="n">
        <v>0</v>
      </c>
      <c r="AT191" s="5" t="n">
        <f aca="false">60*V191-SUM(AU191:AY191)</f>
        <v>7.55</v>
      </c>
      <c r="AU191" s="4" t="n">
        <f aca="false">67+3/60</f>
        <v>67.05</v>
      </c>
      <c r="AV191" s="4" t="n">
        <f aca="false">44+55/60</f>
        <v>44.9166666666667</v>
      </c>
      <c r="AW191" s="4" t="n">
        <f aca="false">3+29/60</f>
        <v>3.48333333333333</v>
      </c>
      <c r="AX191" s="4" t="n">
        <v>0</v>
      </c>
      <c r="AY191" s="4" t="n">
        <v>0</v>
      </c>
      <c r="AZ191" s="0" t="s">
        <v>60</v>
      </c>
      <c r="BA191" s="0" t="s">
        <v>61</v>
      </c>
      <c r="BB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62</v>
      </c>
      <c r="G192" s="3" t="n">
        <v>86</v>
      </c>
      <c r="H192" s="3" t="n">
        <v>86</v>
      </c>
      <c r="I192" s="3" t="n">
        <v>73</v>
      </c>
      <c r="J192" s="3" t="s">
        <v>56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133</v>
      </c>
      <c r="Q192" s="0" t="s">
        <v>88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Q192" s="0" t="n">
        <v>3</v>
      </c>
      <c r="AR192" s="0" t="n">
        <v>0</v>
      </c>
      <c r="AS192" s="0" t="n">
        <v>0</v>
      </c>
      <c r="AT192" s="5" t="n">
        <f aca="false">60*V192-SUM(AU192:AY192)</f>
        <v>6.8</v>
      </c>
      <c r="AU192" s="4" t="n">
        <f aca="false">11/60</f>
        <v>0.183333333333333</v>
      </c>
      <c r="AV192" s="4" t="n">
        <f aca="false">17+29/60</f>
        <v>17.4833333333333</v>
      </c>
      <c r="AW192" s="4" t="n">
        <f aca="false">8+41/60</f>
        <v>8.68333333333333</v>
      </c>
      <c r="AX192" s="4" t="n">
        <f aca="false">5+27/60</f>
        <v>5.45</v>
      </c>
      <c r="AY192" s="4" t="n">
        <f aca="false">42+24/60</f>
        <v>42.4</v>
      </c>
      <c r="AZ192" s="0" t="s">
        <v>60</v>
      </c>
      <c r="BA192" s="0" t="s">
        <v>61</v>
      </c>
      <c r="BB192" s="0" t="n">
        <v>1</v>
      </c>
      <c r="BC192" s="0" t="s">
        <v>144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55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84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133</v>
      </c>
      <c r="Q193" s="0" t="s">
        <v>132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Q193" s="0" t="n">
        <v>0</v>
      </c>
      <c r="AR193" s="0" t="n">
        <v>0</v>
      </c>
      <c r="AS193" s="0" t="n">
        <v>0</v>
      </c>
      <c r="AT193" s="5" t="n">
        <f aca="false">38+58/60</f>
        <v>38.9666666666667</v>
      </c>
      <c r="AU193" s="4" t="n">
        <f aca="false">34+127/60</f>
        <v>36.1166666666667</v>
      </c>
      <c r="AV193" s="4" t="n">
        <f aca="false">1+51/60</f>
        <v>1.85</v>
      </c>
      <c r="AW193" s="4" t="n">
        <f aca="false">20/60</f>
        <v>0.333333333333333</v>
      </c>
      <c r="AX193" s="4" t="n">
        <v>0</v>
      </c>
      <c r="AY193" s="4" t="n">
        <v>0</v>
      </c>
      <c r="AZ193" s="0" t="s">
        <v>60</v>
      </c>
      <c r="BA193" s="0" t="s">
        <v>61</v>
      </c>
      <c r="BB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118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63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133</v>
      </c>
      <c r="Q194" s="0" t="s">
        <v>59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Q194" s="0" t="n">
        <v>0</v>
      </c>
      <c r="AR194" s="0" t="n">
        <v>0</v>
      </c>
      <c r="AS194" s="0" t="n">
        <v>0</v>
      </c>
      <c r="AT194" s="5" t="n">
        <f aca="false">60*V194-SUM(AU194:AY194)</f>
        <v>29.4566666666667</v>
      </c>
      <c r="AU194" s="4" t="n">
        <f aca="false">38+51/60</f>
        <v>38.85</v>
      </c>
      <c r="AV194" s="4" t="n">
        <f aca="false">24+17/50</f>
        <v>24.34</v>
      </c>
      <c r="AW194" s="4" t="n">
        <f aca="false">1+51/50</f>
        <v>2.02</v>
      </c>
      <c r="AX194" s="4" t="n">
        <f aca="false">20/60</f>
        <v>0.333333333333333</v>
      </c>
      <c r="AY194" s="4" t="n">
        <v>0</v>
      </c>
      <c r="AZ194" s="0" t="s">
        <v>60</v>
      </c>
      <c r="BA194" s="0" t="s">
        <v>61</v>
      </c>
      <c r="BB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118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81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133</v>
      </c>
      <c r="Q195" s="0" t="s">
        <v>132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Q195" s="0" t="n">
        <v>0</v>
      </c>
      <c r="AR195" s="0" t="n">
        <v>0</v>
      </c>
      <c r="AS195" s="0" t="n">
        <v>0</v>
      </c>
      <c r="AT195" s="5" t="n">
        <f aca="false">60*V195-SUM(AU195:AY195)</f>
        <v>35.4166666666667</v>
      </c>
      <c r="AU195" s="5" t="n">
        <f aca="false">26+33/60</f>
        <v>26.55</v>
      </c>
      <c r="AV195" s="4" t="n">
        <f aca="false">20+15/60</f>
        <v>20.25</v>
      </c>
      <c r="AW195" s="4" t="n">
        <f aca="false">2+47/60</f>
        <v>2.78333333333333</v>
      </c>
      <c r="AX195" s="4" t="n">
        <v>0</v>
      </c>
      <c r="AY195" s="4" t="n">
        <v>0</v>
      </c>
      <c r="AZ195" s="0" t="s">
        <v>60</v>
      </c>
      <c r="BA195" s="0" t="s">
        <v>61</v>
      </c>
      <c r="BB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62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63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133</v>
      </c>
      <c r="Q196" s="0" t="s">
        <v>70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Q196" s="0" t="n">
        <v>3</v>
      </c>
      <c r="AR196" s="0" t="n">
        <v>0</v>
      </c>
      <c r="AS196" s="0" t="n">
        <v>0</v>
      </c>
      <c r="AT196" s="5" t="n">
        <v>0</v>
      </c>
      <c r="AU196" s="4" t="n">
        <f aca="false">36/60</f>
        <v>0.6</v>
      </c>
      <c r="AV196" s="4" t="n">
        <f aca="false">15+21/60</f>
        <v>15.35</v>
      </c>
      <c r="AW196" s="4" t="n">
        <f aca="false">4+43/60</f>
        <v>4.71666666666667</v>
      </c>
      <c r="AX196" s="4" t="n">
        <f aca="false">7+54/60</f>
        <v>7.9</v>
      </c>
      <c r="AY196" s="4" t="n">
        <f aca="false">44+43/60</f>
        <v>44.7166666666667</v>
      </c>
      <c r="AZ196" s="0" t="s">
        <v>60</v>
      </c>
      <c r="BA196" s="0" t="s">
        <v>61</v>
      </c>
      <c r="BB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62</v>
      </c>
      <c r="G197" s="3" t="n">
        <v>90</v>
      </c>
      <c r="H197" s="3" t="n">
        <v>77</v>
      </c>
      <c r="I197" s="3" t="n">
        <v>66</v>
      </c>
      <c r="J197" s="7" t="s">
        <v>81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133</v>
      </c>
      <c r="Q197" s="0" t="s">
        <v>108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Q197" s="0" t="n">
        <v>3</v>
      </c>
      <c r="AR197" s="0" t="n">
        <v>0</v>
      </c>
      <c r="AS197" s="0" t="n">
        <v>0</v>
      </c>
      <c r="AT197" s="5" t="n">
        <v>0</v>
      </c>
      <c r="AU197" s="4" t="n">
        <f aca="false">14/60</f>
        <v>0.233333333333333</v>
      </c>
      <c r="AV197" s="4" t="n">
        <f aca="false">22+10/60</f>
        <v>22.1666666666667</v>
      </c>
      <c r="AW197" s="4" t="n">
        <f aca="false">11+47/60</f>
        <v>11.7833333333333</v>
      </c>
      <c r="AX197" s="4" t="n">
        <f aca="false">6+56/60</f>
        <v>6.93333333333333</v>
      </c>
      <c r="AY197" s="4" t="n">
        <f aca="false">26+2/60</f>
        <v>26.0333333333333</v>
      </c>
      <c r="AZ197" s="0" t="s">
        <v>60</v>
      </c>
      <c r="BA197" s="0" t="s">
        <v>61</v>
      </c>
      <c r="BB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83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104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62</v>
      </c>
      <c r="G199" s="3" t="n">
        <v>77</v>
      </c>
      <c r="H199" s="3" t="n">
        <v>73</v>
      </c>
      <c r="I199" s="3" t="n">
        <v>84</v>
      </c>
      <c r="J199" s="7" t="s">
        <v>89</v>
      </c>
      <c r="K199" s="3" t="n">
        <v>14</v>
      </c>
      <c r="L199" s="3" t="n">
        <v>24</v>
      </c>
      <c r="M199" s="0" t="s">
        <v>64</v>
      </c>
      <c r="N199" s="0" t="n">
        <v>0</v>
      </c>
      <c r="O199" s="0" t="s">
        <v>133</v>
      </c>
      <c r="Q199" s="0" t="s">
        <v>67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Q199" s="0" t="n">
        <v>1</v>
      </c>
      <c r="AR199" s="0" t="n">
        <v>0</v>
      </c>
      <c r="AS199" s="0" t="n">
        <v>0</v>
      </c>
      <c r="AT199" s="5" t="n">
        <f aca="false">60*V199-SUM(AU199:AY199)</f>
        <v>9.45000000000023</v>
      </c>
      <c r="AU199" s="4" t="n">
        <f aca="false">4+18/60</f>
        <v>4.3</v>
      </c>
      <c r="AV199" s="4" t="n">
        <f aca="false">18+29/60</f>
        <v>18.4833333333333</v>
      </c>
      <c r="AW199" s="4" t="n">
        <f aca="false">28+7/60</f>
        <v>28.1166666666667</v>
      </c>
      <c r="AX199" s="4" t="n">
        <f aca="false">21+41/60</f>
        <v>21.6833333333333</v>
      </c>
      <c r="AY199" s="4" t="n">
        <f aca="false">2+58/60</f>
        <v>2.96666666666667</v>
      </c>
      <c r="AZ199" s="0" t="s">
        <v>60</v>
      </c>
      <c r="BA199" s="0" t="s">
        <v>61</v>
      </c>
      <c r="BB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91</v>
      </c>
      <c r="G200" s="3" t="n">
        <v>77</v>
      </c>
      <c r="H200" s="3" t="n">
        <v>73</v>
      </c>
      <c r="I200" s="3" t="n">
        <f aca="false">(91+84)/2</f>
        <v>87.5</v>
      </c>
      <c r="J200" s="7" t="s">
        <v>139</v>
      </c>
      <c r="K200" s="3" t="n">
        <v>8</v>
      </c>
      <c r="L200" s="3" t="n">
        <v>0</v>
      </c>
      <c r="M200" s="0" t="s">
        <v>64</v>
      </c>
      <c r="N200" s="0" t="n">
        <v>0</v>
      </c>
      <c r="O200" s="0" t="s">
        <v>133</v>
      </c>
      <c r="Q200" s="0" t="s">
        <v>65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Q200" s="0" t="n">
        <v>3</v>
      </c>
      <c r="AR200" s="0" t="n">
        <v>0</v>
      </c>
      <c r="AS200" s="0" t="n">
        <v>0</v>
      </c>
      <c r="AT200" s="5" t="n">
        <v>0</v>
      </c>
      <c r="AU200" s="4" t="n">
        <f aca="false">39+40/60</f>
        <v>39.6666666666667</v>
      </c>
      <c r="AV200" s="4" t="n">
        <f aca="false">55+10/60</f>
        <v>55.1666666666667</v>
      </c>
      <c r="AW200" s="4" t="n">
        <f aca="false">11+19/60</f>
        <v>11.3166666666667</v>
      </c>
      <c r="AX200" s="4" t="n">
        <f aca="false">7/60</f>
        <v>0.116666666666667</v>
      </c>
      <c r="AY200" s="4" t="n">
        <v>0</v>
      </c>
      <c r="AZ200" s="0" t="s">
        <v>60</v>
      </c>
      <c r="BA200" s="0" t="s">
        <v>61</v>
      </c>
      <c r="BB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62</v>
      </c>
      <c r="G201" s="3" t="n">
        <v>83</v>
      </c>
      <c r="H201" s="3" t="n">
        <v>72</v>
      </c>
      <c r="I201" s="3" t="n">
        <f aca="false">(76+71)/2</f>
        <v>73.5</v>
      </c>
      <c r="J201" s="7" t="s">
        <v>122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133</v>
      </c>
      <c r="Q201" s="13" t="s">
        <v>127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Q201" s="0" t="n">
        <v>3</v>
      </c>
      <c r="AR201" s="0" t="n">
        <v>1</v>
      </c>
      <c r="AS201" s="0" t="n">
        <v>0</v>
      </c>
      <c r="AT201" s="5" t="n">
        <f aca="false">60*V201-SUM(AU201:AY201)</f>
        <v>8.38333333333313</v>
      </c>
      <c r="AU201" s="4" t="n">
        <f aca="false">0</f>
        <v>0</v>
      </c>
      <c r="AV201" s="4" t="n">
        <f aca="false">6+37/60</f>
        <v>6.61666666666667</v>
      </c>
      <c r="AW201" s="4" t="n">
        <f aca="false">9+3/60</f>
        <v>9.05</v>
      </c>
      <c r="AX201" s="4" t="n">
        <f aca="false">41/60+41</f>
        <v>41.6833333333333</v>
      </c>
      <c r="AY201" s="4" t="n">
        <f aca="false">23+16/60</f>
        <v>23.2666666666667</v>
      </c>
      <c r="AZ201" s="0" t="s">
        <v>60</v>
      </c>
      <c r="BA201" s="0" t="s">
        <v>61</v>
      </c>
      <c r="BB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62</v>
      </c>
      <c r="G202" s="7" t="n">
        <v>89</v>
      </c>
      <c r="H202" s="0" t="n">
        <v>70</v>
      </c>
      <c r="I202" s="0" t="n">
        <v>53</v>
      </c>
      <c r="J202" s="0" t="s">
        <v>106</v>
      </c>
      <c r="K202" s="0" t="n">
        <v>7</v>
      </c>
      <c r="L202" s="0" t="n">
        <v>0</v>
      </c>
      <c r="M202" s="0" t="s">
        <v>64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T202" s="0"/>
      <c r="AU202" s="0"/>
      <c r="AV202" s="0"/>
      <c r="AW202" s="0"/>
      <c r="AX202" s="0"/>
      <c r="AY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131</v>
      </c>
      <c r="F203" s="7" t="s">
        <v>118</v>
      </c>
      <c r="G203" s="3" t="n">
        <v>83</v>
      </c>
      <c r="H203" s="3" t="n">
        <v>75</v>
      </c>
      <c r="I203" s="3" t="n">
        <v>77</v>
      </c>
      <c r="J203" s="3" t="s">
        <v>136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133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Q203" s="0" t="n">
        <v>0</v>
      </c>
      <c r="AR203" s="0" t="n">
        <v>0</v>
      </c>
      <c r="AS203" s="0" t="n">
        <v>0</v>
      </c>
      <c r="AT203" s="5" t="n">
        <f aca="false">60*V203-SUM(AU203:AY203)</f>
        <v>0.150000000000006</v>
      </c>
      <c r="AU203" s="4" t="n">
        <f aca="false">2+2/60</f>
        <v>2.03333333333333</v>
      </c>
      <c r="AV203" s="4" t="n">
        <f aca="false">26+4/60</f>
        <v>26.0666666666667</v>
      </c>
      <c r="AW203" s="4" t="n">
        <f aca="false">6+57/60</f>
        <v>6.95</v>
      </c>
      <c r="AX203" s="4" t="n">
        <f aca="false">48/60</f>
        <v>0.8</v>
      </c>
      <c r="AY203" s="4" t="n">
        <v>0</v>
      </c>
      <c r="AZ203" s="0" t="s">
        <v>60</v>
      </c>
      <c r="BA203" s="0" t="s">
        <v>61</v>
      </c>
      <c r="BB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55</v>
      </c>
      <c r="G204" s="3" t="n">
        <v>92</v>
      </c>
      <c r="H204" s="3" t="n">
        <v>70</v>
      </c>
      <c r="I204" s="7" t="n">
        <v>52</v>
      </c>
      <c r="J204" s="7" t="s">
        <v>81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133</v>
      </c>
      <c r="Q204" s="0" t="s">
        <v>124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Q204" s="0" t="n">
        <v>4</v>
      </c>
      <c r="AR204" s="0" t="n">
        <v>1</v>
      </c>
      <c r="AS204" s="0" t="n">
        <v>0</v>
      </c>
      <c r="AT204" s="5" t="n">
        <v>0</v>
      </c>
      <c r="AU204" s="4" t="n">
        <f aca="false">14/60</f>
        <v>0.233333333333333</v>
      </c>
      <c r="AV204" s="4" t="n">
        <f aca="false">26+56/60</f>
        <v>26.9333333333333</v>
      </c>
      <c r="AW204" s="4" t="n">
        <f aca="false">9+20/60</f>
        <v>9.33333333333333</v>
      </c>
      <c r="AX204" s="4" t="n">
        <f aca="false">42+27/60</f>
        <v>42.45</v>
      </c>
      <c r="AY204" s="4" t="n">
        <f aca="false">28+17/60</f>
        <v>28.2833333333333</v>
      </c>
      <c r="AZ204" s="0" t="s">
        <v>60</v>
      </c>
      <c r="BA204" s="0" t="s">
        <v>61</v>
      </c>
      <c r="BB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62</v>
      </c>
      <c r="G205" s="3" t="n">
        <v>87</v>
      </c>
      <c r="H205" s="3" t="n">
        <v>73</v>
      </c>
      <c r="I205" s="3" t="n">
        <f aca="false">(67+61)/2</f>
        <v>64</v>
      </c>
      <c r="J205" s="3" t="s">
        <v>63</v>
      </c>
      <c r="K205" s="3" t="n">
        <v>16</v>
      </c>
      <c r="L205" s="3" t="n">
        <v>28</v>
      </c>
      <c r="M205" s="0" t="s">
        <v>64</v>
      </c>
      <c r="N205" s="0" t="n">
        <v>0</v>
      </c>
      <c r="O205" s="0" t="s">
        <v>133</v>
      </c>
      <c r="Q205" s="0" t="s">
        <v>95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Q205" s="0" t="n">
        <v>4</v>
      </c>
      <c r="AR205" s="0" t="n">
        <v>0</v>
      </c>
      <c r="AS205" s="0" t="n">
        <v>0</v>
      </c>
      <c r="AT205" s="5" t="n">
        <f aca="false">60*V205-SUM(AU205:AY205)</f>
        <v>13.6</v>
      </c>
      <c r="AU205" s="4" t="n">
        <f aca="false">18+29/60</f>
        <v>18.4833333333333</v>
      </c>
      <c r="AV205" s="4" t="n">
        <f aca="false">3+23/60</f>
        <v>3.38333333333333</v>
      </c>
      <c r="AW205" s="4" t="n">
        <f aca="false">3+4/60</f>
        <v>3.06666666666667</v>
      </c>
      <c r="AX205" s="4" t="n">
        <f aca="false">8+27/60</f>
        <v>8.45</v>
      </c>
      <c r="AY205" s="4" t="n">
        <f aca="false">39+1/60</f>
        <v>39.0166666666667</v>
      </c>
      <c r="AZ205" s="0" t="s">
        <v>60</v>
      </c>
      <c r="BA205" s="0" t="s">
        <v>61</v>
      </c>
      <c r="BB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145</v>
      </c>
      <c r="F206" s="7" t="s">
        <v>66</v>
      </c>
      <c r="G206" s="3" t="n">
        <v>81</v>
      </c>
      <c r="H206" s="3" t="n">
        <v>74</v>
      </c>
      <c r="I206" s="3" t="n">
        <v>76</v>
      </c>
      <c r="J206" s="7" t="s">
        <v>89</v>
      </c>
      <c r="K206" s="3" t="n">
        <v>10</v>
      </c>
      <c r="L206" s="3" t="n">
        <v>0</v>
      </c>
      <c r="M206" s="0" t="s">
        <v>64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62</v>
      </c>
      <c r="G207" s="3" t="n">
        <v>74</v>
      </c>
      <c r="H207" s="3" t="n">
        <v>63</v>
      </c>
      <c r="I207" s="3" t="n">
        <v>68</v>
      </c>
      <c r="J207" s="7" t="s">
        <v>107</v>
      </c>
      <c r="K207" s="3" t="n">
        <v>9</v>
      </c>
      <c r="L207" s="3" t="n">
        <v>0</v>
      </c>
      <c r="M207" s="7" t="s">
        <v>64</v>
      </c>
      <c r="N207" s="0" t="n">
        <v>0</v>
      </c>
      <c r="O207" s="0" t="s">
        <v>133</v>
      </c>
      <c r="P207" s="0" t="s">
        <v>146</v>
      </c>
      <c r="Q207" s="0" t="s">
        <v>108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Q207" s="0" t="n">
        <v>2</v>
      </c>
      <c r="AR207" s="0" t="n">
        <v>0</v>
      </c>
      <c r="AS207" s="0" t="n">
        <v>0</v>
      </c>
      <c r="AT207" s="5" t="n">
        <f aca="false">60*V207-SUM(AU207:AY207)</f>
        <v>13.1166666666667</v>
      </c>
      <c r="AU207" s="4" t="n">
        <f aca="false">21+33/60</f>
        <v>21.55</v>
      </c>
      <c r="AV207" s="4" t="n">
        <f aca="false">55+36/60</f>
        <v>55.6</v>
      </c>
      <c r="AW207" s="4" t="n">
        <f aca="false">3+44/60</f>
        <v>3.73333333333333</v>
      </c>
      <c r="AX207" s="4" t="n">
        <v>0</v>
      </c>
      <c r="AY207" s="4" t="n">
        <v>0</v>
      </c>
      <c r="AZ207" s="0" t="s">
        <v>60</v>
      </c>
      <c r="BA207" s="0" t="s">
        <v>61</v>
      </c>
      <c r="BB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62</v>
      </c>
      <c r="G208" s="3" t="n">
        <v>71</v>
      </c>
      <c r="H208" s="3" t="n">
        <v>63</v>
      </c>
      <c r="I208" s="3" t="n">
        <v>68</v>
      </c>
      <c r="J208" s="7" t="s">
        <v>87</v>
      </c>
      <c r="K208" s="3" t="n">
        <v>3</v>
      </c>
      <c r="L208" s="3" t="n">
        <v>0</v>
      </c>
      <c r="M208" s="7" t="s">
        <v>64</v>
      </c>
      <c r="N208" s="0" t="n">
        <v>0</v>
      </c>
      <c r="O208" s="0" t="s">
        <v>147</v>
      </c>
      <c r="P208" s="0" t="s">
        <v>146</v>
      </c>
      <c r="Q208" s="0" t="s">
        <v>70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Q208" s="0" t="n">
        <v>2</v>
      </c>
      <c r="AR208" s="0" t="n">
        <v>0</v>
      </c>
      <c r="AS208" s="0" t="n">
        <v>0</v>
      </c>
      <c r="AT208" s="5" t="n">
        <f aca="false">60*V208-SUM(AU208:AY208)</f>
        <v>15.0833333333333</v>
      </c>
      <c r="AU208" s="4" t="n">
        <f aca="false">37+28/60</f>
        <v>37.4666666666667</v>
      </c>
      <c r="AV208" s="4" t="n">
        <f aca="false">35+56/60</f>
        <v>35.9333333333333</v>
      </c>
      <c r="AW208" s="4" t="n">
        <f aca="false">7+14/60</f>
        <v>7.23333333333333</v>
      </c>
      <c r="AX208" s="4" t="n">
        <f aca="false">3+17/60</f>
        <v>3.28333333333333</v>
      </c>
      <c r="AY208" s="4" t="n">
        <v>0</v>
      </c>
      <c r="AZ208" s="0" t="s">
        <v>60</v>
      </c>
      <c r="BA208" s="0" t="s">
        <v>61</v>
      </c>
      <c r="BB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62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87</v>
      </c>
      <c r="K209" s="3" t="n">
        <v>3</v>
      </c>
      <c r="L209" s="3" t="n">
        <v>0</v>
      </c>
      <c r="M209" s="7" t="s">
        <v>64</v>
      </c>
      <c r="N209" s="0" t="n">
        <v>0</v>
      </c>
      <c r="O209" s="0" t="s">
        <v>147</v>
      </c>
      <c r="P209" s="0" t="s">
        <v>146</v>
      </c>
      <c r="Q209" s="0" t="s">
        <v>143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Q209" s="0" t="n">
        <v>1</v>
      </c>
      <c r="AR209" s="0" t="n">
        <v>0</v>
      </c>
      <c r="AS209" s="0" t="n">
        <v>0</v>
      </c>
      <c r="AT209" s="5" t="n">
        <f aca="false">60*V209-SUM(AU209:AY209)</f>
        <v>1.46666666666667</v>
      </c>
      <c r="AU209" s="4" t="n">
        <f aca="false">28+36/60</f>
        <v>28.6</v>
      </c>
      <c r="AV209" s="4" t="n">
        <f aca="false">54+7/60</f>
        <v>54.1166666666667</v>
      </c>
      <c r="AW209" s="4" t="n">
        <f aca="false">10+49/60</f>
        <v>10.8166666666667</v>
      </c>
      <c r="AX209" s="4" t="n">
        <v>0</v>
      </c>
      <c r="AY209" s="4" t="n">
        <v>0</v>
      </c>
      <c r="AZ209" s="0" t="s">
        <v>60</v>
      </c>
      <c r="BA209" s="0" t="s">
        <v>61</v>
      </c>
      <c r="BB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55</v>
      </c>
      <c r="G210" s="3" t="n">
        <v>69</v>
      </c>
      <c r="H210" s="3" t="n">
        <v>69</v>
      </c>
      <c r="I210" s="3" t="n">
        <f aca="false">(57+51)/2</f>
        <v>54</v>
      </c>
      <c r="J210" s="7" t="s">
        <v>87</v>
      </c>
      <c r="K210" s="3" t="n">
        <f aca="false">(14+10)/2</f>
        <v>12</v>
      </c>
      <c r="L210" s="3" t="n">
        <v>21</v>
      </c>
      <c r="M210" s="7" t="s">
        <v>64</v>
      </c>
      <c r="N210" s="0" t="n">
        <v>0</v>
      </c>
      <c r="O210" s="0" t="s">
        <v>147</v>
      </c>
      <c r="P210" s="0" t="s">
        <v>146</v>
      </c>
      <c r="Q210" s="0" t="s">
        <v>88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Q210" s="0" t="n">
        <v>1</v>
      </c>
      <c r="AR210" s="0" t="n">
        <v>1</v>
      </c>
      <c r="AS210" s="0" t="n">
        <v>0</v>
      </c>
      <c r="AT210" s="5" t="n">
        <v>0</v>
      </c>
      <c r="AU210" s="4" t="n">
        <f aca="false">1+38/60</f>
        <v>1.63333333333333</v>
      </c>
      <c r="AV210" s="4" t="n">
        <f aca="false">15+26/60</f>
        <v>15.4333333333333</v>
      </c>
      <c r="AW210" s="4" t="n">
        <f aca="false">79+58/60</f>
        <v>79.9666666666667</v>
      </c>
      <c r="AX210" s="4" t="n">
        <v>0</v>
      </c>
      <c r="AY210" s="4" t="n">
        <v>0</v>
      </c>
      <c r="AZ210" s="0" t="s">
        <v>60</v>
      </c>
      <c r="BA210" s="0" t="s">
        <v>61</v>
      </c>
      <c r="BB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118</v>
      </c>
      <c r="G211" s="3" t="n">
        <v>88</v>
      </c>
      <c r="H211" s="3" t="n">
        <v>66</v>
      </c>
      <c r="I211" s="3" t="n">
        <v>52</v>
      </c>
      <c r="J211" s="3" t="s">
        <v>84</v>
      </c>
      <c r="K211" s="3" t="n">
        <v>7</v>
      </c>
      <c r="L211" s="3" t="n">
        <v>0</v>
      </c>
      <c r="M211" s="0" t="s">
        <v>64</v>
      </c>
      <c r="N211" s="0" t="n">
        <v>0</v>
      </c>
      <c r="O211" s="0" t="s">
        <v>147</v>
      </c>
      <c r="P211" s="0" t="s">
        <v>146</v>
      </c>
      <c r="Q211" s="13" t="s">
        <v>127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Q211" s="0" t="n">
        <v>4</v>
      </c>
      <c r="AR211" s="0" t="n">
        <v>0</v>
      </c>
      <c r="AS211" s="0" t="n">
        <v>0</v>
      </c>
      <c r="AT211" s="5" t="n">
        <f aca="false">60*V211-SUM(AU211:AY211)</f>
        <v>4.96666666666667</v>
      </c>
      <c r="AU211" s="4" t="n">
        <f aca="false">27+23/60</f>
        <v>27.3833333333333</v>
      </c>
      <c r="AV211" s="4" t="n">
        <f aca="false">49+26/60</f>
        <v>49.4333333333333</v>
      </c>
      <c r="AW211" s="4" t="n">
        <f aca="false">30+13/60</f>
        <v>30.2166666666667</v>
      </c>
      <c r="AX211" s="4" t="n">
        <v>0</v>
      </c>
      <c r="AY211" s="4" t="n">
        <v>0</v>
      </c>
      <c r="AZ211" s="0" t="s">
        <v>60</v>
      </c>
      <c r="BA211" s="0" t="s">
        <v>61</v>
      </c>
      <c r="BB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55</v>
      </c>
      <c r="G212" s="3" t="n">
        <v>85</v>
      </c>
      <c r="H212" s="3" t="n">
        <v>70</v>
      </c>
      <c r="I212" s="3" t="n">
        <f aca="false">(63+59)/2</f>
        <v>61</v>
      </c>
      <c r="J212" s="3" t="s">
        <v>84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147</v>
      </c>
      <c r="P212" s="0" t="s">
        <v>146</v>
      </c>
      <c r="Q212" s="0" t="s">
        <v>67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Q212" s="0" t="n">
        <v>4</v>
      </c>
      <c r="AR212" s="0" t="n">
        <v>0</v>
      </c>
      <c r="AS212" s="0" t="n">
        <v>0</v>
      </c>
      <c r="AT212" s="5" t="n">
        <f aca="false">60*V212-SUM(AU212:AY212)</f>
        <v>0.36666666666666</v>
      </c>
      <c r="AU212" s="5" t="n">
        <f aca="false">32+59/60</f>
        <v>32.9833333333333</v>
      </c>
      <c r="AV212" s="4" t="n">
        <f aca="false">31+4/60</f>
        <v>31.0666666666667</v>
      </c>
      <c r="AW212" s="4" t="n">
        <f aca="false">34+11/60</f>
        <v>34.1833333333333</v>
      </c>
      <c r="AX212" s="4" t="n">
        <f aca="false">2+24/60</f>
        <v>2.4</v>
      </c>
      <c r="AY212" s="4" t="n">
        <v>0</v>
      </c>
      <c r="AZ212" s="0" t="s">
        <v>60</v>
      </c>
      <c r="BA212" s="0" t="s">
        <v>61</v>
      </c>
      <c r="BB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80</v>
      </c>
      <c r="F213" s="7" t="s">
        <v>118</v>
      </c>
      <c r="G213" s="3" t="n">
        <v>89</v>
      </c>
      <c r="H213" s="3" t="n">
        <v>70</v>
      </c>
      <c r="I213" s="3" t="n">
        <f aca="false">(57+51)/2</f>
        <v>54</v>
      </c>
      <c r="J213" s="3" t="s">
        <v>84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147</v>
      </c>
      <c r="P213" s="0" t="s">
        <v>146</v>
      </c>
      <c r="Q213" s="0" t="s">
        <v>124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Q213" s="0" t="n">
        <v>3</v>
      </c>
      <c r="AR213" s="0" t="n">
        <v>0</v>
      </c>
      <c r="AS213" s="0" t="n">
        <v>0</v>
      </c>
      <c r="AT213" s="5" t="n">
        <f aca="false">60*V213-SUM(AU213:AY213)</f>
        <v>0.0499999999999972</v>
      </c>
      <c r="AU213" s="4" t="n">
        <f aca="false">5+10/60</f>
        <v>5.16666666666667</v>
      </c>
      <c r="AV213" s="0" t="n">
        <f aca="false">35+15/60</f>
        <v>35.25</v>
      </c>
      <c r="AW213" s="4" t="n">
        <f aca="false">52+32/60</f>
        <v>52.5333333333333</v>
      </c>
      <c r="AX213" s="4" t="n">
        <v>0</v>
      </c>
      <c r="AY213" s="4" t="n">
        <v>0</v>
      </c>
      <c r="AZ213" s="0" t="s">
        <v>60</v>
      </c>
      <c r="BA213" s="0" t="s">
        <v>61</v>
      </c>
      <c r="BB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55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87</v>
      </c>
      <c r="K214" s="3" t="n">
        <v>8</v>
      </c>
      <c r="L214" s="3" t="n">
        <v>0</v>
      </c>
      <c r="M214" s="0" t="s">
        <v>64</v>
      </c>
      <c r="N214" s="0" t="n">
        <v>0</v>
      </c>
      <c r="O214" s="0" t="s">
        <v>147</v>
      </c>
      <c r="P214" s="0" t="s">
        <v>146</v>
      </c>
      <c r="Q214" s="0" t="s">
        <v>95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Q214" s="0" t="n">
        <v>2</v>
      </c>
      <c r="AR214" s="0" t="n">
        <v>0</v>
      </c>
      <c r="AS214" s="0" t="n">
        <v>0</v>
      </c>
      <c r="AT214" s="5" t="n">
        <f aca="false">60*V214-SUM(AU214:AY214)</f>
        <v>24.0166666666667</v>
      </c>
      <c r="AU214" s="4" t="n">
        <f aca="false">68+32/60</f>
        <v>68.5333333333333</v>
      </c>
      <c r="AV214" s="4" t="n">
        <f aca="false">13+27/60</f>
        <v>13.45</v>
      </c>
      <c r="AW214" s="4" t="n">
        <v>0</v>
      </c>
      <c r="AX214" s="4" t="n">
        <v>0</v>
      </c>
      <c r="AY214" s="4" t="n">
        <v>0</v>
      </c>
      <c r="AZ214" s="0" t="s">
        <v>60</v>
      </c>
      <c r="BA214" s="0" t="s">
        <v>61</v>
      </c>
      <c r="BB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55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64</v>
      </c>
      <c r="N215" s="0" t="n">
        <v>0</v>
      </c>
      <c r="O215" s="0" t="s">
        <v>147</v>
      </c>
      <c r="P215" s="0" t="s">
        <v>146</v>
      </c>
      <c r="Q215" s="0" t="s">
        <v>108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Q215" s="0" t="n">
        <v>2</v>
      </c>
      <c r="AR215" s="0" t="n">
        <v>0</v>
      </c>
      <c r="AS215" s="0" t="n">
        <v>0</v>
      </c>
      <c r="AT215" s="5" t="n">
        <f aca="false">60*V215-SUM(AU215:AY215)</f>
        <v>25.5666666666667</v>
      </c>
      <c r="AU215" s="4" t="n">
        <f aca="false">32+29/60</f>
        <v>32.4833333333333</v>
      </c>
      <c r="AV215" s="4" t="n">
        <f aca="false">16+6/60</f>
        <v>16.1</v>
      </c>
      <c r="AW215" s="4" t="n">
        <f aca="false">26+51/60</f>
        <v>26.85</v>
      </c>
      <c r="AX215" s="4" t="n">
        <v>0</v>
      </c>
      <c r="AY215" s="4" t="n">
        <v>0</v>
      </c>
      <c r="AZ215" s="0" t="s">
        <v>60</v>
      </c>
      <c r="BA215" s="0" t="s">
        <v>61</v>
      </c>
      <c r="BB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118</v>
      </c>
      <c r="G216" s="3" t="n">
        <v>75</v>
      </c>
      <c r="H216" s="3" t="n">
        <v>59</v>
      </c>
      <c r="I216" s="3" t="n">
        <v>57</v>
      </c>
      <c r="J216" s="7" t="s">
        <v>129</v>
      </c>
      <c r="K216" s="3" t="n">
        <v>10</v>
      </c>
      <c r="L216" s="3" t="n">
        <v>0</v>
      </c>
      <c r="M216" s="0" t="s">
        <v>64</v>
      </c>
      <c r="N216" s="0" t="n">
        <v>0</v>
      </c>
      <c r="O216" s="0" t="s">
        <v>147</v>
      </c>
      <c r="P216" s="0" t="s">
        <v>146</v>
      </c>
      <c r="Q216" s="0" t="s">
        <v>124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Q216" s="0" t="n">
        <v>1</v>
      </c>
      <c r="AR216" s="0" t="n">
        <v>1</v>
      </c>
      <c r="AS216" s="0" t="n">
        <v>0</v>
      </c>
      <c r="AT216" s="5" t="n">
        <f aca="false">60*V216-SUM(AU216:AY216)</f>
        <v>79.65</v>
      </c>
      <c r="AU216" s="4" t="n">
        <f aca="false">40+46/60</f>
        <v>40.7666666666667</v>
      </c>
      <c r="AV216" s="4" t="n">
        <f aca="false">35/60</f>
        <v>0.583333333333333</v>
      </c>
      <c r="AW216" s="4" t="n">
        <v>0</v>
      </c>
      <c r="AX216" s="4" t="n">
        <v>0</v>
      </c>
      <c r="AY216" s="4" t="n">
        <v>0</v>
      </c>
      <c r="AZ216" s="0" t="s">
        <v>60</v>
      </c>
      <c r="BA216" s="0" t="s">
        <v>61</v>
      </c>
      <c r="BB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72</v>
      </c>
      <c r="G217" s="3" t="n">
        <v>80</v>
      </c>
      <c r="H217" s="3" t="n">
        <v>56</v>
      </c>
      <c r="I217" s="3" t="n">
        <v>80</v>
      </c>
      <c r="J217" s="3" t="s">
        <v>104</v>
      </c>
      <c r="K217" s="3" t="n">
        <v>12</v>
      </c>
      <c r="L217" s="3" t="n">
        <v>20</v>
      </c>
      <c r="M217" s="0" t="s">
        <v>64</v>
      </c>
      <c r="N217" s="0" t="n">
        <v>0</v>
      </c>
      <c r="O217" s="0" t="s">
        <v>147</v>
      </c>
      <c r="P217" s="0" t="s">
        <v>146</v>
      </c>
      <c r="Q217" s="0" t="s">
        <v>148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Q217" s="0" t="n">
        <v>2</v>
      </c>
      <c r="AR217" s="0" t="n">
        <v>0</v>
      </c>
      <c r="AS217" s="0" t="n">
        <v>0</v>
      </c>
      <c r="AT217" s="5" t="n">
        <f aca="false">60*V217-SUM(AU217:AY217)</f>
        <v>0.556666666666672</v>
      </c>
      <c r="AU217" s="4" t="n">
        <v>76.41</v>
      </c>
      <c r="AV217" s="4" t="n">
        <f aca="false">26+36/60</f>
        <v>26.6</v>
      </c>
      <c r="AW217" s="4" t="n">
        <f aca="false">2+26/60</f>
        <v>2.43333333333333</v>
      </c>
      <c r="AX217" s="4" t="n">
        <v>0</v>
      </c>
      <c r="AY217" s="4" t="n">
        <v>0</v>
      </c>
      <c r="AZ217" s="0" t="s">
        <v>60</v>
      </c>
      <c r="BA217" s="0" t="s">
        <v>61</v>
      </c>
      <c r="BB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91</v>
      </c>
      <c r="G218" s="3" t="n">
        <v>76</v>
      </c>
      <c r="H218" s="3" t="n">
        <v>65</v>
      </c>
      <c r="I218" s="3" t="n">
        <v>71</v>
      </c>
      <c r="J218" s="3" t="s">
        <v>106</v>
      </c>
      <c r="K218" s="3" t="n">
        <v>9</v>
      </c>
      <c r="L218" s="3" t="n">
        <v>0</v>
      </c>
      <c r="M218" s="0" t="s">
        <v>64</v>
      </c>
      <c r="N218" s="0" t="n">
        <v>0</v>
      </c>
      <c r="O218" s="0" t="s">
        <v>147</v>
      </c>
      <c r="P218" s="0" t="s">
        <v>146</v>
      </c>
      <c r="Q218" s="0" t="s">
        <v>143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Q218" s="0" t="n">
        <v>1</v>
      </c>
      <c r="AR218" s="0" t="n">
        <v>0</v>
      </c>
      <c r="AS218" s="0" t="n">
        <v>0</v>
      </c>
      <c r="AT218" s="5" t="n">
        <v>0</v>
      </c>
      <c r="AU218" s="4" t="n">
        <f aca="false">11+4/60</f>
        <v>11.0666666666667</v>
      </c>
      <c r="AV218" s="4" t="n">
        <f aca="false">74+36/60</f>
        <v>74.6</v>
      </c>
      <c r="AW218" s="4" t="n">
        <f aca="false">25+34/60/60</f>
        <v>25.0094444444444</v>
      </c>
      <c r="AX218" s="4" t="n">
        <v>0</v>
      </c>
      <c r="AY218" s="4" t="n">
        <v>0</v>
      </c>
      <c r="AZ218" s="0" t="s">
        <v>60</v>
      </c>
      <c r="BA218" s="0" t="s">
        <v>61</v>
      </c>
      <c r="BB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96</v>
      </c>
      <c r="F219" s="0" t="s">
        <v>91</v>
      </c>
      <c r="G219" s="3" t="n">
        <v>69</v>
      </c>
      <c r="H219" s="3" t="n">
        <v>67</v>
      </c>
      <c r="I219" s="3" t="n">
        <v>96</v>
      </c>
      <c r="J219" s="3" t="s">
        <v>106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66</v>
      </c>
      <c r="G220" s="3" t="n">
        <v>71</v>
      </c>
      <c r="H220" s="3" t="n">
        <v>63</v>
      </c>
      <c r="I220" s="3" t="n">
        <v>75</v>
      </c>
      <c r="J220" s="3" t="s">
        <v>84</v>
      </c>
      <c r="K220" s="3" t="n">
        <v>13</v>
      </c>
      <c r="L220" s="3" t="n">
        <v>0</v>
      </c>
      <c r="M220" s="0" t="s">
        <v>64</v>
      </c>
      <c r="N220" s="0" t="n">
        <v>0</v>
      </c>
      <c r="O220" s="0" t="s">
        <v>147</v>
      </c>
      <c r="P220" s="0" t="s">
        <v>146</v>
      </c>
      <c r="Q220" s="13" t="s">
        <v>127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Q220" s="0" t="n">
        <v>1</v>
      </c>
      <c r="AR220" s="0" t="n">
        <v>0</v>
      </c>
      <c r="AS220" s="0" t="n">
        <v>0</v>
      </c>
      <c r="AT220" s="5" t="n">
        <f aca="false">60*V220-SUM(AU220:AY220)</f>
        <v>59.7000000000002</v>
      </c>
      <c r="AU220" s="4" t="n">
        <f aca="false">45+39/60</f>
        <v>45.65</v>
      </c>
      <c r="AV220" s="4" t="n">
        <f aca="false">6+39/60</f>
        <v>6.65</v>
      </c>
      <c r="AW220" s="4" t="n">
        <v>0</v>
      </c>
      <c r="AX220" s="4" t="n">
        <v>0</v>
      </c>
      <c r="AY220" s="4" t="n">
        <v>0</v>
      </c>
      <c r="AZ220" s="0" t="s">
        <v>60</v>
      </c>
      <c r="BA220" s="0" t="s">
        <v>61</v>
      </c>
      <c r="BB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62</v>
      </c>
      <c r="G221" s="3" t="n">
        <v>70</v>
      </c>
      <c r="H221" s="3" t="n">
        <v>61</v>
      </c>
      <c r="I221" s="3" t="n">
        <v>73</v>
      </c>
      <c r="J221" s="7" t="s">
        <v>76</v>
      </c>
      <c r="K221" s="3" t="n">
        <v>0</v>
      </c>
      <c r="L221" s="3" t="n">
        <v>0</v>
      </c>
      <c r="M221" s="0" t="s">
        <v>64</v>
      </c>
      <c r="N221" s="0" t="n">
        <v>0</v>
      </c>
      <c r="O221" s="0" t="s">
        <v>147</v>
      </c>
      <c r="P221" s="0" t="s">
        <v>146</v>
      </c>
      <c r="Q221" s="7" t="s">
        <v>93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Q221" s="0" t="n">
        <v>0</v>
      </c>
      <c r="AR221" s="0" t="n">
        <v>0</v>
      </c>
      <c r="AS221" s="0" t="n">
        <v>0</v>
      </c>
      <c r="AT221" s="5" t="n">
        <f aca="false">60*V221-SUM(AU221:AY221)</f>
        <v>3.63333333333333</v>
      </c>
      <c r="AU221" s="4" t="n">
        <f aca="false">16+29/60</f>
        <v>16.4833333333333</v>
      </c>
      <c r="AV221" s="4" t="n">
        <f aca="false">8+44/60</f>
        <v>8.73333333333333</v>
      </c>
      <c r="AW221" s="4" t="n">
        <f aca="false">51+9/60</f>
        <v>51.15</v>
      </c>
      <c r="AX221" s="4" t="n">
        <v>0</v>
      </c>
      <c r="AY221" s="4" t="n">
        <v>0</v>
      </c>
      <c r="AZ221" s="0" t="s">
        <v>60</v>
      </c>
      <c r="BA221" s="0" t="s">
        <v>61</v>
      </c>
      <c r="BB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118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63</v>
      </c>
      <c r="K222" s="3" t="n">
        <v>10</v>
      </c>
      <c r="L222" s="3" t="n">
        <v>0</v>
      </c>
      <c r="M222" s="0" t="s">
        <v>64</v>
      </c>
      <c r="O222" s="0" t="s">
        <v>147</v>
      </c>
      <c r="P222" s="0" t="s">
        <v>146</v>
      </c>
      <c r="Q222" s="0" t="s">
        <v>70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Q222" s="0" t="n">
        <v>6</v>
      </c>
      <c r="AR222" s="0" t="n">
        <v>0</v>
      </c>
      <c r="AS222" s="0" t="n">
        <v>0</v>
      </c>
      <c r="AT222" s="5" t="n">
        <f aca="false">60*V222-SUM(AU222:AY222)</f>
        <v>29.65</v>
      </c>
      <c r="AU222" s="4" t="n">
        <f aca="false">27+57/60</f>
        <v>27.95</v>
      </c>
      <c r="AV222" s="4" t="n">
        <f aca="false">37+56/60</f>
        <v>37.9333333333333</v>
      </c>
      <c r="AW222" s="4" t="n">
        <f aca="false">20+34/60</f>
        <v>20.5666666666667</v>
      </c>
      <c r="AX222" s="4" t="n">
        <f aca="false">1+54/60</f>
        <v>1.9</v>
      </c>
      <c r="AY222" s="4" t="n">
        <v>0</v>
      </c>
      <c r="AZ222" s="0" t="s">
        <v>60</v>
      </c>
      <c r="BA222" s="0" t="s">
        <v>61</v>
      </c>
      <c r="BB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72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63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147</v>
      </c>
      <c r="P223" s="0" t="s">
        <v>146</v>
      </c>
      <c r="Q223" s="0" t="s">
        <v>143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Q223" s="0" t="n">
        <v>2</v>
      </c>
      <c r="AR223" s="0" t="n">
        <v>0</v>
      </c>
      <c r="AS223" s="0" t="n">
        <v>0</v>
      </c>
      <c r="AT223" s="5" t="n">
        <f aca="false">60*V223-SUM(AU223:AY223)</f>
        <v>32.3166666666667</v>
      </c>
      <c r="AU223" s="4" t="n">
        <f aca="false">41+4/60</f>
        <v>41.0666666666667</v>
      </c>
      <c r="AV223" s="4" t="n">
        <f aca="false">56+8/60</f>
        <v>56.1333333333333</v>
      </c>
      <c r="AW223" s="4" t="n">
        <f aca="false">14+26/60</f>
        <v>14.4333333333333</v>
      </c>
      <c r="AX223" s="4" t="n">
        <f aca="false">3/60</f>
        <v>0.05</v>
      </c>
      <c r="AY223" s="4" t="n">
        <v>0</v>
      </c>
      <c r="AZ223" s="0" t="s">
        <v>60</v>
      </c>
      <c r="BA223" s="0" t="s">
        <v>61</v>
      </c>
      <c r="BB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63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147</v>
      </c>
      <c r="P224" s="0" t="s">
        <v>146</v>
      </c>
      <c r="Q224" s="0" t="s">
        <v>88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Q224" s="0" t="n">
        <v>1</v>
      </c>
      <c r="AR224" s="0" t="n">
        <v>0</v>
      </c>
      <c r="AS224" s="0" t="n">
        <v>0</v>
      </c>
      <c r="AT224" s="5" t="n">
        <v>0</v>
      </c>
      <c r="AU224" s="4" t="n">
        <f aca="false">58+56/60</f>
        <v>58.9333333333333</v>
      </c>
      <c r="AV224" s="4" t="n">
        <f aca="false">16+66/60</f>
        <v>17.1</v>
      </c>
      <c r="AW224" s="4" t="n">
        <f aca="false">4+17/60</f>
        <v>4.28333333333333</v>
      </c>
      <c r="AX224" s="4" t="n">
        <v>0</v>
      </c>
      <c r="AY224" s="4" t="n">
        <v>0</v>
      </c>
      <c r="AZ224" s="0" t="s">
        <v>60</v>
      </c>
      <c r="BA224" s="0" t="s">
        <v>61</v>
      </c>
      <c r="BB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94</v>
      </c>
      <c r="G225" s="3" t="n">
        <v>76</v>
      </c>
      <c r="H225" s="3" t="n">
        <v>43</v>
      </c>
      <c r="I225" s="3" t="n">
        <f aca="false">(33+29)/2</f>
        <v>31</v>
      </c>
      <c r="J225" s="3" t="s">
        <v>84</v>
      </c>
      <c r="K225" s="3" t="n">
        <f aca="false">(18+21)/2</f>
        <v>19.5</v>
      </c>
      <c r="L225" s="3" t="n">
        <v>30</v>
      </c>
      <c r="M225" s="0" t="s">
        <v>64</v>
      </c>
      <c r="N225" s="0" t="n">
        <v>0</v>
      </c>
      <c r="O225" s="0" t="s">
        <v>147</v>
      </c>
      <c r="P225" s="0" t="s">
        <v>146</v>
      </c>
      <c r="Q225" s="0" t="s">
        <v>95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Q225" s="0" t="n">
        <v>2</v>
      </c>
      <c r="AR225" s="0" t="n">
        <v>1</v>
      </c>
      <c r="AS225" s="0" t="n">
        <v>0</v>
      </c>
      <c r="AT225" s="5" t="n">
        <f aca="false">60*V225-SUM(AU225:AY225)</f>
        <v>23.7633333333333</v>
      </c>
      <c r="AU225" s="4" t="n">
        <f aca="false">79+26/50</f>
        <v>79.52</v>
      </c>
      <c r="AV225" s="4" t="n">
        <f aca="false">6+42/60</f>
        <v>6.7</v>
      </c>
      <c r="AW225" s="4" t="n">
        <f aca="false">1/60</f>
        <v>0.0166666666666667</v>
      </c>
      <c r="AX225" s="4" t="n">
        <v>0</v>
      </c>
      <c r="AY225" s="4" t="n">
        <v>0</v>
      </c>
      <c r="AZ225" s="0" t="s">
        <v>60</v>
      </c>
      <c r="BA225" s="0" t="s">
        <v>61</v>
      </c>
      <c r="BB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72</v>
      </c>
      <c r="G226" s="3" t="n">
        <v>81</v>
      </c>
      <c r="H226" s="3" t="n">
        <v>32</v>
      </c>
      <c r="I226" s="3" t="n">
        <v>17</v>
      </c>
      <c r="J226" s="3" t="s">
        <v>106</v>
      </c>
      <c r="K226" s="3" t="n">
        <v>11</v>
      </c>
      <c r="L226" s="3" t="n">
        <f aca="false">(20+32)/2</f>
        <v>26</v>
      </c>
      <c r="M226" s="0" t="s">
        <v>64</v>
      </c>
      <c r="N226" s="0" t="n">
        <v>0</v>
      </c>
      <c r="O226" s="0" t="s">
        <v>147</v>
      </c>
      <c r="P226" s="0" t="s">
        <v>146</v>
      </c>
      <c r="Q226" s="0" t="s">
        <v>108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Q226" s="0" t="n">
        <v>2</v>
      </c>
      <c r="AR226" s="0" t="n">
        <v>0</v>
      </c>
      <c r="AS226" s="0" t="n">
        <v>0</v>
      </c>
      <c r="AT226" s="5" t="n">
        <f aca="false">60*V226-SUM(AU226:AY226)</f>
        <v>68.3333333333333</v>
      </c>
      <c r="AU226" s="4" t="n">
        <f aca="false">26+1/60</f>
        <v>26.0166666666667</v>
      </c>
      <c r="AV226" s="4" t="n">
        <f aca="false">2+39/60</f>
        <v>2.65</v>
      </c>
      <c r="AW226" s="4" t="n">
        <v>0</v>
      </c>
      <c r="AX226" s="4" t="n">
        <v>0</v>
      </c>
      <c r="AY226" s="4" t="n">
        <v>0</v>
      </c>
      <c r="AZ226" s="0" t="s">
        <v>60</v>
      </c>
      <c r="BA226" s="0" t="s">
        <v>61</v>
      </c>
      <c r="BB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72</v>
      </c>
      <c r="G227" s="3" t="n">
        <v>90</v>
      </c>
      <c r="H227" s="3" t="n">
        <v>42</v>
      </c>
      <c r="I227" s="3" t="n">
        <v>19</v>
      </c>
      <c r="J227" s="0" t="s">
        <v>104</v>
      </c>
      <c r="K227" s="3" t="n">
        <v>5</v>
      </c>
      <c r="L227" s="3" t="n">
        <v>0</v>
      </c>
      <c r="M227" s="0" t="s">
        <v>64</v>
      </c>
      <c r="N227" s="0" t="n">
        <v>0</v>
      </c>
      <c r="O227" s="0" t="s">
        <v>147</v>
      </c>
      <c r="P227" s="0" t="s">
        <v>146</v>
      </c>
      <c r="Q227" s="0" t="s">
        <v>70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Q227" s="0" t="n">
        <v>3</v>
      </c>
      <c r="AR227" s="0" t="n">
        <v>1</v>
      </c>
      <c r="AS227" s="0" t="n">
        <v>0</v>
      </c>
      <c r="AT227" s="5" t="n">
        <f aca="false">60*V227-SUM(AU227:AY227)</f>
        <v>0.550000000000011</v>
      </c>
      <c r="AU227" s="4" t="n">
        <f aca="false">28+54/60</f>
        <v>28.9</v>
      </c>
      <c r="AV227" s="4" t="n">
        <f aca="false">61+44/60</f>
        <v>61.7333333333333</v>
      </c>
      <c r="AW227" s="4" t="n">
        <f aca="false">25+49/60</f>
        <v>25.8166666666667</v>
      </c>
      <c r="AX227" s="4" t="n">
        <v>0</v>
      </c>
      <c r="AY227" s="4" t="n">
        <v>0</v>
      </c>
      <c r="AZ227" s="0" t="s">
        <v>60</v>
      </c>
      <c r="BA227" s="0" t="s">
        <v>61</v>
      </c>
      <c r="BB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72</v>
      </c>
      <c r="G228" s="3" t="n">
        <v>80</v>
      </c>
      <c r="H228" s="3" t="n">
        <v>46</v>
      </c>
      <c r="I228" s="3" t="n">
        <v>31</v>
      </c>
      <c r="J228" s="3" t="s">
        <v>119</v>
      </c>
      <c r="K228" s="3" t="n">
        <v>14</v>
      </c>
      <c r="L228" s="3" t="n">
        <v>0</v>
      </c>
      <c r="M228" s="0" t="s">
        <v>64</v>
      </c>
      <c r="N228" s="0" t="n">
        <v>0</v>
      </c>
      <c r="O228" s="0" t="s">
        <v>147</v>
      </c>
      <c r="P228" s="0" t="s">
        <v>146</v>
      </c>
      <c r="Q228" s="0" t="s">
        <v>124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Q228" s="0" t="n">
        <v>3</v>
      </c>
      <c r="AR228" s="0" t="n">
        <v>0</v>
      </c>
      <c r="AS228" s="0" t="n">
        <v>0</v>
      </c>
      <c r="AT228" s="5" t="n">
        <v>0</v>
      </c>
      <c r="AU228" s="4" t="n">
        <f aca="false">46+39/60</f>
        <v>46.65</v>
      </c>
      <c r="AV228" s="4" t="n">
        <f aca="false">120+27/60</f>
        <v>120.45</v>
      </c>
      <c r="AW228" s="4" t="n">
        <f aca="false">1+22/60</f>
        <v>1.36666666666667</v>
      </c>
      <c r="AX228" s="4" t="n">
        <v>0</v>
      </c>
      <c r="AY228" s="4" t="n">
        <v>0</v>
      </c>
      <c r="AZ228" s="0" t="s">
        <v>60</v>
      </c>
      <c r="BA228" s="0" t="s">
        <v>61</v>
      </c>
      <c r="BB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72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106</v>
      </c>
      <c r="K229" s="3" t="n">
        <v>9</v>
      </c>
      <c r="L229" s="3" t="n">
        <v>0</v>
      </c>
      <c r="M229" s="0" t="s">
        <v>64</v>
      </c>
      <c r="N229" s="0" t="n">
        <v>0</v>
      </c>
      <c r="O229" s="0" t="s">
        <v>147</v>
      </c>
      <c r="P229" s="0" t="s">
        <v>146</v>
      </c>
      <c r="Q229" s="13" t="s">
        <v>127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0" t="n">
        <v>1</v>
      </c>
      <c r="AR229" s="0" t="n">
        <v>0</v>
      </c>
      <c r="AS229" s="0" t="n">
        <v>0</v>
      </c>
      <c r="AT229" s="5" t="n">
        <f aca="false">60*V229-SUM(AU229:AY229)</f>
        <v>40.4666666666667</v>
      </c>
      <c r="AU229" s="4" t="n">
        <f aca="false">62+55/60</f>
        <v>62.9166666666667</v>
      </c>
      <c r="AV229" s="4" t="n">
        <f aca="false">13+37/60</f>
        <v>13.6166666666667</v>
      </c>
      <c r="AW229" s="4" t="n">
        <v>0</v>
      </c>
      <c r="AX229" s="4" t="n">
        <v>0</v>
      </c>
      <c r="AY229" s="4" t="n">
        <v>0</v>
      </c>
      <c r="AZ229" s="0" t="s">
        <v>60</v>
      </c>
      <c r="BA229" s="0" t="s">
        <v>61</v>
      </c>
      <c r="BB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72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105</v>
      </c>
      <c r="K230" s="3" t="n">
        <v>23</v>
      </c>
      <c r="L230" s="3" t="n">
        <v>29</v>
      </c>
      <c r="M230" s="0" t="s">
        <v>64</v>
      </c>
      <c r="N230" s="0" t="n">
        <v>0</v>
      </c>
      <c r="O230" s="0" t="s">
        <v>147</v>
      </c>
      <c r="P230" s="0" t="s">
        <v>146</v>
      </c>
      <c r="Q230" s="0" t="s">
        <v>67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0" t="n">
        <v>2</v>
      </c>
      <c r="AR230" s="0" t="n">
        <v>0</v>
      </c>
      <c r="AS230" s="0" t="n">
        <v>0</v>
      </c>
      <c r="AT230" s="5" t="n">
        <f aca="false">60*V230-SUM(AU230:AY230)</f>
        <v>14.5333333333335</v>
      </c>
      <c r="AU230" s="4" t="n">
        <f aca="false">5+29/60</f>
        <v>5.48333333333333</v>
      </c>
      <c r="AV230" s="4" t="n">
        <f aca="false">40+27/60</f>
        <v>40.45</v>
      </c>
      <c r="AW230" s="4" t="n">
        <f aca="false">41+13/60</f>
        <v>41.2166666666667</v>
      </c>
      <c r="AX230" s="4" t="n">
        <f aca="false">1+19/60</f>
        <v>1.31666666666667</v>
      </c>
      <c r="AY230" s="4" t="n">
        <v>0</v>
      </c>
      <c r="AZ230" s="0" t="s">
        <v>60</v>
      </c>
      <c r="BA230" s="0" t="s">
        <v>61</v>
      </c>
      <c r="BB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72</v>
      </c>
      <c r="G231" s="3" t="n">
        <v>78</v>
      </c>
      <c r="H231" s="3" t="n">
        <v>45</v>
      </c>
      <c r="I231" s="3" t="n">
        <f aca="false">(32+29)/2</f>
        <v>30.5</v>
      </c>
      <c r="J231" s="3" t="s">
        <v>84</v>
      </c>
      <c r="K231" s="3" t="n">
        <v>17</v>
      </c>
      <c r="L231" s="3" t="n">
        <v>24</v>
      </c>
      <c r="M231" s="0" t="s">
        <v>64</v>
      </c>
      <c r="N231" s="0" t="n">
        <v>0</v>
      </c>
      <c r="O231" s="0" t="s">
        <v>147</v>
      </c>
      <c r="P231" s="0" t="s">
        <v>146</v>
      </c>
      <c r="Q231" s="0" t="s">
        <v>88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0" t="n">
        <v>1</v>
      </c>
      <c r="AR231" s="0" t="n">
        <v>2</v>
      </c>
      <c r="AS231" s="0" t="n">
        <v>0</v>
      </c>
      <c r="AT231" s="5" t="n">
        <f aca="false">60*V231-SUM(AU231:AY231)</f>
        <v>13.5833333333333</v>
      </c>
      <c r="AU231" s="4" t="n">
        <f aca="false">16+36/60</f>
        <v>16.6</v>
      </c>
      <c r="AV231" s="4" t="n">
        <f aca="false">74+41/60</f>
        <v>74.6833333333333</v>
      </c>
      <c r="AW231" s="4" t="n">
        <f aca="false">2+8/60</f>
        <v>2.13333333333333</v>
      </c>
      <c r="AX231" s="4" t="n">
        <v>0</v>
      </c>
      <c r="AY231" s="4" t="n">
        <v>0</v>
      </c>
      <c r="AZ231" s="0" t="s">
        <v>60</v>
      </c>
      <c r="BA231" s="0" t="s">
        <v>61</v>
      </c>
      <c r="BB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72</v>
      </c>
      <c r="G232" s="3" t="n">
        <v>73</v>
      </c>
      <c r="H232" s="3" t="n">
        <v>53</v>
      </c>
      <c r="I232" s="3" t="n">
        <f aca="false">(51+48)/2</f>
        <v>49.5</v>
      </c>
      <c r="J232" s="3" t="s">
        <v>63</v>
      </c>
      <c r="K232" s="3" t="n">
        <v>7</v>
      </c>
      <c r="L232" s="3" t="n">
        <v>0</v>
      </c>
      <c r="M232" s="0" t="s">
        <v>64</v>
      </c>
      <c r="N232" s="0" t="n">
        <v>0</v>
      </c>
      <c r="O232" s="0" t="s">
        <v>147</v>
      </c>
      <c r="P232" s="0" t="s">
        <v>146</v>
      </c>
      <c r="Q232" s="0" t="s">
        <v>95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0" t="n">
        <v>2</v>
      </c>
      <c r="AR232" s="0" t="n">
        <v>1</v>
      </c>
      <c r="AS232" s="0" t="n">
        <v>0</v>
      </c>
      <c r="AT232" s="5" t="n">
        <f aca="false">60*V232-SUM(AU232:AY232)</f>
        <v>0.816666666666663</v>
      </c>
      <c r="AU232" s="4" t="n">
        <f aca="false">19+22/60</f>
        <v>19.3666666666667</v>
      </c>
      <c r="AV232" s="4" t="n">
        <f aca="false">+(80+6/60)</f>
        <v>80.1</v>
      </c>
      <c r="AW232" s="4" t="n">
        <f aca="false">21+43/60</f>
        <v>21.7166666666667</v>
      </c>
      <c r="AX232" s="4" t="n">
        <v>0</v>
      </c>
      <c r="AY232" s="4" t="n">
        <v>0</v>
      </c>
      <c r="AZ232" s="0" t="s">
        <v>60</v>
      </c>
      <c r="BA232" s="0" t="s">
        <v>61</v>
      </c>
      <c r="BB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72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105</v>
      </c>
      <c r="K233" s="3" t="n">
        <f aca="false">(7+10+5)/3</f>
        <v>7.33333333333333</v>
      </c>
      <c r="L233" s="3" t="n">
        <v>0</v>
      </c>
      <c r="M233" s="0" t="s">
        <v>64</v>
      </c>
      <c r="N233" s="0" t="n">
        <v>0</v>
      </c>
      <c r="O233" s="0" t="s">
        <v>147</v>
      </c>
      <c r="P233" s="0" t="s">
        <v>146</v>
      </c>
      <c r="Q233" s="0" t="s">
        <v>143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0" t="n">
        <v>3</v>
      </c>
      <c r="AR233" s="0" t="n">
        <v>3</v>
      </c>
      <c r="AS233" s="0" t="n">
        <v>0</v>
      </c>
      <c r="AT233" s="5" t="n">
        <f aca="false">60*V233-SUM(AU233:AY233)</f>
        <v>2.71666666666667</v>
      </c>
      <c r="AU233" s="4" t="n">
        <f aca="false">16+18/60</f>
        <v>16.3</v>
      </c>
      <c r="AV233" s="4" t="n">
        <f aca="false">28+15/60</f>
        <v>28.25</v>
      </c>
      <c r="AW233" s="4" t="n">
        <f aca="false">87+40/60</f>
        <v>87.6666666666667</v>
      </c>
      <c r="AX233" s="4" t="n">
        <f aca="false">8+4/60</f>
        <v>8.06666666666667</v>
      </c>
      <c r="AY233" s="4" t="n">
        <v>0</v>
      </c>
      <c r="AZ233" s="0" t="s">
        <v>60</v>
      </c>
      <c r="BA233" s="0" t="s">
        <v>61</v>
      </c>
      <c r="BB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44111.4381944444</v>
      </c>
      <c r="C234" s="0" t="n">
        <v>1</v>
      </c>
      <c r="F234" s="0" t="s">
        <v>72</v>
      </c>
      <c r="G234" s="3" t="n">
        <v>88</v>
      </c>
      <c r="H234" s="3" t="n">
        <v>62</v>
      </c>
      <c r="I234" s="3" t="n">
        <f aca="false">(60+54)/2</f>
        <v>57</v>
      </c>
      <c r="J234" s="7" t="s">
        <v>89</v>
      </c>
      <c r="K234" s="3" t="n">
        <v>9</v>
      </c>
      <c r="L234" s="3" t="n">
        <v>0</v>
      </c>
      <c r="M234" s="0" t="s">
        <v>64</v>
      </c>
      <c r="N234" s="0" t="n">
        <v>0</v>
      </c>
      <c r="O234" s="0" t="s">
        <v>147</v>
      </c>
      <c r="P234" s="0" t="s">
        <v>146</v>
      </c>
      <c r="Q234" s="0" t="s">
        <v>108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0" t="n">
        <v>3</v>
      </c>
      <c r="AR234" s="0" t="n">
        <v>0</v>
      </c>
      <c r="AS234" s="0" t="n">
        <v>0</v>
      </c>
      <c r="AT234" s="5" t="n">
        <v>0</v>
      </c>
      <c r="AU234" s="4" t="n">
        <f aca="false">2+59/60</f>
        <v>2.98333333333333</v>
      </c>
      <c r="AV234" s="4" t="n">
        <f aca="false">67+35/60</f>
        <v>67.5833333333333</v>
      </c>
      <c r="AW234" s="4" t="n">
        <f aca="false">35+34/60</f>
        <v>35.5666666666667</v>
      </c>
      <c r="AX234" s="4" t="n">
        <v>0</v>
      </c>
      <c r="AY234" s="4" t="n">
        <v>0</v>
      </c>
      <c r="AZ234" s="0" t="s">
        <v>60</v>
      </c>
      <c r="BA234" s="0" t="s">
        <v>61</v>
      </c>
      <c r="BB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72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105</v>
      </c>
      <c r="K235" s="3" t="n">
        <v>6</v>
      </c>
      <c r="L235" s="3" t="n">
        <v>0</v>
      </c>
      <c r="M235" s="7" t="s">
        <v>64</v>
      </c>
      <c r="N235" s="0" t="n">
        <v>0</v>
      </c>
      <c r="O235" s="0" t="s">
        <v>147</v>
      </c>
      <c r="P235" s="0" t="s">
        <v>146</v>
      </c>
      <c r="Q235" s="7" t="s">
        <v>93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0" t="n">
        <v>1</v>
      </c>
      <c r="AR235" s="0" t="n">
        <v>0</v>
      </c>
      <c r="AS235" s="0" t="n">
        <v>0</v>
      </c>
      <c r="AT235" s="5" t="n">
        <f aca="false">60*V235-SUM(AU235:AY235)</f>
        <v>1.3</v>
      </c>
      <c r="AU235" s="4" t="n">
        <v>15</v>
      </c>
      <c r="AV235" s="4" t="n">
        <f aca="false">12+30/60</f>
        <v>12.5</v>
      </c>
      <c r="AW235" s="4" t="n">
        <f aca="false">41+53/60</f>
        <v>41.8833333333333</v>
      </c>
      <c r="AX235" s="4" t="n">
        <f aca="false">1+19/60</f>
        <v>1.31666666666667</v>
      </c>
      <c r="AY235" s="4" t="n">
        <v>0</v>
      </c>
      <c r="AZ235" s="0" t="s">
        <v>60</v>
      </c>
      <c r="BA235" s="0" t="s">
        <v>61</v>
      </c>
      <c r="BB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55</v>
      </c>
      <c r="G236" s="3" t="n">
        <v>80</v>
      </c>
      <c r="H236" s="3" t="n">
        <v>69</v>
      </c>
      <c r="I236" s="3" t="n">
        <f aca="false">(69+72)/2</f>
        <v>70.5</v>
      </c>
      <c r="J236" s="3" t="s">
        <v>106</v>
      </c>
      <c r="K236" s="3" t="n">
        <f aca="false">(5+8)/2</f>
        <v>6.5</v>
      </c>
      <c r="L236" s="3" t="n">
        <v>0</v>
      </c>
      <c r="M236" s="7" t="s">
        <v>64</v>
      </c>
      <c r="N236" s="0" t="n">
        <v>0</v>
      </c>
      <c r="O236" s="0" t="s">
        <v>147</v>
      </c>
      <c r="P236" s="0" t="s">
        <v>146</v>
      </c>
      <c r="Q236" s="0" t="s">
        <v>88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0" t="n">
        <v>2</v>
      </c>
      <c r="AR236" s="0" t="n">
        <v>2</v>
      </c>
      <c r="AS236" s="0" t="n">
        <v>0</v>
      </c>
      <c r="AT236" s="5" t="n">
        <v>0</v>
      </c>
      <c r="AU236" s="4" t="n">
        <f aca="false">15+46/60</f>
        <v>15.7666666666667</v>
      </c>
      <c r="AV236" s="4" t="n">
        <f aca="false">32+25/60</f>
        <v>32.4166666666667</v>
      </c>
      <c r="AW236" s="4" t="n">
        <f aca="false">83+28/60</f>
        <v>83.4666666666667</v>
      </c>
      <c r="AX236" s="4" t="n">
        <f aca="false">27/60</f>
        <v>0.45</v>
      </c>
      <c r="AY236" s="4" t="n">
        <v>0</v>
      </c>
      <c r="AZ236" s="0" t="s">
        <v>60</v>
      </c>
      <c r="BA236" s="0" t="s">
        <v>61</v>
      </c>
      <c r="BB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118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73</v>
      </c>
      <c r="K237" s="3" t="n">
        <v>3</v>
      </c>
      <c r="L237" s="3" t="n">
        <v>0</v>
      </c>
      <c r="M237" s="7" t="s">
        <v>64</v>
      </c>
      <c r="N237" s="0" t="n">
        <v>0</v>
      </c>
      <c r="O237" s="0" t="s">
        <v>147</v>
      </c>
      <c r="P237" s="0" t="s">
        <v>146</v>
      </c>
      <c r="Q237" s="0" t="s">
        <v>65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0" t="n">
        <v>1</v>
      </c>
      <c r="AR237" s="0" t="n">
        <v>0</v>
      </c>
      <c r="AS237" s="0" t="n">
        <v>0</v>
      </c>
      <c r="AT237" s="5" t="n">
        <f aca="false">60*V237-SUM(AU237:AY237)</f>
        <v>0.700000000000003</v>
      </c>
      <c r="AU237" s="4" t="n">
        <f aca="false">13/60</f>
        <v>0.216666666666667</v>
      </c>
      <c r="AV237" s="4" t="n">
        <f aca="false">76+29/60</f>
        <v>76.4833333333333</v>
      </c>
      <c r="AW237" s="4" t="n">
        <f aca="false">6+48/80</f>
        <v>6.6</v>
      </c>
      <c r="AX237" s="4" t="n">
        <v>0</v>
      </c>
      <c r="AY237" s="4" t="n">
        <v>0</v>
      </c>
      <c r="AZ237" s="0" t="s">
        <v>60</v>
      </c>
      <c r="BA237" s="0" t="s">
        <v>61</v>
      </c>
      <c r="BB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96</v>
      </c>
      <c r="F238" s="0" t="s">
        <v>72</v>
      </c>
      <c r="G238" s="3" t="n">
        <v>71</v>
      </c>
      <c r="H238" s="3" t="n">
        <v>61</v>
      </c>
      <c r="I238" s="3" t="n">
        <v>72</v>
      </c>
      <c r="J238" s="3" t="s">
        <v>87</v>
      </c>
      <c r="K238" s="3" t="n">
        <v>9</v>
      </c>
      <c r="L238" s="3" t="n">
        <v>0</v>
      </c>
      <c r="M238" s="0" t="s">
        <v>64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72</v>
      </c>
      <c r="G239" s="3" t="n">
        <f aca="false">(75+79)/2</f>
        <v>77</v>
      </c>
      <c r="H239" s="3" t="n">
        <v>42</v>
      </c>
      <c r="I239" s="3" t="n">
        <v>28</v>
      </c>
      <c r="J239" s="3" t="s">
        <v>84</v>
      </c>
      <c r="K239" s="3" t="n">
        <v>22</v>
      </c>
      <c r="L239" s="3" t="n">
        <v>30</v>
      </c>
      <c r="M239" s="0" t="s">
        <v>64</v>
      </c>
      <c r="N239" s="0" t="n">
        <v>0</v>
      </c>
      <c r="O239" s="0" t="s">
        <v>147</v>
      </c>
      <c r="P239" s="0" t="s">
        <v>146</v>
      </c>
      <c r="Q239" s="13" t="s">
        <v>127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0" t="n">
        <v>2</v>
      </c>
      <c r="AR239" s="0" t="n">
        <v>0</v>
      </c>
      <c r="AS239" s="0" t="n">
        <v>0</v>
      </c>
      <c r="AT239" s="5" t="n">
        <f aca="false">60*V239-SUM(AU239:AY239)</f>
        <v>116.433333333333</v>
      </c>
      <c r="AU239" s="4" t="n">
        <f aca="false">6+18/60</f>
        <v>6.3</v>
      </c>
      <c r="AV239" s="4" t="n">
        <f aca="false">16/60</f>
        <v>0.266666666666667</v>
      </c>
      <c r="AW239" s="4" t="n">
        <v>0</v>
      </c>
      <c r="AX239" s="4" t="n">
        <v>0</v>
      </c>
      <c r="AY239" s="4" t="n">
        <v>0</v>
      </c>
      <c r="AZ239" s="0" t="s">
        <v>60</v>
      </c>
      <c r="BA239" s="0" t="s">
        <v>61</v>
      </c>
      <c r="BB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55</v>
      </c>
      <c r="G240" s="3" t="n">
        <f aca="false">(77+81)/2</f>
        <v>79</v>
      </c>
      <c r="H240" s="3" t="n">
        <v>42</v>
      </c>
      <c r="I240" s="3" t="n">
        <v>26</v>
      </c>
      <c r="J240" s="3" t="s">
        <v>136</v>
      </c>
      <c r="K240" s="3" t="n">
        <v>6</v>
      </c>
      <c r="L240" s="3" t="n">
        <v>0</v>
      </c>
      <c r="M240" s="0" t="s">
        <v>64</v>
      </c>
      <c r="N240" s="0" t="n">
        <v>0</v>
      </c>
      <c r="O240" s="0" t="s">
        <v>147</v>
      </c>
      <c r="P240" s="0" t="s">
        <v>146</v>
      </c>
      <c r="Q240" s="0" t="s">
        <v>149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0" t="n">
        <v>2</v>
      </c>
      <c r="AR240" s="0" t="n">
        <v>0</v>
      </c>
      <c r="AS240" s="0" t="n">
        <v>0</v>
      </c>
      <c r="AT240" s="5" t="n">
        <v>0</v>
      </c>
      <c r="AU240" s="4" t="n">
        <f aca="false">4+41/60</f>
        <v>4.68333333333333</v>
      </c>
      <c r="AV240" s="4" t="n">
        <f aca="false">26+32/60</f>
        <v>26.5333333333333</v>
      </c>
      <c r="AW240" s="4" t="n">
        <f aca="false">(95+14/60)</f>
        <v>95.2333333333333</v>
      </c>
      <c r="AX240" s="4" t="n">
        <v>0</v>
      </c>
      <c r="AY240" s="4" t="n">
        <v>0</v>
      </c>
      <c r="AZ240" s="0" t="s">
        <v>60</v>
      </c>
      <c r="BA240" s="0" t="s">
        <v>61</v>
      </c>
      <c r="BB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72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63</v>
      </c>
      <c r="K241" s="3" t="n">
        <v>13</v>
      </c>
      <c r="L241" s="3" t="n">
        <v>28</v>
      </c>
      <c r="M241" s="0" t="s">
        <v>64</v>
      </c>
      <c r="N241" s="0" t="n">
        <v>1</v>
      </c>
      <c r="O241" s="0" t="s">
        <v>147</v>
      </c>
      <c r="P241" s="0" t="s">
        <v>146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0" t="n">
        <v>1</v>
      </c>
      <c r="AR241" s="0" t="n">
        <v>1</v>
      </c>
      <c r="AS241" s="0" t="n">
        <v>0</v>
      </c>
      <c r="AZ241" s="0" t="s">
        <v>60</v>
      </c>
      <c r="BA241" s="0" t="s">
        <v>61</v>
      </c>
      <c r="BB241" s="0" t="n">
        <v>1</v>
      </c>
      <c r="BC241" s="0" t="s">
        <v>150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66</v>
      </c>
      <c r="G242" s="3" t="n">
        <v>70</v>
      </c>
      <c r="H242" s="3" t="n">
        <v>57</v>
      </c>
      <c r="I242" s="3" t="n">
        <v>62</v>
      </c>
      <c r="J242" s="3" t="s">
        <v>104</v>
      </c>
      <c r="K242" s="3" t="n">
        <v>18</v>
      </c>
      <c r="L242" s="3" t="n">
        <v>31</v>
      </c>
      <c r="M242" s="0" t="s">
        <v>64</v>
      </c>
      <c r="N242" s="0" t="n">
        <v>0</v>
      </c>
      <c r="O242" s="0" t="s">
        <v>147</v>
      </c>
      <c r="P242" s="0" t="s">
        <v>146</v>
      </c>
      <c r="Q242" s="0" t="s">
        <v>65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0" t="n">
        <v>0</v>
      </c>
      <c r="AR242" s="0" t="n">
        <v>0</v>
      </c>
      <c r="AS242" s="0" t="n">
        <v>0</v>
      </c>
      <c r="AT242" s="5" t="n">
        <f aca="false">60*V242-SUM(AU242:AY242)</f>
        <v>67.2833333333333</v>
      </c>
      <c r="AU242" s="4" t="n">
        <f aca="false">9+43/60</f>
        <v>9.71666666666667</v>
      </c>
      <c r="AV242" s="4" t="n">
        <v>0</v>
      </c>
      <c r="AW242" s="4" t="n">
        <v>0</v>
      </c>
      <c r="AX242" s="4" t="n">
        <v>0</v>
      </c>
      <c r="AY242" s="4" t="n">
        <v>0</v>
      </c>
      <c r="AZ242" s="0" t="s">
        <v>60</v>
      </c>
      <c r="BA242" s="0" t="s">
        <v>61</v>
      </c>
      <c r="BB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62</v>
      </c>
      <c r="G243" s="3" t="n">
        <v>71</v>
      </c>
      <c r="H243" s="3" t="n">
        <v>70</v>
      </c>
      <c r="I243" s="3" t="n">
        <v>79</v>
      </c>
      <c r="J243" s="3" t="s">
        <v>84</v>
      </c>
      <c r="K243" s="3" t="n">
        <v>6</v>
      </c>
      <c r="L243" s="3" t="n">
        <v>0</v>
      </c>
      <c r="M243" s="0" t="s">
        <v>64</v>
      </c>
      <c r="N243" s="0" t="n">
        <v>0</v>
      </c>
      <c r="O243" s="0" t="s">
        <v>147</v>
      </c>
      <c r="P243" s="0" t="s">
        <v>146</v>
      </c>
      <c r="Q243" s="0" t="s">
        <v>124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0" t="n">
        <v>0</v>
      </c>
      <c r="AR243" s="0" t="n">
        <v>0</v>
      </c>
      <c r="AS243" s="0" t="n">
        <v>0</v>
      </c>
      <c r="AT243" s="5" t="n">
        <f aca="false">60*V243-SUM(AU243:AY243)</f>
        <v>0.633333333333326</v>
      </c>
      <c r="AU243" s="4" t="n">
        <f aca="false">29+11/60</f>
        <v>29.1833333333333</v>
      </c>
      <c r="AV243" s="4" t="n">
        <f aca="false">(60+32) +4/60</f>
        <v>92.0666666666667</v>
      </c>
      <c r="AW243" s="4" t="n">
        <f aca="false">1+7/60</f>
        <v>1.11666666666667</v>
      </c>
      <c r="AX243" s="4" t="n">
        <v>0</v>
      </c>
      <c r="AY243" s="4" t="n">
        <v>0</v>
      </c>
      <c r="AZ243" s="0" t="s">
        <v>60</v>
      </c>
      <c r="BA243" s="0" t="s">
        <v>61</v>
      </c>
      <c r="BB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66</v>
      </c>
      <c r="G244" s="3" t="n">
        <v>69</v>
      </c>
      <c r="H244" s="3" t="n">
        <v>55</v>
      </c>
      <c r="I244" s="3" t="n">
        <v>61</v>
      </c>
      <c r="J244" s="3" t="s">
        <v>63</v>
      </c>
      <c r="K244" s="3" t="n">
        <v>15</v>
      </c>
      <c r="L244" s="3" t="n">
        <v>29</v>
      </c>
      <c r="M244" s="0" t="s">
        <v>64</v>
      </c>
      <c r="N244" s="0" t="n">
        <v>0</v>
      </c>
      <c r="O244" s="0" t="s">
        <v>147</v>
      </c>
      <c r="P244" s="0" t="s">
        <v>146</v>
      </c>
      <c r="Q244" s="0" t="s">
        <v>95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0" t="n">
        <v>2</v>
      </c>
      <c r="AR244" s="0" t="n">
        <v>0</v>
      </c>
      <c r="AS244" s="0" t="n">
        <v>0</v>
      </c>
      <c r="AT244" s="5" t="n">
        <f aca="false">60*V244-SUM(AU244:AY244)</f>
        <v>113.933333333333</v>
      </c>
      <c r="AU244" s="4" t="n">
        <f aca="false">13+20/60</f>
        <v>13.3333333333333</v>
      </c>
      <c r="AV244" s="4" t="n">
        <f aca="false">44/60</f>
        <v>0.733333333333333</v>
      </c>
      <c r="AW244" s="4" t="n">
        <v>0</v>
      </c>
      <c r="AX244" s="4" t="n">
        <v>0</v>
      </c>
      <c r="AY244" s="4" t="n">
        <v>0</v>
      </c>
      <c r="AZ244" s="0" t="s">
        <v>60</v>
      </c>
      <c r="BA244" s="0" t="s">
        <v>61</v>
      </c>
      <c r="BB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62</v>
      </c>
      <c r="G245" s="3" t="n">
        <v>82</v>
      </c>
      <c r="H245" s="3" t="n">
        <v>68</v>
      </c>
      <c r="I245" s="3" t="n">
        <f aca="false">(58+55)/2</f>
        <v>56.5</v>
      </c>
      <c r="J245" s="3" t="s">
        <v>63</v>
      </c>
      <c r="K245" s="3" t="n">
        <f aca="false">(18+21)/2</f>
        <v>19.5</v>
      </c>
      <c r="L245" s="3" t="n">
        <v>30</v>
      </c>
      <c r="M245" s="0" t="s">
        <v>64</v>
      </c>
      <c r="N245" s="0" t="n">
        <v>0</v>
      </c>
      <c r="O245" s="0" t="s">
        <v>147</v>
      </c>
      <c r="P245" s="0" t="s">
        <v>146</v>
      </c>
      <c r="Q245" s="0" t="s">
        <v>143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0" t="n">
        <v>2</v>
      </c>
      <c r="AR245" s="0" t="n">
        <v>0</v>
      </c>
      <c r="AS245" s="0" t="n">
        <v>0</v>
      </c>
      <c r="AT245" s="5" t="n">
        <f aca="false">60*V245-SUM(AU245:AY245)</f>
        <v>0.48333333333332</v>
      </c>
      <c r="AU245" s="4" t="n">
        <f aca="false">1+9/60</f>
        <v>1.15</v>
      </c>
      <c r="AV245" s="4" t="n">
        <f aca="false">68+46/60</f>
        <v>68.7666666666667</v>
      </c>
      <c r="AW245" s="4" t="n">
        <f aca="false">32+19/60</f>
        <v>32.3166666666667</v>
      </c>
      <c r="AX245" s="4" t="n">
        <f aca="false">17/60</f>
        <v>0.283333333333333</v>
      </c>
      <c r="AY245" s="4" t="n">
        <v>0</v>
      </c>
      <c r="AZ245" s="0" t="s">
        <v>60</v>
      </c>
      <c r="BA245" s="0" t="s">
        <v>61</v>
      </c>
      <c r="BB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96</v>
      </c>
      <c r="F246" s="7" t="s">
        <v>114</v>
      </c>
      <c r="G246" s="3" t="n">
        <v>56</v>
      </c>
      <c r="H246" s="3" t="n">
        <v>52</v>
      </c>
      <c r="I246" s="3" t="n">
        <v>87</v>
      </c>
      <c r="J246" s="7" t="s">
        <v>87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94</v>
      </c>
      <c r="G247" s="3" t="n">
        <v>77</v>
      </c>
      <c r="H247" s="3" t="n">
        <v>62</v>
      </c>
      <c r="I247" s="3" t="n">
        <v>60</v>
      </c>
      <c r="J247" s="7" t="s">
        <v>81</v>
      </c>
      <c r="K247" s="3" t="n">
        <v>20</v>
      </c>
      <c r="L247" s="3" t="n">
        <v>0</v>
      </c>
      <c r="M247" s="0" t="s">
        <v>64</v>
      </c>
      <c r="N247" s="0" t="n">
        <v>0</v>
      </c>
      <c r="O247" s="0" t="s">
        <v>147</v>
      </c>
      <c r="P247" s="0" t="s">
        <v>146</v>
      </c>
      <c r="Q247" s="0" t="s">
        <v>108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0" t="n">
        <v>2</v>
      </c>
      <c r="AR247" s="0" t="n">
        <v>1</v>
      </c>
      <c r="AS247" s="0" t="n">
        <v>0</v>
      </c>
      <c r="AT247" s="5" t="n">
        <v>0</v>
      </c>
      <c r="AU247" s="4" t="n">
        <f aca="false">53/60</f>
        <v>0.883333333333333</v>
      </c>
      <c r="AV247" s="4" t="n">
        <f aca="false">6+1/60</f>
        <v>6.01666666666667</v>
      </c>
      <c r="AW247" s="4" t="n">
        <f aca="false">81+35/60</f>
        <v>81.5833333333333</v>
      </c>
      <c r="AX247" s="4" t="n">
        <f aca="false">14+2/60</f>
        <v>14.0333333333333</v>
      </c>
      <c r="AY247" s="4" t="n">
        <v>0</v>
      </c>
      <c r="AZ247" s="0" t="s">
        <v>60</v>
      </c>
      <c r="BA247" s="0" t="s">
        <v>61</v>
      </c>
      <c r="BB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62</v>
      </c>
      <c r="G248" s="3" t="n">
        <v>79</v>
      </c>
      <c r="H248" s="3" t="n">
        <v>66</v>
      </c>
      <c r="I248" s="3" t="n">
        <v>64</v>
      </c>
      <c r="J248" s="3" t="s">
        <v>63</v>
      </c>
      <c r="K248" s="3" t="n">
        <v>17</v>
      </c>
      <c r="L248" s="3" t="n">
        <v>29</v>
      </c>
      <c r="M248" s="0" t="s">
        <v>64</v>
      </c>
      <c r="N248" s="0" t="n">
        <v>0</v>
      </c>
      <c r="O248" s="0" t="s">
        <v>147</v>
      </c>
      <c r="P248" s="0" t="s">
        <v>146</v>
      </c>
      <c r="Q248" s="7" t="s">
        <v>93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0" t="n">
        <v>2</v>
      </c>
      <c r="AR248" s="0" t="n">
        <v>0</v>
      </c>
      <c r="AS248" s="0" t="n">
        <v>0</v>
      </c>
      <c r="AT248" s="5" t="n">
        <f aca="false">60*V248-SUM(AU248:AY248)</f>
        <v>0.0033333333333303</v>
      </c>
      <c r="AU248" s="4" t="n">
        <f aca="false">11+33/60</f>
        <v>11.55</v>
      </c>
      <c r="AV248" s="4" t="n">
        <f aca="false">24+27/60</f>
        <v>24.45</v>
      </c>
      <c r="AW248" s="4" t="n">
        <f aca="false">32+43/60</f>
        <v>32.7166666666667</v>
      </c>
      <c r="AX248" s="4" t="n">
        <v>2.28</v>
      </c>
      <c r="AY248" s="4" t="n">
        <v>0</v>
      </c>
      <c r="AZ248" s="0" t="s">
        <v>60</v>
      </c>
      <c r="BA248" s="0" t="s">
        <v>61</v>
      </c>
      <c r="BB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62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105</v>
      </c>
      <c r="K249" s="3" t="n">
        <f aca="false">AVERAGE(14,14,16,20)</f>
        <v>16</v>
      </c>
      <c r="L249" s="3" t="n">
        <v>29</v>
      </c>
      <c r="M249" s="0" t="s">
        <v>64</v>
      </c>
      <c r="N249" s="0" t="n">
        <v>0</v>
      </c>
      <c r="O249" s="0" t="s">
        <v>147</v>
      </c>
      <c r="P249" s="0" t="s">
        <v>146</v>
      </c>
      <c r="Q249" s="13" t="s">
        <v>127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0" t="n">
        <v>1</v>
      </c>
      <c r="AR249" s="0" t="n">
        <v>0</v>
      </c>
      <c r="AS249" s="0" t="n">
        <v>0</v>
      </c>
      <c r="AT249" s="5" t="n">
        <f aca="false">60*V249-SUM(AU249:AY249)</f>
        <v>2.78333333333333</v>
      </c>
      <c r="AU249" s="4" t="n">
        <f aca="false">9+10/60</f>
        <v>9.16666666666667</v>
      </c>
      <c r="AV249" s="4" t="n">
        <f aca="false">29+2/60</f>
        <v>29.0333333333333</v>
      </c>
      <c r="AW249" s="4" t="n">
        <f aca="false">79+59/60</f>
        <v>79.9833333333333</v>
      </c>
      <c r="AX249" s="4" t="n">
        <f aca="false">1+2/60</f>
        <v>1.03333333333333</v>
      </c>
      <c r="AY249" s="4" t="n">
        <v>0</v>
      </c>
      <c r="AZ249" s="0" t="s">
        <v>60</v>
      </c>
      <c r="BA249" s="0" t="s">
        <v>61</v>
      </c>
      <c r="BB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66</v>
      </c>
      <c r="G250" s="3" t="n">
        <v>51</v>
      </c>
      <c r="H250" s="3" t="n">
        <v>45</v>
      </c>
      <c r="I250" s="3" t="n">
        <v>83</v>
      </c>
      <c r="J250" s="3" t="s">
        <v>87</v>
      </c>
      <c r="K250" s="3" t="n">
        <v>18</v>
      </c>
      <c r="L250" s="3" t="n">
        <v>0</v>
      </c>
      <c r="M250" s="0" t="s">
        <v>64</v>
      </c>
      <c r="N250" s="0" t="n">
        <v>0</v>
      </c>
      <c r="O250" s="0" t="s">
        <v>147</v>
      </c>
      <c r="P250" s="0" t="s">
        <v>146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0" t="n">
        <v>1</v>
      </c>
      <c r="AR250" s="0" t="n">
        <v>0</v>
      </c>
      <c r="AS250" s="0" t="n">
        <v>0</v>
      </c>
      <c r="AT250" s="5" t="n">
        <f aca="false">60*V250-SUM(AU250:AY250)</f>
        <v>57</v>
      </c>
      <c r="AU250" s="4" t="n">
        <f aca="false">5+36/60</f>
        <v>5.6</v>
      </c>
      <c r="AV250" s="4" t="n">
        <f aca="false">1+24/60</f>
        <v>1.4</v>
      </c>
      <c r="AW250" s="4" t="n">
        <v>0</v>
      </c>
      <c r="AX250" s="4" t="n">
        <v>0</v>
      </c>
      <c r="AY250" s="4" t="n">
        <v>0</v>
      </c>
      <c r="AZ250" s="0" t="s">
        <v>60</v>
      </c>
      <c r="BA250" s="0" t="s">
        <v>61</v>
      </c>
      <c r="BB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151</v>
      </c>
      <c r="F251" s="7" t="s">
        <v>118</v>
      </c>
      <c r="G251" s="0" t="n">
        <v>51</v>
      </c>
      <c r="H251" s="0" t="n">
        <v>40</v>
      </c>
      <c r="I251" s="0" t="n">
        <v>61</v>
      </c>
      <c r="J251" s="0" t="s">
        <v>56</v>
      </c>
      <c r="K251" s="0" t="n">
        <v>7</v>
      </c>
      <c r="L251" s="0" t="n">
        <v>0</v>
      </c>
      <c r="M251" s="0" t="s">
        <v>64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80</v>
      </c>
      <c r="F252" s="7" t="s">
        <v>66</v>
      </c>
      <c r="G252" s="3" t="n">
        <v>59</v>
      </c>
      <c r="H252" s="3" t="n">
        <v>55</v>
      </c>
      <c r="I252" s="3" t="n">
        <v>87</v>
      </c>
      <c r="J252" s="7" t="s">
        <v>111</v>
      </c>
      <c r="K252" s="3" t="n">
        <v>12</v>
      </c>
      <c r="L252" s="3" t="n">
        <v>0</v>
      </c>
      <c r="M252" s="0" t="s">
        <v>64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91</v>
      </c>
      <c r="G253" s="3" t="n">
        <v>45</v>
      </c>
      <c r="H253" s="3" t="n">
        <v>43</v>
      </c>
      <c r="I253" s="3" t="n">
        <v>93</v>
      </c>
      <c r="J253" s="3" t="s">
        <v>84</v>
      </c>
      <c r="K253" s="3" t="n">
        <v>21</v>
      </c>
      <c r="L253" s="3" t="n">
        <v>0</v>
      </c>
      <c r="M253" s="0" t="s">
        <v>64</v>
      </c>
      <c r="N253" s="0" t="n">
        <v>0</v>
      </c>
      <c r="O253" s="0" t="s">
        <v>147</v>
      </c>
      <c r="P253" s="0" t="s">
        <v>146</v>
      </c>
      <c r="Q253" s="0" t="s">
        <v>152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0" t="n">
        <v>0</v>
      </c>
      <c r="AR253" s="0" t="n">
        <v>0</v>
      </c>
      <c r="AS253" s="0" t="n">
        <v>0</v>
      </c>
      <c r="AT253" s="5" t="n">
        <f aca="false">60*V253-SUM(AU253:AY253)</f>
        <v>76.2166666666667</v>
      </c>
      <c r="AU253" s="4" t="n">
        <f aca="false">11+56/60</f>
        <v>11.9333333333333</v>
      </c>
      <c r="AV253" s="4" t="n">
        <f aca="false">51/60</f>
        <v>0.85</v>
      </c>
      <c r="AW253" s="4" t="n">
        <v>0</v>
      </c>
      <c r="AX253" s="4" t="n">
        <v>0</v>
      </c>
      <c r="AY253" s="4" t="n">
        <v>0</v>
      </c>
      <c r="AZ253" s="0" t="s">
        <v>60</v>
      </c>
      <c r="BA253" s="0" t="s">
        <v>61</v>
      </c>
      <c r="BB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114</v>
      </c>
      <c r="G254" s="3" t="n">
        <v>39</v>
      </c>
      <c r="H254" s="3" t="n">
        <v>38</v>
      </c>
      <c r="I254" s="3" t="n">
        <v>96</v>
      </c>
      <c r="J254" s="3" t="s">
        <v>84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85</v>
      </c>
      <c r="G255" s="3" t="n">
        <v>40</v>
      </c>
      <c r="H255" s="3" t="n">
        <v>38</v>
      </c>
      <c r="I255" s="3" t="n">
        <v>93</v>
      </c>
      <c r="J255" s="7" t="s">
        <v>107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147</v>
      </c>
      <c r="P255" s="0" t="s">
        <v>146</v>
      </c>
      <c r="Q255" s="0" t="s">
        <v>152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0" t="n">
        <v>0</v>
      </c>
      <c r="AR255" s="0" t="n">
        <v>0</v>
      </c>
      <c r="AS255" s="0" t="n">
        <v>0</v>
      </c>
      <c r="AT255" s="5" t="n">
        <f aca="false">60*V255-SUM(AU255:AY255)</f>
        <v>67.6533333333333</v>
      </c>
      <c r="AU255" s="4" t="n">
        <f aca="false">26+16/60</f>
        <v>26.2666666666667</v>
      </c>
      <c r="AV255" s="4" t="n">
        <f aca="false">1+54/50</f>
        <v>2.08</v>
      </c>
      <c r="AW255" s="4" t="n">
        <v>0</v>
      </c>
      <c r="AX255" s="4" t="n">
        <v>0</v>
      </c>
      <c r="AY255" s="4" t="n">
        <v>0</v>
      </c>
      <c r="AZ255" s="0" t="s">
        <v>60</v>
      </c>
      <c r="BA255" s="0" t="s">
        <v>61</v>
      </c>
      <c r="BB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66</v>
      </c>
      <c r="G256" s="3" t="n">
        <v>51</v>
      </c>
      <c r="H256" s="3" t="n">
        <v>41</v>
      </c>
      <c r="I256" s="3" t="n">
        <v>68</v>
      </c>
      <c r="J256" s="7" t="s">
        <v>87</v>
      </c>
      <c r="K256" s="3" t="n">
        <v>16</v>
      </c>
      <c r="L256" s="3" t="n">
        <v>0</v>
      </c>
      <c r="M256" s="0" t="s">
        <v>64</v>
      </c>
      <c r="N256" s="0" t="n">
        <v>0</v>
      </c>
      <c r="O256" s="0" t="s">
        <v>147</v>
      </c>
      <c r="P256" s="0" t="s">
        <v>146</v>
      </c>
      <c r="Q256" s="0" t="s">
        <v>88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0" t="n">
        <v>0</v>
      </c>
      <c r="AR256" s="0" t="n">
        <v>1</v>
      </c>
      <c r="AS256" s="0" t="n">
        <v>0</v>
      </c>
      <c r="AT256" s="5" t="n">
        <f aca="false">60*V256-SUM(AU256:AY256)</f>
        <v>1</v>
      </c>
      <c r="AU256" s="4" t="n">
        <f aca="false">21+52/60</f>
        <v>21.8666666666667</v>
      </c>
      <c r="AV256" s="4" t="n">
        <f aca="false">50+16/60</f>
        <v>50.2666666666667</v>
      </c>
      <c r="AW256" s="4" t="n">
        <f aca="false">1+52/60</f>
        <v>1.86666666666667</v>
      </c>
      <c r="AX256" s="4" t="n">
        <v>0</v>
      </c>
      <c r="AY256" s="4" t="n">
        <v>0</v>
      </c>
      <c r="AZ256" s="0" t="s">
        <v>60</v>
      </c>
      <c r="BA256" s="0" t="s">
        <v>61</v>
      </c>
      <c r="BB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55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76</v>
      </c>
      <c r="K257" s="3" t="n">
        <v>0</v>
      </c>
      <c r="L257" s="3" t="n">
        <v>0</v>
      </c>
      <c r="M257" s="0" t="s">
        <v>64</v>
      </c>
      <c r="N257" s="0" t="n">
        <v>0</v>
      </c>
      <c r="O257" s="0" t="s">
        <v>147</v>
      </c>
      <c r="P257" s="0" t="s">
        <v>146</v>
      </c>
      <c r="Q257" s="0" t="s">
        <v>149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0" t="n">
        <v>0</v>
      </c>
      <c r="AR257" s="0" t="n">
        <v>0</v>
      </c>
      <c r="AS257" s="0" t="n">
        <v>0</v>
      </c>
      <c r="AT257" s="5" t="n">
        <f aca="false">60*V257-SUM(AU257:AY257)</f>
        <v>110.433333333333</v>
      </c>
      <c r="AU257" s="4" t="n">
        <f aca="false">5+2/60</f>
        <v>5.03333333333333</v>
      </c>
      <c r="AV257" s="4" t="n">
        <f aca="false">12+32/60</f>
        <v>12.5333333333333</v>
      </c>
      <c r="AW257" s="4" t="n">
        <v>0</v>
      </c>
      <c r="AX257" s="4" t="n">
        <v>0</v>
      </c>
      <c r="AY257" s="4" t="n">
        <v>0</v>
      </c>
      <c r="AZ257" s="0" t="s">
        <v>60</v>
      </c>
      <c r="BA257" s="0" t="s">
        <v>61</v>
      </c>
      <c r="BB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72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63</v>
      </c>
      <c r="K258" s="3" t="n">
        <f aca="false">(12+13+9)/3</f>
        <v>11.3333333333333</v>
      </c>
      <c r="L258" s="3" t="n">
        <v>0</v>
      </c>
      <c r="M258" s="0" t="s">
        <v>64</v>
      </c>
      <c r="N258" s="0" t="n">
        <v>0</v>
      </c>
      <c r="O258" s="0" t="s">
        <v>147</v>
      </c>
      <c r="P258" s="0" t="s">
        <v>146</v>
      </c>
      <c r="Q258" s="0" t="s">
        <v>95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0" t="n">
        <v>4</v>
      </c>
      <c r="AR258" s="0" t="n">
        <v>0</v>
      </c>
      <c r="AS258" s="0" t="n">
        <v>0</v>
      </c>
      <c r="AT258" s="5" t="n">
        <f aca="false">60*V258-SUM(AU258:AY258)</f>
        <v>2.83333333333334</v>
      </c>
      <c r="AU258" s="4" t="n">
        <f aca="false">37+59/60</f>
        <v>37.9833333333333</v>
      </c>
      <c r="AV258" s="4" t="n">
        <f aca="false">25+35/60</f>
        <v>25.5833333333333</v>
      </c>
      <c r="AW258" s="4" t="n">
        <f aca="false">74+33/60</f>
        <v>74.55</v>
      </c>
      <c r="AX258" s="4" t="n">
        <f aca="false">3/60</f>
        <v>0.05</v>
      </c>
      <c r="AY258" s="4" t="n">
        <v>0</v>
      </c>
      <c r="AZ258" s="0" t="s">
        <v>60</v>
      </c>
      <c r="BA258" s="0" t="s">
        <v>61</v>
      </c>
      <c r="BB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55</v>
      </c>
      <c r="G259" s="3" t="n">
        <v>72</v>
      </c>
      <c r="H259" s="3" t="n">
        <v>37</v>
      </c>
      <c r="I259" s="3" t="n">
        <v>28</v>
      </c>
      <c r="J259" s="3" t="s">
        <v>84</v>
      </c>
      <c r="K259" s="3" t="n">
        <v>17</v>
      </c>
      <c r="L259" s="3" t="n">
        <v>29</v>
      </c>
      <c r="M259" s="0" t="s">
        <v>64</v>
      </c>
      <c r="N259" s="0" t="n">
        <v>0</v>
      </c>
      <c r="O259" s="0" t="s">
        <v>147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0" t="n">
        <v>2</v>
      </c>
      <c r="AR259" s="0" t="n">
        <v>0</v>
      </c>
      <c r="AS259" s="0" t="n">
        <v>0</v>
      </c>
      <c r="AT259" s="5" t="n">
        <f aca="false">60*V259-SUM(AU259:AY259)</f>
        <v>4.40000000000001</v>
      </c>
      <c r="AU259" s="4" t="n">
        <f aca="false">14+40/60</f>
        <v>14.6666666666667</v>
      </c>
      <c r="AV259" s="4" t="n">
        <f aca="false">6+53/60</f>
        <v>6.88333333333333</v>
      </c>
      <c r="AW259" s="4" t="n">
        <f aca="false">57+3/60</f>
        <v>57.05</v>
      </c>
      <c r="AX259" s="4" t="n">
        <v>0</v>
      </c>
      <c r="AY259" s="4" t="n">
        <v>0</v>
      </c>
      <c r="AZ259" s="0" t="s">
        <v>60</v>
      </c>
      <c r="BA259" s="0" t="s">
        <v>61</v>
      </c>
      <c r="BB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83</v>
      </c>
      <c r="F260" s="7" t="s">
        <v>118</v>
      </c>
      <c r="G260" s="3" t="n">
        <v>63</v>
      </c>
      <c r="H260" s="3" t="n">
        <v>35</v>
      </c>
      <c r="I260" s="3" t="n">
        <v>34</v>
      </c>
      <c r="J260" s="3" t="s">
        <v>73</v>
      </c>
      <c r="K260" s="3" t="n">
        <v>8</v>
      </c>
      <c r="L260" s="3" t="n">
        <v>0</v>
      </c>
      <c r="M260" s="0" t="s">
        <v>64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T260" s="0"/>
      <c r="AU260" s="0"/>
      <c r="AV260" s="0"/>
      <c r="AW260" s="0"/>
      <c r="AX260" s="0"/>
      <c r="AY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72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81</v>
      </c>
      <c r="K261" s="3" t="n">
        <f aca="false">+(12+6)/2</f>
        <v>9</v>
      </c>
      <c r="L261" s="3" t="n">
        <v>0</v>
      </c>
      <c r="M261" s="0" t="s">
        <v>64</v>
      </c>
      <c r="N261" s="0" t="n">
        <v>0</v>
      </c>
      <c r="O261" s="0" t="s">
        <v>147</v>
      </c>
      <c r="P261" s="0" t="s">
        <v>146</v>
      </c>
      <c r="Q261" s="0" t="s">
        <v>124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0" t="n">
        <v>7</v>
      </c>
      <c r="AR261" s="0" t="n">
        <v>0</v>
      </c>
      <c r="AS261" s="0" t="n">
        <v>0</v>
      </c>
      <c r="AT261" s="5" t="n">
        <f aca="false">60*V261-SUM(AU261:AY261)</f>
        <v>58.7333333333333</v>
      </c>
      <c r="AU261" s="4" t="n">
        <f aca="false">54+4/60</f>
        <v>54.0666666666667</v>
      </c>
      <c r="AV261" s="4" t="n">
        <f aca="false">2+12/60</f>
        <v>2.2</v>
      </c>
      <c r="AW261" s="4" t="n">
        <v>0</v>
      </c>
      <c r="AX261" s="4" t="n">
        <v>0</v>
      </c>
      <c r="AY261" s="4" t="n">
        <v>0</v>
      </c>
      <c r="AZ261" s="0" t="s">
        <v>60</v>
      </c>
      <c r="BA261" s="0" t="s">
        <v>61</v>
      </c>
      <c r="BB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72</v>
      </c>
      <c r="G262" s="3" t="n">
        <v>73</v>
      </c>
      <c r="H262" s="3" t="n">
        <v>44</v>
      </c>
      <c r="I262" s="3" t="n">
        <v>35</v>
      </c>
      <c r="J262" s="3" t="s">
        <v>63</v>
      </c>
      <c r="K262" s="3" t="n">
        <v>20</v>
      </c>
      <c r="L262" s="3" t="n">
        <v>25</v>
      </c>
      <c r="M262" s="0" t="s">
        <v>64</v>
      </c>
      <c r="N262" s="0" t="n">
        <v>0</v>
      </c>
      <c r="O262" s="0" t="s">
        <v>147</v>
      </c>
      <c r="P262" s="0" t="s">
        <v>146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0" t="n">
        <v>0</v>
      </c>
      <c r="AR262" s="0" t="n">
        <v>0</v>
      </c>
      <c r="AS262" s="0" t="n">
        <v>0</v>
      </c>
      <c r="AT262" s="5" t="n">
        <f aca="false">60*V262-SUM(AU262:AY262)</f>
        <v>57.1666666666667</v>
      </c>
      <c r="AU262" s="4" t="n">
        <f aca="false">10+24/60</f>
        <v>10.4</v>
      </c>
      <c r="AV262" s="4" t="n">
        <f aca="false">2+18/60</f>
        <v>2.3</v>
      </c>
      <c r="AW262" s="4" t="n">
        <f aca="false">8/60</f>
        <v>0.133333333333333</v>
      </c>
      <c r="AX262" s="4" t="n">
        <v>0</v>
      </c>
      <c r="AY262" s="4" t="n">
        <v>0</v>
      </c>
      <c r="AZ262" s="0" t="s">
        <v>60</v>
      </c>
      <c r="BA262" s="0" t="s">
        <v>61</v>
      </c>
      <c r="BB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55</v>
      </c>
      <c r="G263" s="3" t="n">
        <v>76</v>
      </c>
      <c r="H263" s="3" t="n">
        <v>60</v>
      </c>
      <c r="I263" s="3" t="n">
        <v>58</v>
      </c>
      <c r="J263" s="7" t="s">
        <v>81</v>
      </c>
      <c r="K263" s="3" t="n">
        <v>17</v>
      </c>
      <c r="L263" s="3" t="n">
        <v>22</v>
      </c>
      <c r="M263" s="0" t="s">
        <v>64</v>
      </c>
      <c r="N263" s="0" t="n">
        <v>1</v>
      </c>
      <c r="O263" s="0" t="s">
        <v>147</v>
      </c>
      <c r="P263" s="0" t="s">
        <v>146</v>
      </c>
      <c r="Q263" s="0" t="s">
        <v>108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0" t="n">
        <v>0</v>
      </c>
      <c r="AR263" s="0" t="n">
        <v>0</v>
      </c>
      <c r="AS263" s="0" t="n">
        <v>0</v>
      </c>
      <c r="AT263" s="5" t="n">
        <f aca="false">60*V263-SUM(AU263:AY263)</f>
        <v>96.4666666666667</v>
      </c>
      <c r="AU263" s="4" t="n">
        <f aca="false">7+32/60</f>
        <v>7.53333333333333</v>
      </c>
      <c r="AV263" s="4" t="n">
        <v>0</v>
      </c>
      <c r="AW263" s="4" t="n">
        <v>0</v>
      </c>
      <c r="AX263" s="4" t="n">
        <v>0</v>
      </c>
      <c r="AY263" s="4" t="n">
        <v>0</v>
      </c>
      <c r="AZ263" s="0" t="s">
        <v>60</v>
      </c>
      <c r="BA263" s="0" t="s">
        <v>61</v>
      </c>
      <c r="BB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62</v>
      </c>
      <c r="G264" s="3" t="n">
        <v>75</v>
      </c>
      <c r="H264" s="3" t="n">
        <v>59</v>
      </c>
      <c r="I264" s="3" t="n">
        <v>57</v>
      </c>
      <c r="J264" s="7" t="s">
        <v>89</v>
      </c>
      <c r="K264" s="3" t="n">
        <v>12</v>
      </c>
      <c r="L264" s="3" t="n">
        <v>0</v>
      </c>
      <c r="M264" s="0" t="s">
        <v>64</v>
      </c>
      <c r="N264" s="0" t="n">
        <v>0</v>
      </c>
      <c r="O264" s="0" t="s">
        <v>147</v>
      </c>
      <c r="P264" s="0" t="s">
        <v>146</v>
      </c>
      <c r="Q264" s="0" t="s">
        <v>143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0" t="n">
        <v>2</v>
      </c>
      <c r="AR264" s="0" t="n">
        <v>1</v>
      </c>
      <c r="AS264" s="0" t="n">
        <v>0</v>
      </c>
      <c r="AT264" s="5" t="n">
        <v>0</v>
      </c>
      <c r="AU264" s="4" t="n">
        <f aca="false">2+10/60</f>
        <v>2.16666666666667</v>
      </c>
      <c r="AV264" s="4" t="n">
        <f aca="false">46+47/60</f>
        <v>46.7833333333333</v>
      </c>
      <c r="AW264" s="4" t="n">
        <f aca="false">68+26/60</f>
        <v>68.4333333333333</v>
      </c>
      <c r="AX264" s="4" t="n">
        <v>0</v>
      </c>
      <c r="AY264" s="4" t="n">
        <v>0</v>
      </c>
      <c r="AZ264" s="0" t="s">
        <v>60</v>
      </c>
      <c r="BA264" s="0" t="s">
        <v>61</v>
      </c>
      <c r="BB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72</v>
      </c>
      <c r="G265" s="3" t="n">
        <v>73</v>
      </c>
      <c r="H265" s="3" t="n">
        <v>54</v>
      </c>
      <c r="I265" s="3" t="n">
        <v>50</v>
      </c>
      <c r="J265" s="3" t="s">
        <v>63</v>
      </c>
      <c r="K265" s="3" t="n">
        <f aca="false">19/2</f>
        <v>9.5</v>
      </c>
      <c r="L265" s="3" t="n">
        <v>0</v>
      </c>
      <c r="M265" s="0" t="s">
        <v>64</v>
      </c>
      <c r="N265" s="0" t="n">
        <v>0</v>
      </c>
      <c r="O265" s="0" t="s">
        <v>147</v>
      </c>
      <c r="P265" s="0" t="s">
        <v>146</v>
      </c>
      <c r="Q265" s="7" t="s">
        <v>93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0" t="n">
        <v>2</v>
      </c>
      <c r="AR265" s="0" t="n">
        <v>0</v>
      </c>
      <c r="AS265" s="0" t="n">
        <v>0</v>
      </c>
      <c r="AT265" s="5" t="n">
        <f aca="false">60*V265-SUM(AU265:AY265)</f>
        <v>1.16666666666666</v>
      </c>
      <c r="AU265" s="4" t="n">
        <f aca="false">33+25/60</f>
        <v>33.4166666666667</v>
      </c>
      <c r="AV265" s="4" t="n">
        <f aca="false">21+48/60</f>
        <v>21.8</v>
      </c>
      <c r="AW265" s="4" t="n">
        <f aca="false">16+37/60</f>
        <v>16.6166666666667</v>
      </c>
      <c r="AX265" s="4" t="n">
        <v>0</v>
      </c>
      <c r="AY265" s="4" t="n">
        <v>0</v>
      </c>
      <c r="AZ265" s="0" t="s">
        <v>60</v>
      </c>
      <c r="BA265" s="0" t="s">
        <v>61</v>
      </c>
      <c r="BB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62</v>
      </c>
      <c r="G266" s="3" t="n">
        <v>71</v>
      </c>
      <c r="H266" s="3" t="n">
        <v>61</v>
      </c>
      <c r="I266" s="3" t="n">
        <f aca="false">(73+66)/2</f>
        <v>69.5</v>
      </c>
      <c r="J266" s="7" t="s">
        <v>89</v>
      </c>
      <c r="K266" s="3" t="n">
        <v>16</v>
      </c>
      <c r="L266" s="3" t="n">
        <v>26</v>
      </c>
      <c r="M266" s="0" t="s">
        <v>64</v>
      </c>
      <c r="N266" s="0" t="n">
        <v>0</v>
      </c>
      <c r="O266" s="0" t="s">
        <v>147</v>
      </c>
      <c r="P266" s="0" t="s">
        <v>146</v>
      </c>
      <c r="Q266" s="13" t="s">
        <v>127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0" t="n">
        <v>1</v>
      </c>
      <c r="AR266" s="0" t="n">
        <v>1</v>
      </c>
      <c r="AS266" s="0" t="n">
        <v>0</v>
      </c>
      <c r="AT266" s="5" t="n">
        <f aca="false">60*V266-SUM(AU266:AY266)</f>
        <v>111.416666666667</v>
      </c>
      <c r="AU266" s="4" t="n">
        <f aca="false">15+44/60</f>
        <v>15.7333333333333</v>
      </c>
      <c r="AV266" s="4" t="n">
        <f aca="false">1+51/60</f>
        <v>1.85</v>
      </c>
      <c r="AW266" s="4" t="n">
        <v>0</v>
      </c>
      <c r="AX266" s="4" t="n">
        <v>0</v>
      </c>
      <c r="AY266" s="4" t="n">
        <v>0</v>
      </c>
      <c r="AZ266" s="0" t="s">
        <v>60</v>
      </c>
      <c r="BA266" s="0" t="s">
        <v>61</v>
      </c>
      <c r="BB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72</v>
      </c>
      <c r="G267" s="3" t="n">
        <v>79</v>
      </c>
      <c r="H267" s="3" t="n">
        <v>60</v>
      </c>
      <c r="I267" s="3" t="n">
        <v>52</v>
      </c>
      <c r="J267" s="7" t="s">
        <v>89</v>
      </c>
      <c r="K267" s="3" t="n">
        <v>15</v>
      </c>
      <c r="L267" s="3" t="n">
        <v>0</v>
      </c>
      <c r="M267" s="0" t="s">
        <v>64</v>
      </c>
      <c r="N267" s="0" t="n">
        <v>0</v>
      </c>
      <c r="O267" s="0" t="s">
        <v>147</v>
      </c>
      <c r="P267" s="0" t="s">
        <v>146</v>
      </c>
      <c r="Q267" s="0" t="s">
        <v>153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0" t="n">
        <v>0</v>
      </c>
      <c r="AR267" s="0" t="n">
        <v>0</v>
      </c>
      <c r="AS267" s="0" t="n">
        <v>0</v>
      </c>
      <c r="AT267" s="5" t="n">
        <f aca="false">60*V267-SUM(AU267:AY267)</f>
        <v>-0.0033333333333303</v>
      </c>
      <c r="AU267" s="4" t="n">
        <f aca="false">8+30/60</f>
        <v>8.5</v>
      </c>
      <c r="AV267" s="4" t="n">
        <f aca="false">29+26/60</f>
        <v>29.4333333333333</v>
      </c>
      <c r="AW267" s="4" t="n">
        <f aca="false">32.07</f>
        <v>32.07</v>
      </c>
      <c r="AX267" s="4" t="n">
        <v>0</v>
      </c>
      <c r="AY267" s="4" t="n">
        <v>0</v>
      </c>
      <c r="AZ267" s="0" t="s">
        <v>60</v>
      </c>
      <c r="BA267" s="0" t="s">
        <v>61</v>
      </c>
      <c r="BB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72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128</v>
      </c>
      <c r="K268" s="3" t="n">
        <v>14</v>
      </c>
      <c r="L268" s="3" t="n">
        <v>0</v>
      </c>
      <c r="M268" s="0" t="s">
        <v>64</v>
      </c>
      <c r="N268" s="0" t="n">
        <v>0</v>
      </c>
      <c r="O268" s="0" t="s">
        <v>147</v>
      </c>
      <c r="P268" s="0" t="s">
        <v>146</v>
      </c>
      <c r="Q268" s="0" t="s">
        <v>149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0" t="n">
        <v>2</v>
      </c>
      <c r="AR268" s="0" t="n">
        <v>1</v>
      </c>
      <c r="AS268" s="0" t="n">
        <v>0</v>
      </c>
      <c r="AT268" s="5" t="n">
        <f aca="false">60*V268-SUM(AU268:AY268)</f>
        <v>2.90000000000001</v>
      </c>
      <c r="AU268" s="4" t="n">
        <f aca="false">51+21/60</f>
        <v>51.35</v>
      </c>
      <c r="AV268" s="4" t="n">
        <f aca="false">54+2/60</f>
        <v>54.0333333333333</v>
      </c>
      <c r="AW268" s="4" t="n">
        <f aca="false">17+41/60</f>
        <v>17.6833333333333</v>
      </c>
      <c r="AX268" s="4" t="n">
        <f aca="false">2/60</f>
        <v>0.0333333333333333</v>
      </c>
      <c r="AY268" s="4" t="n">
        <v>0</v>
      </c>
      <c r="AZ268" s="0" t="s">
        <v>60</v>
      </c>
      <c r="BA268" s="0" t="s">
        <v>61</v>
      </c>
      <c r="BB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72</v>
      </c>
      <c r="G269" s="3" t="n">
        <v>68</v>
      </c>
      <c r="H269" s="3" t="n">
        <v>39</v>
      </c>
      <c r="I269" s="3" t="n">
        <v>35</v>
      </c>
      <c r="J269" s="3" t="s">
        <v>73</v>
      </c>
      <c r="K269" s="3" t="n">
        <v>5</v>
      </c>
      <c r="L269" s="3" t="n">
        <v>0</v>
      </c>
      <c r="M269" s="0" t="s">
        <v>64</v>
      </c>
      <c r="N269" s="0" t="n">
        <v>0</v>
      </c>
      <c r="O269" s="0" t="s">
        <v>147</v>
      </c>
      <c r="P269" s="0" t="s">
        <v>146</v>
      </c>
      <c r="Q269" s="0" t="s">
        <v>88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0" t="n">
        <v>0</v>
      </c>
      <c r="AR269" s="0" t="n">
        <v>1</v>
      </c>
      <c r="AS269" s="0" t="n">
        <v>0</v>
      </c>
      <c r="AT269" s="5" t="n">
        <f aca="false">60*V269-SUM(AU269:AY269)</f>
        <v>0</v>
      </c>
      <c r="AU269" s="4" t="n">
        <f aca="false">27+14/60</f>
        <v>27.2333333333333</v>
      </c>
      <c r="AV269" s="4" t="n">
        <f aca="false">44+4/60</f>
        <v>44.0666666666667</v>
      </c>
      <c r="AW269" s="4" t="n">
        <f aca="false">3+42/60</f>
        <v>3.7</v>
      </c>
      <c r="AX269" s="4" t="n">
        <v>0</v>
      </c>
      <c r="AY269" s="4" t="n">
        <v>0</v>
      </c>
      <c r="AZ269" s="0" t="s">
        <v>60</v>
      </c>
      <c r="BA269" s="0" t="s">
        <v>61</v>
      </c>
      <c r="BB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55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63</v>
      </c>
      <c r="K270" s="3" t="n">
        <v>14</v>
      </c>
      <c r="L270" s="3" t="n">
        <v>0</v>
      </c>
      <c r="M270" s="0" t="s">
        <v>64</v>
      </c>
      <c r="N270" s="0" t="n">
        <v>0</v>
      </c>
      <c r="O270" s="0" t="s">
        <v>147</v>
      </c>
      <c r="P270" s="0" t="s">
        <v>146</v>
      </c>
      <c r="Q270" s="0" t="s">
        <v>95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0" t="n">
        <v>3</v>
      </c>
      <c r="AR270" s="0" t="n">
        <v>0</v>
      </c>
      <c r="AS270" s="0" t="n">
        <v>0</v>
      </c>
      <c r="AT270" s="5" t="n">
        <f aca="false">60*V270-SUM(AU270:AY270)</f>
        <v>15.4833333333334</v>
      </c>
      <c r="AU270" s="4" t="n">
        <f aca="false">33+3/60</f>
        <v>33.05</v>
      </c>
      <c r="AV270" s="4" t="n">
        <f aca="false">15+32/60</f>
        <v>15.5333333333333</v>
      </c>
      <c r="AW270" s="4" t="n">
        <f aca="false">66+44/60</f>
        <v>66.7333333333333</v>
      </c>
      <c r="AX270" s="4" t="n">
        <v>0</v>
      </c>
      <c r="AY270" s="4" t="n">
        <v>0</v>
      </c>
      <c r="AZ270" s="0" t="s">
        <v>60</v>
      </c>
      <c r="BA270" s="0" t="s">
        <v>61</v>
      </c>
      <c r="BB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94</v>
      </c>
      <c r="G271" s="3" t="n">
        <v>73</v>
      </c>
      <c r="H271" s="3" t="n">
        <v>54</v>
      </c>
      <c r="I271" s="3" t="n">
        <v>51</v>
      </c>
      <c r="J271" s="7" t="s">
        <v>76</v>
      </c>
      <c r="K271" s="3" t="n">
        <v>0</v>
      </c>
      <c r="L271" s="3" t="n">
        <v>0</v>
      </c>
      <c r="M271" s="0" t="s">
        <v>64</v>
      </c>
      <c r="N271" s="0" t="n">
        <v>0</v>
      </c>
      <c r="O271" s="0" t="s">
        <v>147</v>
      </c>
      <c r="P271" s="0" t="s">
        <v>146</v>
      </c>
      <c r="Q271" s="0" t="s">
        <v>108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0" t="n">
        <v>0</v>
      </c>
      <c r="AR271" s="0" t="n">
        <v>0</v>
      </c>
      <c r="AS271" s="0" t="n">
        <v>0</v>
      </c>
      <c r="AT271" s="5" t="n">
        <f aca="false">60*V271-SUM(AU271:AY271)</f>
        <v>18.4833333333331</v>
      </c>
      <c r="AU271" s="4" t="n">
        <f aca="false">15+10/60</f>
        <v>15.1666666666667</v>
      </c>
      <c r="AV271" s="4" t="n">
        <f aca="false">65+27/60</f>
        <v>65.45</v>
      </c>
      <c r="AW271" s="4" t="n">
        <f aca="false">7+54/60</f>
        <v>7.9</v>
      </c>
      <c r="AX271" s="4" t="n">
        <v>0</v>
      </c>
      <c r="AY271" s="4" t="n">
        <v>0</v>
      </c>
      <c r="AZ271" s="0" t="s">
        <v>60</v>
      </c>
      <c r="BA271" s="0" t="s">
        <v>61</v>
      </c>
      <c r="BB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154</v>
      </c>
      <c r="F272" s="7" t="s">
        <v>62</v>
      </c>
      <c r="G272" s="3" t="n">
        <v>83</v>
      </c>
      <c r="H272" s="3" t="n">
        <v>65</v>
      </c>
      <c r="I272" s="3" t="n">
        <v>54</v>
      </c>
      <c r="J272" s="3" t="s">
        <v>136</v>
      </c>
      <c r="K272" s="3" t="n">
        <v>24</v>
      </c>
      <c r="L272" s="3" t="n">
        <v>38</v>
      </c>
      <c r="M272" s="0" t="s">
        <v>64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118</v>
      </c>
      <c r="G273" s="3" t="n">
        <v>65</v>
      </c>
      <c r="H273" s="3" t="n">
        <v>19</v>
      </c>
      <c r="I273" s="3" t="n">
        <v>17</v>
      </c>
      <c r="J273" s="3" t="s">
        <v>84</v>
      </c>
      <c r="K273" s="3" t="n">
        <v>15</v>
      </c>
      <c r="L273" s="3" t="n">
        <v>21</v>
      </c>
      <c r="M273" s="0" t="s">
        <v>64</v>
      </c>
      <c r="N273" s="0" t="n">
        <v>0</v>
      </c>
      <c r="O273" s="0" t="s">
        <v>147</v>
      </c>
      <c r="P273" s="0" t="s">
        <v>146</v>
      </c>
      <c r="Q273" s="0" t="s">
        <v>65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0" t="n">
        <v>0</v>
      </c>
      <c r="AR273" s="0" t="n">
        <v>0</v>
      </c>
      <c r="AS273" s="0" t="n">
        <v>0</v>
      </c>
      <c r="AT273" s="5" t="n">
        <f aca="false">60*V273-SUM(AU273:AY273)</f>
        <v>47.45</v>
      </c>
      <c r="AU273" s="4" t="n">
        <f aca="false">23+13/60</f>
        <v>23.2166666666667</v>
      </c>
      <c r="AV273" s="4" t="n">
        <f aca="false">1+20/60</f>
        <v>1.33333333333333</v>
      </c>
      <c r="AW273" s="4" t="n">
        <v>0</v>
      </c>
      <c r="AX273" s="4" t="n">
        <v>0</v>
      </c>
      <c r="AY273" s="4" t="n">
        <v>0</v>
      </c>
      <c r="AZ273" s="0" t="s">
        <v>60</v>
      </c>
      <c r="BA273" s="0" t="s">
        <v>61</v>
      </c>
      <c r="BB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118</v>
      </c>
      <c r="G274" s="3" t="n">
        <v>68</v>
      </c>
      <c r="H274" s="3" t="n">
        <v>25</v>
      </c>
      <c r="I274" s="3" t="n">
        <f aca="false">(21+18)/2</f>
        <v>19.5</v>
      </c>
      <c r="J274" s="3" t="s">
        <v>56</v>
      </c>
      <c r="K274" s="3" t="n">
        <v>0</v>
      </c>
      <c r="L274" s="3" t="n">
        <v>7</v>
      </c>
      <c r="M274" s="0" t="s">
        <v>64</v>
      </c>
      <c r="N274" s="0" t="n">
        <v>0</v>
      </c>
      <c r="O274" s="0" t="s">
        <v>147</v>
      </c>
      <c r="P274" s="0" t="s">
        <v>146</v>
      </c>
      <c r="Q274" s="0" t="s">
        <v>124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0" t="n">
        <v>1</v>
      </c>
      <c r="AR274" s="0" t="n">
        <v>1</v>
      </c>
      <c r="AS274" s="0" t="n">
        <v>0</v>
      </c>
      <c r="AT274" s="5" t="n">
        <f aca="false">60*V274-SUM(AU274:AY274)</f>
        <v>58.55</v>
      </c>
      <c r="AU274" s="4" t="n">
        <f aca="false">28+31/60</f>
        <v>28.5166666666667</v>
      </c>
      <c r="AV274" s="4" t="n">
        <f aca="false">18+53/60</f>
        <v>18.8833333333333</v>
      </c>
      <c r="AW274" s="4" t="n">
        <f aca="false">6+3/60</f>
        <v>6.05</v>
      </c>
      <c r="AX274" s="4" t="n">
        <v>0</v>
      </c>
      <c r="AY274" s="4" t="n">
        <v>0</v>
      </c>
      <c r="AZ274" s="0" t="s">
        <v>60</v>
      </c>
      <c r="BA274" s="0" t="s">
        <v>61</v>
      </c>
      <c r="BB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62</v>
      </c>
      <c r="G275" s="3" t="n">
        <v>77</v>
      </c>
      <c r="H275" s="3" t="n">
        <v>61</v>
      </c>
      <c r="I275" s="3" t="n">
        <v>58</v>
      </c>
      <c r="J275" s="3" t="s">
        <v>63</v>
      </c>
      <c r="K275" s="3" t="n">
        <v>14</v>
      </c>
      <c r="L275" s="3" t="n">
        <v>0</v>
      </c>
      <c r="M275" s="0" t="s">
        <v>64</v>
      </c>
      <c r="N275" s="0" t="n">
        <v>0</v>
      </c>
      <c r="O275" s="0" t="s">
        <v>147</v>
      </c>
      <c r="P275" s="0" t="s">
        <v>146</v>
      </c>
      <c r="Q275" s="0" t="s">
        <v>153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0" t="n">
        <v>3</v>
      </c>
      <c r="AR275" s="0" t="n">
        <v>0</v>
      </c>
      <c r="AS275" s="0" t="n">
        <v>0</v>
      </c>
      <c r="AT275" s="5" t="n">
        <f aca="false">60*V275-SUM(AU275:AY275)</f>
        <v>1.96666666666667</v>
      </c>
      <c r="AU275" s="4" t="n">
        <f aca="false">7+5/60</f>
        <v>7.08333333333333</v>
      </c>
      <c r="AV275" s="4" t="n">
        <v>49</v>
      </c>
      <c r="AW275" s="4" t="n">
        <f aca="false">12+57/60</f>
        <v>12.95</v>
      </c>
      <c r="AX275" s="4" t="n">
        <v>0</v>
      </c>
      <c r="AY275" s="4" t="n">
        <v>0</v>
      </c>
      <c r="AZ275" s="0" t="s">
        <v>60</v>
      </c>
      <c r="BA275" s="0" t="s">
        <v>61</v>
      </c>
      <c r="BB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44153.4944444445</v>
      </c>
      <c r="C276" s="0" t="n">
        <v>1</v>
      </c>
      <c r="F276" s="7" t="s">
        <v>118</v>
      </c>
      <c r="G276" s="3" t="n">
        <v>69</v>
      </c>
      <c r="H276" s="3" t="n">
        <v>37</v>
      </c>
      <c r="I276" s="3" t="n">
        <v>31</v>
      </c>
      <c r="J276" s="3" t="s">
        <v>63</v>
      </c>
      <c r="K276" s="3" t="n">
        <v>14</v>
      </c>
      <c r="L276" s="3" t="n">
        <v>0</v>
      </c>
      <c r="M276" s="0" t="s">
        <v>64</v>
      </c>
      <c r="N276" s="0" t="n">
        <v>0</v>
      </c>
      <c r="O276" s="0" t="s">
        <v>147</v>
      </c>
      <c r="P276" s="0" t="s">
        <v>146</v>
      </c>
      <c r="Q276" s="0" t="s">
        <v>149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0" t="n">
        <v>0</v>
      </c>
      <c r="AR276" s="0" t="n">
        <v>0</v>
      </c>
      <c r="AS276" s="0" t="n">
        <v>0</v>
      </c>
      <c r="AT276" s="5" t="n">
        <f aca="false">60*V276-SUM(AU276:AY276)</f>
        <v>3.96666666666667</v>
      </c>
      <c r="AU276" s="4" t="n">
        <f aca="false">12+5/60</f>
        <v>12.0833333333333</v>
      </c>
      <c r="AV276" s="4" t="n">
        <f aca="false">17+19/60</f>
        <v>17.3166666666667</v>
      </c>
      <c r="AW276" s="4" t="n">
        <f aca="false">53+10/60</f>
        <v>53.1666666666667</v>
      </c>
      <c r="AX276" s="4" t="n">
        <f aca="false">9+28/60</f>
        <v>9.46666666666667</v>
      </c>
      <c r="AY276" s="4" t="n">
        <v>0</v>
      </c>
      <c r="AZ276" s="0" t="s">
        <v>60</v>
      </c>
      <c r="BA276" s="0" t="s">
        <v>61</v>
      </c>
      <c r="BB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55</v>
      </c>
      <c r="G277" s="3" t="n">
        <v>69</v>
      </c>
      <c r="H277" s="3" t="n">
        <v>58</v>
      </c>
      <c r="I277" s="3" t="n">
        <v>68</v>
      </c>
      <c r="J277" s="3" t="s">
        <v>63</v>
      </c>
      <c r="K277" s="3" t="n">
        <v>23</v>
      </c>
      <c r="L277" s="3" t="n">
        <v>30</v>
      </c>
      <c r="M277" s="0" t="s">
        <v>64</v>
      </c>
      <c r="N277" s="0" t="n">
        <v>0</v>
      </c>
      <c r="O277" s="0" t="s">
        <v>147</v>
      </c>
      <c r="P277" s="0" t="s">
        <v>146</v>
      </c>
      <c r="Q277" s="7" t="s">
        <v>93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0" t="n">
        <v>3</v>
      </c>
      <c r="AR277" s="0" t="n">
        <v>0</v>
      </c>
      <c r="AS277" s="0" t="n">
        <v>0</v>
      </c>
      <c r="AT277" s="5" t="n">
        <f aca="false">60*V277-SUM(AU277:AY277)</f>
        <v>0.233333333333334</v>
      </c>
      <c r="AU277" s="4" t="n">
        <f aca="false">1+29/60</f>
        <v>1.48333333333333</v>
      </c>
      <c r="AV277" s="4" t="n">
        <f aca="false">15+24/60</f>
        <v>15.4</v>
      </c>
      <c r="AW277" s="4" t="n">
        <f aca="false">54+5/60</f>
        <v>54.0833333333333</v>
      </c>
      <c r="AX277" s="4" t="n">
        <f aca="false">3+48/60</f>
        <v>3.8</v>
      </c>
      <c r="AY277" s="4" t="n">
        <v>0</v>
      </c>
      <c r="AZ277" s="0" t="s">
        <v>60</v>
      </c>
      <c r="BA277" s="0" t="s">
        <v>61</v>
      </c>
      <c r="BB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155</v>
      </c>
      <c r="F278" s="7" t="s">
        <v>62</v>
      </c>
      <c r="G278" s="3" t="n">
        <v>70</v>
      </c>
      <c r="H278" s="3" t="n">
        <v>60</v>
      </c>
      <c r="I278" s="3" t="n">
        <v>71</v>
      </c>
      <c r="J278" s="3" t="s">
        <v>63</v>
      </c>
      <c r="K278" s="3" t="n">
        <v>8</v>
      </c>
      <c r="L278" s="3" t="n">
        <v>18</v>
      </c>
      <c r="M278" s="0" t="s">
        <v>64</v>
      </c>
      <c r="N278" s="0" t="n">
        <v>1</v>
      </c>
      <c r="O278" s="0" t="s">
        <v>147</v>
      </c>
      <c r="P278" s="0" t="s">
        <v>146</v>
      </c>
      <c r="Q278" s="0" t="s">
        <v>108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0" t="n">
        <v>2</v>
      </c>
      <c r="AR278" s="0" t="n">
        <v>0</v>
      </c>
      <c r="AS278" s="0" t="n">
        <v>0</v>
      </c>
      <c r="AT278" s="5" t="n">
        <f aca="false">60*V278-SUM(AU278:AY278)</f>
        <v>6.51666666666667</v>
      </c>
      <c r="AU278" s="4" t="n">
        <f aca="false">55+54/60</f>
        <v>55.9</v>
      </c>
      <c r="AV278" s="4" t="n">
        <f aca="false">40+23/60</f>
        <v>40.3833333333333</v>
      </c>
      <c r="AW278" s="4" t="n">
        <f aca="false">5+12/60</f>
        <v>5.2</v>
      </c>
      <c r="AX278" s="4" t="n">
        <v>0</v>
      </c>
      <c r="AY278" s="4" t="n">
        <v>0</v>
      </c>
      <c r="AZ278" s="0" t="s">
        <v>60</v>
      </c>
      <c r="BA278" s="0" t="s">
        <v>61</v>
      </c>
      <c r="BB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94</v>
      </c>
      <c r="G279" s="3" t="n">
        <v>75</v>
      </c>
      <c r="H279" s="3" t="n">
        <v>62</v>
      </c>
      <c r="I279" s="3" t="n">
        <v>64</v>
      </c>
      <c r="J279" s="7" t="s">
        <v>81</v>
      </c>
      <c r="K279" s="3" t="n">
        <v>10</v>
      </c>
      <c r="L279" s="3" t="n">
        <v>0</v>
      </c>
      <c r="M279" s="0" t="s">
        <v>64</v>
      </c>
      <c r="N279" s="0" t="n">
        <v>0</v>
      </c>
      <c r="O279" s="0" t="s">
        <v>147</v>
      </c>
      <c r="P279" s="0" t="s">
        <v>146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0" t="n">
        <v>1</v>
      </c>
      <c r="AR279" s="0" t="n">
        <v>0</v>
      </c>
      <c r="AS279" s="0" t="n">
        <v>0</v>
      </c>
      <c r="AT279" s="5" t="n">
        <f aca="false">60*V279-SUM(AU279:AY279)</f>
        <v>0</v>
      </c>
      <c r="AU279" s="4" t="n">
        <f aca="false">9+58/60</f>
        <v>9.96666666666667</v>
      </c>
      <c r="AV279" s="4" t="n">
        <f aca="false">47+36/60</f>
        <v>47.6</v>
      </c>
      <c r="AW279" s="4" t="n">
        <f aca="false">14+26/60</f>
        <v>14.4333333333333</v>
      </c>
      <c r="AX279" s="4" t="n">
        <v>0</v>
      </c>
      <c r="AY279" s="4" t="n">
        <v>0</v>
      </c>
      <c r="AZ279" s="0" t="s">
        <v>60</v>
      </c>
      <c r="BA279" s="0" t="s">
        <v>61</v>
      </c>
      <c r="BB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62</v>
      </c>
      <c r="G280" s="3" t="n">
        <v>86</v>
      </c>
      <c r="H280" s="3" t="n">
        <v>58</v>
      </c>
      <c r="I280" s="3" t="n">
        <v>40</v>
      </c>
      <c r="J280" s="3" t="s">
        <v>106</v>
      </c>
      <c r="K280" s="3" t="n">
        <v>10</v>
      </c>
      <c r="L280" s="3" t="n">
        <v>0</v>
      </c>
      <c r="M280" s="0" t="s">
        <v>64</v>
      </c>
      <c r="N280" s="0" t="n">
        <v>0</v>
      </c>
      <c r="O280" s="0" t="s">
        <v>147</v>
      </c>
      <c r="P280" s="0" t="s">
        <v>146</v>
      </c>
      <c r="Q280" s="0" t="s">
        <v>143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0" t="n">
        <v>1</v>
      </c>
      <c r="AR280" s="0" t="n">
        <v>0</v>
      </c>
      <c r="AS280" s="0" t="n">
        <v>0</v>
      </c>
      <c r="AT280" s="5" t="n">
        <f aca="false">60*V280-SUM(AU280:AY280)</f>
        <v>33.2166666666667</v>
      </c>
      <c r="AU280" s="4" t="n">
        <f aca="false">60+21+44/60</f>
        <v>81.7333333333333</v>
      </c>
      <c r="AV280" s="4" t="n">
        <f aca="false">3+3/60</f>
        <v>3.05</v>
      </c>
      <c r="AW280" s="4" t="n">
        <v>0</v>
      </c>
      <c r="AX280" s="4" t="n">
        <v>0</v>
      </c>
      <c r="AY280" s="4" t="n">
        <v>0</v>
      </c>
      <c r="AZ280" s="0" t="s">
        <v>60</v>
      </c>
      <c r="BA280" s="0" t="s">
        <v>61</v>
      </c>
      <c r="BB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66</v>
      </c>
      <c r="G281" s="3" t="n">
        <v>58</v>
      </c>
      <c r="H281" s="3" t="n">
        <v>48</v>
      </c>
      <c r="I281" s="3" t="n">
        <v>73</v>
      </c>
      <c r="J281" s="3" t="s">
        <v>105</v>
      </c>
      <c r="K281" s="3" t="n">
        <v>12</v>
      </c>
      <c r="L281" s="3" t="n">
        <v>0</v>
      </c>
      <c r="M281" s="0" t="s">
        <v>64</v>
      </c>
      <c r="N281" s="0" t="n">
        <v>0</v>
      </c>
      <c r="O281" s="0" t="s">
        <v>147</v>
      </c>
      <c r="P281" s="0" t="s">
        <v>146</v>
      </c>
      <c r="Q281" s="0" t="s">
        <v>88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0" t="n">
        <v>0</v>
      </c>
      <c r="AR281" s="0" t="n">
        <v>0</v>
      </c>
      <c r="AS281" s="0" t="n">
        <v>0</v>
      </c>
      <c r="AT281" s="5" t="n">
        <f aca="false">60*V281-SUM(AU281:AY281)</f>
        <v>0.550000000000011</v>
      </c>
      <c r="AU281" s="4" t="n">
        <f aca="false">22+39/60</f>
        <v>22.65</v>
      </c>
      <c r="AV281" s="4" t="n">
        <f aca="false">50+48/60</f>
        <v>50.8</v>
      </c>
      <c r="AW281" s="4" t="n">
        <v>0</v>
      </c>
      <c r="AX281" s="4" t="n">
        <v>0</v>
      </c>
      <c r="AY281" s="4" t="n">
        <v>0</v>
      </c>
      <c r="AZ281" s="0" t="s">
        <v>60</v>
      </c>
      <c r="BA281" s="0" t="s">
        <v>61</v>
      </c>
      <c r="BB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80</v>
      </c>
      <c r="F282" s="7" t="s">
        <v>62</v>
      </c>
      <c r="G282" s="3" t="n">
        <v>55</v>
      </c>
      <c r="H282" s="3" t="n">
        <v>46</v>
      </c>
      <c r="I282" s="3" t="n">
        <v>72</v>
      </c>
      <c r="J282" s="3" t="s">
        <v>126</v>
      </c>
      <c r="K282" s="3" t="n">
        <v>10</v>
      </c>
      <c r="L282" s="3" t="n">
        <v>0</v>
      </c>
      <c r="M282" s="0" t="s">
        <v>64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72</v>
      </c>
      <c r="G283" s="3" t="n">
        <v>61</v>
      </c>
      <c r="H283" s="3" t="n">
        <v>31</v>
      </c>
      <c r="I283" s="3" t="n">
        <v>32</v>
      </c>
      <c r="J283" s="3" t="s">
        <v>156</v>
      </c>
      <c r="K283" s="3" t="n">
        <v>10</v>
      </c>
      <c r="L283" s="3" t="n">
        <v>0</v>
      </c>
      <c r="M283" s="0" t="s">
        <v>64</v>
      </c>
      <c r="N283" s="0" t="n">
        <v>0</v>
      </c>
      <c r="O283" s="0" t="s">
        <v>147</v>
      </c>
      <c r="P283" s="0" t="s">
        <v>146</v>
      </c>
      <c r="Q283" s="0" t="s">
        <v>95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0" t="n">
        <v>3</v>
      </c>
      <c r="AR283" s="0" t="n">
        <v>0</v>
      </c>
      <c r="AS283" s="0" t="n">
        <v>0</v>
      </c>
      <c r="AT283" s="5" t="n">
        <f aca="false">60*V283-SUM(AU283:AY283)</f>
        <v>66.4833333333333</v>
      </c>
      <c r="AU283" s="4" t="n">
        <f aca="false">66+12/60</f>
        <v>66.2</v>
      </c>
      <c r="AV283" s="4" t="n">
        <f aca="false">19/60</f>
        <v>0.316666666666667</v>
      </c>
      <c r="AW283" s="4" t="n">
        <v>0</v>
      </c>
      <c r="AX283" s="4" t="n">
        <v>0</v>
      </c>
      <c r="AY283" s="4" t="n">
        <v>0</v>
      </c>
      <c r="AZ283" s="0" t="s">
        <v>60</v>
      </c>
      <c r="BA283" s="0" t="s">
        <v>61</v>
      </c>
      <c r="BB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120</v>
      </c>
      <c r="F284" s="7" t="s">
        <v>157</v>
      </c>
      <c r="G284" s="3" t="n">
        <v>69</v>
      </c>
      <c r="H284" s="3" t="n">
        <v>37</v>
      </c>
      <c r="I284" s="3" t="n">
        <v>31</v>
      </c>
      <c r="J284" s="3" t="s">
        <v>63</v>
      </c>
      <c r="K284" s="3" t="n">
        <v>14</v>
      </c>
      <c r="L284" s="3" t="n">
        <v>0</v>
      </c>
      <c r="M284" s="0" t="s">
        <v>64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62</v>
      </c>
      <c r="G285" s="3" t="n">
        <v>59</v>
      </c>
      <c r="H285" s="3" t="n">
        <v>41</v>
      </c>
      <c r="I285" s="3" t="n">
        <v>51</v>
      </c>
      <c r="J285" s="3" t="s">
        <v>84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147</v>
      </c>
      <c r="P285" s="0" t="s">
        <v>158</v>
      </c>
      <c r="Q285" s="0" t="s">
        <v>88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0" t="n">
        <v>0</v>
      </c>
      <c r="AR285" s="0" t="n">
        <v>0</v>
      </c>
      <c r="AS285" s="0" t="n">
        <v>0</v>
      </c>
      <c r="AT285" s="5" t="n">
        <f aca="false">60*V285-SUM(AU285:AY285)</f>
        <v>28.4333333333333</v>
      </c>
      <c r="AU285" s="4" t="n">
        <f aca="false">47+33/60</f>
        <v>47.55</v>
      </c>
      <c r="AV285" s="4" t="n">
        <f aca="false">1/60</f>
        <v>0.0166666666666667</v>
      </c>
      <c r="AW285" s="4" t="n">
        <v>0</v>
      </c>
      <c r="AX285" s="4" t="n">
        <v>0</v>
      </c>
      <c r="AY285" s="4" t="n">
        <v>0</v>
      </c>
      <c r="AZ285" s="0" t="s">
        <v>60</v>
      </c>
      <c r="BA285" s="0" t="s">
        <v>61</v>
      </c>
      <c r="BB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96</v>
      </c>
      <c r="F286" s="7" t="s">
        <v>66</v>
      </c>
      <c r="G286" s="3" t="n">
        <v>57</v>
      </c>
      <c r="H286" s="3" t="n">
        <v>47</v>
      </c>
      <c r="I286" s="3" t="n">
        <v>62</v>
      </c>
      <c r="J286" s="3" t="s">
        <v>104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96</v>
      </c>
      <c r="F287" s="0" t="s">
        <v>91</v>
      </c>
      <c r="G287" s="3" t="n">
        <v>48</v>
      </c>
      <c r="H287" s="3" t="n">
        <v>43</v>
      </c>
      <c r="I287" s="3" t="n">
        <v>86</v>
      </c>
      <c r="J287" s="7" t="s">
        <v>87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118</v>
      </c>
      <c r="G288" s="3" t="n">
        <v>50</v>
      </c>
      <c r="H288" s="3" t="n">
        <v>18</v>
      </c>
      <c r="I288" s="3" t="n">
        <v>27</v>
      </c>
      <c r="J288" s="3" t="s">
        <v>69</v>
      </c>
      <c r="K288" s="3" t="n">
        <v>8</v>
      </c>
      <c r="L288" s="3" t="n">
        <v>0</v>
      </c>
      <c r="M288" s="0" t="s">
        <v>64</v>
      </c>
      <c r="N288" s="0" t="n">
        <v>0</v>
      </c>
      <c r="O288" s="0" t="s">
        <v>147</v>
      </c>
      <c r="P288" s="0" t="s">
        <v>158</v>
      </c>
      <c r="Q288" s="7" t="s">
        <v>93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0" t="n">
        <v>0</v>
      </c>
      <c r="AR288" s="0" t="n">
        <v>0</v>
      </c>
      <c r="AS288" s="0" t="n">
        <v>0</v>
      </c>
      <c r="AT288" s="5" t="n">
        <f aca="false">60*V288-SUM(AU288:AY288)</f>
        <v>32.0833333333333</v>
      </c>
      <c r="AU288" s="4" t="n">
        <f aca="false">35+15/60</f>
        <v>35.25</v>
      </c>
      <c r="AV288" s="4" t="n">
        <f aca="false">3+40/60</f>
        <v>3.66666666666667</v>
      </c>
      <c r="AW288" s="4" t="n">
        <v>0</v>
      </c>
      <c r="AX288" s="4" t="n">
        <v>0</v>
      </c>
      <c r="AY288" s="4" t="n">
        <v>0</v>
      </c>
      <c r="AZ288" s="0" t="s">
        <v>60</v>
      </c>
      <c r="BA288" s="0" t="s">
        <v>61</v>
      </c>
      <c r="BB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62</v>
      </c>
      <c r="G289" s="3" t="n">
        <f aca="false">(55+57)/2</f>
        <v>56</v>
      </c>
      <c r="H289" s="3" t="n">
        <v>21</v>
      </c>
      <c r="I289" s="3" t="n">
        <v>21</v>
      </c>
      <c r="J289" s="3" t="s">
        <v>63</v>
      </c>
      <c r="K289" s="3" t="n">
        <v>23</v>
      </c>
      <c r="L289" s="3" t="n">
        <v>0</v>
      </c>
      <c r="M289" s="0" t="s">
        <v>64</v>
      </c>
      <c r="N289" s="0" t="n">
        <v>0</v>
      </c>
      <c r="O289" s="0" t="s">
        <v>147</v>
      </c>
      <c r="P289" s="0" t="s">
        <v>158</v>
      </c>
      <c r="Q289" s="13" t="s">
        <v>127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0" t="n">
        <v>1</v>
      </c>
      <c r="AR289" s="0" t="n">
        <v>1</v>
      </c>
      <c r="AS289" s="0" t="n">
        <v>0</v>
      </c>
      <c r="AT289" s="5" t="n">
        <f aca="false">60*V289-SUM(AU289:AY289)</f>
        <v>58.5</v>
      </c>
      <c r="AU289" s="4" t="n">
        <f aca="false">73+30/60</f>
        <v>73.5</v>
      </c>
      <c r="AV289" s="4" t="s">
        <v>159</v>
      </c>
      <c r="AW289" s="4" t="n">
        <v>0</v>
      </c>
      <c r="AX289" s="4" t="n">
        <v>0</v>
      </c>
      <c r="AY289" s="4" t="n">
        <v>0</v>
      </c>
      <c r="AZ289" s="0" t="s">
        <v>60</v>
      </c>
      <c r="BA289" s="0" t="s">
        <v>61</v>
      </c>
      <c r="BB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62</v>
      </c>
      <c r="G290" s="3" t="n">
        <v>52</v>
      </c>
      <c r="H290" s="3" t="n">
        <v>43</v>
      </c>
      <c r="I290" s="3" t="n">
        <v>66</v>
      </c>
      <c r="J290" s="3" t="s">
        <v>82</v>
      </c>
      <c r="K290" s="3" t="n">
        <v>13</v>
      </c>
      <c r="L290" s="3" t="n">
        <v>0</v>
      </c>
      <c r="M290" s="0" t="s">
        <v>64</v>
      </c>
      <c r="N290" s="0" t="n">
        <v>0</v>
      </c>
      <c r="O290" s="0" t="s">
        <v>147</v>
      </c>
      <c r="P290" s="0" t="s">
        <v>158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0" t="n">
        <v>0</v>
      </c>
      <c r="AR290" s="0" t="n">
        <v>0</v>
      </c>
      <c r="AS290" s="0" t="n">
        <v>0</v>
      </c>
      <c r="AT290" s="5" t="n">
        <f aca="false">60*V290-SUM(AU290:AY290)</f>
        <v>47.8833333333333</v>
      </c>
      <c r="AU290" s="4" t="n">
        <f aca="false">18+7/60</f>
        <v>18.1166666666667</v>
      </c>
      <c r="AV290" s="4" t="n">
        <f aca="false">1</f>
        <v>1</v>
      </c>
      <c r="AW290" s="4" t="n">
        <v>0</v>
      </c>
      <c r="AX290" s="4" t="n">
        <v>0</v>
      </c>
      <c r="AY290" s="4" t="n">
        <v>0</v>
      </c>
      <c r="AZ290" s="0" t="s">
        <v>60</v>
      </c>
      <c r="BA290" s="0" t="s">
        <v>61</v>
      </c>
      <c r="BB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96</v>
      </c>
      <c r="F291" s="7" t="s">
        <v>66</v>
      </c>
      <c r="G291" s="3" t="n">
        <v>45</v>
      </c>
      <c r="H291" s="3" t="n">
        <v>38</v>
      </c>
      <c r="I291" s="3" t="n">
        <v>76</v>
      </c>
      <c r="J291" s="3" t="s">
        <v>69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118</v>
      </c>
      <c r="G292" s="3" t="n">
        <v>56</v>
      </c>
      <c r="H292" s="3" t="n">
        <v>28</v>
      </c>
      <c r="I292" s="7" t="n">
        <v>34</v>
      </c>
      <c r="J292" s="7" t="s">
        <v>128</v>
      </c>
      <c r="K292" s="3" t="n">
        <v>5</v>
      </c>
      <c r="L292" s="3" t="n">
        <v>0</v>
      </c>
      <c r="M292" s="0" t="s">
        <v>64</v>
      </c>
      <c r="N292" s="0" t="n">
        <v>0</v>
      </c>
      <c r="O292" s="0" t="s">
        <v>147</v>
      </c>
      <c r="P292" s="0" t="s">
        <v>146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0" t="n">
        <v>2</v>
      </c>
      <c r="AR292" s="0" t="n">
        <v>1</v>
      </c>
      <c r="AS292" s="0" t="n">
        <v>0</v>
      </c>
      <c r="AT292" s="5" t="n">
        <f aca="false">60*V292-SUM(AU292:AY292)</f>
        <v>90.85</v>
      </c>
      <c r="AU292" s="4" t="n">
        <f aca="false">36+41/60</f>
        <v>36.6833333333333</v>
      </c>
      <c r="AV292" s="4" t="n">
        <f aca="false">3+28/60</f>
        <v>3.46666666666667</v>
      </c>
      <c r="AW292" s="4" t="n">
        <v>0</v>
      </c>
      <c r="AX292" s="4" t="n">
        <v>0</v>
      </c>
      <c r="AY292" s="4" t="n">
        <v>0</v>
      </c>
      <c r="AZ292" s="0" t="s">
        <v>60</v>
      </c>
      <c r="BA292" s="0" t="s">
        <v>61</v>
      </c>
      <c r="BB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109</v>
      </c>
      <c r="K293" s="3" t="n">
        <v>3</v>
      </c>
      <c r="L293" s="3" t="n">
        <v>0</v>
      </c>
      <c r="M293" s="0" t="s">
        <v>64</v>
      </c>
      <c r="N293" s="0" t="n">
        <v>0</v>
      </c>
      <c r="O293" s="0" t="s">
        <v>147</v>
      </c>
      <c r="P293" s="0" t="s">
        <v>158</v>
      </c>
      <c r="Q293" s="0" t="s">
        <v>65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0" t="n">
        <v>0</v>
      </c>
      <c r="AR293" s="0" t="n">
        <v>0</v>
      </c>
      <c r="AS293" s="0" t="n">
        <v>0</v>
      </c>
      <c r="AT293" s="5" t="n">
        <f aca="false">60*V293-SUM(AU293:AY293)</f>
        <v>48.1833333333333</v>
      </c>
      <c r="AU293" s="4" t="n">
        <f aca="false">24+45/60</f>
        <v>24.75</v>
      </c>
      <c r="AV293" s="4" t="n">
        <f aca="false">4/60</f>
        <v>0.0666666666666667</v>
      </c>
      <c r="AW293" s="4" t="n">
        <v>0</v>
      </c>
      <c r="AX293" s="4" t="n">
        <v>0</v>
      </c>
      <c r="AY293" s="4" t="n">
        <v>0</v>
      </c>
      <c r="AZ293" s="0" t="s">
        <v>60</v>
      </c>
      <c r="BA293" s="0" t="s">
        <v>61</v>
      </c>
      <c r="BB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118</v>
      </c>
      <c r="G294" s="3" t="n">
        <v>60</v>
      </c>
      <c r="H294" s="3" t="n">
        <v>32</v>
      </c>
      <c r="I294" s="7" t="n">
        <v>35</v>
      </c>
      <c r="J294" s="7" t="s">
        <v>87</v>
      </c>
      <c r="K294" s="3" t="n">
        <v>12</v>
      </c>
      <c r="L294" s="3" t="n">
        <v>21</v>
      </c>
      <c r="M294" s="0" t="s">
        <v>64</v>
      </c>
      <c r="N294" s="0" t="n">
        <v>0</v>
      </c>
      <c r="O294" s="0" t="s">
        <v>147</v>
      </c>
      <c r="P294" s="0" t="s">
        <v>158</v>
      </c>
      <c r="Q294" s="0" t="s">
        <v>124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0" t="n">
        <v>1</v>
      </c>
      <c r="AR294" s="0" t="n">
        <v>0</v>
      </c>
      <c r="AS294" s="0" t="n">
        <v>0</v>
      </c>
      <c r="AT294" s="5" t="n">
        <f aca="false">60*V294-SUM(AU294:AY294)</f>
        <v>96.1166666666667</v>
      </c>
      <c r="AU294" s="4" t="n">
        <f aca="false">1+33/60</f>
        <v>1.55</v>
      </c>
      <c r="AV294" s="4" t="n">
        <f aca="false">8+52/60</f>
        <v>8.86666666666667</v>
      </c>
      <c r="AW294" s="4" t="n">
        <f aca="false">28/60</f>
        <v>0.466666666666667</v>
      </c>
      <c r="AX294" s="4" t="n">
        <v>0</v>
      </c>
      <c r="AY294" s="4" t="n">
        <v>0</v>
      </c>
      <c r="AZ294" s="0" t="s">
        <v>60</v>
      </c>
      <c r="BA294" s="0" t="s">
        <v>61</v>
      </c>
      <c r="BB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118</v>
      </c>
      <c r="G295" s="3" t="n">
        <v>59</v>
      </c>
      <c r="H295" s="3" t="n">
        <v>34</v>
      </c>
      <c r="I295" s="3" t="n">
        <v>39</v>
      </c>
      <c r="J295" s="3" t="s">
        <v>84</v>
      </c>
      <c r="K295" s="3" t="n">
        <v>8</v>
      </c>
      <c r="L295" s="3" t="n">
        <v>0</v>
      </c>
      <c r="M295" s="0" t="s">
        <v>64</v>
      </c>
      <c r="N295" s="0" t="n">
        <v>0</v>
      </c>
      <c r="O295" s="0" t="s">
        <v>147</v>
      </c>
      <c r="P295" s="0" t="s">
        <v>146</v>
      </c>
      <c r="Q295" s="0" t="s">
        <v>153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0" t="n">
        <v>0</v>
      </c>
      <c r="AR295" s="0" t="n">
        <v>0</v>
      </c>
      <c r="AS295" s="0" t="n">
        <v>0</v>
      </c>
      <c r="AT295" s="5" t="n">
        <f aca="false">60*V295-SUM(AU295:AY295)</f>
        <v>58.1666666666667</v>
      </c>
      <c r="AU295" s="4" t="n">
        <f aca="false">10+27/60</f>
        <v>10.45</v>
      </c>
      <c r="AV295" s="4" t="n">
        <f aca="false">4+23/60</f>
        <v>4.38333333333333</v>
      </c>
      <c r="AW295" s="4" t="n">
        <v>0</v>
      </c>
      <c r="AX295" s="4" t="n">
        <v>0</v>
      </c>
      <c r="AY295" s="4" t="n">
        <v>0</v>
      </c>
      <c r="AZ295" s="0" t="s">
        <v>60</v>
      </c>
      <c r="BA295" s="0" t="s">
        <v>61</v>
      </c>
      <c r="BB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72</v>
      </c>
      <c r="G296" s="3" t="n">
        <v>69</v>
      </c>
      <c r="H296" s="3" t="n">
        <v>28</v>
      </c>
      <c r="I296" s="3" t="n">
        <v>22</v>
      </c>
      <c r="J296" s="3" t="s">
        <v>84</v>
      </c>
      <c r="K296" s="3" t="n">
        <v>5</v>
      </c>
      <c r="L296" s="3" t="n">
        <v>0</v>
      </c>
      <c r="M296" s="0" t="s">
        <v>64</v>
      </c>
      <c r="N296" s="0" t="n">
        <v>0</v>
      </c>
      <c r="O296" s="0" t="s">
        <v>147</v>
      </c>
      <c r="P296" s="0" t="s">
        <v>158</v>
      </c>
      <c r="Q296" s="0" t="s">
        <v>149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0" t="n">
        <v>3</v>
      </c>
      <c r="AR296" s="0" t="n">
        <v>0</v>
      </c>
      <c r="AS296" s="0" t="n">
        <v>0</v>
      </c>
      <c r="AT296" s="5" t="n">
        <f aca="false">60*V296-SUM(AU296:AY296)</f>
        <v>93.5333333333333</v>
      </c>
      <c r="AU296" s="4" t="n">
        <f aca="false">39+35/60</f>
        <v>39.5833333333333</v>
      </c>
      <c r="AV296" s="4" t="n">
        <f aca="false">4+53/60</f>
        <v>4.88333333333333</v>
      </c>
      <c r="AW296" s="4" t="n">
        <v>0</v>
      </c>
      <c r="AX296" s="4" t="n">
        <v>0</v>
      </c>
      <c r="AY296" s="4" t="n">
        <v>0</v>
      </c>
      <c r="AZ296" s="0" t="s">
        <v>60</v>
      </c>
      <c r="BA296" s="0" t="s">
        <v>61</v>
      </c>
      <c r="BB296" s="0" t="n">
        <v>0</v>
      </c>
    </row>
    <row r="297" customFormat="false" ht="12.8" hidden="false" customHeight="false" outlineLevel="0" collapsed="false">
      <c r="A297" s="1" t="n">
        <v>828</v>
      </c>
      <c r="B297" s="2" t="n">
        <v>44174.6520833333</v>
      </c>
      <c r="C297" s="0" t="n">
        <v>1</v>
      </c>
      <c r="F297" s="0" t="s">
        <v>72</v>
      </c>
      <c r="G297" s="3" t="n">
        <v>77</v>
      </c>
      <c r="H297" s="3" t="n">
        <v>22</v>
      </c>
      <c r="I297" s="3" t="n">
        <v>13</v>
      </c>
      <c r="J297" s="7" t="s">
        <v>81</v>
      </c>
      <c r="K297" s="3" t="n">
        <v>9</v>
      </c>
      <c r="L297" s="3" t="n">
        <v>0</v>
      </c>
      <c r="M297" s="0" t="s">
        <v>64</v>
      </c>
      <c r="N297" s="0" t="n">
        <v>0</v>
      </c>
      <c r="O297" s="0" t="s">
        <v>147</v>
      </c>
      <c r="P297" s="0" t="s">
        <v>158</v>
      </c>
      <c r="Q297" s="0" t="s">
        <v>65</v>
      </c>
      <c r="R297" s="4" t="n">
        <v>4.68</v>
      </c>
      <c r="S297" s="3" t="n">
        <v>1494</v>
      </c>
      <c r="T297" s="3" t="n">
        <v>11142</v>
      </c>
      <c r="U297" s="3" t="n">
        <f aca="false">T297-S297</f>
        <v>9648</v>
      </c>
      <c r="V297" s="4" t="n">
        <f aca="false">(60+20)/60</f>
        <v>1.33333333333333</v>
      </c>
      <c r="W297" s="4" t="n">
        <f aca="false">82/60</f>
        <v>1.36666666666667</v>
      </c>
      <c r="X297" s="4" t="n">
        <f aca="false">W297-V297</f>
        <v>0.0333333333333334</v>
      </c>
      <c r="Y297" s="4" t="n">
        <f aca="false">R297/V297</f>
        <v>3.51</v>
      </c>
      <c r="Z297" s="0" t="n">
        <v>1</v>
      </c>
      <c r="AA297" s="4" t="n">
        <f aca="false">R297/Z297</f>
        <v>4.68</v>
      </c>
      <c r="AB297" s="4" t="n">
        <f aca="false">16+56/60</f>
        <v>16.9333333333333</v>
      </c>
      <c r="AC297" s="3" t="n">
        <v>98</v>
      </c>
      <c r="AD297" s="3" t="n">
        <v>247</v>
      </c>
      <c r="AE297" s="3" t="n">
        <v>71</v>
      </c>
      <c r="AF297" s="0" t="n">
        <v>113</v>
      </c>
      <c r="AG297" s="4" t="n">
        <f aca="false">16+10/60</f>
        <v>16.1666666666667</v>
      </c>
      <c r="AH297" s="4" t="n">
        <f aca="false">16+54/60</f>
        <v>16.9</v>
      </c>
      <c r="AI297" s="4" t="n">
        <f aca="false">17+11/60</f>
        <v>17.1833333333333</v>
      </c>
      <c r="AJ297" s="4" t="n">
        <f aca="false">17+14/60</f>
        <v>17.2333333333333</v>
      </c>
      <c r="AK297" s="4" t="n">
        <f aca="false">60/3.5</f>
        <v>17.1428571428571</v>
      </c>
      <c r="AQ297" s="0" t="n">
        <v>1</v>
      </c>
      <c r="AR297" s="0" t="n">
        <v>0</v>
      </c>
      <c r="AS297" s="0" t="n">
        <v>0</v>
      </c>
      <c r="AT297" s="5" t="n">
        <f aca="false">60*V297-SUM(AU297:AY297)</f>
        <v>71.6666666666667</v>
      </c>
      <c r="AU297" s="4" t="n">
        <f aca="false">7+24/60</f>
        <v>7.4</v>
      </c>
      <c r="AV297" s="4" t="n">
        <f aca="false">56/60</f>
        <v>0.933333333333333</v>
      </c>
      <c r="AW297" s="4" t="n">
        <v>0</v>
      </c>
      <c r="AX297" s="4" t="n">
        <v>0</v>
      </c>
      <c r="AY297" s="4" t="n">
        <v>0</v>
      </c>
      <c r="AZ297" s="0" t="s">
        <v>60</v>
      </c>
      <c r="BA297" s="0" t="s">
        <v>61</v>
      </c>
      <c r="BB297" s="0" t="n">
        <v>0</v>
      </c>
    </row>
    <row r="298" customFormat="false" ht="12.8" hidden="false" customHeight="false" outlineLevel="0" collapsed="false">
      <c r="A298" s="1" t="n">
        <v>829</v>
      </c>
      <c r="B298" s="2" t="n">
        <v>44175.6104166667</v>
      </c>
      <c r="C298" s="0" t="n">
        <v>1</v>
      </c>
      <c r="F298" s="0" t="s">
        <v>72</v>
      </c>
      <c r="G298" s="3" t="n">
        <v>76</v>
      </c>
      <c r="H298" s="3" t="n">
        <v>35</v>
      </c>
      <c r="I298" s="3" t="n">
        <v>23</v>
      </c>
      <c r="J298" s="3" t="s">
        <v>63</v>
      </c>
      <c r="K298" s="3" t="n">
        <v>22</v>
      </c>
      <c r="L298" s="3" t="n">
        <v>33</v>
      </c>
      <c r="M298" s="0" t="s">
        <v>64</v>
      </c>
      <c r="N298" s="0" t="n">
        <v>0</v>
      </c>
      <c r="O298" s="0" t="s">
        <v>147</v>
      </c>
      <c r="P298" s="0" t="s">
        <v>146</v>
      </c>
      <c r="Q298" s="0" t="s">
        <v>108</v>
      </c>
      <c r="R298" s="4" t="n">
        <v>6.39</v>
      </c>
      <c r="S298" s="3" t="n">
        <v>1072</v>
      </c>
      <c r="T298" s="3" t="n">
        <v>14547</v>
      </c>
      <c r="U298" s="3" t="n">
        <f aca="false">T298-S298</f>
        <v>13475</v>
      </c>
      <c r="V298" s="4" t="n">
        <f aca="false">(60+46)/60</f>
        <v>1.76666666666667</v>
      </c>
      <c r="W298" s="4" t="n">
        <f aca="false">(60+55)/60</f>
        <v>1.91666666666667</v>
      </c>
      <c r="X298" s="4" t="n">
        <f aca="false">W298-V298</f>
        <v>0.15</v>
      </c>
      <c r="Y298" s="4" t="n">
        <f aca="false">R298/V298</f>
        <v>3.61698113207547</v>
      </c>
      <c r="Z298" s="0" t="n">
        <v>1</v>
      </c>
      <c r="AA298" s="4" t="n">
        <f aca="false">R298/Z298</f>
        <v>6.39</v>
      </c>
      <c r="AB298" s="4" t="n">
        <f aca="false">16+32/60</f>
        <v>16.5333333333333</v>
      </c>
      <c r="AC298" s="3" t="n">
        <v>69</v>
      </c>
      <c r="AD298" s="3" t="n">
        <v>672</v>
      </c>
      <c r="AE298" s="3" t="n">
        <v>83</v>
      </c>
      <c r="AF298" s="0" t="n">
        <v>112</v>
      </c>
      <c r="AG298" s="4" t="n">
        <f aca="false">16+39/60</f>
        <v>16.65</v>
      </c>
      <c r="AH298" s="4" t="n">
        <f aca="false">16+31/60</f>
        <v>16.5166666666667</v>
      </c>
      <c r="AI298" s="4" t="n">
        <f aca="false">16+31/60</f>
        <v>16.5166666666667</v>
      </c>
      <c r="AJ298" s="4" t="n">
        <f aca="false">16+44/60</f>
        <v>16.7333333333333</v>
      </c>
      <c r="AK298" s="4" t="n">
        <f aca="false">16+3/60</f>
        <v>16.05</v>
      </c>
      <c r="AL298" s="4" t="n">
        <f aca="false">16+25/60</f>
        <v>16.4166666666667</v>
      </c>
      <c r="AQ298" s="0" t="n">
        <v>2</v>
      </c>
      <c r="AR298" s="0" t="n">
        <v>0</v>
      </c>
      <c r="AS298" s="0" t="n">
        <v>0</v>
      </c>
      <c r="AT298" s="5" t="n">
        <f aca="false">60*V298-SUM(AU298:AY298)</f>
        <v>74.5333333333333</v>
      </c>
      <c r="AU298" s="4" t="n">
        <f aca="false">30+19/60</f>
        <v>30.3166666666667</v>
      </c>
      <c r="AV298" s="4" t="n">
        <f aca="false">1+9/60</f>
        <v>1.15</v>
      </c>
      <c r="AW298" s="4" t="n">
        <v>0</v>
      </c>
      <c r="AX298" s="4" t="n">
        <v>0</v>
      </c>
      <c r="AY298" s="4" t="n">
        <v>0</v>
      </c>
      <c r="AZ298" s="0" t="s">
        <v>60</v>
      </c>
      <c r="BA298" s="0" t="s">
        <v>61</v>
      </c>
      <c r="BB298" s="0" t="n">
        <v>0</v>
      </c>
    </row>
    <row r="299" customFormat="false" ht="12.8" hidden="false" customHeight="false" outlineLevel="0" collapsed="false">
      <c r="A299" s="1" t="n">
        <v>830</v>
      </c>
      <c r="B299" s="2" t="n">
        <v>44176.5638888889</v>
      </c>
      <c r="C299" s="0" t="n">
        <v>1</v>
      </c>
      <c r="F299" s="7" t="s">
        <v>85</v>
      </c>
      <c r="G299" s="3" t="n">
        <v>63</v>
      </c>
      <c r="H299" s="3" t="n">
        <v>62</v>
      </c>
      <c r="I299" s="3" t="n">
        <v>97</v>
      </c>
      <c r="J299" s="7" t="s">
        <v>81</v>
      </c>
      <c r="K299" s="3" t="n">
        <v>10</v>
      </c>
      <c r="L299" s="3" t="n">
        <v>0</v>
      </c>
      <c r="M299" s="0" t="s">
        <v>64</v>
      </c>
      <c r="N299" s="0" t="n">
        <v>0</v>
      </c>
      <c r="O299" s="0" t="s">
        <v>147</v>
      </c>
      <c r="P299" s="0" t="s">
        <v>146</v>
      </c>
      <c r="Q299" s="0" t="s">
        <v>88</v>
      </c>
      <c r="R299" s="4" t="n">
        <v>4.46</v>
      </c>
      <c r="S299" s="3" t="n">
        <v>728</v>
      </c>
      <c r="T299" s="3" t="n">
        <v>10412</v>
      </c>
      <c r="U299" s="3" t="n">
        <f aca="false">T299-S299</f>
        <v>9684</v>
      </c>
      <c r="V299" s="4" t="n">
        <f aca="false">(60+19)/60</f>
        <v>1.31666666666667</v>
      </c>
      <c r="W299" s="4" t="n">
        <f aca="false">(60+20)/60</f>
        <v>1.33333333333333</v>
      </c>
      <c r="X299" s="4" t="n">
        <f aca="false">W299-V299</f>
        <v>0.0166666666666666</v>
      </c>
      <c r="Y299" s="4" t="n">
        <f aca="false">R299/V299</f>
        <v>3.3873417721519</v>
      </c>
      <c r="Z299" s="0" t="n">
        <v>1</v>
      </c>
      <c r="AA299" s="4" t="n">
        <f aca="false">R299/Z299</f>
        <v>4.46</v>
      </c>
      <c r="AB299" s="4" t="n">
        <f aca="false">17+42/60</f>
        <v>17.7</v>
      </c>
      <c r="AC299" s="3" t="n">
        <v>75</v>
      </c>
      <c r="AD299" s="3" t="n">
        <v>460</v>
      </c>
      <c r="AE299" s="3" t="n">
        <v>75</v>
      </c>
      <c r="AF299" s="0" t="n">
        <v>118</v>
      </c>
      <c r="AG299" s="4" t="n">
        <f aca="false">17+21/60</f>
        <v>17.35</v>
      </c>
      <c r="AH299" s="4" t="n">
        <f aca="false">17+29/60</f>
        <v>17.4833333333333</v>
      </c>
      <c r="AI299" s="4" t="n">
        <f aca="false">17+33/60</f>
        <v>17.55</v>
      </c>
      <c r="AJ299" s="4" t="n">
        <f aca="false">18+20/60</f>
        <v>18.3333333333333</v>
      </c>
      <c r="AK299" s="4" t="n">
        <f aca="false">60/3.4</f>
        <v>17.6470588235294</v>
      </c>
      <c r="AL299" s="4" t="n">
        <f aca="false">60/3.5</f>
        <v>17.1428571428571</v>
      </c>
      <c r="AQ299" s="0" t="n">
        <v>1</v>
      </c>
      <c r="AR299" s="0" t="n">
        <v>0</v>
      </c>
      <c r="AS299" s="0" t="n">
        <v>0</v>
      </c>
      <c r="AT299" s="5" t="n">
        <f aca="false">60*V299-SUM(AU299:AY299)</f>
        <v>66.9833333333333</v>
      </c>
      <c r="AU299" s="4" t="n">
        <f aca="false">3+33/60</f>
        <v>3.55</v>
      </c>
      <c r="AV299" s="4" t="n">
        <f aca="false">8+28/60</f>
        <v>8.46666666666667</v>
      </c>
      <c r="AW299" s="4" t="n">
        <v>0</v>
      </c>
      <c r="AX299" s="4" t="n">
        <v>0</v>
      </c>
      <c r="AY299" s="4" t="n">
        <v>0</v>
      </c>
      <c r="AZ299" s="0" t="s">
        <v>60</v>
      </c>
      <c r="BA299" s="0" t="s">
        <v>61</v>
      </c>
      <c r="BB299" s="0" t="n">
        <v>0</v>
      </c>
    </row>
    <row r="300" customFormat="false" ht="12.8" hidden="false" customHeight="false" outlineLevel="0" collapsed="false">
      <c r="A300" s="1" t="n">
        <v>831</v>
      </c>
      <c r="B300" s="2" t="n">
        <v>44177.5979166667</v>
      </c>
      <c r="C300" s="0" t="n">
        <v>1</v>
      </c>
      <c r="F300" s="0" t="s">
        <v>72</v>
      </c>
      <c r="G300" s="3" t="n">
        <v>52</v>
      </c>
      <c r="H300" s="3" t="n">
        <v>33</v>
      </c>
      <c r="I300" s="3" t="n">
        <v>49</v>
      </c>
      <c r="J300" s="3" t="s">
        <v>125</v>
      </c>
      <c r="K300" s="3" t="n">
        <v>0</v>
      </c>
      <c r="L300" s="3" t="n">
        <v>0</v>
      </c>
      <c r="M300" s="0" t="s">
        <v>64</v>
      </c>
      <c r="N300" s="0" t="n">
        <v>0</v>
      </c>
      <c r="O300" s="0" t="s">
        <v>147</v>
      </c>
      <c r="P300" s="0" t="s">
        <v>158</v>
      </c>
      <c r="Q300" s="0" t="s">
        <v>95</v>
      </c>
      <c r="R300" s="4" t="n">
        <v>8.67</v>
      </c>
      <c r="V300" s="4" t="n">
        <f aca="false">(120+21)/60</f>
        <v>2.35</v>
      </c>
      <c r="W300" s="4" t="n">
        <f aca="false">(120+35)/60</f>
        <v>2.58333333333333</v>
      </c>
      <c r="X300" s="4" t="n">
        <f aca="false">W300-V300</f>
        <v>0.233333333333333</v>
      </c>
      <c r="Y300" s="4" t="n">
        <f aca="false">R300/V300</f>
        <v>3.68936170212766</v>
      </c>
      <c r="Z300" s="0" t="n">
        <v>1</v>
      </c>
      <c r="AA300" s="4" t="n">
        <f aca="false">R300/Z300</f>
        <v>8.67</v>
      </c>
      <c r="AB300" s="4" t="n">
        <f aca="false">16+17/60</f>
        <v>16.2833333333333</v>
      </c>
      <c r="AC300" s="3" t="n">
        <v>75</v>
      </c>
      <c r="AD300" s="3" t="n">
        <v>919</v>
      </c>
      <c r="AE300" s="3" t="n">
        <v>91</v>
      </c>
      <c r="AF300" s="0" t="n">
        <v>133</v>
      </c>
      <c r="AG300" s="4" t="n">
        <f aca="false">15+59/60</f>
        <v>15.9833333333333</v>
      </c>
      <c r="AH300" s="4" t="n">
        <f aca="false">16+1/60</f>
        <v>16.0166666666667</v>
      </c>
      <c r="AI300" s="4" t="n">
        <f aca="false">16+35/60</f>
        <v>16.5833333333333</v>
      </c>
      <c r="AJ300" s="4" t="n">
        <f aca="false">15+59/60</f>
        <v>15.9833333333333</v>
      </c>
      <c r="AK300" s="4" t="n">
        <f aca="false">16+45/60</f>
        <v>16.75</v>
      </c>
      <c r="AL300" s="4" t="n">
        <f aca="false">16+32/60</f>
        <v>16.5333333333333</v>
      </c>
      <c r="AM300" s="4" t="n">
        <f aca="false">16+11/60</f>
        <v>16.1833333333333</v>
      </c>
      <c r="AN300" s="4" t="n">
        <f aca="false">16+4/60</f>
        <v>16.0666666666667</v>
      </c>
      <c r="AO300" s="4" t="n">
        <f aca="false">60/3.7</f>
        <v>16.2162162162162</v>
      </c>
      <c r="AQ300" s="0" t="n">
        <v>3</v>
      </c>
      <c r="AR300" s="0" t="n">
        <v>0</v>
      </c>
      <c r="AS300" s="0" t="n">
        <v>0</v>
      </c>
      <c r="AT300" s="5" t="n">
        <f aca="false">60*V300-SUM(AU300:AY300)</f>
        <v>80.65</v>
      </c>
      <c r="AU300" s="4" t="n">
        <f aca="false">34+4/60</f>
        <v>34.0666666666667</v>
      </c>
      <c r="AV300" s="4" t="n">
        <f aca="false">21+25/60</f>
        <v>21.4166666666667</v>
      </c>
      <c r="AW300" s="4" t="n">
        <f aca="false">4+52/60</f>
        <v>4.86666666666667</v>
      </c>
      <c r="AX300" s="4" t="n">
        <v>0</v>
      </c>
      <c r="AY300" s="4" t="n">
        <v>0</v>
      </c>
      <c r="AZ300" s="0" t="s">
        <v>60</v>
      </c>
      <c r="BA300" s="0" t="s">
        <v>61</v>
      </c>
      <c r="BB300" s="0" t="n">
        <v>0</v>
      </c>
    </row>
    <row r="301" customFormat="false" ht="12.8" hidden="false" customHeight="false" outlineLevel="0" collapsed="false">
      <c r="A301" s="1" t="n">
        <v>832</v>
      </c>
      <c r="B301" s="2" t="n">
        <v>44178.5784722222</v>
      </c>
      <c r="C301" s="0" t="n">
        <v>0</v>
      </c>
      <c r="F301" s="7" t="s">
        <v>85</v>
      </c>
      <c r="G301" s="3" t="n">
        <v>40</v>
      </c>
      <c r="H301" s="3" t="n">
        <v>39</v>
      </c>
      <c r="I301" s="3" t="n">
        <v>93</v>
      </c>
      <c r="J301" s="3" t="s">
        <v>98</v>
      </c>
      <c r="K301" s="3" t="n">
        <v>13</v>
      </c>
      <c r="L301" s="3" t="n">
        <v>0</v>
      </c>
      <c r="M301" s="0" t="s">
        <v>160</v>
      </c>
    </row>
    <row r="302" customFormat="false" ht="12.8" hidden="false" customHeight="false" outlineLevel="0" collapsed="false">
      <c r="A302" s="1" t="n">
        <v>833</v>
      </c>
      <c r="B302" s="2" t="n">
        <v>44179.5368055556</v>
      </c>
      <c r="C302" s="0" t="n">
        <v>0</v>
      </c>
      <c r="F302" s="7" t="s">
        <v>94</v>
      </c>
      <c r="G302" s="3" t="n">
        <v>45</v>
      </c>
      <c r="H302" s="3" t="n">
        <v>29</v>
      </c>
      <c r="I302" s="3" t="n">
        <v>53</v>
      </c>
      <c r="J302" s="3" t="s">
        <v>125</v>
      </c>
      <c r="K302" s="3" t="n">
        <v>0</v>
      </c>
      <c r="L302" s="3" t="n">
        <v>0</v>
      </c>
      <c r="M302" s="0" t="s">
        <v>161</v>
      </c>
    </row>
    <row r="303" customFormat="false" ht="12.8" hidden="false" customHeight="false" outlineLevel="0" collapsed="false">
      <c r="A303" s="1" t="n">
        <v>834</v>
      </c>
      <c r="B303" s="2" t="n">
        <v>44180.5368055556</v>
      </c>
      <c r="C303" s="0" t="n">
        <v>0</v>
      </c>
      <c r="F303" s="7" t="s">
        <v>66</v>
      </c>
      <c r="G303" s="3" t="n">
        <v>41</v>
      </c>
      <c r="H303" s="3" t="n">
        <v>38</v>
      </c>
      <c r="I303" s="3" t="n">
        <v>89</v>
      </c>
      <c r="J303" s="3" t="s">
        <v>126</v>
      </c>
      <c r="K303" s="3" t="n">
        <v>9</v>
      </c>
      <c r="L303" s="3" t="n">
        <v>0</v>
      </c>
      <c r="M303" s="0" t="s">
        <v>161</v>
      </c>
    </row>
    <row r="304" customFormat="false" ht="12.8" hidden="false" customHeight="false" outlineLevel="0" collapsed="false">
      <c r="A304" s="1" t="n">
        <v>835</v>
      </c>
      <c r="B304" s="2" t="n">
        <v>44181.6236111111</v>
      </c>
      <c r="C304" s="0" t="n">
        <v>1</v>
      </c>
      <c r="F304" s="7" t="s">
        <v>55</v>
      </c>
      <c r="G304" s="3" t="n">
        <v>43</v>
      </c>
      <c r="H304" s="3" t="n">
        <v>30</v>
      </c>
      <c r="I304" s="3" t="n">
        <v>62</v>
      </c>
      <c r="J304" s="3" t="s">
        <v>56</v>
      </c>
      <c r="K304" s="3" t="n">
        <v>7</v>
      </c>
      <c r="L304" s="3" t="n">
        <v>0</v>
      </c>
      <c r="M304" s="0" t="s">
        <v>64</v>
      </c>
      <c r="N304" s="0" t="n">
        <v>0</v>
      </c>
      <c r="O304" s="0" t="s">
        <v>147</v>
      </c>
      <c r="P304" s="0" t="s">
        <v>158</v>
      </c>
      <c r="Q304" s="0" t="s">
        <v>101</v>
      </c>
      <c r="R304" s="4" t="n">
        <v>4.45</v>
      </c>
      <c r="S304" s="3" t="n">
        <v>1497</v>
      </c>
      <c r="T304" s="3" t="n">
        <v>10494</v>
      </c>
      <c r="U304" s="3" t="n">
        <f aca="false">T304-S304</f>
        <v>8997</v>
      </c>
      <c r="V304" s="4" t="n">
        <f aca="false">70/60</f>
        <v>1.16666666666667</v>
      </c>
      <c r="W304" s="4" t="n">
        <f aca="false">71/60</f>
        <v>1.18333333333333</v>
      </c>
      <c r="X304" s="4" t="n">
        <f aca="false">W304-V304</f>
        <v>0.0166666666666666</v>
      </c>
      <c r="Y304" s="4" t="n">
        <f aca="false">R304/V304</f>
        <v>3.81428571428571</v>
      </c>
      <c r="Z304" s="0" t="n">
        <v>4</v>
      </c>
      <c r="AA304" s="4" t="n">
        <f aca="false">R304/Z304</f>
        <v>1.1125</v>
      </c>
      <c r="AB304" s="4" t="n">
        <f aca="false">15+49/60</f>
        <v>15.8166666666667</v>
      </c>
      <c r="AC304" s="3" t="n">
        <v>62</v>
      </c>
      <c r="AD304" s="3" t="n">
        <v>470</v>
      </c>
      <c r="AE304" s="3" t="n">
        <v>95</v>
      </c>
      <c r="AF304" s="0" t="n">
        <v>106</v>
      </c>
      <c r="AG304" s="4" t="n">
        <f aca="false">16+2/60</f>
        <v>16.0333333333333</v>
      </c>
      <c r="AH304" s="4" t="n">
        <f aca="false">15+45/60</f>
        <v>15.75</v>
      </c>
      <c r="AI304" s="4" t="n">
        <f aca="false">16</f>
        <v>16</v>
      </c>
      <c r="AJ304" s="4" t="n">
        <f aca="false">15+40/60</f>
        <v>15.6666666666667</v>
      </c>
      <c r="AK304" s="4" t="n">
        <f aca="false">60/3.9</f>
        <v>15.3846153846154</v>
      </c>
      <c r="AQ304" s="0" t="n">
        <v>1</v>
      </c>
      <c r="AR304" s="0" t="n">
        <v>0</v>
      </c>
      <c r="AS304" s="0" t="n">
        <v>0</v>
      </c>
      <c r="AT304" s="5" t="n">
        <f aca="false">60*V304-SUM(AU304:AY304)</f>
        <v>11.8833333333333</v>
      </c>
      <c r="AU304" s="4" t="n">
        <f aca="false">58+7/60</f>
        <v>58.1166666666667</v>
      </c>
      <c r="AV304" s="4" t="n">
        <v>0</v>
      </c>
      <c r="AW304" s="4" t="n">
        <v>0</v>
      </c>
      <c r="AX304" s="4" t="n">
        <v>0</v>
      </c>
      <c r="AY304" s="4" t="n">
        <v>0</v>
      </c>
      <c r="AZ304" s="0" t="s">
        <v>60</v>
      </c>
      <c r="BA304" s="0" t="s">
        <v>61</v>
      </c>
      <c r="BB304" s="0" t="n">
        <v>0</v>
      </c>
    </row>
    <row r="305" customFormat="false" ht="13.8" hidden="false" customHeight="false" outlineLevel="0" collapsed="false">
      <c r="A305" s="1" t="n">
        <v>836</v>
      </c>
      <c r="B305" s="2" t="n">
        <v>44182.5604166667</v>
      </c>
      <c r="C305" s="0" t="n">
        <v>1</v>
      </c>
      <c r="F305" s="0" t="s">
        <v>72</v>
      </c>
      <c r="G305" s="3" t="n">
        <v>59</v>
      </c>
      <c r="H305" s="3" t="n">
        <v>29</v>
      </c>
      <c r="I305" s="3" t="n">
        <v>32</v>
      </c>
      <c r="J305" s="3" t="s">
        <v>63</v>
      </c>
      <c r="K305" s="3" t="n">
        <v>5</v>
      </c>
      <c r="L305" s="3" t="n">
        <v>0</v>
      </c>
      <c r="M305" s="0" t="s">
        <v>64</v>
      </c>
      <c r="N305" s="0" t="n">
        <v>0</v>
      </c>
      <c r="O305" s="0" t="s">
        <v>147</v>
      </c>
      <c r="P305" s="0" t="s">
        <v>158</v>
      </c>
      <c r="Q305" s="13" t="s">
        <v>127</v>
      </c>
      <c r="R305" s="4" t="n">
        <v>7.56</v>
      </c>
      <c r="S305" s="3" t="n">
        <v>1224</v>
      </c>
      <c r="T305" s="3" t="n">
        <v>17429</v>
      </c>
      <c r="U305" s="3" t="n">
        <f aca="false">T305-S305</f>
        <v>16205</v>
      </c>
      <c r="V305" s="4" t="n">
        <f aca="false">(120+10)/60</f>
        <v>2.16666666666667</v>
      </c>
      <c r="W305" s="4" t="n">
        <f aca="false">142/60</f>
        <v>2.36666666666667</v>
      </c>
      <c r="X305" s="4" t="n">
        <f aca="false">W305-V305</f>
        <v>0.2</v>
      </c>
      <c r="Y305" s="4" t="n">
        <f aca="false">R305/V305</f>
        <v>3.48923076923077</v>
      </c>
      <c r="Z305" s="0" t="n">
        <v>1</v>
      </c>
      <c r="AA305" s="4" t="n">
        <f aca="false">R305/Z305</f>
        <v>7.56</v>
      </c>
      <c r="AB305" s="4" t="n">
        <f aca="false">17+8/60</f>
        <v>17.1333333333333</v>
      </c>
      <c r="AC305" s="3" t="n">
        <v>282</v>
      </c>
      <c r="AD305" s="3" t="n">
        <v>809</v>
      </c>
      <c r="AE305" s="3" t="n">
        <v>80</v>
      </c>
      <c r="AF305" s="0" t="n">
        <v>118</v>
      </c>
      <c r="AG305" s="4" t="n">
        <f aca="false">16+14/60</f>
        <v>16.2333333333333</v>
      </c>
      <c r="AH305" s="4" t="n">
        <f aca="false">16+51/60</f>
        <v>16.85</v>
      </c>
      <c r="AI305" s="4" t="n">
        <f aca="false">16+44/60</f>
        <v>16.7333333333333</v>
      </c>
      <c r="AJ305" s="4" t="n">
        <f aca="false">18+8/60</f>
        <v>18.1333333333333</v>
      </c>
      <c r="AK305" s="4" t="n">
        <f aca="false">17+37/60</f>
        <v>17.6166666666667</v>
      </c>
      <c r="AL305" s="4" t="n">
        <f aca="false">16+46/60</f>
        <v>16.7666666666667</v>
      </c>
      <c r="AM305" s="4" t="n">
        <f aca="false">17+21/60</f>
        <v>17.35</v>
      </c>
      <c r="AN305" s="4" t="n">
        <f aca="false">60/3.4</f>
        <v>17.6470588235294</v>
      </c>
      <c r="AQ305" s="0" t="n">
        <v>0</v>
      </c>
      <c r="AR305" s="0" t="n">
        <v>1</v>
      </c>
      <c r="AS305" s="0" t="n">
        <v>0</v>
      </c>
      <c r="AT305" s="5" t="n">
        <f aca="false">60*V305-SUM(AU305:AY305)</f>
        <v>94.8666666666667</v>
      </c>
      <c r="AU305" s="4" t="n">
        <f aca="false">32+55/60</f>
        <v>32.9166666666667</v>
      </c>
      <c r="AV305" s="4" t="n">
        <f aca="false">2+13/60</f>
        <v>2.21666666666667</v>
      </c>
      <c r="AW305" s="4" t="n">
        <v>0</v>
      </c>
      <c r="AX305" s="4" t="n">
        <v>0</v>
      </c>
      <c r="AY305" s="4" t="n">
        <v>0</v>
      </c>
      <c r="AZ305" s="0" t="s">
        <v>60</v>
      </c>
      <c r="BA305" s="0" t="s">
        <v>61</v>
      </c>
      <c r="BB305" s="0" t="n">
        <v>0</v>
      </c>
    </row>
    <row r="306" customFormat="false" ht="12.8" hidden="false" customHeight="false" outlineLevel="0" collapsed="false">
      <c r="A306" s="1" t="n">
        <v>837</v>
      </c>
      <c r="B306" s="2" t="n">
        <v>44183.5715277778</v>
      </c>
      <c r="C306" s="0" t="n">
        <v>1</v>
      </c>
      <c r="F306" s="7" t="s">
        <v>62</v>
      </c>
      <c r="G306" s="3" t="n">
        <v>61</v>
      </c>
      <c r="H306" s="3" t="n">
        <v>46</v>
      </c>
      <c r="I306" s="3" t="n">
        <v>58</v>
      </c>
      <c r="J306" s="3" t="s">
        <v>63</v>
      </c>
      <c r="K306" s="3" t="n">
        <v>21</v>
      </c>
      <c r="L306" s="7" t="n">
        <v>32</v>
      </c>
      <c r="M306" s="0" t="s">
        <v>64</v>
      </c>
      <c r="N306" s="0" t="n">
        <v>0</v>
      </c>
      <c r="O306" s="0" t="s">
        <v>147</v>
      </c>
      <c r="P306" s="0" t="s">
        <v>158</v>
      </c>
      <c r="Q306" s="7" t="s">
        <v>93</v>
      </c>
      <c r="R306" s="4" t="n">
        <v>4.22</v>
      </c>
      <c r="S306" s="3" t="n">
        <v>1203</v>
      </c>
      <c r="T306" s="3" t="n">
        <v>10525</v>
      </c>
      <c r="U306" s="3" t="n">
        <f aca="false">T306-S306</f>
        <v>9322</v>
      </c>
      <c r="V306" s="4" t="n">
        <f aca="false">(60+14)/60</f>
        <v>1.23333333333333</v>
      </c>
      <c r="W306" s="4" t="n">
        <f aca="false">(60+20)/60</f>
        <v>1.33333333333333</v>
      </c>
      <c r="X306" s="4" t="n">
        <f aca="false">W306-V306</f>
        <v>0.0999999999999999</v>
      </c>
      <c r="Y306" s="4" t="n">
        <f aca="false">R306/V306</f>
        <v>3.42162162162162</v>
      </c>
      <c r="Z306" s="0" t="n">
        <v>2</v>
      </c>
      <c r="AA306" s="4" t="n">
        <f aca="false">R306/Z306</f>
        <v>2.11</v>
      </c>
      <c r="AB306" s="4" t="n">
        <f aca="false">17+28/60</f>
        <v>17.4666666666667</v>
      </c>
      <c r="AC306" s="3" t="n">
        <v>289</v>
      </c>
      <c r="AD306" s="3" t="n">
        <v>218</v>
      </c>
      <c r="AE306" s="3" t="n">
        <v>70</v>
      </c>
      <c r="AF306" s="0" t="n">
        <v>144</v>
      </c>
      <c r="AG306" s="4" t="n">
        <f aca="false">17+4/60</f>
        <v>17.0666666666667</v>
      </c>
      <c r="AH306" s="4" t="n">
        <f aca="false">16+52/60</f>
        <v>16.8666666666667</v>
      </c>
      <c r="AI306" s="4" t="n">
        <f aca="false">18+59/60</f>
        <v>18.9833333333333</v>
      </c>
      <c r="AJ306" s="4" t="n">
        <f aca="false">16+46/60</f>
        <v>16.7666666666667</v>
      </c>
      <c r="AK306" s="4" t="n">
        <f aca="false">60/3.4</f>
        <v>17.6470588235294</v>
      </c>
      <c r="AQ306" s="0" t="n">
        <v>3</v>
      </c>
      <c r="AR306" s="0" t="n">
        <v>0</v>
      </c>
      <c r="AS306" s="0" t="n">
        <v>0</v>
      </c>
      <c r="AT306" s="5" t="n">
        <f aca="false">60*V306-SUM(AU306:AY306)</f>
        <v>69.85</v>
      </c>
      <c r="AU306" s="4" t="n">
        <f aca="false">10/60</f>
        <v>0.166666666666667</v>
      </c>
      <c r="AV306" s="4" t="n">
        <f aca="false">2+16/60</f>
        <v>2.26666666666667</v>
      </c>
      <c r="AW306" s="4" t="n">
        <f aca="false">1+38/60</f>
        <v>1.63333333333333</v>
      </c>
      <c r="AX306" s="4" t="n">
        <f aca="false">5/60</f>
        <v>0.0833333333333333</v>
      </c>
      <c r="AY306" s="4" t="n">
        <v>0</v>
      </c>
      <c r="AZ306" s="0" t="s">
        <v>60</v>
      </c>
      <c r="BA306" s="0" t="s">
        <v>61</v>
      </c>
      <c r="BB306" s="0" t="n">
        <v>0</v>
      </c>
    </row>
    <row r="307" customFormat="false" ht="12.8" hidden="false" customHeight="false" outlineLevel="0" collapsed="false">
      <c r="A307" s="1" t="n">
        <v>838</v>
      </c>
      <c r="B307" s="2" t="n">
        <v>44184.6048611111</v>
      </c>
      <c r="C307" s="0" t="n">
        <v>1</v>
      </c>
      <c r="F307" s="7" t="s">
        <v>91</v>
      </c>
      <c r="G307" s="7" t="n">
        <v>61</v>
      </c>
      <c r="H307" s="3" t="n">
        <v>59</v>
      </c>
      <c r="I307" s="3" t="n">
        <v>93</v>
      </c>
      <c r="J307" s="3" t="s">
        <v>63</v>
      </c>
      <c r="K307" s="3" t="n">
        <v>13</v>
      </c>
      <c r="L307" s="3" t="n">
        <v>0</v>
      </c>
      <c r="M307" s="0" t="s">
        <v>64</v>
      </c>
      <c r="N307" s="0" t="n">
        <v>0</v>
      </c>
      <c r="O307" s="0" t="s">
        <v>147</v>
      </c>
      <c r="P307" s="0" t="s">
        <v>158</v>
      </c>
      <c r="Q307" s="0" t="s">
        <v>108</v>
      </c>
      <c r="R307" s="4" t="n">
        <v>6.32</v>
      </c>
      <c r="S307" s="3" t="n">
        <v>108</v>
      </c>
      <c r="T307" s="3" t="n">
        <v>13207</v>
      </c>
      <c r="U307" s="3" t="n">
        <f aca="false">T307-S307</f>
        <v>13099</v>
      </c>
      <c r="V307" s="4" t="n">
        <f aca="false">(60+42)/60</f>
        <v>1.7</v>
      </c>
      <c r="W307" s="4" t="n">
        <f aca="false">(60+55)/60</f>
        <v>1.91666666666667</v>
      </c>
      <c r="X307" s="4" t="n">
        <f aca="false">W307-V307</f>
        <v>0.216666666666667</v>
      </c>
      <c r="Y307" s="4" t="n">
        <f aca="false">R307/V307</f>
        <v>3.71764705882353</v>
      </c>
      <c r="Z307" s="0" t="n">
        <v>1</v>
      </c>
      <c r="AA307" s="4" t="n">
        <f aca="false">R307/Z307</f>
        <v>6.32</v>
      </c>
      <c r="AB307" s="4" t="n">
        <f aca="false">16+4/60</f>
        <v>16.0666666666667</v>
      </c>
      <c r="AC307" s="3" t="n">
        <v>30</v>
      </c>
      <c r="AD307" s="3" t="n">
        <v>516</v>
      </c>
      <c r="AE307" s="3" t="n">
        <v>76</v>
      </c>
      <c r="AF307" s="0" t="n">
        <v>107</v>
      </c>
      <c r="AG307" s="4" t="n">
        <f aca="false">15+49/60</f>
        <v>15.8166666666667</v>
      </c>
      <c r="AH307" s="4" t="n">
        <f aca="false">16+2/60</f>
        <v>16.0333333333333</v>
      </c>
      <c r="AI307" s="4" t="n">
        <f aca="false">15+33/60</f>
        <v>15.55</v>
      </c>
      <c r="AJ307" s="4" t="n">
        <f aca="false">17+27/60</f>
        <v>17.45</v>
      </c>
      <c r="AK307" s="4" t="n">
        <f aca="false">15+25/60</f>
        <v>15.4166666666667</v>
      </c>
      <c r="AL307" s="4" t="n">
        <f aca="false">16+9/60</f>
        <v>16.15</v>
      </c>
      <c r="AM307" s="4" t="n">
        <f aca="false">60/3.7</f>
        <v>16.2162162162162</v>
      </c>
      <c r="AQ307" s="0" t="n">
        <v>3</v>
      </c>
      <c r="AR307" s="0" t="n">
        <v>0</v>
      </c>
      <c r="AS307" s="0" t="n">
        <v>0</v>
      </c>
      <c r="AT307" s="5" t="n">
        <f aca="false">60*V307-SUM(AU307:AY307)</f>
        <v>94.1833333333333</v>
      </c>
      <c r="AU307" s="4" t="n">
        <f aca="false">7+43/60</f>
        <v>7.71666666666667</v>
      </c>
      <c r="AV307" s="4" t="n">
        <f aca="false">6/60</f>
        <v>0.1</v>
      </c>
      <c r="AW307" s="4" t="n">
        <v>0</v>
      </c>
      <c r="AX307" s="4" t="n">
        <v>0</v>
      </c>
      <c r="AY307" s="4" t="n">
        <v>0</v>
      </c>
      <c r="AZ307" s="0" t="s">
        <v>60</v>
      </c>
      <c r="BA307" s="0" t="s">
        <v>61</v>
      </c>
      <c r="BB307" s="0" t="n">
        <v>0</v>
      </c>
    </row>
    <row r="308" customFormat="false" ht="12.8" hidden="false" customHeight="false" outlineLevel="0" collapsed="false">
      <c r="A308" s="1" t="n">
        <v>839</v>
      </c>
      <c r="B308" s="2" t="n">
        <v>44185.5722222222</v>
      </c>
      <c r="C308" s="0" t="n">
        <v>1</v>
      </c>
      <c r="F308" s="0" t="s">
        <v>72</v>
      </c>
      <c r="G308" s="3" t="n">
        <v>62</v>
      </c>
      <c r="H308" s="3" t="n">
        <v>35</v>
      </c>
      <c r="I308" s="3" t="n">
        <v>37</v>
      </c>
      <c r="J308" s="3" t="s">
        <v>69</v>
      </c>
      <c r="K308" s="3" t="n">
        <v>9</v>
      </c>
      <c r="L308" s="3" t="n">
        <v>20</v>
      </c>
      <c r="M308" s="0" t="s">
        <v>64</v>
      </c>
      <c r="N308" s="0" t="n">
        <v>0</v>
      </c>
      <c r="O308" s="0" t="s">
        <v>147</v>
      </c>
      <c r="P308" s="0" t="s">
        <v>158</v>
      </c>
      <c r="Q308" s="0" t="s">
        <v>88</v>
      </c>
      <c r="R308" s="4" t="n">
        <v>4.51</v>
      </c>
      <c r="S308" s="3" t="n">
        <v>1331</v>
      </c>
      <c r="T308" s="3" t="n">
        <v>11095</v>
      </c>
      <c r="U308" s="3" t="n">
        <f aca="false">T308-S308</f>
        <v>9764</v>
      </c>
      <c r="V308" s="4" t="n">
        <f aca="false">75/60</f>
        <v>1.25</v>
      </c>
      <c r="W308" s="4" t="n">
        <f aca="false">75/60</f>
        <v>1.25</v>
      </c>
      <c r="X308" s="4" t="n">
        <f aca="false">W308-V308</f>
        <v>0</v>
      </c>
      <c r="Y308" s="4" t="n">
        <f aca="false">R308/V308</f>
        <v>3.608</v>
      </c>
      <c r="Z308" s="0" t="n">
        <v>1</v>
      </c>
      <c r="AA308" s="4" t="n">
        <f aca="false">R308/Z308</f>
        <v>4.51</v>
      </c>
      <c r="AB308" s="4" t="n">
        <f aca="false">16+35/60</f>
        <v>16.5833333333333</v>
      </c>
      <c r="AC308" s="3" t="n">
        <v>56</v>
      </c>
      <c r="AD308" s="3" t="n">
        <v>471</v>
      </c>
      <c r="AE308" s="3" t="n">
        <v>94</v>
      </c>
      <c r="AF308" s="0" t="n">
        <v>129</v>
      </c>
      <c r="AG308" s="4" t="n">
        <f aca="false">16+35/60</f>
        <v>16.5833333333333</v>
      </c>
      <c r="AH308" s="4" t="n">
        <f aca="false">16+46/60</f>
        <v>16.7666666666667</v>
      </c>
      <c r="AI308" s="4" t="n">
        <f aca="false">16+31/60</f>
        <v>16.5166666666667</v>
      </c>
      <c r="AJ308" s="4" t="n">
        <f aca="false">60/3.6</f>
        <v>16.6666666666667</v>
      </c>
      <c r="AQ308" s="0" t="n">
        <v>0</v>
      </c>
      <c r="AR308" s="0" t="n">
        <v>1</v>
      </c>
      <c r="AS308" s="0" t="n">
        <v>0</v>
      </c>
      <c r="AT308" s="5" t="n">
        <f aca="false">60*V308-SUM(AU308:AY308)</f>
        <v>52.55</v>
      </c>
      <c r="AU308" s="4" t="n">
        <f aca="false">20+2/60</f>
        <v>20.0333333333333</v>
      </c>
      <c r="AV308" s="4" t="n">
        <f aca="false">2+25/60</f>
        <v>2.41666666666667</v>
      </c>
      <c r="AW308" s="4" t="n">
        <v>0</v>
      </c>
      <c r="AX308" s="4" t="n">
        <v>0</v>
      </c>
      <c r="AY308" s="4" t="n">
        <v>0</v>
      </c>
      <c r="AZ308" s="0" t="s">
        <v>60</v>
      </c>
      <c r="BA308" s="0" t="s">
        <v>61</v>
      </c>
      <c r="BB308" s="0" t="n">
        <v>0</v>
      </c>
    </row>
    <row r="309" customFormat="false" ht="12.8" hidden="false" customHeight="false" outlineLevel="0" collapsed="false">
      <c r="A309" s="1" t="n">
        <v>840</v>
      </c>
      <c r="B309" s="2" t="n">
        <v>44186.6125</v>
      </c>
      <c r="C309" s="0" t="n">
        <v>1</v>
      </c>
      <c r="F309" s="7" t="s">
        <v>118</v>
      </c>
      <c r="G309" s="3" t="n">
        <v>71</v>
      </c>
      <c r="H309" s="3" t="n">
        <v>28</v>
      </c>
      <c r="I309" s="3" t="n">
        <v>20</v>
      </c>
      <c r="J309" s="7" t="s">
        <v>81</v>
      </c>
      <c r="K309" s="3" t="n">
        <v>8</v>
      </c>
      <c r="L309" s="3" t="n">
        <v>0</v>
      </c>
      <c r="M309" s="0" t="s">
        <v>64</v>
      </c>
      <c r="N309" s="0" t="n">
        <v>0</v>
      </c>
      <c r="O309" s="0" t="s">
        <v>147</v>
      </c>
      <c r="P309" s="0" t="s">
        <v>158</v>
      </c>
      <c r="Q309" s="0" t="s">
        <v>124</v>
      </c>
      <c r="R309" s="4" t="n">
        <v>6.43</v>
      </c>
      <c r="S309" s="3" t="n">
        <v>1237</v>
      </c>
      <c r="T309" s="3" t="n">
        <v>14479</v>
      </c>
      <c r="U309" s="3" t="n">
        <f aca="false">T309-S309</f>
        <v>13242</v>
      </c>
      <c r="V309" s="4" t="n">
        <f aca="false">(60+45)/60</f>
        <v>1.75</v>
      </c>
      <c r="W309" s="4" t="n">
        <f aca="false">(60+52)/60</f>
        <v>1.86666666666667</v>
      </c>
      <c r="X309" s="4" t="n">
        <f aca="false">W309-V309</f>
        <v>0.116666666666667</v>
      </c>
      <c r="Y309" s="4" t="n">
        <f aca="false">R309/V309</f>
        <v>3.67428571428571</v>
      </c>
      <c r="Z309" s="0" t="n">
        <v>1</v>
      </c>
      <c r="AA309" s="4" t="n">
        <f aca="false">R309/Z309</f>
        <v>6.43</v>
      </c>
      <c r="AB309" s="4" t="n">
        <f aca="false">16+21/60</f>
        <v>16.35</v>
      </c>
      <c r="AC309" s="3" t="n">
        <v>151</v>
      </c>
      <c r="AD309" s="3" t="n">
        <v>690</v>
      </c>
      <c r="AE309" s="3" t="n">
        <v>119</v>
      </c>
      <c r="AF309" s="0" t="n">
        <v>141</v>
      </c>
      <c r="AG309" s="4" t="n">
        <f aca="false">16+4/60</f>
        <v>16.0666666666667</v>
      </c>
      <c r="AH309" s="4" t="n">
        <f aca="false">15+58/60</f>
        <v>15.9666666666667</v>
      </c>
      <c r="AI309" s="4" t="n">
        <f aca="false">16+54/60</f>
        <v>16.9</v>
      </c>
      <c r="AJ309" s="4" t="n">
        <f aca="false">16+44/60</f>
        <v>16.7333333333333</v>
      </c>
      <c r="AK309" s="4" t="n">
        <f aca="false">16+15/60</f>
        <v>16.25</v>
      </c>
      <c r="AL309" s="4" t="n">
        <f aca="false">60/3.7</f>
        <v>16.2162162162162</v>
      </c>
      <c r="AQ309" s="0" t="n">
        <v>0</v>
      </c>
      <c r="AR309" s="0" t="n">
        <v>0</v>
      </c>
      <c r="AS309" s="0" t="n">
        <v>0</v>
      </c>
      <c r="AT309" s="5" t="n">
        <f aca="false">60*V309-SUM(AU309:AY309)</f>
        <v>0</v>
      </c>
      <c r="AU309" s="4" t="n">
        <f aca="false">13+13/60</f>
        <v>13.2166666666667</v>
      </c>
      <c r="AV309" s="4" t="n">
        <f aca="false">58</f>
        <v>58</v>
      </c>
      <c r="AW309" s="4" t="n">
        <f aca="false">33+50/60-0.05</f>
        <v>33.7833333333333</v>
      </c>
      <c r="AX309" s="4" t="n">
        <v>0</v>
      </c>
      <c r="AY309" s="4" t="n">
        <v>0</v>
      </c>
      <c r="AZ309" s="0" t="s">
        <v>60</v>
      </c>
      <c r="BA309" s="0" t="s">
        <v>61</v>
      </c>
      <c r="BB309" s="0" t="n">
        <v>0</v>
      </c>
    </row>
    <row r="310" customFormat="false" ht="12.8" hidden="false" customHeight="false" outlineLevel="0" collapsed="false">
      <c r="A310" s="1" t="n">
        <v>841</v>
      </c>
      <c r="B310" s="2" t="n">
        <v>44187.5652777778</v>
      </c>
      <c r="C310" s="0" t="n">
        <v>1</v>
      </c>
      <c r="F310" s="7" t="s">
        <v>62</v>
      </c>
      <c r="G310" s="7" t="n">
        <v>71</v>
      </c>
      <c r="H310" s="3" t="n">
        <v>43</v>
      </c>
      <c r="I310" s="3" t="n">
        <v>40</v>
      </c>
      <c r="J310" s="3" t="s">
        <v>63</v>
      </c>
      <c r="K310" s="3" t="n">
        <v>21</v>
      </c>
      <c r="L310" s="3" t="n">
        <v>29</v>
      </c>
      <c r="M310" s="0" t="s">
        <v>64</v>
      </c>
      <c r="N310" s="0" t="n">
        <v>0</v>
      </c>
      <c r="O310" s="0" t="s">
        <v>147</v>
      </c>
      <c r="P310" s="0" t="s">
        <v>158</v>
      </c>
      <c r="Q310" s="0" t="s">
        <v>153</v>
      </c>
      <c r="R310" s="4" t="n">
        <v>4.56</v>
      </c>
      <c r="S310" s="3" t="n">
        <v>1221</v>
      </c>
      <c r="T310" s="3" t="n">
        <v>10725</v>
      </c>
      <c r="U310" s="3" t="n">
        <f aca="false">T310-S310</f>
        <v>9504</v>
      </c>
      <c r="V310" s="4" t="n">
        <f aca="false">(60+14)/60</f>
        <v>1.23333333333333</v>
      </c>
      <c r="W310" s="4" t="n">
        <f aca="false">(60+18)/60</f>
        <v>1.3</v>
      </c>
      <c r="X310" s="4" t="n">
        <f aca="false">W310-V310</f>
        <v>0.0666666666666667</v>
      </c>
      <c r="Y310" s="4" t="n">
        <f aca="false">R310/V310</f>
        <v>3.6972972972973</v>
      </c>
      <c r="Z310" s="0" t="n">
        <v>1</v>
      </c>
      <c r="AA310" s="4" t="n">
        <f aca="false">R310/Z310</f>
        <v>4.56</v>
      </c>
      <c r="AB310" s="4" t="n">
        <f aca="false">16+12/60</f>
        <v>16.2</v>
      </c>
      <c r="AC310" s="3" t="n">
        <v>43</v>
      </c>
      <c r="AD310" s="3" t="n">
        <v>490</v>
      </c>
      <c r="AE310" s="3" t="n">
        <v>117</v>
      </c>
      <c r="AF310" s="0" t="n">
        <v>132</v>
      </c>
      <c r="AG310" s="4" t="n">
        <f aca="false">15+45/60</f>
        <v>15.75</v>
      </c>
      <c r="AH310" s="4" t="n">
        <f aca="false">16+51/60</f>
        <v>16.85</v>
      </c>
      <c r="AI310" s="4" t="n">
        <f aca="false">16+28/60</f>
        <v>16.4666666666667</v>
      </c>
      <c r="AJ310" s="4" t="n">
        <f aca="false">15+43.5/60</f>
        <v>15.725</v>
      </c>
      <c r="AK310" s="4" t="n">
        <f aca="false">60/3.7</f>
        <v>16.2162162162162</v>
      </c>
      <c r="AQ310" s="0" t="n">
        <v>2</v>
      </c>
      <c r="AR310" s="0" t="n">
        <v>0</v>
      </c>
      <c r="AS310" s="0" t="n">
        <v>0</v>
      </c>
      <c r="AT310" s="5" t="n">
        <f aca="false">60*V310-SUM(AU310:AY310)</f>
        <v>0</v>
      </c>
      <c r="AU310" s="4" t="n">
        <f aca="false">12+42/60</f>
        <v>12.7</v>
      </c>
      <c r="AV310" s="4" t="n">
        <f aca="false">49+24/60</f>
        <v>49.4</v>
      </c>
      <c r="AW310" s="4" t="n">
        <f aca="false">11.9</f>
        <v>11.9</v>
      </c>
      <c r="AX310" s="4" t="n">
        <v>0</v>
      </c>
      <c r="AY310" s="4" t="n">
        <v>0</v>
      </c>
      <c r="AZ310" s="0" t="s">
        <v>60</v>
      </c>
      <c r="BA310" s="0" t="s">
        <v>61</v>
      </c>
      <c r="BB310" s="0" t="n">
        <v>0</v>
      </c>
    </row>
    <row r="311" customFormat="false" ht="12.8" hidden="false" customHeight="false" outlineLevel="0" collapsed="false">
      <c r="A311" s="1" t="n">
        <v>842</v>
      </c>
      <c r="B311" s="2" t="n">
        <v>44188.5625</v>
      </c>
      <c r="C311" s="0" t="n">
        <v>1</v>
      </c>
      <c r="F311" s="7" t="s">
        <v>55</v>
      </c>
      <c r="G311" s="3" t="n">
        <v>62</v>
      </c>
      <c r="H311" s="3" t="n">
        <v>32</v>
      </c>
      <c r="I311" s="3" t="n">
        <v>32</v>
      </c>
      <c r="J311" s="3" t="s">
        <v>69</v>
      </c>
      <c r="K311" s="3" t="n">
        <v>24</v>
      </c>
      <c r="L311" s="3" t="n">
        <v>33</v>
      </c>
      <c r="M311" s="0" t="s">
        <v>64</v>
      </c>
      <c r="N311" s="0" t="n">
        <v>0</v>
      </c>
      <c r="O311" s="0" t="s">
        <v>147</v>
      </c>
      <c r="P311" s="0" t="s">
        <v>158</v>
      </c>
      <c r="Q311" s="0" t="s">
        <v>149</v>
      </c>
      <c r="R311" s="4" t="n">
        <v>8.39</v>
      </c>
      <c r="S311" s="3" t="n">
        <v>98</v>
      </c>
      <c r="T311" s="3" t="n">
        <v>18150</v>
      </c>
      <c r="U311" s="3" t="n">
        <f aca="false">T311-S311</f>
        <v>18052</v>
      </c>
      <c r="V311" s="4" t="n">
        <f aca="false">(120+16)/60</f>
        <v>2.26666666666667</v>
      </c>
      <c r="W311" s="4" t="n">
        <f aca="false">(120+24)/60</f>
        <v>2.4</v>
      </c>
      <c r="X311" s="4" t="n">
        <f aca="false">W311-V311</f>
        <v>0.133333333333333</v>
      </c>
      <c r="Y311" s="4" t="n">
        <f aca="false">R311/V311</f>
        <v>3.70147058823529</v>
      </c>
      <c r="Z311" s="0" t="n">
        <v>1</v>
      </c>
      <c r="AA311" s="4" t="n">
        <f aca="false">R311/Z311</f>
        <v>8.39</v>
      </c>
      <c r="AB311" s="4" t="n">
        <f aca="false">16+9/60</f>
        <v>16.15</v>
      </c>
      <c r="AC311" s="3" t="n">
        <v>33</v>
      </c>
      <c r="AD311" s="3" t="n">
        <v>882</v>
      </c>
      <c r="AE311" s="3" t="n">
        <v>91</v>
      </c>
      <c r="AF311" s="0" t="n">
        <v>123</v>
      </c>
      <c r="AG311" s="4" t="n">
        <f aca="false">15+54/60</f>
        <v>15.9</v>
      </c>
      <c r="AH311" s="4" t="n">
        <f aca="false">15+52/60</f>
        <v>15.8666666666667</v>
      </c>
      <c r="AI311" s="4" t="n">
        <f aca="false">16</f>
        <v>16</v>
      </c>
      <c r="AJ311" s="4" t="n">
        <f aca="false">15+50/60</f>
        <v>15.8333333333333</v>
      </c>
      <c r="AK311" s="4" t="n">
        <f aca="false">16+8/60</f>
        <v>16.1333333333333</v>
      </c>
      <c r="AL311" s="4" t="n">
        <f aca="false">16+45/60</f>
        <v>16.75</v>
      </c>
      <c r="AM311" s="4" t="n">
        <f aca="false">15+42/60</f>
        <v>15.7</v>
      </c>
      <c r="AN311" s="4" t="n">
        <f aca="false">16+56/60</f>
        <v>16.9333333333333</v>
      </c>
      <c r="AO311" s="4" t="n">
        <f aca="false">60/3.7</f>
        <v>16.2162162162162</v>
      </c>
      <c r="AQ311" s="0" t="n">
        <v>2</v>
      </c>
      <c r="AR311" s="0" t="n">
        <v>0</v>
      </c>
      <c r="AS311" s="0" t="n">
        <v>0</v>
      </c>
      <c r="AT311" s="5" t="n">
        <f aca="false">60*V311-SUM(AU311:AY311)</f>
        <v>55.6</v>
      </c>
      <c r="AU311" s="4" t="n">
        <f aca="false">65+5/12</f>
        <v>65.4166666666667</v>
      </c>
      <c r="AV311" s="4" t="n">
        <f aca="false">14+59/60</f>
        <v>14.9833333333333</v>
      </c>
      <c r="AW311" s="4" t="n">
        <v>0</v>
      </c>
      <c r="AX311" s="4" t="n">
        <v>0</v>
      </c>
      <c r="AY311" s="4" t="n">
        <v>0</v>
      </c>
      <c r="AZ311" s="0" t="s">
        <v>60</v>
      </c>
      <c r="BA311" s="0" t="s">
        <v>61</v>
      </c>
      <c r="BB311" s="0" t="n">
        <v>0</v>
      </c>
    </row>
    <row r="312" customFormat="false" ht="12.8" hidden="false" customHeight="false" outlineLevel="0" collapsed="false">
      <c r="A312" s="1" t="n">
        <v>843</v>
      </c>
      <c r="B312" s="2" t="n">
        <v>44189.4951388889</v>
      </c>
      <c r="C312" s="0" t="n">
        <v>0</v>
      </c>
      <c r="D312" s="0" t="s">
        <v>120</v>
      </c>
      <c r="F312" s="7" t="s">
        <v>72</v>
      </c>
      <c r="G312" s="3" t="n">
        <v>45</v>
      </c>
      <c r="H312" s="3" t="n">
        <v>8</v>
      </c>
      <c r="I312" s="3" t="n">
        <v>22</v>
      </c>
      <c r="J312" s="3" t="s">
        <v>69</v>
      </c>
      <c r="K312" s="3" t="n">
        <v>15</v>
      </c>
      <c r="L312" s="3" t="n">
        <v>0</v>
      </c>
      <c r="M312" s="0" t="s">
        <v>64</v>
      </c>
      <c r="N312" s="0" t="n">
        <v>0</v>
      </c>
    </row>
    <row r="313" customFormat="false" ht="12.8" hidden="false" customHeight="false" outlineLevel="0" collapsed="false">
      <c r="A313" s="1" t="n">
        <v>844</v>
      </c>
      <c r="B313" s="2" t="n">
        <v>44190.5770833333</v>
      </c>
      <c r="C313" s="0" t="n">
        <v>1</v>
      </c>
      <c r="F313" s="7" t="s">
        <v>118</v>
      </c>
      <c r="G313" s="7" t="n">
        <v>56</v>
      </c>
      <c r="H313" s="3" t="n">
        <v>24</v>
      </c>
      <c r="I313" s="3" t="n">
        <v>29</v>
      </c>
      <c r="J313" s="7" t="s">
        <v>81</v>
      </c>
      <c r="K313" s="3" t="n">
        <v>9</v>
      </c>
      <c r="L313" s="3" t="n">
        <v>0</v>
      </c>
      <c r="M313" s="0" t="s">
        <v>64</v>
      </c>
      <c r="N313" s="0" t="n">
        <v>0</v>
      </c>
      <c r="O313" s="0" t="s">
        <v>147</v>
      </c>
      <c r="P313" s="0" t="s">
        <v>158</v>
      </c>
      <c r="Q313" s="0" t="s">
        <v>88</v>
      </c>
      <c r="R313" s="4" t="n">
        <v>4.54</v>
      </c>
      <c r="S313" s="3" t="n">
        <f aca="false">659+4</f>
        <v>663</v>
      </c>
      <c r="T313" s="3" t="n">
        <v>10377</v>
      </c>
      <c r="U313" s="3" t="n">
        <f aca="false">T313-S313</f>
        <v>9714</v>
      </c>
      <c r="V313" s="4" t="n">
        <f aca="false">(60+16)/60</f>
        <v>1.26666666666667</v>
      </c>
      <c r="W313" s="4" t="n">
        <f aca="false">(60+17)/60</f>
        <v>1.28333333333333</v>
      </c>
      <c r="X313" s="4" t="n">
        <f aca="false">W313-V313</f>
        <v>0.0166666666666668</v>
      </c>
      <c r="Y313" s="4" t="n">
        <f aca="false">R313/V313</f>
        <v>3.58421052631579</v>
      </c>
      <c r="Z313" s="0" t="n">
        <v>1</v>
      </c>
      <c r="AA313" s="4" t="n">
        <f aca="false">R313/Z313</f>
        <v>4.54</v>
      </c>
      <c r="AB313" s="4" t="n">
        <f aca="false">16+50/60</f>
        <v>16.8333333333333</v>
      </c>
      <c r="AC313" s="3" t="n">
        <v>79</v>
      </c>
      <c r="AD313" s="3" t="n">
        <v>450</v>
      </c>
      <c r="AE313" s="3" t="n">
        <v>77</v>
      </c>
      <c r="AF313" s="0" t="n">
        <v>135</v>
      </c>
      <c r="AG313" s="4" t="n">
        <f aca="false">16+36/60</f>
        <v>16.6</v>
      </c>
      <c r="AH313" s="4" t="n">
        <f aca="false">16+3/609</f>
        <v>16.0049261083744</v>
      </c>
      <c r="AI313" s="4" t="n">
        <f aca="false">16+55/60</f>
        <v>16.9166666666667</v>
      </c>
      <c r="AJ313" s="4" t="n">
        <f aca="false">60/3.6</f>
        <v>16.6666666666667</v>
      </c>
      <c r="AQ313" s="0" t="n">
        <v>0</v>
      </c>
      <c r="AR313" s="0" t="n">
        <v>0</v>
      </c>
      <c r="AS313" s="0" t="n">
        <v>0</v>
      </c>
      <c r="AT313" s="5" t="n">
        <f aca="false">60*V313-SUM(AU313:AY313)</f>
        <v>52.2833333333333</v>
      </c>
      <c r="AU313" s="4" t="n">
        <f aca="false">22+30/60</f>
        <v>22.5</v>
      </c>
      <c r="AV313" s="4" t="n">
        <f aca="false">49/60</f>
        <v>0.816666666666667</v>
      </c>
      <c r="AW313" s="4" t="n">
        <f aca="false">24/60</f>
        <v>0.4</v>
      </c>
      <c r="AX313" s="4" t="n">
        <v>0</v>
      </c>
      <c r="AY313" s="4" t="n">
        <v>0</v>
      </c>
      <c r="AZ313" s="0" t="s">
        <v>60</v>
      </c>
      <c r="BA313" s="0" t="s">
        <v>61</v>
      </c>
      <c r="BB313" s="0" t="n">
        <v>0</v>
      </c>
    </row>
    <row r="314" customFormat="false" ht="12.8" hidden="false" customHeight="false" outlineLevel="0" collapsed="false">
      <c r="A314" s="1" t="n">
        <v>845</v>
      </c>
      <c r="B314" s="2" t="n">
        <v>44191.5159722222</v>
      </c>
      <c r="C314" s="0" t="n">
        <v>1</v>
      </c>
      <c r="F314" s="7" t="s">
        <v>118</v>
      </c>
      <c r="G314" s="7" t="n">
        <v>68</v>
      </c>
      <c r="H314" s="3" t="n">
        <v>21</v>
      </c>
      <c r="I314" s="3" t="n">
        <v>17</v>
      </c>
      <c r="J314" s="3" t="s">
        <v>63</v>
      </c>
      <c r="K314" s="3" t="n">
        <v>18</v>
      </c>
      <c r="L314" s="3" t="n">
        <v>24</v>
      </c>
      <c r="M314" s="0" t="s">
        <v>64</v>
      </c>
      <c r="N314" s="0" t="n">
        <v>0</v>
      </c>
      <c r="O314" s="0" t="s">
        <v>147</v>
      </c>
      <c r="P314" s="0" t="s">
        <v>158</v>
      </c>
      <c r="Q314" s="0" t="s">
        <v>95</v>
      </c>
      <c r="R314" s="4" t="n">
        <v>9.35</v>
      </c>
      <c r="S314" s="3" t="n">
        <v>689</v>
      </c>
      <c r="T314" s="3" t="n">
        <v>20454</v>
      </c>
      <c r="U314" s="3" t="n">
        <f aca="false">T314-S314</f>
        <v>19765</v>
      </c>
      <c r="V314" s="4" t="n">
        <f aca="false">(120+38)/60</f>
        <v>2.63333333333333</v>
      </c>
      <c r="W314" s="4" t="n">
        <f aca="false">(120+53)/60</f>
        <v>2.88333333333333</v>
      </c>
      <c r="X314" s="4" t="n">
        <f aca="false">W314-V314</f>
        <v>0.25</v>
      </c>
      <c r="Y314" s="4" t="n">
        <f aca="false">R314/V314</f>
        <v>3.5506329113924</v>
      </c>
      <c r="Z314" s="0" t="n">
        <v>1</v>
      </c>
      <c r="AA314" s="4" t="n">
        <f aca="false">R314/Z314</f>
        <v>9.35</v>
      </c>
      <c r="AB314" s="4" t="n">
        <f aca="false">16+55/60</f>
        <v>16.9166666666667</v>
      </c>
      <c r="AC314" s="3" t="n">
        <v>135</v>
      </c>
      <c r="AD314" s="3" t="n">
        <v>694</v>
      </c>
      <c r="AE314" s="3" t="n">
        <v>82</v>
      </c>
      <c r="AF314" s="0" t="n">
        <v>138</v>
      </c>
      <c r="AG314" s="4" t="n">
        <f aca="false">16+33/60</f>
        <v>16.55</v>
      </c>
      <c r="AH314" s="4" t="n">
        <f aca="false">16+18/60</f>
        <v>16.3</v>
      </c>
      <c r="AI314" s="4" t="n">
        <f aca="false">16+32/60</f>
        <v>16.5333333333333</v>
      </c>
      <c r="AJ314" s="4" t="n">
        <f aca="false">16+23/60</f>
        <v>16.3833333333333</v>
      </c>
      <c r="AK314" s="4" t="n">
        <f aca="false">17</f>
        <v>17</v>
      </c>
      <c r="AL314" s="4" t="n">
        <f aca="false">17+29/60</f>
        <v>17.4833333333333</v>
      </c>
      <c r="AM314" s="4" t="n">
        <f aca="false">17+51/60</f>
        <v>17.85</v>
      </c>
      <c r="AN314" s="4" t="n">
        <f aca="false">16+59/60</f>
        <v>16.9833333333333</v>
      </c>
      <c r="AO314" s="4" t="n">
        <f aca="false">60/3.5</f>
        <v>17.1428571428571</v>
      </c>
      <c r="AQ314" s="0" t="n">
        <v>4</v>
      </c>
      <c r="AR314" s="0" t="n">
        <v>0</v>
      </c>
      <c r="AS314" s="0" t="n">
        <v>0</v>
      </c>
      <c r="AT314" s="5" t="n">
        <f aca="false">60*V314-SUM(AU314:AY314)</f>
        <v>109.116666666667</v>
      </c>
      <c r="AU314" s="4" t="n">
        <f aca="false">27+10/60</f>
        <v>27.1666666666667</v>
      </c>
      <c r="AV314" s="4" t="n">
        <f aca="false">15+37/60</f>
        <v>15.6166666666667</v>
      </c>
      <c r="AW314" s="4" t="n">
        <f aca="false">6+6/60</f>
        <v>6.1</v>
      </c>
      <c r="AX314" s="4" t="n">
        <v>0</v>
      </c>
      <c r="AY314" s="4" t="n">
        <v>0</v>
      </c>
      <c r="AZ314" s="0" t="s">
        <v>60</v>
      </c>
      <c r="BA314" s="0" t="s">
        <v>61</v>
      </c>
      <c r="BB314" s="0" t="n">
        <v>0</v>
      </c>
    </row>
    <row r="315" customFormat="false" ht="12.8" hidden="false" customHeight="false" outlineLevel="0" collapsed="false">
      <c r="A315" s="1" t="n">
        <v>846</v>
      </c>
      <c r="B315" s="2" t="n">
        <v>44192.6784722222</v>
      </c>
      <c r="C315" s="0" t="n">
        <v>1</v>
      </c>
      <c r="F315" s="7" t="s">
        <v>118</v>
      </c>
      <c r="G315" s="3" t="n">
        <v>73</v>
      </c>
      <c r="H315" s="3" t="n">
        <v>26</v>
      </c>
      <c r="I315" s="3" t="n">
        <v>17</v>
      </c>
      <c r="J315" s="3" t="s">
        <v>69</v>
      </c>
      <c r="K315" s="3" t="n">
        <v>13</v>
      </c>
      <c r="L315" s="3" t="n">
        <v>0</v>
      </c>
      <c r="M315" s="0" t="s">
        <v>64</v>
      </c>
      <c r="N315" s="0" t="n">
        <v>0</v>
      </c>
      <c r="O315" s="0" t="s">
        <v>147</v>
      </c>
      <c r="P315" s="0" t="s">
        <v>146</v>
      </c>
      <c r="Q315" s="0" t="s">
        <v>65</v>
      </c>
      <c r="R315" s="4" t="n">
        <v>4.72</v>
      </c>
      <c r="S315" s="3" t="n">
        <v>560</v>
      </c>
      <c r="T315" s="3" t="n">
        <v>10658</v>
      </c>
      <c r="U315" s="3" t="n">
        <f aca="false">T315-S315</f>
        <v>10098</v>
      </c>
      <c r="V315" s="4" t="n">
        <f aca="false">72/60</f>
        <v>1.2</v>
      </c>
      <c r="W315" s="4" t="n">
        <f aca="false">74/60</f>
        <v>1.23333333333333</v>
      </c>
      <c r="X315" s="4" t="n">
        <f aca="false">W315-V315</f>
        <v>0.0333333333333334</v>
      </c>
      <c r="Y315" s="4" t="n">
        <f aca="false">R315/V315</f>
        <v>3.93333333333333</v>
      </c>
      <c r="Z315" s="0" t="n">
        <v>1</v>
      </c>
      <c r="AA315" s="4" t="n">
        <f aca="false">R315/Z315</f>
        <v>4.72</v>
      </c>
      <c r="AB315" s="4" t="n">
        <f aca="false">15+16/60</f>
        <v>15.2666666666667</v>
      </c>
      <c r="AC315" s="3" t="n">
        <v>89</v>
      </c>
      <c r="AD315" s="3" t="n">
        <v>501</v>
      </c>
      <c r="AE315" s="3" t="n">
        <v>92</v>
      </c>
      <c r="AF315" s="0" t="n">
        <v>111</v>
      </c>
      <c r="AG315" s="4" t="n">
        <f aca="false">14+59/60</f>
        <v>14.9833333333333</v>
      </c>
      <c r="AH315" s="4" t="n">
        <f aca="false">15+17/60</f>
        <v>15.2833333333333</v>
      </c>
      <c r="AI315" s="4" t="n">
        <f aca="false">15+13/60</f>
        <v>15.2166666666667</v>
      </c>
      <c r="AJ315" s="4" t="n">
        <f aca="false">15+32/60</f>
        <v>15.5333333333333</v>
      </c>
      <c r="AK315" s="4" t="n">
        <f aca="false">60/3.9</f>
        <v>15.3846153846154</v>
      </c>
      <c r="AQ315" s="0" t="n">
        <v>1</v>
      </c>
      <c r="AR315" s="0" t="n">
        <v>0</v>
      </c>
      <c r="AS315" s="0" t="n">
        <v>0</v>
      </c>
      <c r="AT315" s="5" t="n">
        <f aca="false">60*V315-SUM(AU315:AY315)</f>
        <v>27.4833333333333</v>
      </c>
      <c r="AU315" s="4" t="n">
        <f aca="false">43+31/60</f>
        <v>43.5166666666667</v>
      </c>
      <c r="AV315" s="4" t="s">
        <v>159</v>
      </c>
      <c r="AW315" s="4" t="n">
        <v>1</v>
      </c>
      <c r="AX315" s="4" t="n">
        <v>0</v>
      </c>
      <c r="AY315" s="4" t="n">
        <v>0</v>
      </c>
      <c r="AZ315" s="0" t="s">
        <v>60</v>
      </c>
      <c r="BA315" s="0" t="s">
        <v>61</v>
      </c>
      <c r="BB315" s="0" t="n">
        <v>0</v>
      </c>
    </row>
    <row r="316" customFormat="false" ht="12.8" hidden="false" customHeight="false" outlineLevel="0" collapsed="false">
      <c r="A316" s="1" t="n">
        <v>847</v>
      </c>
      <c r="B316" s="2" t="n">
        <v>44193.5020833333</v>
      </c>
      <c r="C316" s="0" t="n">
        <v>1</v>
      </c>
      <c r="F316" s="7" t="s">
        <v>62</v>
      </c>
      <c r="G316" s="3" t="n">
        <v>57</v>
      </c>
      <c r="H316" s="3" t="n">
        <v>34</v>
      </c>
      <c r="I316" s="3" t="n">
        <v>42</v>
      </c>
      <c r="J316" s="3" t="s">
        <v>104</v>
      </c>
      <c r="K316" s="3" t="n">
        <v>10</v>
      </c>
      <c r="L316" s="3" t="n">
        <v>0</v>
      </c>
      <c r="M316" s="0" t="s">
        <v>64</v>
      </c>
      <c r="N316" s="0" t="n">
        <v>0</v>
      </c>
      <c r="O316" s="0" t="s">
        <v>147</v>
      </c>
      <c r="P316" s="0" t="s">
        <v>158</v>
      </c>
      <c r="Q316" s="0" t="s">
        <v>101</v>
      </c>
      <c r="R316" s="4" t="n">
        <v>4.47</v>
      </c>
      <c r="S316" s="3" t="n">
        <v>772</v>
      </c>
      <c r="T316" s="3" t="n">
        <v>9989</v>
      </c>
      <c r="U316" s="3" t="n">
        <f aca="false">T316-S316</f>
        <v>9217</v>
      </c>
      <c r="V316" s="4" t="n">
        <f aca="false">70/60</f>
        <v>1.16666666666667</v>
      </c>
      <c r="W316" s="4" t="n">
        <f aca="false">72/60</f>
        <v>1.2</v>
      </c>
      <c r="X316" s="4" t="n">
        <f aca="false">W316-V316</f>
        <v>0.0333333333333332</v>
      </c>
      <c r="Y316" s="4" t="n">
        <f aca="false">R316/V316</f>
        <v>3.83142857142857</v>
      </c>
      <c r="Z316" s="0" t="n">
        <v>4</v>
      </c>
      <c r="AA316" s="4" t="n">
        <f aca="false">R316/Z316</f>
        <v>1.1175</v>
      </c>
      <c r="AB316" s="4" t="n">
        <f aca="false">15+43/60</f>
        <v>15.7166666666667</v>
      </c>
      <c r="AC316" s="3" t="n">
        <v>92</v>
      </c>
      <c r="AD316" s="3" t="n">
        <v>475</v>
      </c>
      <c r="AE316" s="3" t="n">
        <v>97</v>
      </c>
      <c r="AF316" s="0" t="n">
        <v>112</v>
      </c>
      <c r="AG316" s="4" t="n">
        <f aca="false">15+25/60</f>
        <v>15.4166666666667</v>
      </c>
      <c r="AH316" s="4" t="n">
        <f aca="false">16+16/60</f>
        <v>16.2666666666667</v>
      </c>
      <c r="AI316" s="4" t="n">
        <f aca="false">15+42/60</f>
        <v>15.7</v>
      </c>
      <c r="AJ316" s="4" t="n">
        <f aca="false">15+39/60</f>
        <v>15.65</v>
      </c>
      <c r="AK316" s="4" t="n">
        <f aca="false">60/3.9</f>
        <v>15.3846153846154</v>
      </c>
      <c r="AQ316" s="0" t="n">
        <v>1</v>
      </c>
      <c r="AR316" s="0" t="n">
        <v>0</v>
      </c>
      <c r="AS316" s="0" t="n">
        <v>0</v>
      </c>
      <c r="AT316" s="5" t="n">
        <f aca="false">60*V316-SUM(AU316:AY316)</f>
        <v>4.3</v>
      </c>
      <c r="AU316" s="4" t="n">
        <f aca="false">64</f>
        <v>64</v>
      </c>
      <c r="AV316" s="4" t="n">
        <f aca="false">1+42/60</f>
        <v>1.7</v>
      </c>
      <c r="AW316" s="4" t="n">
        <v>0</v>
      </c>
      <c r="AX316" s="4" t="n">
        <v>0</v>
      </c>
      <c r="AY316" s="4" t="n">
        <v>0</v>
      </c>
      <c r="AZ316" s="0" t="s">
        <v>60</v>
      </c>
      <c r="BA316" s="0" t="s">
        <v>61</v>
      </c>
      <c r="BB316" s="0" t="n">
        <v>0</v>
      </c>
    </row>
    <row r="317" customFormat="false" ht="12.8" hidden="false" customHeight="false" outlineLevel="0" collapsed="false">
      <c r="A317" s="1" t="n">
        <v>848</v>
      </c>
      <c r="B317" s="2" t="n">
        <v>44194.4951388889</v>
      </c>
      <c r="C317" s="0" t="n">
        <v>0</v>
      </c>
      <c r="F317" s="7" t="s">
        <v>118</v>
      </c>
      <c r="G317" s="3" t="n">
        <v>68</v>
      </c>
      <c r="H317" s="3" t="n">
        <v>55</v>
      </c>
      <c r="I317" s="3" t="n">
        <v>75</v>
      </c>
      <c r="J317" s="7" t="s">
        <v>105</v>
      </c>
      <c r="K317" s="3" t="n">
        <v>18</v>
      </c>
      <c r="L317" s="3" t="n">
        <v>25</v>
      </c>
      <c r="M317" s="0" t="s">
        <v>64</v>
      </c>
    </row>
    <row r="318" customFormat="false" ht="12.8" hidden="false" customHeight="false" outlineLevel="0" collapsed="false">
      <c r="A318" s="1" t="n">
        <v>849</v>
      </c>
      <c r="B318" s="2" t="n">
        <v>44195.4951388889</v>
      </c>
      <c r="C318" s="0" t="n">
        <v>0</v>
      </c>
      <c r="D318" s="0" t="s">
        <v>96</v>
      </c>
      <c r="F318" s="7" t="s">
        <v>85</v>
      </c>
      <c r="G318" s="3" t="n">
        <v>45</v>
      </c>
      <c r="H318" s="3" t="n">
        <v>42</v>
      </c>
      <c r="I318" s="3" t="n">
        <v>90</v>
      </c>
      <c r="J318" s="3" t="s">
        <v>84</v>
      </c>
      <c r="K318" s="3" t="n">
        <v>20</v>
      </c>
      <c r="L318" s="3" t="n">
        <v>32</v>
      </c>
      <c r="M318" s="7" t="s">
        <v>85</v>
      </c>
    </row>
    <row r="319" customFormat="false" ht="12.8" hidden="false" customHeight="false" outlineLevel="0" collapsed="false">
      <c r="A319" s="1" t="n">
        <v>850</v>
      </c>
      <c r="B319" s="2" t="n">
        <v>44196.4951388889</v>
      </c>
      <c r="C319" s="0" t="n">
        <v>0</v>
      </c>
      <c r="D319" s="0" t="s">
        <v>96</v>
      </c>
      <c r="F319" s="7" t="s">
        <v>162</v>
      </c>
      <c r="G319" s="3" t="n">
        <v>37</v>
      </c>
      <c r="H319" s="3" t="n">
        <v>36</v>
      </c>
      <c r="I319" s="3" t="n">
        <v>96</v>
      </c>
      <c r="J319" s="3" t="s">
        <v>84</v>
      </c>
      <c r="K319" s="3" t="n">
        <v>15</v>
      </c>
      <c r="L319" s="3" t="n">
        <v>0</v>
      </c>
      <c r="M319" s="7" t="s">
        <v>162</v>
      </c>
    </row>
    <row r="320" customFormat="false" ht="12.8" hidden="false" customHeight="false" outlineLevel="0" collapsed="false">
      <c r="A320" s="1" t="n">
        <v>851</v>
      </c>
      <c r="B320" s="2" t="n">
        <f aca="false">B319+1</f>
        <v>44197.4951388889</v>
      </c>
      <c r="C320" s="0" t="n">
        <v>0</v>
      </c>
      <c r="D320" s="0" t="s">
        <v>96</v>
      </c>
      <c r="F320" s="7" t="s">
        <v>91</v>
      </c>
      <c r="G320" s="3" t="n">
        <v>39</v>
      </c>
      <c r="H320" s="3" t="n">
        <v>32</v>
      </c>
      <c r="I320" s="3" t="n">
        <v>79</v>
      </c>
      <c r="J320" s="7" t="s">
        <v>107</v>
      </c>
      <c r="K320" s="3" t="n">
        <v>17</v>
      </c>
      <c r="L320" s="3" t="n">
        <v>0</v>
      </c>
      <c r="M320" s="0" t="s">
        <v>161</v>
      </c>
    </row>
    <row r="321" customFormat="false" ht="13.8" hidden="false" customHeight="false" outlineLevel="0" collapsed="false">
      <c r="A321" s="1" t="n">
        <v>852</v>
      </c>
      <c r="B321" s="2" t="n">
        <v>44198.4951388889</v>
      </c>
      <c r="C321" s="0" t="n">
        <v>1</v>
      </c>
      <c r="F321" s="7" t="s">
        <v>118</v>
      </c>
      <c r="G321" s="3" t="n">
        <v>48</v>
      </c>
      <c r="H321" s="3" t="n">
        <v>47</v>
      </c>
      <c r="I321" s="3" t="n">
        <v>96</v>
      </c>
      <c r="J321" s="3" t="s">
        <v>63</v>
      </c>
      <c r="K321" s="3" t="n">
        <v>7</v>
      </c>
      <c r="L321" s="3" t="n">
        <v>0</v>
      </c>
      <c r="M321" s="0" t="s">
        <v>64</v>
      </c>
      <c r="N321" s="0" t="n">
        <v>0</v>
      </c>
      <c r="O321" s="0" t="s">
        <v>147</v>
      </c>
      <c r="P321" s="0" t="s">
        <v>158</v>
      </c>
      <c r="Q321" s="13" t="s">
        <v>127</v>
      </c>
      <c r="R321" s="4" t="n">
        <v>8.23</v>
      </c>
      <c r="S321" s="3" t="n">
        <v>630</v>
      </c>
      <c r="T321" s="3" t="n">
        <v>18396</v>
      </c>
      <c r="U321" s="3" t="n">
        <f aca="false">T321-S321</f>
        <v>17766</v>
      </c>
      <c r="V321" s="4" t="n">
        <f aca="false">(120+23)/60</f>
        <v>2.38333333333333</v>
      </c>
      <c r="W321" s="4" t="n">
        <f aca="false">(180+4)/60</f>
        <v>3.06666666666667</v>
      </c>
      <c r="X321" s="4" t="n">
        <f aca="false">W321-V321</f>
        <v>0.683333333333334</v>
      </c>
      <c r="Y321" s="4" t="n">
        <f aca="false">R321/V321</f>
        <v>3.45314685314685</v>
      </c>
      <c r="Z321" s="0" t="n">
        <v>1</v>
      </c>
      <c r="AA321" s="4" t="n">
        <f aca="false">R321/Z321</f>
        <v>8.23</v>
      </c>
      <c r="AB321" s="4" t="n">
        <f aca="false">17+19/60</f>
        <v>17.3166666666667</v>
      </c>
      <c r="AC321" s="3" t="n">
        <v>335</v>
      </c>
      <c r="AD321" s="3" t="n">
        <v>890</v>
      </c>
      <c r="AE321" s="3" t="n">
        <v>90</v>
      </c>
      <c r="AF321" s="0" t="n">
        <v>130</v>
      </c>
      <c r="AG321" s="4" t="n">
        <f aca="false">17+15/60</f>
        <v>17.25</v>
      </c>
      <c r="AH321" s="4" t="n">
        <f aca="false">16+50/60</f>
        <v>16.8333333333333</v>
      </c>
      <c r="AI321" s="4" t="n">
        <f aca="false">17+8/60</f>
        <v>17.1333333333333</v>
      </c>
      <c r="AJ321" s="4" t="n">
        <f aca="false">16+17/60</f>
        <v>16.2833333333333</v>
      </c>
      <c r="AK321" s="4" t="n">
        <f aca="false">18+52/60</f>
        <v>18.8666666666667</v>
      </c>
      <c r="AL321" s="4" t="n">
        <f aca="false">16+51/60</f>
        <v>16.85</v>
      </c>
      <c r="AM321" s="4" t="n">
        <f aca="false">17+38/60</f>
        <v>17.6333333333333</v>
      </c>
      <c r="AN321" s="4" t="n">
        <f aca="false">17+35/60</f>
        <v>17.5833333333333</v>
      </c>
      <c r="AO321" s="4" t="n">
        <f aca="false">60/3.3</f>
        <v>18.1818181818182</v>
      </c>
      <c r="AQ321" s="0" t="n">
        <v>4</v>
      </c>
      <c r="AR321" s="0" t="n">
        <v>1</v>
      </c>
      <c r="AS321" s="0" t="n">
        <v>0</v>
      </c>
      <c r="AT321" s="5" t="n">
        <f aca="false">60*V321-SUM(AU321:AY321)</f>
        <v>64.1</v>
      </c>
      <c r="AU321" s="4" t="n">
        <f aca="false">74+52/60</f>
        <v>74.8666666666667</v>
      </c>
      <c r="AV321" s="4" t="n">
        <f aca="false">4+2/60</f>
        <v>4.03333333333333</v>
      </c>
      <c r="AW321" s="4" t="n">
        <v>0</v>
      </c>
      <c r="AX321" s="4" t="n">
        <v>0</v>
      </c>
      <c r="AY321" s="4" t="n">
        <v>0</v>
      </c>
      <c r="AZ321" s="0" t="s">
        <v>60</v>
      </c>
      <c r="BA321" s="0" t="s">
        <v>61</v>
      </c>
      <c r="BB321" s="0" t="n">
        <v>0</v>
      </c>
    </row>
    <row r="322" customFormat="false" ht="12.8" hidden="false" customHeight="false" outlineLevel="0" collapsed="false">
      <c r="A322" s="1" t="n">
        <v>853</v>
      </c>
      <c r="B322" s="2" t="n">
        <v>44199.4951388889</v>
      </c>
      <c r="C322" s="0" t="n">
        <v>0</v>
      </c>
      <c r="D322" s="0" t="s">
        <v>80</v>
      </c>
      <c r="F322" s="7" t="s">
        <v>118</v>
      </c>
      <c r="G322" s="3" t="n">
        <v>61</v>
      </c>
      <c r="H322" s="3" t="n">
        <v>32</v>
      </c>
      <c r="I322" s="3" t="n">
        <v>34</v>
      </c>
      <c r="J322" s="3" t="s">
        <v>73</v>
      </c>
      <c r="K322" s="3" t="n">
        <v>16</v>
      </c>
      <c r="L322" s="3" t="n">
        <v>0</v>
      </c>
      <c r="M322" s="0" t="s">
        <v>64</v>
      </c>
      <c r="V322" s="0"/>
    </row>
    <row r="323" customFormat="false" ht="12.8" hidden="false" customHeight="false" outlineLevel="0" collapsed="false">
      <c r="A323" s="1" t="n">
        <v>854</v>
      </c>
      <c r="B323" s="2" t="n">
        <v>44200.4951388889</v>
      </c>
      <c r="C323" s="0" t="n">
        <v>1</v>
      </c>
      <c r="F323" s="7" t="s">
        <v>118</v>
      </c>
      <c r="G323" s="3" t="n">
        <v>59</v>
      </c>
      <c r="H323" s="3" t="n">
        <v>38</v>
      </c>
      <c r="I323" s="3" t="n">
        <v>46</v>
      </c>
      <c r="J323" s="3" t="s">
        <v>84</v>
      </c>
      <c r="K323" s="3" t="n">
        <v>8</v>
      </c>
      <c r="L323" s="3" t="n">
        <v>0</v>
      </c>
      <c r="M323" s="0" t="s">
        <v>64</v>
      </c>
      <c r="N323" s="0" t="n">
        <v>0</v>
      </c>
      <c r="O323" s="0" t="s">
        <v>147</v>
      </c>
      <c r="P323" s="0" t="s">
        <v>158</v>
      </c>
      <c r="Q323" s="7" t="s">
        <v>93</v>
      </c>
      <c r="R323" s="4" t="n">
        <v>4.19</v>
      </c>
      <c r="S323" s="3" t="n">
        <v>1136</v>
      </c>
      <c r="T323" s="3" t="n">
        <v>9907</v>
      </c>
      <c r="U323" s="3" t="n">
        <f aca="false">T323-S323</f>
        <v>8771</v>
      </c>
      <c r="V323" s="4" t="n">
        <f aca="false">72/60</f>
        <v>1.2</v>
      </c>
      <c r="W323" s="4" t="n">
        <f aca="false">80/60</f>
        <v>1.33333333333333</v>
      </c>
      <c r="X323" s="4" t="n">
        <f aca="false">W323-V323</f>
        <v>0.133333333333333</v>
      </c>
      <c r="Y323" s="4" t="n">
        <f aca="false">R323/V323</f>
        <v>3.49166666666667</v>
      </c>
      <c r="Z323" s="0" t="n">
        <v>2</v>
      </c>
      <c r="AA323" s="4" t="n">
        <f aca="false">R323/Z323</f>
        <v>2.095</v>
      </c>
      <c r="AB323" s="4" t="n">
        <f aca="false">17+10/60</f>
        <v>17.1666666666667</v>
      </c>
      <c r="AC323" s="3" t="n">
        <v>233</v>
      </c>
      <c r="AD323" s="3" t="n">
        <v>548</v>
      </c>
      <c r="AE323" s="3" t="n">
        <v>120</v>
      </c>
      <c r="AF323" s="0" t="n">
        <v>153</v>
      </c>
      <c r="AG323" s="4" t="n">
        <f aca="false">17+24/60</f>
        <v>17.4</v>
      </c>
      <c r="AH323" s="4" t="n">
        <f aca="false">16+22/60</f>
        <v>16.3666666666667</v>
      </c>
      <c r="AI323" s="4" t="n">
        <f aca="false">17+46/60</f>
        <v>17.7666666666667</v>
      </c>
      <c r="AJ323" s="4" t="n">
        <f aca="false">17+22/60</f>
        <v>17.3666666666667</v>
      </c>
      <c r="AK323" s="4" t="n">
        <f aca="false">60/3.5</f>
        <v>17.1428571428571</v>
      </c>
      <c r="AQ323" s="0" t="n">
        <v>2</v>
      </c>
      <c r="AR323" s="0" t="n">
        <v>0</v>
      </c>
      <c r="AS323" s="0" t="n">
        <v>0</v>
      </c>
      <c r="AT323" s="5" t="n">
        <f aca="false">60*V323-SUM(AU323:AY323)</f>
        <v>-0.0033333333333303</v>
      </c>
      <c r="AU323" s="4" t="n">
        <f aca="false">23+13/60</f>
        <v>23.2166666666667</v>
      </c>
      <c r="AV323" s="4" t="n">
        <f aca="false">6+28/60</f>
        <v>6.46666666666667</v>
      </c>
      <c r="AW323" s="4" t="n">
        <f aca="false">37+36/60</f>
        <v>37.6</v>
      </c>
      <c r="AX323" s="4" t="n">
        <v>4.72</v>
      </c>
      <c r="AY323" s="4" t="n">
        <v>0</v>
      </c>
      <c r="AZ323" s="0" t="s">
        <v>60</v>
      </c>
      <c r="BA323" s="0" t="s">
        <v>61</v>
      </c>
      <c r="BB323" s="0" t="n">
        <v>0</v>
      </c>
    </row>
    <row r="324" customFormat="false" ht="12.8" hidden="false" customHeight="false" outlineLevel="0" collapsed="false">
      <c r="A324" s="1" t="n">
        <v>855</v>
      </c>
      <c r="B324" s="2" t="n">
        <v>44201.4951388889</v>
      </c>
      <c r="C324" s="0" t="n">
        <v>1</v>
      </c>
      <c r="F324" s="7" t="s">
        <v>118</v>
      </c>
      <c r="G324" s="3" t="n">
        <v>60</v>
      </c>
      <c r="H324" s="3" t="n">
        <v>37</v>
      </c>
      <c r="I324" s="3" t="n">
        <v>42</v>
      </c>
      <c r="J324" s="3" t="s">
        <v>105</v>
      </c>
      <c r="K324" s="3" t="n">
        <v>9</v>
      </c>
      <c r="L324" s="3" t="n">
        <v>0</v>
      </c>
      <c r="M324" s="0" t="s">
        <v>64</v>
      </c>
      <c r="N324" s="0" t="n">
        <v>0</v>
      </c>
      <c r="O324" s="0" t="s">
        <v>147</v>
      </c>
      <c r="P324" s="0" t="s">
        <v>158</v>
      </c>
      <c r="Q324" s="0" t="s">
        <v>108</v>
      </c>
      <c r="R324" s="4" t="n">
        <v>6.31</v>
      </c>
      <c r="S324" s="3" t="n">
        <v>1631</v>
      </c>
      <c r="T324" s="3" t="n">
        <v>15142</v>
      </c>
      <c r="U324" s="3" t="n">
        <f aca="false">T324-S324</f>
        <v>13511</v>
      </c>
      <c r="V324" s="4" t="n">
        <f aca="false">(60+45)/60</f>
        <v>1.75</v>
      </c>
      <c r="W324" s="4" t="n">
        <f aca="false">(120+15)/60</f>
        <v>2.25</v>
      </c>
      <c r="X324" s="4" t="n">
        <f aca="false">W324-V324</f>
        <v>0.5</v>
      </c>
      <c r="Y324" s="4" t="n">
        <f aca="false">R324/V324</f>
        <v>3.60571428571429</v>
      </c>
      <c r="Z324" s="0" t="n">
        <v>1</v>
      </c>
      <c r="AA324" s="4" t="n">
        <f aca="false">R324/Z324</f>
        <v>6.31</v>
      </c>
      <c r="AB324" s="4" t="n">
        <f aca="false">16+39/60</f>
        <v>16.65</v>
      </c>
      <c r="AC324" s="3" t="n">
        <v>62</v>
      </c>
      <c r="AD324" s="3" t="n">
        <v>676</v>
      </c>
      <c r="AE324" s="3" t="n">
        <v>87</v>
      </c>
      <c r="AF324" s="0" t="n">
        <v>114</v>
      </c>
      <c r="AG324" s="4" t="n">
        <f aca="false">16+7/60</f>
        <v>16.1166666666667</v>
      </c>
      <c r="AH324" s="4" t="n">
        <f aca="false">15+52/60</f>
        <v>15.8666666666667</v>
      </c>
      <c r="AI324" s="4" t="n">
        <f aca="false">17+47/60</f>
        <v>17.7833333333333</v>
      </c>
      <c r="AJ324" s="4" t="n">
        <f aca="false">17+6/60</f>
        <v>17.1</v>
      </c>
      <c r="AK324" s="4" t="n">
        <f aca="false">16+12/60</f>
        <v>16.2</v>
      </c>
      <c r="AL324" s="4" t="n">
        <f aca="false">16+23/60</f>
        <v>16.3833333333333</v>
      </c>
      <c r="AM324" s="4" t="n">
        <f aca="false">60/3.6</f>
        <v>16.6666666666667</v>
      </c>
      <c r="AQ324" s="0" t="n">
        <v>3</v>
      </c>
      <c r="AR324" s="0" t="n">
        <v>0</v>
      </c>
      <c r="AS324" s="0" t="n">
        <v>0</v>
      </c>
      <c r="AT324" s="5" t="n">
        <f aca="false">60*V324-SUM(AU324:AY324)</f>
        <v>59.9166666666667</v>
      </c>
      <c r="AU324" s="4" t="n">
        <f aca="false">40+21/60</f>
        <v>40.35</v>
      </c>
      <c r="AV324" s="4" t="n">
        <f aca="false">4+44/60</f>
        <v>4.73333333333333</v>
      </c>
      <c r="AW324" s="4" t="n">
        <v>0</v>
      </c>
      <c r="AX324" s="4" t="n">
        <v>0</v>
      </c>
      <c r="AY324" s="4" t="n">
        <v>0</v>
      </c>
      <c r="AZ324" s="0" t="s">
        <v>60</v>
      </c>
      <c r="BA324" s="0" t="s">
        <v>61</v>
      </c>
      <c r="BB324" s="0" t="n">
        <v>0</v>
      </c>
    </row>
    <row r="325" customFormat="false" ht="12.8" hidden="false" customHeight="false" outlineLevel="0" collapsed="false">
      <c r="A325" s="1" t="n">
        <v>855</v>
      </c>
      <c r="B325" s="2" t="n">
        <v>44202.4951388889</v>
      </c>
      <c r="C325" s="0" t="n">
        <v>0</v>
      </c>
      <c r="D325" s="9" t="s">
        <v>83</v>
      </c>
      <c r="F325" s="7" t="s">
        <v>94</v>
      </c>
      <c r="G325" s="3" t="n">
        <v>60</v>
      </c>
      <c r="H325" s="3" t="n">
        <v>42</v>
      </c>
      <c r="I325" s="3" t="n">
        <v>51</v>
      </c>
      <c r="J325" s="3" t="s">
        <v>68</v>
      </c>
      <c r="K325" s="3" t="n">
        <v>14</v>
      </c>
      <c r="L325" s="3" t="n">
        <v>0</v>
      </c>
      <c r="M325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2021-01-06T14:24:22Z</dcterms:modified>
  <cp:revision>257</cp:revision>
  <dc:subject/>
  <dc:title/>
</cp:coreProperties>
</file>