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raig\Documents\R-Projects\MyWalks\data\"/>
    </mc:Choice>
  </mc:AlternateContent>
  <bookViews>
    <workbookView xWindow="0" yWindow="0" windowWidth="20490" windowHeight="84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7" i="1" l="1"/>
  <c r="Y57" i="1"/>
  <c r="X57" i="1"/>
  <c r="W57" i="1"/>
  <c r="V57" i="1"/>
  <c r="M57" i="1"/>
  <c r="P57" i="1"/>
  <c r="L57" i="1"/>
  <c r="O57" i="1"/>
  <c r="AA56" i="1" l="1"/>
  <c r="Z56" i="1"/>
  <c r="Y56" i="1"/>
  <c r="X56" i="1"/>
  <c r="V56" i="1"/>
  <c r="W56" i="1"/>
  <c r="P56" i="1"/>
  <c r="O56" i="1"/>
  <c r="L56" i="1"/>
  <c r="M56" i="1" s="1"/>
  <c r="Y55" i="1" l="1"/>
  <c r="X55" i="1"/>
  <c r="W55" i="1"/>
  <c r="V55" i="1"/>
  <c r="P55" i="1"/>
  <c r="O55" i="1"/>
  <c r="L55" i="1"/>
  <c r="M55" i="1" s="1"/>
  <c r="Z54" i="1" l="1"/>
  <c r="Y54" i="1"/>
  <c r="X54" i="1"/>
  <c r="W54" i="1"/>
  <c r="V54" i="1"/>
  <c r="P54" i="1"/>
  <c r="O54" i="1"/>
  <c r="M54" i="1"/>
  <c r="L54" i="1"/>
  <c r="Z51" i="1" l="1"/>
  <c r="Y51" i="1"/>
  <c r="X51" i="1"/>
  <c r="W51" i="1"/>
  <c r="V51" i="1"/>
  <c r="T51" i="1"/>
  <c r="P51" i="1"/>
  <c r="O51" i="1"/>
  <c r="L51" i="1"/>
  <c r="M51" i="1" s="1"/>
  <c r="K51" i="1"/>
  <c r="Z50" i="1" l="1"/>
  <c r="Y50" i="1"/>
  <c r="X50" i="1"/>
  <c r="W50" i="1"/>
  <c r="V50" i="1"/>
  <c r="P50" i="1"/>
  <c r="O50" i="1"/>
  <c r="M50" i="1"/>
  <c r="L50" i="1"/>
  <c r="L49" i="1"/>
  <c r="M49" i="1"/>
  <c r="P49" i="1"/>
  <c r="V49" i="1"/>
  <c r="W49" i="1"/>
  <c r="X49" i="1"/>
  <c r="Y49" i="1"/>
  <c r="Z48" i="1" l="1"/>
  <c r="Y48" i="1"/>
  <c r="X48" i="1"/>
  <c r="W48" i="1"/>
  <c r="V48" i="1"/>
  <c r="P48" i="1"/>
  <c r="O48" i="1"/>
  <c r="L48" i="1"/>
  <c r="M48" i="1" s="1"/>
  <c r="AA47" i="1" l="1"/>
  <c r="Z47" i="1"/>
  <c r="Y47" i="1"/>
  <c r="X47" i="1"/>
  <c r="W47" i="1"/>
  <c r="V47" i="1"/>
  <c r="L47" i="1"/>
  <c r="M47" i="1"/>
  <c r="P47" i="1"/>
  <c r="O47" i="1"/>
  <c r="Z43" i="1" l="1"/>
  <c r="Y43" i="1"/>
  <c r="X43" i="1"/>
  <c r="W43" i="1"/>
  <c r="V43" i="1"/>
  <c r="P43" i="1"/>
  <c r="O43" i="1"/>
  <c r="M43" i="1"/>
  <c r="L43" i="1"/>
  <c r="AA42" i="1" l="1"/>
  <c r="AB42" i="1"/>
  <c r="Z42" i="1"/>
  <c r="Y42" i="1"/>
  <c r="X42" i="1"/>
  <c r="W42" i="1"/>
  <c r="V42" i="1"/>
  <c r="P42" i="1"/>
  <c r="O42" i="1"/>
  <c r="L42" i="1"/>
  <c r="M42" i="1" s="1"/>
  <c r="AB41" i="1" l="1"/>
  <c r="AA41" i="1"/>
  <c r="Z41" i="1"/>
  <c r="Y41" i="1"/>
  <c r="X41" i="1"/>
  <c r="W41" i="1"/>
  <c r="V41" i="1"/>
  <c r="P41" i="1"/>
  <c r="O41" i="1"/>
  <c r="L41" i="1"/>
  <c r="M41" i="1" s="1"/>
  <c r="AB38" i="1" l="1"/>
  <c r="AA38" i="1"/>
  <c r="Z38" i="1"/>
  <c r="Y38" i="1"/>
  <c r="X38" i="1"/>
  <c r="W38" i="1"/>
  <c r="V38" i="1"/>
  <c r="P38" i="1"/>
  <c r="O38" i="1"/>
  <c r="L38" i="1"/>
  <c r="M38" i="1" s="1"/>
  <c r="Z37" i="1" l="1"/>
  <c r="Y37" i="1"/>
  <c r="X37" i="1"/>
  <c r="W37" i="1"/>
  <c r="V37" i="1"/>
  <c r="P37" i="1"/>
  <c r="O37" i="1"/>
  <c r="M37" i="1"/>
  <c r="L37" i="1"/>
  <c r="Z36" i="1"/>
  <c r="Y36" i="1"/>
  <c r="X36" i="1"/>
  <c r="W36" i="1"/>
  <c r="V36" i="1"/>
  <c r="P36" i="1"/>
  <c r="O36" i="1"/>
  <c r="L36" i="1"/>
  <c r="M36" i="1" s="1"/>
  <c r="Z35" i="1" l="1"/>
  <c r="Y35" i="1"/>
  <c r="X35" i="1"/>
  <c r="W35" i="1"/>
  <c r="V35" i="1"/>
  <c r="P35" i="1"/>
  <c r="O35" i="1"/>
  <c r="L35" i="1"/>
  <c r="M35" i="1" s="1"/>
  <c r="Z34" i="1" l="1"/>
  <c r="Y34" i="1"/>
  <c r="X34" i="1"/>
  <c r="W34" i="1"/>
  <c r="V34" i="1"/>
  <c r="P34" i="1"/>
  <c r="O34" i="1"/>
  <c r="M34" i="1"/>
  <c r="L34" i="1"/>
  <c r="Z33" i="1" l="1"/>
  <c r="Y33" i="1"/>
  <c r="X33" i="1"/>
  <c r="W33" i="1"/>
  <c r="V33" i="1"/>
  <c r="P33" i="1"/>
  <c r="O33" i="1"/>
  <c r="M33" i="1"/>
  <c r="L33" i="1"/>
  <c r="Z32" i="1" l="1"/>
  <c r="Y32" i="1"/>
  <c r="X32" i="1"/>
  <c r="W32" i="1"/>
  <c r="V32" i="1"/>
  <c r="P32" i="1"/>
  <c r="O32" i="1"/>
  <c r="M32" i="1"/>
  <c r="L32" i="1"/>
  <c r="Z31" i="1" l="1"/>
  <c r="Y31" i="1"/>
  <c r="X31" i="1"/>
  <c r="W31" i="1"/>
  <c r="V31" i="1"/>
  <c r="P31" i="1"/>
  <c r="O31" i="1"/>
  <c r="M31" i="1"/>
  <c r="L31" i="1"/>
  <c r="Z30" i="1" l="1"/>
  <c r="Y30" i="1"/>
  <c r="X30" i="1"/>
  <c r="W30" i="1"/>
  <c r="V30" i="1"/>
  <c r="P30" i="1"/>
  <c r="O30" i="1"/>
  <c r="M30" i="1"/>
  <c r="L30" i="1"/>
  <c r="Z28" i="1" l="1"/>
  <c r="Y28" i="1"/>
  <c r="X28" i="1"/>
  <c r="W28" i="1"/>
  <c r="V28" i="1"/>
  <c r="P28" i="1"/>
  <c r="O28" i="1"/>
  <c r="M28" i="1"/>
  <c r="L28" i="1"/>
  <c r="AA27" i="1" l="1"/>
  <c r="Z27" i="1"/>
  <c r="Y27" i="1"/>
  <c r="X27" i="1"/>
  <c r="W27" i="1"/>
  <c r="V27" i="1"/>
  <c r="P27" i="1"/>
  <c r="O27" i="1"/>
  <c r="L27" i="1"/>
  <c r="M27" i="1" s="1"/>
  <c r="Z26" i="1" l="1"/>
  <c r="Y26" i="1"/>
  <c r="X26" i="1"/>
  <c r="W26" i="1"/>
  <c r="V26" i="1"/>
  <c r="P26" i="1"/>
  <c r="O26" i="1"/>
  <c r="M26" i="1"/>
  <c r="L26" i="1"/>
  <c r="AA22" i="1" l="1"/>
  <c r="Y22" i="1"/>
  <c r="Z22" i="1"/>
  <c r="X22" i="1"/>
  <c r="W22" i="1"/>
  <c r="V22" i="1"/>
  <c r="P22" i="1"/>
  <c r="O22" i="1"/>
  <c r="L22" i="1"/>
  <c r="M22" i="1" s="1"/>
  <c r="Y24" i="1"/>
  <c r="X24" i="1"/>
  <c r="W24" i="1"/>
  <c r="V24" i="1"/>
  <c r="Q24" i="1"/>
  <c r="L24" i="1"/>
  <c r="M24" i="1" s="1"/>
  <c r="P24" i="1"/>
  <c r="O24" i="1"/>
  <c r="Y21" i="1" l="1"/>
  <c r="X21" i="1"/>
  <c r="W21" i="1"/>
  <c r="V21" i="1"/>
  <c r="P21" i="1"/>
  <c r="O21" i="1"/>
  <c r="L21" i="1"/>
  <c r="M21" i="1" s="1"/>
  <c r="Z2" i="1" l="1"/>
  <c r="Y2" i="1"/>
  <c r="X2" i="1"/>
  <c r="W2" i="1"/>
  <c r="V2" i="1"/>
  <c r="P2" i="1"/>
  <c r="Z20" i="1"/>
  <c r="Y20" i="1"/>
  <c r="X20" i="1"/>
  <c r="W20" i="1"/>
  <c r="V20" i="1"/>
  <c r="P20" i="1"/>
  <c r="L20" i="1"/>
  <c r="M20" i="1" s="1"/>
  <c r="O20" i="1"/>
  <c r="O19" i="1"/>
  <c r="K20" i="1"/>
  <c r="P19" i="1"/>
  <c r="L19" i="1"/>
  <c r="M19" i="1" s="1"/>
  <c r="O3" i="1" l="1"/>
  <c r="A4" i="1"/>
  <c r="A3" i="1" s="1"/>
  <c r="B5" i="1" l="1"/>
  <c r="Z17" i="1"/>
  <c r="Y17" i="1"/>
  <c r="X17" i="1"/>
  <c r="W17" i="1"/>
  <c r="V17" i="1"/>
  <c r="P17" i="1"/>
  <c r="M17" i="1"/>
  <c r="L17" i="1"/>
  <c r="A6" i="1" l="1"/>
  <c r="AA16" i="1"/>
  <c r="Z16" i="1"/>
  <c r="Y16" i="1"/>
  <c r="X16" i="1"/>
  <c r="W16" i="1"/>
  <c r="V16" i="1"/>
  <c r="P16" i="1"/>
  <c r="O16" i="1"/>
  <c r="L16" i="1"/>
  <c r="M16" i="1" s="1"/>
  <c r="Z15" i="1" l="1"/>
  <c r="Y15" i="1"/>
  <c r="X15" i="1"/>
  <c r="W15" i="1"/>
  <c r="V15" i="1"/>
  <c r="P15" i="1"/>
  <c r="O15" i="1"/>
  <c r="M15" i="1"/>
  <c r="L15" i="1"/>
  <c r="K15" i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A14" i="1" l="1"/>
  <c r="Z14" i="1"/>
  <c r="Y14" i="1"/>
  <c r="X14" i="1"/>
  <c r="W14" i="1"/>
  <c r="V14" i="1"/>
  <c r="P14" i="1"/>
  <c r="O14" i="1"/>
  <c r="L14" i="1"/>
  <c r="M14" i="1" s="1"/>
  <c r="B9" i="1" l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Z9" i="1" l="1"/>
  <c r="Y9" i="1"/>
  <c r="X9" i="1"/>
  <c r="W9" i="1"/>
  <c r="V9" i="1"/>
  <c r="P9" i="1"/>
  <c r="O9" i="1"/>
  <c r="M9" i="1"/>
  <c r="L9" i="1"/>
  <c r="Z8" i="1"/>
  <c r="Y8" i="1"/>
  <c r="X8" i="1"/>
  <c r="W8" i="1"/>
  <c r="V8" i="1"/>
  <c r="P8" i="1"/>
  <c r="L8" i="1"/>
  <c r="O8" i="1" s="1"/>
  <c r="A7" i="1"/>
  <c r="A8" i="1" s="1"/>
  <c r="A9" i="1" s="1"/>
  <c r="M8" i="1" l="1"/>
  <c r="AA6" i="1"/>
  <c r="Z6" i="1"/>
  <c r="Y6" i="1"/>
  <c r="X6" i="1"/>
  <c r="W6" i="1"/>
  <c r="V6" i="1"/>
  <c r="P6" i="1"/>
  <c r="O6" i="1"/>
  <c r="L6" i="1"/>
  <c r="M6" i="1" s="1"/>
  <c r="X7" i="1"/>
  <c r="W7" i="1"/>
  <c r="V7" i="1"/>
  <c r="P7" i="1"/>
  <c r="N7" i="1"/>
  <c r="O7" i="1" s="1"/>
  <c r="L7" i="1"/>
  <c r="M7" i="1" s="1"/>
  <c r="K7" i="1"/>
  <c r="B4" i="1"/>
  <c r="B3" i="1" s="1"/>
</calcChain>
</file>

<file path=xl/sharedStrings.xml><?xml version="1.0" encoding="utf-8"?>
<sst xmlns="http://schemas.openxmlformats.org/spreadsheetml/2006/main" count="266" uniqueCount="72">
  <si>
    <t>id</t>
  </si>
  <si>
    <t>walked</t>
  </si>
  <si>
    <t>missed_reason</t>
  </si>
  <si>
    <t>temp</t>
  </si>
  <si>
    <t>rh</t>
  </si>
  <si>
    <t>route</t>
  </si>
  <si>
    <t>miles</t>
  </si>
  <si>
    <t>steps</t>
  </si>
  <si>
    <t>hours</t>
  </si>
  <si>
    <t>mph</t>
  </si>
  <si>
    <t>laps</t>
  </si>
  <si>
    <t>mpl</t>
  </si>
  <si>
    <t>pace</t>
  </si>
  <si>
    <t>gain</t>
  </si>
  <si>
    <t>avg_hr</t>
  </si>
  <si>
    <t>max_hr</t>
  </si>
  <si>
    <t>pace.01</t>
  </si>
  <si>
    <t>pace.02</t>
  </si>
  <si>
    <t>pace.03</t>
  </si>
  <si>
    <t>pace.04</t>
  </si>
  <si>
    <t>pace.05</t>
  </si>
  <si>
    <t>pace.06</t>
  </si>
  <si>
    <t>pace.07</t>
  </si>
  <si>
    <t>pace.08</t>
  </si>
  <si>
    <t>breaks</t>
  </si>
  <si>
    <t>shuffles</t>
  </si>
  <si>
    <t>device</t>
  </si>
  <si>
    <t>app</t>
  </si>
  <si>
    <t>gps_failure</t>
  </si>
  <si>
    <t>shoes</t>
  </si>
  <si>
    <t>Parks Mall</t>
  </si>
  <si>
    <t>Garman vivoactive 3</t>
  </si>
  <si>
    <t>Connect</t>
  </si>
  <si>
    <t>Fair</t>
  </si>
  <si>
    <t>Village Creek Linear Park</t>
  </si>
  <si>
    <t>Skechers</t>
  </si>
  <si>
    <t>failure_reason</t>
  </si>
  <si>
    <t>Cory Triangle</t>
  </si>
  <si>
    <t>RBX</t>
  </si>
  <si>
    <t>Cravens Park</t>
  </si>
  <si>
    <t>weather</t>
  </si>
  <si>
    <t>Day off</t>
  </si>
  <si>
    <t>Light Rain</t>
  </si>
  <si>
    <t>Doctor visit</t>
  </si>
  <si>
    <t>Enchanted Lakes</t>
  </si>
  <si>
    <t>Sunny</t>
  </si>
  <si>
    <t>Rain</t>
  </si>
  <si>
    <t>Garmin vivoactive</t>
  </si>
  <si>
    <t>Little Road</t>
  </si>
  <si>
    <t>Veterans Park</t>
  </si>
  <si>
    <t>Lost walk data</t>
  </si>
  <si>
    <t>Vandergriff Park</t>
  </si>
  <si>
    <t>Cloudy</t>
  </si>
  <si>
    <t>Perkins Road</t>
  </si>
  <si>
    <t>Loast data</t>
  </si>
  <si>
    <t>Lost data</t>
  </si>
  <si>
    <t>Fish Creek Linear Park</t>
  </si>
  <si>
    <t>Stoval Park</t>
  </si>
  <si>
    <t>Mostly Cloudy</t>
  </si>
  <si>
    <t>Vetrans - Kelly Loop</t>
  </si>
  <si>
    <t>Operztor error</t>
  </si>
  <si>
    <t>partly Cloudy'</t>
  </si>
  <si>
    <t>Viridan - River Legacy East</t>
  </si>
  <si>
    <t>T-Storm / Windy</t>
  </si>
  <si>
    <t>River Legacy West</t>
  </si>
  <si>
    <t>Easter</t>
  </si>
  <si>
    <t>Rosie</t>
  </si>
  <si>
    <t>net_floors</t>
  </si>
  <si>
    <t>Cal</t>
  </si>
  <si>
    <t>Forecast rain</t>
  </si>
  <si>
    <t>date_time</t>
  </si>
  <si>
    <t>ymd_hms(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</si>
</sst>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</cellStyleXfs>
  <cellXfs count="22">
    <xf numFmtId="0" fontId="0" fillId="0" borderId="0" xfId="0"/>
    <xf numFmtId="2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3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zoomScale="115" zoomScaleNormal="115" workbookViewId="0">
      <pane ySplit="1" topLeftCell="A47" activePane="bottomLeft" state="frozen"/>
      <selection activeCell="B1" sqref="B1"/>
      <selection pane="bottomLeft" activeCell="E47" sqref="E47"/>
    </sheetView>
  </sheetViews>
  <sheetFormatPr defaultRowHeight="15" x14ac:dyDescent="0.25"/>
  <cols>
    <col min="2" max="2" width="17.42578125" style="21" customWidth="1"/>
    <col min="4" max="4" width="17.85546875" customWidth="1"/>
    <col min="5" max="5" width="20" customWidth="1"/>
    <col min="8" max="8" width="9.85546875" customWidth="1"/>
    <col min="9" max="9" width="26" customWidth="1"/>
    <col min="10" max="10" width="9.140625" style="1"/>
    <col min="12" max="13" width="9.140625" style="1"/>
    <col min="15" max="16" width="9.140625" style="1"/>
    <col min="18" max="20" width="9.140625" style="20"/>
    <col min="22" max="28" width="9.140625" style="1"/>
    <col min="32" max="32" width="18.5703125" customWidth="1"/>
    <col min="34" max="34" width="11.140625" customWidth="1"/>
    <col min="35" max="35" width="14.42578125" customWidth="1"/>
  </cols>
  <sheetData>
    <row r="1" spans="1:35" x14ac:dyDescent="0.25">
      <c r="A1" t="s">
        <v>0</v>
      </c>
      <c r="B1" s="21" t="s">
        <v>70</v>
      </c>
      <c r="C1" t="s">
        <v>1</v>
      </c>
      <c r="D1" t="s">
        <v>2</v>
      </c>
      <c r="E1" t="s">
        <v>40</v>
      </c>
      <c r="F1" t="s">
        <v>3</v>
      </c>
      <c r="G1" t="s">
        <v>4</v>
      </c>
      <c r="H1" t="s">
        <v>29</v>
      </c>
      <c r="I1" t="s">
        <v>5</v>
      </c>
      <c r="J1" s="1" t="s">
        <v>6</v>
      </c>
      <c r="K1" t="s">
        <v>7</v>
      </c>
      <c r="L1" s="1" t="s">
        <v>8</v>
      </c>
      <c r="M1" s="1" t="s">
        <v>9</v>
      </c>
      <c r="N1" t="s">
        <v>10</v>
      </c>
      <c r="O1" s="1" t="s">
        <v>11</v>
      </c>
      <c r="P1" s="1" t="s">
        <v>12</v>
      </c>
      <c r="Q1" t="s">
        <v>13</v>
      </c>
      <c r="R1" s="20" t="s">
        <v>67</v>
      </c>
      <c r="S1" s="20" t="s">
        <v>68</v>
      </c>
      <c r="T1" s="20" t="s">
        <v>14</v>
      </c>
      <c r="U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36</v>
      </c>
    </row>
    <row r="2" spans="1:35" s="18" customFormat="1" x14ac:dyDescent="0.25">
      <c r="A2" s="18">
        <v>518</v>
      </c>
      <c r="B2" s="21">
        <v>43882</v>
      </c>
      <c r="C2" s="18">
        <v>1</v>
      </c>
      <c r="E2" s="18" t="s">
        <v>52</v>
      </c>
      <c r="F2" s="18">
        <v>54</v>
      </c>
      <c r="G2" s="18">
        <v>98</v>
      </c>
      <c r="H2" s="18" t="s">
        <v>35</v>
      </c>
      <c r="I2" s="18" t="s">
        <v>30</v>
      </c>
      <c r="J2" s="18">
        <v>5.19</v>
      </c>
      <c r="L2" s="1">
        <v>1.55</v>
      </c>
      <c r="M2" s="18">
        <v>3.35</v>
      </c>
      <c r="N2" s="18">
        <v>3</v>
      </c>
      <c r="O2" s="18">
        <v>1.73</v>
      </c>
      <c r="P2" s="1">
        <f>16+46/60</f>
        <v>16.766666666666666</v>
      </c>
      <c r="Q2" s="18">
        <v>220</v>
      </c>
      <c r="R2" s="20"/>
      <c r="S2" s="20">
        <v>667</v>
      </c>
      <c r="T2" s="20">
        <v>101</v>
      </c>
      <c r="U2" s="18">
        <v>150</v>
      </c>
      <c r="V2" s="1">
        <f>16+11.7/60</f>
        <v>16.195</v>
      </c>
      <c r="W2" s="1">
        <f>16+55.8/60</f>
        <v>16.93</v>
      </c>
      <c r="X2" s="1">
        <f>16+53.8/60</f>
        <v>16.896666666666668</v>
      </c>
      <c r="Y2" s="1">
        <f>17+8.8/60</f>
        <v>17.146666666666668</v>
      </c>
      <c r="Z2" s="1">
        <f>60/3.6</f>
        <v>16.666666666666668</v>
      </c>
      <c r="AA2" s="1"/>
      <c r="AB2" s="1"/>
      <c r="AC2" s="1"/>
      <c r="AD2" s="18">
        <v>1</v>
      </c>
      <c r="AE2" s="18">
        <v>1</v>
      </c>
      <c r="AF2" s="18" t="s">
        <v>47</v>
      </c>
      <c r="AG2" s="18" t="s">
        <v>32</v>
      </c>
      <c r="AH2" s="18">
        <v>0</v>
      </c>
    </row>
    <row r="3" spans="1:35" s="10" customFormat="1" x14ac:dyDescent="0.25">
      <c r="A3" s="11">
        <f>A4-1</f>
        <v>537</v>
      </c>
      <c r="B3" s="21">
        <f>B4-1</f>
        <v>43883</v>
      </c>
      <c r="C3" s="10">
        <v>1</v>
      </c>
      <c r="E3" s="12" t="s">
        <v>45</v>
      </c>
      <c r="F3" s="13">
        <v>77</v>
      </c>
      <c r="G3" s="13">
        <v>42</v>
      </c>
      <c r="H3" s="14" t="s">
        <v>35</v>
      </c>
      <c r="I3" s="16" t="s">
        <v>51</v>
      </c>
      <c r="J3" s="16">
        <v>5.62</v>
      </c>
      <c r="L3" s="1">
        <v>1.53</v>
      </c>
      <c r="M3" s="1">
        <v>3.93</v>
      </c>
      <c r="N3" s="10">
        <v>2</v>
      </c>
      <c r="O3" s="1">
        <f>J3/N3</f>
        <v>2.81</v>
      </c>
      <c r="P3" s="17">
        <v>16.350000000000001</v>
      </c>
      <c r="Q3" s="18">
        <v>125</v>
      </c>
      <c r="R3" s="20"/>
      <c r="S3" s="20">
        <v>943</v>
      </c>
      <c r="T3" s="20">
        <v>124</v>
      </c>
      <c r="U3" s="18">
        <v>140</v>
      </c>
      <c r="V3" s="18">
        <v>15.62</v>
      </c>
      <c r="W3" s="1">
        <v>16.3</v>
      </c>
      <c r="X3" s="18">
        <v>16.079999999999998</v>
      </c>
      <c r="Y3" s="18">
        <v>15.83</v>
      </c>
      <c r="Z3" s="18">
        <v>16.5</v>
      </c>
      <c r="AA3" s="18">
        <v>16.22</v>
      </c>
      <c r="AB3" s="1"/>
      <c r="AC3" s="18"/>
      <c r="AD3" s="18">
        <v>1</v>
      </c>
      <c r="AE3" s="18">
        <v>0</v>
      </c>
      <c r="AF3" s="18" t="s">
        <v>47</v>
      </c>
      <c r="AG3" s="18" t="s">
        <v>32</v>
      </c>
      <c r="AH3" s="18">
        <v>0</v>
      </c>
      <c r="AI3" s="18"/>
    </row>
    <row r="4" spans="1:35" x14ac:dyDescent="0.25">
      <c r="A4" s="10">
        <f>A5-1</f>
        <v>538</v>
      </c>
      <c r="B4" s="21">
        <f>B5-1</f>
        <v>43884</v>
      </c>
      <c r="C4">
        <v>1</v>
      </c>
      <c r="E4" s="18" t="s">
        <v>33</v>
      </c>
      <c r="F4" s="4">
        <v>74</v>
      </c>
      <c r="G4" s="4">
        <v>64</v>
      </c>
      <c r="H4" s="15" t="s">
        <v>35</v>
      </c>
      <c r="I4" s="5" t="s">
        <v>49</v>
      </c>
      <c r="J4" s="7">
        <v>4.91</v>
      </c>
      <c r="K4" s="7"/>
      <c r="L4" s="1">
        <v>1.25</v>
      </c>
      <c r="M4" s="7">
        <v>3.93</v>
      </c>
      <c r="N4" s="7">
        <v>2</v>
      </c>
      <c r="O4" s="7">
        <v>2.46</v>
      </c>
      <c r="P4" s="8">
        <v>17.28</v>
      </c>
      <c r="Q4" s="8">
        <v>269</v>
      </c>
      <c r="S4" s="20">
        <v>648</v>
      </c>
      <c r="T4" s="20">
        <v>96</v>
      </c>
      <c r="U4" s="8">
        <v>146</v>
      </c>
      <c r="V4" s="9">
        <v>17.03</v>
      </c>
      <c r="W4" s="1">
        <v>16.62</v>
      </c>
      <c r="X4" s="9">
        <v>17.78</v>
      </c>
      <c r="Y4" s="9">
        <v>16.75</v>
      </c>
      <c r="Z4" s="9">
        <v>17.14</v>
      </c>
      <c r="AC4" s="1"/>
      <c r="AD4" s="10">
        <v>1</v>
      </c>
      <c r="AE4" s="10">
        <v>0</v>
      </c>
      <c r="AF4" s="10" t="s">
        <v>47</v>
      </c>
      <c r="AG4" s="10" t="s">
        <v>32</v>
      </c>
      <c r="AH4" s="10">
        <v>0</v>
      </c>
      <c r="AI4" s="10"/>
    </row>
    <row r="5" spans="1:35" x14ac:dyDescent="0.25">
      <c r="A5">
        <v>539</v>
      </c>
      <c r="B5" s="21">
        <f>B6-1</f>
        <v>43885</v>
      </c>
      <c r="C5">
        <v>1</v>
      </c>
      <c r="E5" t="s">
        <v>46</v>
      </c>
      <c r="F5">
        <v>50</v>
      </c>
      <c r="G5">
        <v>60</v>
      </c>
      <c r="H5" t="s">
        <v>35</v>
      </c>
      <c r="I5" t="s">
        <v>30</v>
      </c>
      <c r="J5">
        <v>5.47</v>
      </c>
      <c r="K5">
        <v>12521</v>
      </c>
      <c r="L5" s="1">
        <v>1.58</v>
      </c>
      <c r="M5">
        <v>3.45</v>
      </c>
      <c r="N5">
        <v>4</v>
      </c>
      <c r="O5">
        <v>1.37</v>
      </c>
      <c r="P5">
        <v>17.399999999999999</v>
      </c>
      <c r="Q5">
        <v>54</v>
      </c>
      <c r="S5" s="20">
        <v>1095</v>
      </c>
      <c r="T5" s="20">
        <v>126</v>
      </c>
      <c r="U5">
        <v>147</v>
      </c>
      <c r="V5">
        <v>19.12</v>
      </c>
      <c r="W5" s="1">
        <v>20.329999999999998</v>
      </c>
      <c r="X5">
        <v>21.63</v>
      </c>
      <c r="Y5">
        <v>20.350000000000001</v>
      </c>
      <c r="Z5">
        <v>20</v>
      </c>
      <c r="AA5"/>
      <c r="AE5">
        <v>1</v>
      </c>
      <c r="AF5">
        <v>0</v>
      </c>
      <c r="AG5" t="s">
        <v>47</v>
      </c>
      <c r="AH5" t="s">
        <v>32</v>
      </c>
      <c r="AI5">
        <v>0</v>
      </c>
    </row>
    <row r="6" spans="1:35" x14ac:dyDescent="0.25">
      <c r="A6">
        <f>A5+1</f>
        <v>540</v>
      </c>
      <c r="B6" s="21">
        <v>43886</v>
      </c>
      <c r="C6">
        <v>1</v>
      </c>
      <c r="E6" t="s">
        <v>33</v>
      </c>
      <c r="F6">
        <v>62</v>
      </c>
      <c r="G6">
        <v>80</v>
      </c>
      <c r="H6" t="s">
        <v>35</v>
      </c>
      <c r="I6" t="s">
        <v>34</v>
      </c>
      <c r="J6" s="1">
        <v>5.49</v>
      </c>
      <c r="L6" s="1">
        <f>87/60</f>
        <v>1.45</v>
      </c>
      <c r="M6" s="1">
        <f>J6/L6</f>
        <v>3.7862068965517244</v>
      </c>
      <c r="N6">
        <v>1</v>
      </c>
      <c r="O6" s="1">
        <f>J6/N6</f>
        <v>5.49</v>
      </c>
      <c r="P6" s="1">
        <f>15+45/60</f>
        <v>15.75</v>
      </c>
      <c r="Q6">
        <v>30</v>
      </c>
      <c r="S6" s="20">
        <v>965</v>
      </c>
      <c r="T6" s="20">
        <v>132</v>
      </c>
      <c r="U6">
        <v>159</v>
      </c>
      <c r="V6" s="1">
        <f>15+37/60</f>
        <v>15.616666666666667</v>
      </c>
      <c r="W6" s="1">
        <f>15+50/60</f>
        <v>15.833333333333334</v>
      </c>
      <c r="X6" s="1">
        <f>15+33/60</f>
        <v>15.55</v>
      </c>
      <c r="Y6" s="1">
        <f>15+27/60</f>
        <v>15.45</v>
      </c>
      <c r="Z6" s="1">
        <f>16+11/60</f>
        <v>16.183333333333334</v>
      </c>
      <c r="AA6" s="1">
        <f>60/3.8</f>
        <v>15.789473684210527</v>
      </c>
      <c r="AD6">
        <v>0</v>
      </c>
      <c r="AE6">
        <v>0</v>
      </c>
      <c r="AF6" t="s">
        <v>31</v>
      </c>
      <c r="AG6" t="s">
        <v>32</v>
      </c>
      <c r="AH6">
        <v>0</v>
      </c>
    </row>
    <row r="7" spans="1:35" x14ac:dyDescent="0.25">
      <c r="A7">
        <f>A6+1</f>
        <v>541</v>
      </c>
      <c r="B7" s="21">
        <v>43887</v>
      </c>
      <c r="C7">
        <v>1</v>
      </c>
      <c r="E7" t="s">
        <v>33</v>
      </c>
      <c r="F7">
        <v>44</v>
      </c>
      <c r="G7">
        <v>45</v>
      </c>
      <c r="H7" t="s">
        <v>35</v>
      </c>
      <c r="I7" s="18" t="s">
        <v>30</v>
      </c>
      <c r="J7" s="1">
        <v>2.86</v>
      </c>
      <c r="K7">
        <f>9769-843</f>
        <v>8926</v>
      </c>
      <c r="L7" s="1">
        <f>79/60</f>
        <v>1.3166666666666667</v>
      </c>
      <c r="M7" s="1">
        <f>J7/L7</f>
        <v>2.1721518987341772</v>
      </c>
      <c r="N7">
        <f>2</f>
        <v>2</v>
      </c>
      <c r="O7" s="1">
        <f>J7/N7</f>
        <v>1.43</v>
      </c>
      <c r="P7" s="1">
        <f>27+34/60</f>
        <v>27.566666666666666</v>
      </c>
      <c r="Q7">
        <v>54</v>
      </c>
      <c r="S7" s="20">
        <v>649</v>
      </c>
      <c r="T7" s="20">
        <v>110</v>
      </c>
      <c r="U7">
        <v>146</v>
      </c>
      <c r="V7" s="1">
        <f>16+46/60</f>
        <v>16.766666666666666</v>
      </c>
      <c r="W7" s="1">
        <f>24+41/60</f>
        <v>24.683333333333334</v>
      </c>
      <c r="X7" s="1">
        <f>37+16/60</f>
        <v>37.266666666666666</v>
      </c>
      <c r="AD7">
        <v>0</v>
      </c>
      <c r="AE7">
        <v>0</v>
      </c>
      <c r="AF7" t="s">
        <v>31</v>
      </c>
      <c r="AG7" t="s">
        <v>32</v>
      </c>
      <c r="AH7">
        <v>0</v>
      </c>
    </row>
    <row r="8" spans="1:35" x14ac:dyDescent="0.25">
      <c r="A8">
        <f>A7+1</f>
        <v>542</v>
      </c>
      <c r="B8" s="21">
        <v>43888</v>
      </c>
      <c r="C8">
        <v>1</v>
      </c>
      <c r="E8" t="s">
        <v>33</v>
      </c>
      <c r="F8">
        <v>54</v>
      </c>
      <c r="G8">
        <v>29</v>
      </c>
      <c r="H8" t="s">
        <v>38</v>
      </c>
      <c r="I8" t="s">
        <v>37</v>
      </c>
      <c r="J8" s="1">
        <v>4.6100000000000003</v>
      </c>
      <c r="K8">
        <v>9972</v>
      </c>
      <c r="L8" s="1">
        <f>73/60</f>
        <v>1.2166666666666666</v>
      </c>
      <c r="M8" s="1">
        <f>J8/L8</f>
        <v>3.7890410958904117</v>
      </c>
      <c r="N8">
        <v>1</v>
      </c>
      <c r="O8" s="1">
        <f>J8/L8</f>
        <v>3.7890410958904117</v>
      </c>
      <c r="P8" s="1">
        <f>15+52/60</f>
        <v>15.866666666666667</v>
      </c>
      <c r="Q8">
        <v>174</v>
      </c>
      <c r="S8" s="20">
        <v>630</v>
      </c>
      <c r="T8" s="20">
        <v>106</v>
      </c>
      <c r="U8">
        <v>148</v>
      </c>
      <c r="V8" s="1">
        <f>15+26/60</f>
        <v>15.433333333333334</v>
      </c>
      <c r="W8" s="1">
        <f>15+51/60</f>
        <v>15.85</v>
      </c>
      <c r="X8" s="1">
        <f>16+10.1/60</f>
        <v>16.168333333333333</v>
      </c>
      <c r="Y8" s="1">
        <f>16+5/60</f>
        <v>16.083333333333332</v>
      </c>
      <c r="Z8" s="1">
        <f>60/3.8</f>
        <v>15.789473684210527</v>
      </c>
      <c r="AD8">
        <v>0</v>
      </c>
      <c r="AE8">
        <v>0</v>
      </c>
      <c r="AF8" t="s">
        <v>31</v>
      </c>
      <c r="AG8" t="s">
        <v>32</v>
      </c>
      <c r="AH8">
        <v>0</v>
      </c>
    </row>
    <row r="9" spans="1:35" x14ac:dyDescent="0.25">
      <c r="A9">
        <f>A8+1</f>
        <v>543</v>
      </c>
      <c r="B9" s="21">
        <f>B8+1</f>
        <v>43889</v>
      </c>
      <c r="C9">
        <v>1</v>
      </c>
      <c r="E9" t="s">
        <v>33</v>
      </c>
      <c r="F9">
        <v>52</v>
      </c>
      <c r="G9">
        <v>45</v>
      </c>
      <c r="H9" t="s">
        <v>38</v>
      </c>
      <c r="I9" t="s">
        <v>39</v>
      </c>
      <c r="J9" s="1">
        <v>4.24</v>
      </c>
      <c r="K9">
        <v>10059</v>
      </c>
      <c r="L9" s="1">
        <f>68/60</f>
        <v>1.1333333333333333</v>
      </c>
      <c r="M9" s="1">
        <f>J9/L9</f>
        <v>3.7411764705882358</v>
      </c>
      <c r="N9">
        <v>1</v>
      </c>
      <c r="O9" s="1">
        <f>J9/N9</f>
        <v>4.24</v>
      </c>
      <c r="P9" s="1">
        <f>15+56/60</f>
        <v>15.933333333333334</v>
      </c>
      <c r="Q9">
        <v>33</v>
      </c>
      <c r="S9" s="20">
        <v>387</v>
      </c>
      <c r="T9" s="20">
        <v>92</v>
      </c>
      <c r="U9">
        <v>133</v>
      </c>
      <c r="V9" s="1">
        <f>15+19/60</f>
        <v>15.316666666666666</v>
      </c>
      <c r="W9" s="1">
        <f>15+58.5/60</f>
        <v>15.975</v>
      </c>
      <c r="X9" s="1">
        <f>16+22.2/60</f>
        <v>16.37</v>
      </c>
      <c r="Y9" s="1">
        <f>15+56.1/60</f>
        <v>15.935</v>
      </c>
      <c r="Z9" s="1">
        <f>60/3.8</f>
        <v>15.789473684210527</v>
      </c>
      <c r="AD9">
        <v>0</v>
      </c>
      <c r="AE9">
        <v>0</v>
      </c>
      <c r="AF9" t="s">
        <v>31</v>
      </c>
      <c r="AG9" t="s">
        <v>32</v>
      </c>
      <c r="AH9">
        <v>0</v>
      </c>
    </row>
    <row r="10" spans="1:35" x14ac:dyDescent="0.25">
      <c r="A10">
        <v>543</v>
      </c>
      <c r="B10" s="21">
        <f>B9+1</f>
        <v>43890</v>
      </c>
      <c r="C10">
        <v>0</v>
      </c>
      <c r="D10" t="s">
        <v>55</v>
      </c>
      <c r="E10" t="s">
        <v>33</v>
      </c>
      <c r="F10">
        <v>74</v>
      </c>
      <c r="G10">
        <v>25</v>
      </c>
      <c r="H10" s="6" t="s">
        <v>35</v>
      </c>
      <c r="AD10">
        <v>2</v>
      </c>
      <c r="AE10">
        <v>1</v>
      </c>
      <c r="AF10" t="s">
        <v>31</v>
      </c>
      <c r="AG10" t="s">
        <v>32</v>
      </c>
      <c r="AH10">
        <v>1</v>
      </c>
      <c r="AI10" t="s">
        <v>50</v>
      </c>
    </row>
    <row r="11" spans="1:35" x14ac:dyDescent="0.25">
      <c r="A11">
        <f>A10+1</f>
        <v>544</v>
      </c>
      <c r="B11" s="21">
        <f>B10+1</f>
        <v>43891</v>
      </c>
      <c r="C11">
        <v>0</v>
      </c>
      <c r="D11" t="s">
        <v>41</v>
      </c>
    </row>
    <row r="12" spans="1:35" x14ac:dyDescent="0.25">
      <c r="A12">
        <f t="shared" ref="A12:A17" si="0">A11+1</f>
        <v>545</v>
      </c>
      <c r="B12" s="21">
        <f t="shared" ref="B12:B14" si="1">B11+1</f>
        <v>43892</v>
      </c>
      <c r="C12">
        <v>0</v>
      </c>
      <c r="D12" t="s">
        <v>54</v>
      </c>
    </row>
    <row r="13" spans="1:35" x14ac:dyDescent="0.25">
      <c r="A13">
        <f t="shared" si="0"/>
        <v>546</v>
      </c>
      <c r="B13" s="21">
        <f t="shared" si="1"/>
        <v>43893</v>
      </c>
      <c r="C13">
        <v>0</v>
      </c>
      <c r="D13" t="s">
        <v>43</v>
      </c>
    </row>
    <row r="14" spans="1:35" x14ac:dyDescent="0.25">
      <c r="A14">
        <f t="shared" si="0"/>
        <v>547</v>
      </c>
      <c r="B14" s="21">
        <f t="shared" si="1"/>
        <v>43894</v>
      </c>
      <c r="C14">
        <v>1</v>
      </c>
      <c r="E14" s="3" t="s">
        <v>42</v>
      </c>
      <c r="F14">
        <v>49</v>
      </c>
      <c r="G14">
        <v>72</v>
      </c>
      <c r="H14" t="s">
        <v>35</v>
      </c>
      <c r="I14" s="18" t="s">
        <v>30</v>
      </c>
      <c r="J14" s="1">
        <v>5.05</v>
      </c>
      <c r="K14">
        <v>11922</v>
      </c>
      <c r="L14" s="1">
        <f>92/60</f>
        <v>1.5333333333333334</v>
      </c>
      <c r="M14" s="1">
        <f>J14/L14</f>
        <v>3.293478260869565</v>
      </c>
      <c r="N14">
        <v>3</v>
      </c>
      <c r="O14" s="1">
        <f>J14/N14</f>
        <v>1.6833333333333333</v>
      </c>
      <c r="P14" s="1">
        <f>18+19/60</f>
        <v>18.316666666666666</v>
      </c>
      <c r="Q14">
        <v>54</v>
      </c>
      <c r="S14" s="20">
        <v>415</v>
      </c>
      <c r="T14" s="20">
        <v>84</v>
      </c>
      <c r="U14">
        <v>107</v>
      </c>
      <c r="V14" s="1">
        <f>18+24/60</f>
        <v>18.399999999999999</v>
      </c>
      <c r="W14" s="1">
        <f>18+15.7/60</f>
        <v>18.261666666666667</v>
      </c>
      <c r="X14" s="1">
        <f>18+50/60</f>
        <v>18.833333333333332</v>
      </c>
      <c r="Y14" s="1">
        <f>17+51.4/60</f>
        <v>17.856666666666666</v>
      </c>
      <c r="Z14" s="1">
        <f>17+59/60</f>
        <v>17.983333333333334</v>
      </c>
      <c r="AA14" s="1">
        <f>60/2.6</f>
        <v>23.076923076923077</v>
      </c>
      <c r="AD14">
        <v>1</v>
      </c>
      <c r="AE14">
        <v>0</v>
      </c>
      <c r="AF14" t="s">
        <v>31</v>
      </c>
      <c r="AG14" t="s">
        <v>32</v>
      </c>
      <c r="AH14">
        <v>0</v>
      </c>
    </row>
    <row r="15" spans="1:35" x14ac:dyDescent="0.25">
      <c r="A15">
        <f t="shared" si="0"/>
        <v>548</v>
      </c>
      <c r="B15" s="21">
        <f t="shared" ref="B15:B23" si="2">B14+1</f>
        <v>43895</v>
      </c>
      <c r="C15">
        <v>1</v>
      </c>
      <c r="E15" s="18" t="s">
        <v>33</v>
      </c>
      <c r="F15">
        <v>62</v>
      </c>
      <c r="G15">
        <v>46</v>
      </c>
      <c r="H15" t="s">
        <v>38</v>
      </c>
      <c r="I15" t="s">
        <v>44</v>
      </c>
      <c r="J15" s="1">
        <v>4.4800000000000004</v>
      </c>
      <c r="K15">
        <f>10056-560</f>
        <v>9496</v>
      </c>
      <c r="L15" s="1">
        <f>72/60</f>
        <v>1.2</v>
      </c>
      <c r="M15" s="1">
        <f>J15/L15</f>
        <v>3.7333333333333338</v>
      </c>
      <c r="N15">
        <v>1</v>
      </c>
      <c r="O15" s="1">
        <f>J15/N15</f>
        <v>4.4800000000000004</v>
      </c>
      <c r="P15" s="1">
        <f>15+59/60</f>
        <v>15.983333333333333</v>
      </c>
      <c r="Q15">
        <v>105</v>
      </c>
      <c r="S15" s="20">
        <v>515</v>
      </c>
      <c r="T15" s="20">
        <v>78</v>
      </c>
      <c r="U15">
        <v>143</v>
      </c>
      <c r="V15" s="1">
        <f>15+21.4/60</f>
        <v>15.356666666666667</v>
      </c>
      <c r="W15" s="1">
        <f>15+41.9/60</f>
        <v>15.698333333333334</v>
      </c>
      <c r="X15" s="1">
        <f>16+4.8/60</f>
        <v>16.079999999999998</v>
      </c>
      <c r="Y15" s="1">
        <f>16+24.6/60</f>
        <v>16.41</v>
      </c>
      <c r="Z15" s="1">
        <f>60/3.8</f>
        <v>15.789473684210527</v>
      </c>
      <c r="AD15">
        <v>1</v>
      </c>
      <c r="AE15">
        <v>0</v>
      </c>
      <c r="AF15" t="s">
        <v>31</v>
      </c>
      <c r="AG15" t="s">
        <v>32</v>
      </c>
      <c r="AH15">
        <v>0</v>
      </c>
    </row>
    <row r="16" spans="1:35" x14ac:dyDescent="0.25">
      <c r="A16">
        <f t="shared" si="0"/>
        <v>549</v>
      </c>
      <c r="B16" s="21">
        <f t="shared" si="2"/>
        <v>43896</v>
      </c>
      <c r="C16">
        <v>1</v>
      </c>
      <c r="E16" s="18" t="s">
        <v>33</v>
      </c>
      <c r="F16">
        <v>64</v>
      </c>
      <c r="G16">
        <v>19</v>
      </c>
      <c r="H16" t="s">
        <v>38</v>
      </c>
      <c r="I16" t="s">
        <v>51</v>
      </c>
      <c r="J16" s="1">
        <v>5.8</v>
      </c>
      <c r="K16">
        <v>11898</v>
      </c>
      <c r="L16" s="1">
        <f>1+29/60</f>
        <v>1.4833333333333334</v>
      </c>
      <c r="M16" s="1">
        <f>J16/L16</f>
        <v>3.9101123595505616</v>
      </c>
      <c r="N16">
        <v>2</v>
      </c>
      <c r="O16" s="1">
        <f>J16/N16</f>
        <v>2.9</v>
      </c>
      <c r="P16" s="1">
        <f>15+21/60</f>
        <v>15.35</v>
      </c>
      <c r="Q16">
        <v>148</v>
      </c>
      <c r="S16" s="20">
        <v>697</v>
      </c>
      <c r="T16" s="20">
        <v>93</v>
      </c>
      <c r="U16">
        <v>146</v>
      </c>
      <c r="V16" s="1">
        <f>14+38.3/60</f>
        <v>14.638333333333334</v>
      </c>
      <c r="W16" s="1">
        <f>15+15.3/60</f>
        <v>15.255000000000001</v>
      </c>
      <c r="X16" s="1">
        <f>16+2/60</f>
        <v>16.033333333333335</v>
      </c>
      <c r="Y16" s="1">
        <f>14+50.8/60</f>
        <v>14.846666666666666</v>
      </c>
      <c r="Z16" s="1">
        <f>15+32.4/60</f>
        <v>15.54</v>
      </c>
      <c r="AA16" s="1">
        <f>60/3.8</f>
        <v>15.789473684210527</v>
      </c>
      <c r="AD16">
        <v>1</v>
      </c>
      <c r="AE16">
        <v>0</v>
      </c>
      <c r="AF16" t="s">
        <v>31</v>
      </c>
      <c r="AG16" t="s">
        <v>32</v>
      </c>
      <c r="AH16">
        <v>0</v>
      </c>
    </row>
    <row r="17" spans="1:35" x14ac:dyDescent="0.25">
      <c r="A17">
        <f t="shared" si="0"/>
        <v>550</v>
      </c>
      <c r="B17" s="21">
        <f t="shared" si="2"/>
        <v>43897</v>
      </c>
      <c r="C17">
        <v>1</v>
      </c>
      <c r="E17" t="s">
        <v>33</v>
      </c>
      <c r="F17">
        <v>61</v>
      </c>
      <c r="G17">
        <v>34</v>
      </c>
      <c r="H17" t="s">
        <v>38</v>
      </c>
      <c r="I17" t="s">
        <v>48</v>
      </c>
      <c r="J17" s="1">
        <v>4.47</v>
      </c>
      <c r="K17">
        <v>9834</v>
      </c>
      <c r="L17" s="1">
        <f>(60+11)/60</f>
        <v>1.1833333333333333</v>
      </c>
      <c r="M17" s="1">
        <f>J17/L17</f>
        <v>3.7774647887323942</v>
      </c>
      <c r="N17">
        <v>1</v>
      </c>
      <c r="P17" s="1">
        <f>15+52/60</f>
        <v>15.866666666666667</v>
      </c>
      <c r="Q17">
        <v>226</v>
      </c>
      <c r="S17" s="20">
        <v>497</v>
      </c>
      <c r="T17" s="20">
        <v>80</v>
      </c>
      <c r="U17">
        <v>107</v>
      </c>
      <c r="V17" s="1">
        <f>15+51.3/60</f>
        <v>15.855</v>
      </c>
      <c r="W17" s="1">
        <f>16+12/4/60</f>
        <v>16.05</v>
      </c>
      <c r="X17" s="1">
        <f>15+58.2/60</f>
        <v>15.97</v>
      </c>
      <c r="Y17" s="1">
        <f>15+31/60</f>
        <v>15.516666666666667</v>
      </c>
      <c r="Z17" s="1">
        <f>60/3.8</f>
        <v>15.789473684210527</v>
      </c>
      <c r="AD17">
        <v>0</v>
      </c>
      <c r="AE17">
        <v>0</v>
      </c>
      <c r="AF17" t="s">
        <v>31</v>
      </c>
      <c r="AG17" t="s">
        <v>32</v>
      </c>
      <c r="AH17">
        <v>0</v>
      </c>
    </row>
    <row r="18" spans="1:35" x14ac:dyDescent="0.25">
      <c r="A18">
        <f>A17+1</f>
        <v>551</v>
      </c>
      <c r="B18" s="21">
        <f t="shared" si="2"/>
        <v>43898</v>
      </c>
      <c r="C18">
        <v>0</v>
      </c>
      <c r="D18" t="s">
        <v>41</v>
      </c>
    </row>
    <row r="19" spans="1:35" x14ac:dyDescent="0.25">
      <c r="A19" s="10">
        <f>A18+1</f>
        <v>552</v>
      </c>
      <c r="B19" s="21">
        <f t="shared" si="2"/>
        <v>43899</v>
      </c>
      <c r="C19">
        <v>1</v>
      </c>
      <c r="E19" t="s">
        <v>52</v>
      </c>
      <c r="F19">
        <v>59</v>
      </c>
      <c r="G19">
        <v>87</v>
      </c>
      <c r="H19" s="18" t="s">
        <v>35</v>
      </c>
      <c r="I19" s="18" t="s">
        <v>30</v>
      </c>
      <c r="J19" s="1">
        <v>3.83</v>
      </c>
      <c r="L19" s="1">
        <f>(60+7)/60</f>
        <v>1.1166666666666667</v>
      </c>
      <c r="M19" s="1">
        <f>J19/L19</f>
        <v>3.4298507462686567</v>
      </c>
      <c r="N19">
        <v>2</v>
      </c>
      <c r="O19" s="1">
        <f>J19/N19</f>
        <v>1.915</v>
      </c>
      <c r="P19" s="1">
        <f>17+33/60</f>
        <v>17.55</v>
      </c>
      <c r="Q19" s="18">
        <v>54</v>
      </c>
      <c r="S19" s="20">
        <v>290</v>
      </c>
      <c r="AD19">
        <v>1</v>
      </c>
      <c r="AE19">
        <v>0</v>
      </c>
      <c r="AF19" s="10" t="s">
        <v>31</v>
      </c>
      <c r="AG19" s="10" t="s">
        <v>32</v>
      </c>
      <c r="AH19" s="10">
        <v>0</v>
      </c>
      <c r="AI19" s="10"/>
    </row>
    <row r="20" spans="1:35" x14ac:dyDescent="0.25">
      <c r="A20">
        <f>A19+1</f>
        <v>553</v>
      </c>
      <c r="B20" s="21">
        <f t="shared" si="2"/>
        <v>43900</v>
      </c>
      <c r="C20">
        <v>1</v>
      </c>
      <c r="E20" s="18" t="s">
        <v>33</v>
      </c>
      <c r="F20">
        <v>54</v>
      </c>
      <c r="G20">
        <v>61</v>
      </c>
      <c r="H20" s="18" t="s">
        <v>38</v>
      </c>
      <c r="I20" t="s">
        <v>53</v>
      </c>
      <c r="J20" s="1">
        <v>4.5599999999999996</v>
      </c>
      <c r="K20">
        <f>10591-1210-25</f>
        <v>9356</v>
      </c>
      <c r="L20" s="1">
        <f>1+16/60+28/(60*60)</f>
        <v>1.2744444444444445</v>
      </c>
      <c r="M20" s="1">
        <f>J20/L20</f>
        <v>3.5780296425457712</v>
      </c>
      <c r="N20">
        <v>1</v>
      </c>
      <c r="O20" s="1">
        <f>J20/N20</f>
        <v>4.5599999999999996</v>
      </c>
      <c r="P20" s="1">
        <f>16+46/60</f>
        <v>16.766666666666666</v>
      </c>
      <c r="Q20">
        <v>220</v>
      </c>
      <c r="S20" s="20">
        <v>667</v>
      </c>
      <c r="T20" s="20">
        <v>101</v>
      </c>
      <c r="U20">
        <v>150</v>
      </c>
      <c r="V20" s="1">
        <f>16+11.7/60</f>
        <v>16.195</v>
      </c>
      <c r="W20" s="1">
        <f>16+55.8/60</f>
        <v>16.93</v>
      </c>
      <c r="X20" s="1">
        <f>16+53.8/60</f>
        <v>16.896666666666668</v>
      </c>
      <c r="Y20" s="1">
        <f>17+8.8/60</f>
        <v>17.146666666666668</v>
      </c>
      <c r="Z20" s="1">
        <f>60/3.6</f>
        <v>16.666666666666668</v>
      </c>
      <c r="AD20">
        <v>0</v>
      </c>
      <c r="AE20">
        <v>0</v>
      </c>
      <c r="AF20" s="18" t="s">
        <v>31</v>
      </c>
      <c r="AG20" s="18" t="s">
        <v>32</v>
      </c>
      <c r="AH20">
        <v>0</v>
      </c>
    </row>
    <row r="21" spans="1:35" x14ac:dyDescent="0.25">
      <c r="A21">
        <f>A20+1</f>
        <v>554</v>
      </c>
      <c r="B21" s="21">
        <f t="shared" si="2"/>
        <v>43901</v>
      </c>
      <c r="C21" s="18">
        <v>1</v>
      </c>
      <c r="D21" s="18"/>
      <c r="E21" t="s">
        <v>33</v>
      </c>
      <c r="F21">
        <v>81</v>
      </c>
      <c r="G21">
        <v>64</v>
      </c>
      <c r="H21" s="18" t="s">
        <v>38</v>
      </c>
      <c r="I21" s="18" t="s">
        <v>49</v>
      </c>
      <c r="J21" s="1">
        <v>3.93</v>
      </c>
      <c r="K21">
        <v>9359</v>
      </c>
      <c r="L21" s="1">
        <f>67/60</f>
        <v>1.1166666666666667</v>
      </c>
      <c r="M21" s="1">
        <f>J21/L21</f>
        <v>3.5194029850746271</v>
      </c>
      <c r="N21">
        <v>1</v>
      </c>
      <c r="O21" s="1">
        <f>J21/N21</f>
        <v>3.93</v>
      </c>
      <c r="P21" s="1">
        <f>17+6/60</f>
        <v>17.100000000000001</v>
      </c>
      <c r="Q21">
        <v>194</v>
      </c>
      <c r="S21" s="20">
        <v>910</v>
      </c>
      <c r="T21" s="20">
        <v>135</v>
      </c>
      <c r="U21">
        <v>159</v>
      </c>
      <c r="V21" s="1">
        <f>17+22.9/60</f>
        <v>17.381666666666668</v>
      </c>
      <c r="W21" s="1">
        <f>17+6.5/60</f>
        <v>17.108333333333334</v>
      </c>
      <c r="X21" s="1">
        <f>16+32.4/60</f>
        <v>16.54</v>
      </c>
      <c r="Y21" s="1">
        <f>60/3.5</f>
        <v>17.142857142857142</v>
      </c>
    </row>
    <row r="22" spans="1:35" x14ac:dyDescent="0.25">
      <c r="A22">
        <f t="shared" ref="A22:A57" si="3">A21+1</f>
        <v>555</v>
      </c>
      <c r="B22" s="21">
        <f t="shared" si="2"/>
        <v>43902</v>
      </c>
      <c r="C22">
        <v>1</v>
      </c>
      <c r="E22" s="18" t="s">
        <v>33</v>
      </c>
      <c r="F22">
        <v>64</v>
      </c>
      <c r="G22">
        <v>53</v>
      </c>
      <c r="H22" s="18" t="s">
        <v>38</v>
      </c>
      <c r="I22" t="s">
        <v>56</v>
      </c>
      <c r="J22" s="1">
        <v>5.76</v>
      </c>
      <c r="L22" s="1">
        <f>(94+44/60)/60</f>
        <v>1.578888888888889</v>
      </c>
      <c r="M22" s="1">
        <f>J22/L22</f>
        <v>3.6481351161154114</v>
      </c>
      <c r="N22">
        <v>1</v>
      </c>
      <c r="O22" s="1">
        <f>J22/N22</f>
        <v>5.76</v>
      </c>
      <c r="P22" s="1">
        <f>16+27/60</f>
        <v>16.45</v>
      </c>
      <c r="Q22">
        <v>272</v>
      </c>
      <c r="S22" s="20">
        <v>1270</v>
      </c>
      <c r="T22" s="20">
        <v>138</v>
      </c>
      <c r="U22">
        <v>162</v>
      </c>
      <c r="V22" s="1">
        <f>15+19.3/60</f>
        <v>15.321666666666667</v>
      </c>
      <c r="W22" s="1">
        <f>15+35.2/60</f>
        <v>15.586666666666666</v>
      </c>
      <c r="X22" s="1">
        <f>15+23.2/60</f>
        <v>15.386666666666667</v>
      </c>
      <c r="Y22" s="1">
        <f>16+19.5/60</f>
        <v>16.324999999999999</v>
      </c>
      <c r="Z22" s="1">
        <f>18+16.5/60</f>
        <v>18.274999999999999</v>
      </c>
      <c r="AA22" s="1">
        <f>60/3.3</f>
        <v>18.181818181818183</v>
      </c>
      <c r="AD22">
        <v>2</v>
      </c>
      <c r="AE22">
        <v>0</v>
      </c>
      <c r="AF22" s="18" t="s">
        <v>31</v>
      </c>
      <c r="AG22" s="18" t="s">
        <v>32</v>
      </c>
      <c r="AH22" s="18">
        <v>0</v>
      </c>
    </row>
    <row r="23" spans="1:35" x14ac:dyDescent="0.25">
      <c r="A23">
        <f t="shared" si="3"/>
        <v>556</v>
      </c>
      <c r="B23" s="21">
        <f t="shared" si="2"/>
        <v>43903</v>
      </c>
      <c r="C23">
        <v>0</v>
      </c>
      <c r="D23" t="s">
        <v>41</v>
      </c>
      <c r="H23" s="18"/>
    </row>
    <row r="24" spans="1:35" x14ac:dyDescent="0.25">
      <c r="A24">
        <f t="shared" si="3"/>
        <v>557</v>
      </c>
      <c r="B24" s="21">
        <v>43904.533333333333</v>
      </c>
      <c r="C24">
        <v>1</v>
      </c>
      <c r="E24" t="s">
        <v>42</v>
      </c>
      <c r="F24">
        <v>60</v>
      </c>
      <c r="G24">
        <v>86</v>
      </c>
      <c r="H24" s="18" t="s">
        <v>35</v>
      </c>
      <c r="I24" s="18" t="s">
        <v>30</v>
      </c>
      <c r="J24" s="1">
        <v>3.18</v>
      </c>
      <c r="L24" s="1">
        <f>(60+3+47/60)/60</f>
        <v>1.0630555555555554</v>
      </c>
      <c r="M24" s="1">
        <f>J24/L24</f>
        <v>2.9913770577475836</v>
      </c>
      <c r="N24">
        <v>2</v>
      </c>
      <c r="O24" s="1">
        <f>J24/N24</f>
        <v>1.59</v>
      </c>
      <c r="P24" s="1">
        <f>20+3/60</f>
        <v>20.05</v>
      </c>
      <c r="Q24">
        <f>2*54/3</f>
        <v>36</v>
      </c>
      <c r="S24" s="20">
        <v>351</v>
      </c>
      <c r="T24" s="20">
        <v>90</v>
      </c>
      <c r="U24">
        <v>118</v>
      </c>
      <c r="V24" s="1">
        <f>19+41/60</f>
        <v>19.683333333333334</v>
      </c>
      <c r="W24" s="1">
        <f>19+29.6/60</f>
        <v>19.493333333333332</v>
      </c>
      <c r="X24" s="1">
        <f>21+7.8/60</f>
        <v>21.13</v>
      </c>
      <c r="Y24" s="1">
        <f>60/3.2</f>
        <v>18.75</v>
      </c>
      <c r="AD24">
        <v>1</v>
      </c>
      <c r="AE24">
        <v>0</v>
      </c>
    </row>
    <row r="25" spans="1:35" x14ac:dyDescent="0.25">
      <c r="A25" s="18">
        <f t="shared" si="3"/>
        <v>558</v>
      </c>
      <c r="B25" s="21">
        <v>43904.536805555559</v>
      </c>
      <c r="C25">
        <v>0</v>
      </c>
      <c r="D25" t="s">
        <v>41</v>
      </c>
      <c r="E25" t="s">
        <v>52</v>
      </c>
      <c r="F25">
        <v>57</v>
      </c>
      <c r="G25">
        <v>81</v>
      </c>
    </row>
    <row r="26" spans="1:35" x14ac:dyDescent="0.25">
      <c r="A26" s="18">
        <f t="shared" si="3"/>
        <v>559</v>
      </c>
      <c r="B26" s="21">
        <v>43905.609722222223</v>
      </c>
      <c r="C26" s="18">
        <v>1</v>
      </c>
      <c r="E26" t="s">
        <v>52</v>
      </c>
      <c r="F26">
        <v>70</v>
      </c>
      <c r="G26">
        <v>70</v>
      </c>
      <c r="H26" t="s">
        <v>38</v>
      </c>
      <c r="I26" t="s">
        <v>57</v>
      </c>
      <c r="J26" s="1">
        <v>4.97</v>
      </c>
      <c r="K26">
        <v>12897</v>
      </c>
      <c r="L26" s="1">
        <f>77/60</f>
        <v>1.2833333333333334</v>
      </c>
      <c r="M26" s="1">
        <f>J26/L26</f>
        <v>3.8727272727272721</v>
      </c>
      <c r="N26">
        <v>3</v>
      </c>
      <c r="O26" s="1">
        <f>J26/N26</f>
        <v>1.6566666666666665</v>
      </c>
      <c r="P26" s="1">
        <f>15+31/60</f>
        <v>15.516666666666667</v>
      </c>
      <c r="Q26">
        <v>118</v>
      </c>
      <c r="S26" s="20">
        <v>591</v>
      </c>
      <c r="T26" s="20">
        <v>86</v>
      </c>
      <c r="U26">
        <v>148</v>
      </c>
      <c r="V26" s="1">
        <f>15+31.1/60</f>
        <v>15.518333333333333</v>
      </c>
      <c r="W26" s="1">
        <f>15+39.1/60</f>
        <v>15.651666666666667</v>
      </c>
      <c r="X26" s="1">
        <f>15+18.3/60</f>
        <v>15.305</v>
      </c>
      <c r="Y26" s="1">
        <f>15+20.8/60</f>
        <v>15.346666666666668</v>
      </c>
      <c r="Z26" s="1">
        <f>15+19.7/60</f>
        <v>15.328333333333333</v>
      </c>
      <c r="AD26">
        <v>1</v>
      </c>
      <c r="AE26">
        <v>1</v>
      </c>
      <c r="AF26" s="18" t="s">
        <v>31</v>
      </c>
      <c r="AG26" s="18" t="s">
        <v>32</v>
      </c>
      <c r="AH26" s="18">
        <v>0</v>
      </c>
    </row>
    <row r="27" spans="1:35" x14ac:dyDescent="0.25">
      <c r="A27">
        <f t="shared" si="3"/>
        <v>560</v>
      </c>
      <c r="B27" s="21">
        <v>43906.501388888886</v>
      </c>
      <c r="C27">
        <v>1</v>
      </c>
      <c r="E27" s="3" t="s">
        <v>52</v>
      </c>
      <c r="F27">
        <v>67</v>
      </c>
      <c r="G27">
        <v>84</v>
      </c>
      <c r="H27" s="18" t="s">
        <v>38</v>
      </c>
      <c r="I27" s="18" t="s">
        <v>51</v>
      </c>
      <c r="J27" s="1">
        <v>6.13</v>
      </c>
      <c r="K27">
        <v>12444</v>
      </c>
      <c r="L27" s="1">
        <f>96/60</f>
        <v>1.6</v>
      </c>
      <c r="M27" s="1">
        <f>J27/L27</f>
        <v>3.8312499999999998</v>
      </c>
      <c r="N27">
        <v>2</v>
      </c>
      <c r="O27" s="1">
        <f>J27/N27</f>
        <v>3.0649999999999999</v>
      </c>
      <c r="P27" s="1">
        <f>15+36/60</f>
        <v>15.6</v>
      </c>
      <c r="Q27">
        <v>167</v>
      </c>
      <c r="S27" s="20">
        <v>686</v>
      </c>
      <c r="T27" s="20">
        <v>86</v>
      </c>
      <c r="U27">
        <v>135</v>
      </c>
      <c r="V27" s="1">
        <f>15+16.8/60</f>
        <v>15.28</v>
      </c>
      <c r="W27" s="1">
        <f>15+28.3/60</f>
        <v>15.471666666666668</v>
      </c>
      <c r="X27" s="1">
        <f>15+54.6/60</f>
        <v>15.91</v>
      </c>
      <c r="Y27" s="1">
        <f>16+16.3/60</f>
        <v>16.271666666666668</v>
      </c>
      <c r="Z27" s="1">
        <f>15+20.2/60</f>
        <v>15.336666666666666</v>
      </c>
      <c r="AA27" s="1">
        <f>60/3.8</f>
        <v>15.789473684210527</v>
      </c>
      <c r="AD27">
        <v>1</v>
      </c>
      <c r="AE27">
        <v>1</v>
      </c>
      <c r="AF27" s="18" t="s">
        <v>31</v>
      </c>
      <c r="AG27" s="18" t="s">
        <v>32</v>
      </c>
      <c r="AH27" s="18">
        <v>0</v>
      </c>
    </row>
    <row r="28" spans="1:35" x14ac:dyDescent="0.25">
      <c r="A28">
        <f t="shared" si="3"/>
        <v>561</v>
      </c>
      <c r="B28" s="21">
        <v>43907.529861111114</v>
      </c>
      <c r="C28">
        <v>1</v>
      </c>
      <c r="E28" s="3" t="s">
        <v>58</v>
      </c>
      <c r="F28">
        <v>79</v>
      </c>
      <c r="G28">
        <v>66</v>
      </c>
      <c r="H28" s="18" t="s">
        <v>38</v>
      </c>
      <c r="I28" t="s">
        <v>59</v>
      </c>
      <c r="J28" s="1">
        <v>4.5599999999999996</v>
      </c>
      <c r="K28">
        <v>9920</v>
      </c>
      <c r="L28" s="1">
        <f>(60+17+36/60)/60</f>
        <v>1.2933333333333332</v>
      </c>
      <c r="M28" s="1">
        <f>J28/L28</f>
        <v>3.5257731958762886</v>
      </c>
      <c r="N28">
        <v>1</v>
      </c>
      <c r="O28" s="1">
        <f>J28/N28</f>
        <v>4.5599999999999996</v>
      </c>
      <c r="P28" s="1">
        <f>17+1/60</f>
        <v>17.016666666666666</v>
      </c>
      <c r="Q28">
        <v>325</v>
      </c>
      <c r="S28" s="20">
        <v>995</v>
      </c>
      <c r="T28" s="20">
        <v>133</v>
      </c>
      <c r="U28">
        <v>156</v>
      </c>
      <c r="V28" s="1">
        <f>16+13/60</f>
        <v>16.216666666666665</v>
      </c>
      <c r="W28" s="1">
        <f>16+20.9/60</f>
        <v>16.348333333333333</v>
      </c>
      <c r="X28" s="1">
        <f>16+36.9/60</f>
        <v>16.614999999999998</v>
      </c>
      <c r="Y28" s="1">
        <f>17+53.1/60</f>
        <v>17.885000000000002</v>
      </c>
      <c r="Z28" s="1">
        <f>60/3.2</f>
        <v>18.75</v>
      </c>
      <c r="AD28" s="18">
        <v>1</v>
      </c>
      <c r="AE28" s="18">
        <v>0</v>
      </c>
      <c r="AF28" s="18" t="s">
        <v>31</v>
      </c>
      <c r="AG28" s="18" t="s">
        <v>32</v>
      </c>
      <c r="AH28" s="18">
        <v>0</v>
      </c>
    </row>
    <row r="29" spans="1:35" x14ac:dyDescent="0.25">
      <c r="A29">
        <f t="shared" si="3"/>
        <v>562</v>
      </c>
      <c r="B29" s="21">
        <v>43908.541666666664</v>
      </c>
      <c r="C29">
        <v>0</v>
      </c>
      <c r="D29" t="s">
        <v>55</v>
      </c>
      <c r="E29" s="3" t="s">
        <v>61</v>
      </c>
      <c r="F29">
        <v>66</v>
      </c>
      <c r="G29">
        <v>64</v>
      </c>
      <c r="AH29">
        <v>1</v>
      </c>
      <c r="AI29" t="s">
        <v>60</v>
      </c>
    </row>
    <row r="30" spans="1:35" x14ac:dyDescent="0.25">
      <c r="A30" s="18">
        <f t="shared" si="3"/>
        <v>563</v>
      </c>
      <c r="B30" s="21">
        <v>43909.538194444445</v>
      </c>
      <c r="C30">
        <v>0</v>
      </c>
      <c r="E30" s="3" t="s">
        <v>58</v>
      </c>
      <c r="F30">
        <v>51</v>
      </c>
      <c r="G30">
        <v>68</v>
      </c>
      <c r="H30" s="18" t="s">
        <v>35</v>
      </c>
      <c r="I30" s="18" t="s">
        <v>44</v>
      </c>
      <c r="J30" s="1">
        <v>4.53</v>
      </c>
      <c r="K30">
        <v>9714</v>
      </c>
      <c r="L30" s="1">
        <f>72/60</f>
        <v>1.2</v>
      </c>
      <c r="M30" s="1">
        <f t="shared" ref="M30:M35" si="4">J30/L30</f>
        <v>3.7750000000000004</v>
      </c>
      <c r="N30">
        <v>1</v>
      </c>
      <c r="O30" s="1">
        <f t="shared" ref="O30:O35" si="5">J30/N30</f>
        <v>4.53</v>
      </c>
      <c r="P30" s="1">
        <f>16+1/60</f>
        <v>16.016666666666666</v>
      </c>
      <c r="Q30">
        <v>85</v>
      </c>
      <c r="S30" s="20">
        <v>595</v>
      </c>
      <c r="T30" s="20">
        <v>110</v>
      </c>
      <c r="U30">
        <v>136</v>
      </c>
      <c r="V30" s="1">
        <f>15+39.1/60</f>
        <v>15.651666666666667</v>
      </c>
      <c r="W30" s="1">
        <f>15+59.3/60</f>
        <v>15.988333333333333</v>
      </c>
      <c r="X30" s="1">
        <f>15+57.9/60</f>
        <v>15.965</v>
      </c>
      <c r="Y30" s="1">
        <f>16+14.4/60</f>
        <v>16.239999999999998</v>
      </c>
      <c r="Z30" s="1">
        <f>60/3.7</f>
        <v>16.216216216216214</v>
      </c>
      <c r="AD30">
        <v>0</v>
      </c>
      <c r="AE30">
        <v>0</v>
      </c>
      <c r="AF30" s="18" t="s">
        <v>31</v>
      </c>
      <c r="AG30" s="18" t="s">
        <v>32</v>
      </c>
      <c r="AH30" s="18">
        <v>0</v>
      </c>
    </row>
    <row r="31" spans="1:35" x14ac:dyDescent="0.25">
      <c r="A31">
        <f t="shared" si="3"/>
        <v>564</v>
      </c>
      <c r="B31" s="21">
        <v>43910.618750000001</v>
      </c>
      <c r="C31">
        <v>1</v>
      </c>
      <c r="E31" s="18" t="s">
        <v>33</v>
      </c>
      <c r="F31">
        <v>58</v>
      </c>
      <c r="G31">
        <v>60</v>
      </c>
      <c r="H31" s="18" t="s">
        <v>35</v>
      </c>
      <c r="I31" s="18" t="s">
        <v>48</v>
      </c>
      <c r="J31" s="1">
        <v>5.29</v>
      </c>
      <c r="K31" s="19">
        <v>11153</v>
      </c>
      <c r="L31" s="1">
        <f>86/60</f>
        <v>1.4333333333333333</v>
      </c>
      <c r="M31" s="1">
        <f t="shared" si="4"/>
        <v>3.6906976744186046</v>
      </c>
      <c r="N31">
        <v>1</v>
      </c>
      <c r="O31" s="1">
        <f t="shared" si="5"/>
        <v>5.29</v>
      </c>
      <c r="P31" s="1">
        <f>16+13/60</f>
        <v>16.216666666666665</v>
      </c>
      <c r="Q31">
        <v>243</v>
      </c>
      <c r="R31" s="20">
        <v>24</v>
      </c>
      <c r="S31" s="20">
        <v>617</v>
      </c>
      <c r="T31" s="20">
        <v>99</v>
      </c>
      <c r="U31">
        <v>130</v>
      </c>
      <c r="V31" s="1">
        <f>15+55.2/60</f>
        <v>15.92</v>
      </c>
      <c r="W31" s="1">
        <f>16+43.7/60</f>
        <v>16.728333333333332</v>
      </c>
      <c r="X31" s="1">
        <f>16+18.3/60</f>
        <v>16.305</v>
      </c>
      <c r="Y31" s="1">
        <f>15+49.8/60</f>
        <v>15.83</v>
      </c>
      <c r="Z31" s="1">
        <f>60/3.7</f>
        <v>16.216216216216214</v>
      </c>
      <c r="AD31">
        <v>0</v>
      </c>
      <c r="AE31">
        <v>1</v>
      </c>
      <c r="AF31" s="18" t="s">
        <v>31</v>
      </c>
      <c r="AG31" s="18" t="s">
        <v>32</v>
      </c>
      <c r="AH31" s="18">
        <v>0</v>
      </c>
    </row>
    <row r="32" spans="1:35" x14ac:dyDescent="0.25">
      <c r="A32" s="18">
        <f t="shared" si="3"/>
        <v>565</v>
      </c>
      <c r="B32" s="21">
        <v>43911.62777777778</v>
      </c>
      <c r="C32" s="18">
        <v>1</v>
      </c>
      <c r="D32" s="18"/>
      <c r="E32" t="s">
        <v>52</v>
      </c>
      <c r="F32">
        <v>62</v>
      </c>
      <c r="G32">
        <v>80</v>
      </c>
      <c r="H32" s="18" t="s">
        <v>35</v>
      </c>
      <c r="I32" s="18" t="s">
        <v>53</v>
      </c>
      <c r="J32" s="1">
        <v>5.13</v>
      </c>
      <c r="K32">
        <v>10892</v>
      </c>
      <c r="L32" s="1">
        <f>82/60</f>
        <v>1.3666666666666667</v>
      </c>
      <c r="M32" s="1">
        <f t="shared" si="4"/>
        <v>3.7536585365853656</v>
      </c>
      <c r="N32">
        <v>1</v>
      </c>
      <c r="O32" s="1">
        <f t="shared" si="5"/>
        <v>5.13</v>
      </c>
      <c r="P32" s="1">
        <f>16+5/60</f>
        <v>16.083333333333332</v>
      </c>
      <c r="Q32" s="18">
        <v>217</v>
      </c>
      <c r="R32" s="20">
        <v>21</v>
      </c>
      <c r="S32" s="20">
        <v>673</v>
      </c>
      <c r="T32" s="20">
        <v>104</v>
      </c>
      <c r="U32">
        <v>143</v>
      </c>
      <c r="V32" s="1">
        <f>15+56.6/60</f>
        <v>15.943333333333333</v>
      </c>
      <c r="W32" s="1">
        <f>15+55.7/60</f>
        <v>15.928333333333333</v>
      </c>
      <c r="X32" s="1">
        <f>16+6.8/60</f>
        <v>16.113333333333333</v>
      </c>
      <c r="Y32" s="1">
        <f>16+28.8/60</f>
        <v>16.48</v>
      </c>
      <c r="Z32" s="1">
        <f>60/3.7</f>
        <v>16.216216216216214</v>
      </c>
      <c r="AD32">
        <v>0</v>
      </c>
      <c r="AE32">
        <v>1</v>
      </c>
      <c r="AF32" s="18" t="s">
        <v>31</v>
      </c>
      <c r="AG32" s="18" t="s">
        <v>32</v>
      </c>
      <c r="AH32" s="18">
        <v>0</v>
      </c>
    </row>
    <row r="33" spans="1:35" x14ac:dyDescent="0.25">
      <c r="A33">
        <f t="shared" si="3"/>
        <v>566</v>
      </c>
      <c r="B33" s="21">
        <v>43912.62777777778</v>
      </c>
      <c r="C33">
        <v>1</v>
      </c>
      <c r="E33" s="3" t="s">
        <v>52</v>
      </c>
      <c r="F33">
        <v>68</v>
      </c>
      <c r="G33">
        <v>81</v>
      </c>
      <c r="H33" s="18" t="s">
        <v>35</v>
      </c>
      <c r="I33" s="18" t="s">
        <v>57</v>
      </c>
      <c r="J33" s="1">
        <v>4.76</v>
      </c>
      <c r="K33">
        <v>9868</v>
      </c>
      <c r="L33" s="1">
        <f>75/60</f>
        <v>1.25</v>
      </c>
      <c r="M33" s="1">
        <f t="shared" si="4"/>
        <v>3.8079999999999998</v>
      </c>
      <c r="N33">
        <v>1</v>
      </c>
      <c r="O33" s="1">
        <f t="shared" si="5"/>
        <v>4.76</v>
      </c>
      <c r="P33" s="1">
        <f>15+46/60</f>
        <v>15.766666666666667</v>
      </c>
      <c r="Q33">
        <v>95</v>
      </c>
      <c r="R33" s="20">
        <v>9</v>
      </c>
      <c r="S33" s="20">
        <v>513</v>
      </c>
      <c r="T33" s="20">
        <v>80</v>
      </c>
      <c r="U33">
        <v>111</v>
      </c>
      <c r="V33" s="1">
        <f>15+19.9/60</f>
        <v>15.331666666666667</v>
      </c>
      <c r="W33" s="1">
        <f>15+38/60</f>
        <v>15.633333333333333</v>
      </c>
      <c r="X33" s="1">
        <f>15+54.7/60</f>
        <v>15.911666666666667</v>
      </c>
      <c r="Y33" s="1">
        <f>15+37.4/60</f>
        <v>15.623333333333333</v>
      </c>
      <c r="Z33" s="1">
        <f>60/3.8</f>
        <v>15.789473684210527</v>
      </c>
      <c r="AD33" s="18">
        <v>0</v>
      </c>
      <c r="AE33" s="18">
        <v>0</v>
      </c>
      <c r="AF33" s="18" t="s">
        <v>31</v>
      </c>
      <c r="AG33" s="18" t="s">
        <v>32</v>
      </c>
      <c r="AH33" s="18">
        <v>0</v>
      </c>
      <c r="AI33" s="18"/>
    </row>
    <row r="34" spans="1:35" x14ac:dyDescent="0.25">
      <c r="A34">
        <f t="shared" si="3"/>
        <v>567</v>
      </c>
      <c r="B34" s="21">
        <v>43944.589583333334</v>
      </c>
      <c r="C34">
        <v>1</v>
      </c>
      <c r="E34" t="s">
        <v>33</v>
      </c>
      <c r="F34">
        <v>86</v>
      </c>
      <c r="G34">
        <v>20</v>
      </c>
      <c r="H34" s="18" t="s">
        <v>38</v>
      </c>
      <c r="I34" s="18" t="s">
        <v>51</v>
      </c>
      <c r="J34" s="1">
        <v>4.75</v>
      </c>
      <c r="L34" s="1">
        <f>(60+15)/60</f>
        <v>1.25</v>
      </c>
      <c r="M34" s="1">
        <f t="shared" si="4"/>
        <v>3.8</v>
      </c>
      <c r="N34">
        <v>2</v>
      </c>
      <c r="O34" s="1">
        <f t="shared" si="5"/>
        <v>2.375</v>
      </c>
      <c r="P34" s="1">
        <f>15+53/60</f>
        <v>15.883333333333333</v>
      </c>
      <c r="Q34">
        <v>125</v>
      </c>
      <c r="R34" s="20">
        <v>14</v>
      </c>
      <c r="S34" s="20">
        <v>706</v>
      </c>
      <c r="T34" s="20">
        <v>106</v>
      </c>
      <c r="U34">
        <v>150</v>
      </c>
      <c r="V34" s="1">
        <f>15+5.2/60</f>
        <v>15.086666666666666</v>
      </c>
      <c r="W34" s="1">
        <f>15+48/60</f>
        <v>15.8</v>
      </c>
      <c r="X34" s="1">
        <f>16+12.7/60</f>
        <v>16.211666666666666</v>
      </c>
      <c r="Y34" s="1">
        <f>15+37.3/60</f>
        <v>15.621666666666666</v>
      </c>
      <c r="Z34" s="1">
        <f>60/3.6</f>
        <v>16.666666666666668</v>
      </c>
      <c r="AD34">
        <v>2</v>
      </c>
      <c r="AE34">
        <v>0</v>
      </c>
      <c r="AF34" s="18" t="s">
        <v>31</v>
      </c>
      <c r="AG34" s="18" t="s">
        <v>32</v>
      </c>
      <c r="AH34" s="18">
        <v>0</v>
      </c>
      <c r="AI34" s="18"/>
    </row>
    <row r="35" spans="1:35" x14ac:dyDescent="0.25">
      <c r="A35" s="18">
        <f t="shared" si="3"/>
        <v>568</v>
      </c>
      <c r="B35" s="21">
        <v>43914.607638888891</v>
      </c>
      <c r="C35" s="18">
        <v>1</v>
      </c>
      <c r="E35" t="s">
        <v>33</v>
      </c>
      <c r="F35">
        <v>87</v>
      </c>
      <c r="G35">
        <v>40</v>
      </c>
      <c r="H35" s="18" t="s">
        <v>38</v>
      </c>
      <c r="I35" s="18" t="s">
        <v>59</v>
      </c>
      <c r="J35" s="1">
        <v>4.6100000000000003</v>
      </c>
      <c r="L35" s="1">
        <f>(60+17+20/60)/60</f>
        <v>1.2888888888888888</v>
      </c>
      <c r="M35" s="1">
        <f t="shared" si="4"/>
        <v>3.5767241379310351</v>
      </c>
      <c r="N35">
        <v>1</v>
      </c>
      <c r="O35" s="1">
        <f t="shared" si="5"/>
        <v>4.6100000000000003</v>
      </c>
      <c r="P35" s="1">
        <f>16+48/60</f>
        <v>16.8</v>
      </c>
      <c r="Q35">
        <v>256</v>
      </c>
      <c r="R35" s="20">
        <v>27</v>
      </c>
      <c r="S35" s="20">
        <v>980</v>
      </c>
      <c r="T35" s="20">
        <v>131</v>
      </c>
      <c r="U35">
        <v>159</v>
      </c>
      <c r="V35" s="1">
        <f>15+37.8/60</f>
        <v>15.63</v>
      </c>
      <c r="W35" s="1">
        <f>16+18.2/60</f>
        <v>16.303333333333335</v>
      </c>
      <c r="X35" s="1">
        <f>15+56.2/60</f>
        <v>15.936666666666667</v>
      </c>
      <c r="Y35" s="1">
        <f>17+53.6/60</f>
        <v>17.893333333333334</v>
      </c>
      <c r="Z35" s="1">
        <f>60/3.1</f>
        <v>19.35483870967742</v>
      </c>
      <c r="AD35">
        <v>5</v>
      </c>
      <c r="AE35">
        <v>0</v>
      </c>
      <c r="AF35" s="18" t="s">
        <v>31</v>
      </c>
      <c r="AG35" s="18" t="s">
        <v>32</v>
      </c>
      <c r="AH35" s="18">
        <v>0</v>
      </c>
    </row>
    <row r="36" spans="1:35" x14ac:dyDescent="0.25">
      <c r="A36">
        <f t="shared" si="3"/>
        <v>569</v>
      </c>
      <c r="B36" s="21">
        <v>43915.484027777777</v>
      </c>
      <c r="C36">
        <v>1</v>
      </c>
      <c r="E36" t="s">
        <v>33</v>
      </c>
      <c r="F36">
        <v>82</v>
      </c>
      <c r="G36">
        <v>50</v>
      </c>
      <c r="H36" t="s">
        <v>38</v>
      </c>
      <c r="I36" t="s">
        <v>34</v>
      </c>
      <c r="J36" s="1">
        <v>4.87</v>
      </c>
      <c r="K36">
        <v>11631</v>
      </c>
      <c r="L36" s="1">
        <f>1+25/60</f>
        <v>1.4166666666666667</v>
      </c>
      <c r="M36" s="1">
        <f t="shared" ref="M36" si="6">J36/L36</f>
        <v>3.4376470588235293</v>
      </c>
      <c r="N36">
        <v>1</v>
      </c>
      <c r="O36" s="1">
        <f t="shared" ref="O36" si="7">J36/N36</f>
        <v>4.87</v>
      </c>
      <c r="P36" s="1">
        <f>17+27/60</f>
        <v>17.45</v>
      </c>
      <c r="Q36">
        <v>249</v>
      </c>
      <c r="R36" s="20">
        <v>25</v>
      </c>
      <c r="S36" s="20">
        <v>777</v>
      </c>
      <c r="T36" s="20">
        <v>109</v>
      </c>
      <c r="U36">
        <v>150</v>
      </c>
      <c r="V36" s="1">
        <f>16+53.3/60</f>
        <v>16.888333333333332</v>
      </c>
      <c r="W36" s="1">
        <f>16+27/60</f>
        <v>16.45</v>
      </c>
      <c r="X36" s="1">
        <f>17+25.8/60</f>
        <v>17.43</v>
      </c>
      <c r="Y36" s="1">
        <f>17+1/60</f>
        <v>17.016666666666666</v>
      </c>
      <c r="Z36" s="1">
        <f>60/3</f>
        <v>20</v>
      </c>
      <c r="AD36">
        <v>5</v>
      </c>
      <c r="AE36">
        <v>0</v>
      </c>
      <c r="AF36" s="18" t="s">
        <v>31</v>
      </c>
      <c r="AG36" s="18" t="s">
        <v>32</v>
      </c>
      <c r="AH36" s="18">
        <v>0</v>
      </c>
    </row>
    <row r="37" spans="1:35" x14ac:dyDescent="0.25">
      <c r="A37">
        <f t="shared" si="3"/>
        <v>570</v>
      </c>
      <c r="B37" s="21">
        <v>43916.626388888886</v>
      </c>
      <c r="C37">
        <v>1</v>
      </c>
      <c r="E37" t="s">
        <v>58</v>
      </c>
      <c r="F37">
        <v>83</v>
      </c>
      <c r="G37">
        <v>56</v>
      </c>
      <c r="H37" s="18" t="s">
        <v>35</v>
      </c>
      <c r="I37" s="18" t="s">
        <v>44</v>
      </c>
      <c r="J37" s="1">
        <v>4.41</v>
      </c>
      <c r="K37">
        <v>9542</v>
      </c>
      <c r="L37" s="1">
        <f>75/60</f>
        <v>1.25</v>
      </c>
      <c r="M37" s="1">
        <f t="shared" ref="M37" si="8">J37/L37</f>
        <v>3.528</v>
      </c>
      <c r="N37">
        <v>1</v>
      </c>
      <c r="O37" s="1">
        <f t="shared" ref="O37" si="9">J37/N37</f>
        <v>4.41</v>
      </c>
      <c r="P37" s="1">
        <f>16+59/60</f>
        <v>16.983333333333334</v>
      </c>
      <c r="Q37">
        <v>190</v>
      </c>
      <c r="R37" s="20">
        <v>19</v>
      </c>
      <c r="S37" s="20">
        <v>473</v>
      </c>
      <c r="T37" s="20">
        <v>71</v>
      </c>
      <c r="U37">
        <v>111</v>
      </c>
      <c r="V37" s="1">
        <f>16+7.9/60</f>
        <v>16.131666666666668</v>
      </c>
      <c r="W37" s="1">
        <f>16+28.5/60</f>
        <v>16.475000000000001</v>
      </c>
      <c r="X37" s="1">
        <f>16+49.9/60</f>
        <v>16.831666666666667</v>
      </c>
      <c r="Y37" s="1">
        <f>18+0.7/60</f>
        <v>18.011666666666667</v>
      </c>
      <c r="Z37" s="1">
        <f>60/3.3</f>
        <v>18.181818181818183</v>
      </c>
      <c r="AD37">
        <v>3</v>
      </c>
      <c r="AE37">
        <v>0</v>
      </c>
      <c r="AF37" t="s">
        <v>31</v>
      </c>
      <c r="AG37" t="s">
        <v>32</v>
      </c>
      <c r="AH37">
        <v>0</v>
      </c>
    </row>
    <row r="38" spans="1:35" x14ac:dyDescent="0.25">
      <c r="A38">
        <f t="shared" si="3"/>
        <v>571</v>
      </c>
      <c r="B38" s="21">
        <v>43917.573611111111</v>
      </c>
      <c r="C38">
        <v>1</v>
      </c>
      <c r="E38" s="18" t="s">
        <v>33</v>
      </c>
      <c r="F38">
        <v>74</v>
      </c>
      <c r="G38">
        <v>19</v>
      </c>
      <c r="H38" t="s">
        <v>38</v>
      </c>
      <c r="I38" t="s">
        <v>62</v>
      </c>
      <c r="J38" s="1">
        <v>6.55</v>
      </c>
      <c r="K38">
        <v>11504</v>
      </c>
      <c r="L38" s="1">
        <f>1+46/60</f>
        <v>1.7666666666666666</v>
      </c>
      <c r="M38" s="1">
        <f t="shared" ref="M38" si="10">J38/L38</f>
        <v>3.7075471698113209</v>
      </c>
      <c r="N38">
        <v>1</v>
      </c>
      <c r="O38" s="1">
        <f t="shared" ref="O38" si="11">J38/N38</f>
        <v>6.55</v>
      </c>
      <c r="P38" s="1">
        <f>16+13/60</f>
        <v>16.216666666666665</v>
      </c>
      <c r="Q38">
        <v>69</v>
      </c>
      <c r="R38" s="20">
        <v>9</v>
      </c>
      <c r="S38" s="20">
        <v>1364</v>
      </c>
      <c r="T38" s="20">
        <v>133</v>
      </c>
      <c r="U38">
        <v>156</v>
      </c>
      <c r="V38" s="1">
        <f>15+17.3/60</f>
        <v>15.288333333333334</v>
      </c>
      <c r="W38" s="1">
        <f>16+31.1/60</f>
        <v>16.518333333333334</v>
      </c>
      <c r="X38" s="1">
        <f>16+33</f>
        <v>49</v>
      </c>
      <c r="Y38" s="1">
        <f>16+33.6/60</f>
        <v>16.559999999999999</v>
      </c>
      <c r="Z38" s="1">
        <f>17+91.3/60</f>
        <v>18.521666666666668</v>
      </c>
      <c r="AA38" s="1">
        <f>16+3.7/60</f>
        <v>16.061666666666667</v>
      </c>
      <c r="AB38" s="1">
        <f>60/3.7</f>
        <v>16.216216216216214</v>
      </c>
      <c r="AD38">
        <v>3</v>
      </c>
      <c r="AE38" s="18">
        <v>0</v>
      </c>
      <c r="AF38" s="18" t="s">
        <v>31</v>
      </c>
      <c r="AG38" s="18" t="s">
        <v>32</v>
      </c>
      <c r="AH38" s="18">
        <v>0</v>
      </c>
    </row>
    <row r="39" spans="1:35" x14ac:dyDescent="0.25">
      <c r="A39" s="18">
        <f t="shared" si="3"/>
        <v>572</v>
      </c>
      <c r="B39" s="21">
        <v>43918.495138888888</v>
      </c>
      <c r="C39" s="18">
        <v>0</v>
      </c>
      <c r="D39" s="18" t="s">
        <v>41</v>
      </c>
      <c r="E39" s="3" t="s">
        <v>33</v>
      </c>
      <c r="F39">
        <v>64</v>
      </c>
      <c r="G39">
        <v>45</v>
      </c>
    </row>
    <row r="40" spans="1:35" x14ac:dyDescent="0.25">
      <c r="A40" s="18">
        <f t="shared" si="3"/>
        <v>573</v>
      </c>
      <c r="B40" s="21">
        <v>43919.5</v>
      </c>
      <c r="C40" s="18">
        <v>0</v>
      </c>
      <c r="D40" s="18" t="s">
        <v>46</v>
      </c>
      <c r="E40" s="3" t="s">
        <v>63</v>
      </c>
      <c r="F40">
        <v>52</v>
      </c>
      <c r="G40">
        <v>78</v>
      </c>
    </row>
    <row r="41" spans="1:35" x14ac:dyDescent="0.25">
      <c r="A41">
        <f t="shared" si="3"/>
        <v>574</v>
      </c>
      <c r="B41" s="21">
        <v>43920.65</v>
      </c>
      <c r="C41">
        <v>1</v>
      </c>
      <c r="E41" t="s">
        <v>52</v>
      </c>
      <c r="F41">
        <v>48</v>
      </c>
      <c r="G41">
        <v>55</v>
      </c>
      <c r="H41" s="18" t="s">
        <v>35</v>
      </c>
      <c r="I41" s="18" t="s">
        <v>51</v>
      </c>
      <c r="J41" s="1">
        <v>6.48</v>
      </c>
      <c r="K41">
        <v>13160</v>
      </c>
      <c r="L41" s="1">
        <f>101/60</f>
        <v>1.6833333333333333</v>
      </c>
      <c r="M41" s="1">
        <f t="shared" ref="M41" si="12">J41/L41</f>
        <v>3.8495049504950498</v>
      </c>
      <c r="N41" s="18">
        <v>1</v>
      </c>
      <c r="O41" s="1">
        <f t="shared" ref="O41" si="13">J41/N41</f>
        <v>6.48</v>
      </c>
      <c r="P41" s="1">
        <f>16+13/60</f>
        <v>16.216666666666665</v>
      </c>
      <c r="Q41">
        <v>180</v>
      </c>
      <c r="R41" s="20">
        <v>18</v>
      </c>
      <c r="S41" s="20">
        <v>1124</v>
      </c>
      <c r="T41" s="20">
        <v>126</v>
      </c>
      <c r="U41">
        <v>152</v>
      </c>
      <c r="V41" s="1">
        <f>15+44.8/60</f>
        <v>15.746666666666666</v>
      </c>
      <c r="W41" s="1">
        <f>15+20.8/60</f>
        <v>15.346666666666668</v>
      </c>
      <c r="X41" s="1">
        <f>15+37.9/60</f>
        <v>15.631666666666666</v>
      </c>
      <c r="Y41" s="1">
        <f>15+55.5/60</f>
        <v>15.925000000000001</v>
      </c>
      <c r="Z41" s="1">
        <f>15+19/60</f>
        <v>15.316666666666666</v>
      </c>
      <c r="AA41" s="1">
        <f>15+29.2/60</f>
        <v>15.486666666666666</v>
      </c>
      <c r="AB41" s="1">
        <f>60/3.9</f>
        <v>15.384615384615385</v>
      </c>
      <c r="AD41">
        <v>1</v>
      </c>
      <c r="AE41">
        <v>0</v>
      </c>
      <c r="AF41" s="18" t="s">
        <v>31</v>
      </c>
      <c r="AG41" s="18" t="s">
        <v>32</v>
      </c>
      <c r="AH41" s="18">
        <v>0</v>
      </c>
    </row>
    <row r="42" spans="1:35" x14ac:dyDescent="0.25">
      <c r="A42">
        <f t="shared" si="3"/>
        <v>575</v>
      </c>
      <c r="B42" s="21">
        <v>43921.598611111112</v>
      </c>
      <c r="C42">
        <v>1</v>
      </c>
      <c r="E42" t="s">
        <v>33</v>
      </c>
      <c r="F42">
        <v>72</v>
      </c>
      <c r="G42">
        <v>50</v>
      </c>
      <c r="H42" t="s">
        <v>38</v>
      </c>
      <c r="I42" s="18" t="s">
        <v>56</v>
      </c>
      <c r="J42" s="1">
        <v>6.14</v>
      </c>
      <c r="K42">
        <v>12629</v>
      </c>
      <c r="L42" s="1">
        <f>94/60</f>
        <v>1.5666666666666667</v>
      </c>
      <c r="M42" s="1">
        <f t="shared" ref="M42" si="14">J42/L42</f>
        <v>3.9191489361702128</v>
      </c>
      <c r="N42">
        <v>1</v>
      </c>
      <c r="O42" s="1">
        <f t="shared" ref="O42" si="15">J42/N42</f>
        <v>6.14</v>
      </c>
      <c r="P42" s="1">
        <f>15+15/60</f>
        <v>15.25</v>
      </c>
      <c r="Q42">
        <v>72</v>
      </c>
      <c r="R42" s="20">
        <v>7</v>
      </c>
      <c r="S42" s="20">
        <v>668</v>
      </c>
      <c r="T42" s="20">
        <v>84</v>
      </c>
      <c r="U42">
        <v>107</v>
      </c>
      <c r="V42" s="1">
        <f>15+33.4/60</f>
        <v>15.556666666666667</v>
      </c>
      <c r="W42" s="1">
        <f>15+6.8/60</f>
        <v>15.113333333333333</v>
      </c>
      <c r="X42" s="1">
        <f>15+17.2/60</f>
        <v>15.286666666666667</v>
      </c>
      <c r="Y42" s="1">
        <f>15+10.1/60</f>
        <v>15.168333333333333</v>
      </c>
      <c r="Z42" s="1">
        <f>15+21.9/60</f>
        <v>15.365</v>
      </c>
      <c r="AA42" s="1">
        <f>15+21.9/60</f>
        <v>15.365</v>
      </c>
      <c r="AB42" s="1">
        <f>60/4</f>
        <v>15</v>
      </c>
      <c r="AD42">
        <v>1</v>
      </c>
      <c r="AE42">
        <v>0</v>
      </c>
      <c r="AF42" s="18" t="s">
        <v>31</v>
      </c>
      <c r="AG42" s="18" t="s">
        <v>32</v>
      </c>
      <c r="AH42" s="18">
        <v>0</v>
      </c>
    </row>
    <row r="43" spans="1:35" x14ac:dyDescent="0.25">
      <c r="A43" s="18">
        <f t="shared" si="3"/>
        <v>576</v>
      </c>
      <c r="B43" s="21">
        <v>43922.594444444447</v>
      </c>
      <c r="C43" s="18">
        <v>1</v>
      </c>
      <c r="E43" t="s">
        <v>52</v>
      </c>
      <c r="F43">
        <v>69</v>
      </c>
      <c r="G43">
        <v>73</v>
      </c>
      <c r="H43" s="18" t="s">
        <v>38</v>
      </c>
      <c r="I43" s="18" t="s">
        <v>44</v>
      </c>
      <c r="J43" s="1">
        <v>4.5</v>
      </c>
      <c r="L43" s="1">
        <f>72/60</f>
        <v>1.2</v>
      </c>
      <c r="M43" s="1">
        <f t="shared" ref="M43" si="16">J43/L43</f>
        <v>3.75</v>
      </c>
      <c r="N43">
        <v>1</v>
      </c>
      <c r="O43" s="1">
        <f t="shared" ref="O43" si="17">J43/N43</f>
        <v>4.5</v>
      </c>
      <c r="P43" s="1">
        <f>15+59/60</f>
        <v>15.983333333333333</v>
      </c>
      <c r="Q43">
        <v>102</v>
      </c>
      <c r="R43" s="20">
        <v>10</v>
      </c>
      <c r="S43" s="20">
        <v>570</v>
      </c>
      <c r="T43" s="20">
        <v>101</v>
      </c>
      <c r="U43">
        <v>136</v>
      </c>
      <c r="V43" s="1">
        <f>15+52/60</f>
        <v>15.866666666666667</v>
      </c>
      <c r="W43" s="1">
        <f>15+59.6/60</f>
        <v>15.993333333333334</v>
      </c>
      <c r="X43" s="1">
        <f>16+30.4/60</f>
        <v>16.506666666666668</v>
      </c>
      <c r="Y43" s="1">
        <f>16+28/60</f>
        <v>16.466666666666665</v>
      </c>
      <c r="Z43" s="1">
        <f>60/3.7</f>
        <v>16.216216216216214</v>
      </c>
      <c r="AD43">
        <v>0</v>
      </c>
      <c r="AE43" s="18">
        <v>0</v>
      </c>
      <c r="AF43" s="18" t="s">
        <v>31</v>
      </c>
      <c r="AG43" s="18" t="s">
        <v>32</v>
      </c>
      <c r="AH43" s="18">
        <v>0</v>
      </c>
    </row>
    <row r="44" spans="1:35" x14ac:dyDescent="0.25">
      <c r="A44" s="18">
        <f t="shared" si="3"/>
        <v>577</v>
      </c>
      <c r="B44" s="21">
        <v>43923.685416666667</v>
      </c>
      <c r="C44">
        <v>0</v>
      </c>
      <c r="D44" t="s">
        <v>69</v>
      </c>
      <c r="E44" t="s">
        <v>52</v>
      </c>
      <c r="F44">
        <v>47</v>
      </c>
      <c r="G44">
        <v>40</v>
      </c>
    </row>
    <row r="45" spans="1:35" x14ac:dyDescent="0.25">
      <c r="A45" s="18">
        <f t="shared" si="3"/>
        <v>578</v>
      </c>
      <c r="B45" s="21">
        <v>43924.495138888888</v>
      </c>
      <c r="C45" s="18">
        <v>0</v>
      </c>
      <c r="D45" s="18" t="s">
        <v>69</v>
      </c>
      <c r="E45" t="s">
        <v>52</v>
      </c>
      <c r="F45">
        <v>39</v>
      </c>
      <c r="G45">
        <v>76</v>
      </c>
    </row>
    <row r="46" spans="1:35" x14ac:dyDescent="0.25">
      <c r="A46">
        <f t="shared" si="3"/>
        <v>579</v>
      </c>
      <c r="B46" s="21">
        <v>43925.495138888888</v>
      </c>
      <c r="C46">
        <v>0</v>
      </c>
      <c r="D46" s="18" t="s">
        <v>69</v>
      </c>
      <c r="E46" t="s">
        <v>52</v>
      </c>
      <c r="F46">
        <v>53</v>
      </c>
      <c r="G46">
        <v>80</v>
      </c>
    </row>
    <row r="47" spans="1:35" x14ac:dyDescent="0.25">
      <c r="A47">
        <f t="shared" si="3"/>
        <v>580</v>
      </c>
      <c r="B47" s="21">
        <v>43926.523611111108</v>
      </c>
      <c r="C47">
        <v>1</v>
      </c>
      <c r="E47" t="s">
        <v>71</v>
      </c>
      <c r="F47">
        <v>71</v>
      </c>
      <c r="G47">
        <v>70</v>
      </c>
      <c r="H47" s="18" t="s">
        <v>38</v>
      </c>
      <c r="I47" s="18" t="s">
        <v>48</v>
      </c>
      <c r="J47" s="1">
        <v>5.12</v>
      </c>
      <c r="L47" s="1">
        <f>(60+23)/60</f>
        <v>1.3833333333333333</v>
      </c>
      <c r="M47" s="1">
        <f>J47/L47</f>
        <v>3.7012048192771085</v>
      </c>
      <c r="N47">
        <v>1</v>
      </c>
      <c r="O47" s="1">
        <f t="shared" ref="O47" si="18">J47/N47</f>
        <v>5.12</v>
      </c>
      <c r="P47" s="1">
        <f>16+8/60</f>
        <v>16.133333333333333</v>
      </c>
      <c r="Q47">
        <v>203</v>
      </c>
      <c r="R47" s="20">
        <v>20</v>
      </c>
      <c r="S47" s="20">
        <v>842</v>
      </c>
      <c r="T47" s="20">
        <v>120</v>
      </c>
      <c r="U47">
        <v>151</v>
      </c>
      <c r="V47" s="1">
        <f>15+49.1/60</f>
        <v>15.818333333333333</v>
      </c>
      <c r="W47" s="1">
        <f>16+46.2/60</f>
        <v>16.77</v>
      </c>
      <c r="X47" s="1">
        <f>16+5/60</f>
        <v>16.083333333333332</v>
      </c>
      <c r="Y47" s="1">
        <f>16+5.4/60</f>
        <v>16.09</v>
      </c>
      <c r="Z47" s="1">
        <f>16+9/60</f>
        <v>16.149999999999999</v>
      </c>
      <c r="AA47" s="1">
        <f>60/4.3</f>
        <v>13.953488372093023</v>
      </c>
      <c r="AD47">
        <v>0</v>
      </c>
      <c r="AE47">
        <v>0</v>
      </c>
      <c r="AF47" s="18" t="s">
        <v>31</v>
      </c>
      <c r="AG47" s="18" t="s">
        <v>32</v>
      </c>
      <c r="AH47" s="18">
        <v>0</v>
      </c>
    </row>
    <row r="48" spans="1:35" x14ac:dyDescent="0.25">
      <c r="A48">
        <f t="shared" si="3"/>
        <v>581</v>
      </c>
      <c r="B48" s="21">
        <v>43927.62222222222</v>
      </c>
      <c r="C48">
        <v>1</v>
      </c>
      <c r="E48" s="2" t="s">
        <v>33</v>
      </c>
      <c r="F48">
        <v>86</v>
      </c>
      <c r="G48">
        <v>43</v>
      </c>
      <c r="H48" s="18" t="s">
        <v>35</v>
      </c>
      <c r="I48" s="18" t="s">
        <v>53</v>
      </c>
      <c r="J48" s="1">
        <v>4.78</v>
      </c>
      <c r="K48">
        <v>10730</v>
      </c>
      <c r="L48" s="1">
        <f>(60+23)/60</f>
        <v>1.3833333333333333</v>
      </c>
      <c r="M48" s="1">
        <f>J48/L48</f>
        <v>3.455421686746988</v>
      </c>
      <c r="N48">
        <v>1</v>
      </c>
      <c r="O48" s="1">
        <f t="shared" ref="O48" si="19">J48/N48</f>
        <v>4.78</v>
      </c>
      <c r="P48" s="1">
        <f>17+2/60</f>
        <v>17.033333333333335</v>
      </c>
      <c r="Q48">
        <v>190</v>
      </c>
      <c r="R48" s="20">
        <v>19</v>
      </c>
      <c r="S48" s="20">
        <v>1000</v>
      </c>
      <c r="T48" s="20">
        <v>134</v>
      </c>
      <c r="U48">
        <v>164</v>
      </c>
      <c r="V48" s="1">
        <f>15+58.8/60</f>
        <v>15.98</v>
      </c>
      <c r="W48" s="1">
        <f>15+59.1/60</f>
        <v>15.984999999999999</v>
      </c>
      <c r="X48" s="1">
        <f>17+38.5/60</f>
        <v>17.641666666666666</v>
      </c>
      <c r="Y48" s="1">
        <f>17+38.5/60</f>
        <v>17.641666666666666</v>
      </c>
      <c r="Z48" s="1">
        <f>60/3.5</f>
        <v>17.142857142857142</v>
      </c>
      <c r="AD48">
        <v>5</v>
      </c>
      <c r="AE48">
        <v>1</v>
      </c>
      <c r="AF48" s="18" t="s">
        <v>31</v>
      </c>
      <c r="AG48" s="18" t="s">
        <v>32</v>
      </c>
      <c r="AH48" s="18">
        <v>0</v>
      </c>
    </row>
    <row r="49" spans="1:34" x14ac:dyDescent="0.25">
      <c r="A49">
        <f t="shared" si="3"/>
        <v>582</v>
      </c>
      <c r="B49" s="21">
        <v>43928.486805555556</v>
      </c>
      <c r="C49">
        <v>1</v>
      </c>
      <c r="E49" t="s">
        <v>33</v>
      </c>
      <c r="F49">
        <v>85</v>
      </c>
      <c r="G49">
        <v>55</v>
      </c>
      <c r="H49" t="s">
        <v>38</v>
      </c>
      <c r="I49" t="s">
        <v>66</v>
      </c>
      <c r="J49" s="1">
        <v>3.52</v>
      </c>
      <c r="L49" s="1">
        <f>78/60</f>
        <v>1.3</v>
      </c>
      <c r="M49" s="1">
        <f>(60+23)/60</f>
        <v>1.3833333333333333</v>
      </c>
      <c r="N49">
        <v>2</v>
      </c>
      <c r="O49" s="1">
        <v>1</v>
      </c>
      <c r="P49" s="1">
        <f>22+6/60</f>
        <v>22.1</v>
      </c>
      <c r="Q49">
        <v>59</v>
      </c>
      <c r="R49" s="20">
        <v>6</v>
      </c>
      <c r="S49" s="20">
        <v>688</v>
      </c>
      <c r="T49" s="20">
        <v>115</v>
      </c>
      <c r="U49" s="20">
        <v>142</v>
      </c>
      <c r="V49" s="1">
        <f>20+23.6/60</f>
        <v>20.393333333333334</v>
      </c>
      <c r="W49" s="1">
        <f>24+49.2/60</f>
        <v>24.82</v>
      </c>
      <c r="X49" s="1">
        <f>21+18.9/60</f>
        <v>21.315000000000001</v>
      </c>
      <c r="Y49" s="1">
        <f>60/2.7</f>
        <v>22.222222222222221</v>
      </c>
      <c r="AD49">
        <v>0</v>
      </c>
      <c r="AE49">
        <v>0</v>
      </c>
      <c r="AF49" t="s">
        <v>31</v>
      </c>
      <c r="AG49" t="s">
        <v>32</v>
      </c>
      <c r="AH49">
        <v>0</v>
      </c>
    </row>
    <row r="50" spans="1:34" x14ac:dyDescent="0.25">
      <c r="A50" s="18">
        <f t="shared" si="3"/>
        <v>583</v>
      </c>
      <c r="B50" s="21">
        <v>43929.551388888889</v>
      </c>
      <c r="C50" s="18">
        <v>1</v>
      </c>
      <c r="E50" t="s">
        <v>33</v>
      </c>
      <c r="F50">
        <v>88</v>
      </c>
      <c r="G50">
        <v>49</v>
      </c>
      <c r="H50" s="18" t="s">
        <v>35</v>
      </c>
      <c r="I50" t="s">
        <v>64</v>
      </c>
      <c r="J50" s="1">
        <v>4.8</v>
      </c>
      <c r="K50">
        <v>10730</v>
      </c>
      <c r="L50" s="1">
        <f>(60+14)/60</f>
        <v>1.2333333333333334</v>
      </c>
      <c r="M50" s="1">
        <f>J50/L50</f>
        <v>3.8918918918918917</v>
      </c>
      <c r="N50">
        <v>1</v>
      </c>
      <c r="O50" s="1">
        <f t="shared" ref="O50" si="20">J50/N50</f>
        <v>4.8</v>
      </c>
      <c r="P50" s="1">
        <f>15+24/60</f>
        <v>15.4</v>
      </c>
      <c r="Q50">
        <v>43</v>
      </c>
      <c r="R50" s="20">
        <v>4</v>
      </c>
      <c r="S50" s="20">
        <v>555</v>
      </c>
      <c r="T50" s="20">
        <v>107</v>
      </c>
      <c r="U50" s="20">
        <v>133</v>
      </c>
      <c r="V50" s="1">
        <f>15+15.9/60</f>
        <v>15.265000000000001</v>
      </c>
      <c r="W50" s="1">
        <f>15+35.7/60</f>
        <v>15.595000000000001</v>
      </c>
      <c r="X50" s="1">
        <f>15+33.1/60</f>
        <v>15.551666666666666</v>
      </c>
      <c r="Y50" s="1">
        <f>15+15.3/60</f>
        <v>15.255000000000001</v>
      </c>
      <c r="Z50" s="1">
        <f>60/3.9</f>
        <v>15.384615384615385</v>
      </c>
      <c r="AD50">
        <v>0</v>
      </c>
      <c r="AE50">
        <v>1</v>
      </c>
      <c r="AF50" t="s">
        <v>31</v>
      </c>
      <c r="AG50" t="s">
        <v>32</v>
      </c>
      <c r="AH50">
        <v>0</v>
      </c>
    </row>
    <row r="51" spans="1:34" x14ac:dyDescent="0.25">
      <c r="A51" s="18">
        <f t="shared" si="3"/>
        <v>584</v>
      </c>
      <c r="B51" s="21">
        <v>43930.571527777778</v>
      </c>
      <c r="C51">
        <v>1</v>
      </c>
      <c r="E51" t="s">
        <v>33</v>
      </c>
      <c r="F51">
        <v>77</v>
      </c>
      <c r="G51">
        <v>71</v>
      </c>
      <c r="H51" s="18" t="s">
        <v>38</v>
      </c>
      <c r="I51" s="18" t="s">
        <v>44</v>
      </c>
      <c r="J51" s="1">
        <v>4.4800000000000004</v>
      </c>
      <c r="K51">
        <f>10135-726</f>
        <v>9409</v>
      </c>
      <c r="L51" s="1">
        <f>71/60</f>
        <v>1.1833333333333333</v>
      </c>
      <c r="M51" s="1">
        <f>J51/L51</f>
        <v>3.7859154929577468</v>
      </c>
      <c r="N51">
        <v>1</v>
      </c>
      <c r="O51" s="1">
        <f t="shared" ref="O51" si="21">J51/N51</f>
        <v>4.4800000000000004</v>
      </c>
      <c r="P51" s="1">
        <f>15+46/60</f>
        <v>15.766666666666667</v>
      </c>
      <c r="Q51">
        <v>98</v>
      </c>
      <c r="R51" s="20">
        <v>10</v>
      </c>
      <c r="S51" s="20">
        <v>628</v>
      </c>
      <c r="T51" s="20">
        <f>111</f>
        <v>111</v>
      </c>
      <c r="U51" s="20">
        <v>144</v>
      </c>
      <c r="V51" s="1">
        <f>15+42.1/60</f>
        <v>15.701666666666666</v>
      </c>
      <c r="W51" s="1">
        <f>15+34.9/60</f>
        <v>15.581666666666667</v>
      </c>
      <c r="X51" s="1">
        <f>15+24.4/60</f>
        <v>15.406666666666666</v>
      </c>
      <c r="Y51" s="1">
        <f>16+23.6/60</f>
        <v>16.393333333333334</v>
      </c>
      <c r="Z51" s="1">
        <f>60/3.8</f>
        <v>15.789473684210527</v>
      </c>
      <c r="AD51">
        <v>1</v>
      </c>
      <c r="AE51">
        <v>1</v>
      </c>
      <c r="AF51" t="s">
        <v>31</v>
      </c>
      <c r="AG51" t="s">
        <v>32</v>
      </c>
      <c r="AH51">
        <v>0</v>
      </c>
    </row>
    <row r="52" spans="1:34" x14ac:dyDescent="0.25">
      <c r="A52">
        <f t="shared" si="3"/>
        <v>585</v>
      </c>
      <c r="B52" s="21">
        <v>43931.495138888888</v>
      </c>
      <c r="C52">
        <v>0</v>
      </c>
      <c r="D52" t="s">
        <v>41</v>
      </c>
      <c r="E52" t="s">
        <v>52</v>
      </c>
      <c r="F52">
        <v>66</v>
      </c>
      <c r="G52">
        <v>75</v>
      </c>
    </row>
    <row r="53" spans="1:34" x14ac:dyDescent="0.25">
      <c r="A53">
        <f t="shared" si="3"/>
        <v>586</v>
      </c>
      <c r="B53" s="21">
        <v>43932.495138888888</v>
      </c>
      <c r="C53">
        <v>0</v>
      </c>
      <c r="D53" t="s">
        <v>65</v>
      </c>
      <c r="E53" t="s">
        <v>58</v>
      </c>
      <c r="F53">
        <v>78</v>
      </c>
      <c r="G53">
        <v>45</v>
      </c>
    </row>
    <row r="54" spans="1:34" x14ac:dyDescent="0.25">
      <c r="A54" s="18">
        <f t="shared" si="3"/>
        <v>587</v>
      </c>
      <c r="B54" s="21">
        <v>43933.573611111111</v>
      </c>
      <c r="C54">
        <v>1</v>
      </c>
      <c r="E54" t="s">
        <v>33</v>
      </c>
      <c r="F54">
        <v>54</v>
      </c>
      <c r="G54">
        <v>45</v>
      </c>
      <c r="H54" t="s">
        <v>35</v>
      </c>
      <c r="I54" s="18" t="s">
        <v>59</v>
      </c>
      <c r="J54" s="1">
        <v>4.4800000000000004</v>
      </c>
      <c r="K54">
        <v>9655</v>
      </c>
      <c r="L54" s="1">
        <f>74/60</f>
        <v>1.2333333333333334</v>
      </c>
      <c r="M54" s="1">
        <f>J54/L54</f>
        <v>3.6324324324324326</v>
      </c>
      <c r="N54">
        <v>1</v>
      </c>
      <c r="O54" s="1">
        <f t="shared" ref="O54" si="22">J54/N54</f>
        <v>4.4800000000000004</v>
      </c>
      <c r="P54" s="1">
        <f>16+20/60</f>
        <v>16.333333333333332</v>
      </c>
      <c r="Q54">
        <v>223</v>
      </c>
      <c r="R54" s="20">
        <v>22</v>
      </c>
      <c r="S54" s="20">
        <v>850</v>
      </c>
      <c r="T54" s="20">
        <v>132</v>
      </c>
      <c r="U54" s="20">
        <v>150</v>
      </c>
      <c r="V54" s="1">
        <f>15+52/60</f>
        <v>15.866666666666667</v>
      </c>
      <c r="W54" s="1">
        <f>15+53.3/60</f>
        <v>15.888333333333334</v>
      </c>
      <c r="X54" s="1">
        <f>16+29.4/60</f>
        <v>16.489999999999998</v>
      </c>
      <c r="Y54" s="1">
        <f>16+50.6/60</f>
        <v>16.843333333333334</v>
      </c>
      <c r="Z54" s="1">
        <f>60/3.7</f>
        <v>16.216216216216214</v>
      </c>
      <c r="AD54">
        <v>0</v>
      </c>
      <c r="AE54">
        <v>0</v>
      </c>
      <c r="AF54" t="s">
        <v>31</v>
      </c>
      <c r="AG54" t="s">
        <v>32</v>
      </c>
      <c r="AH54">
        <v>0</v>
      </c>
    </row>
    <row r="55" spans="1:34" x14ac:dyDescent="0.25">
      <c r="A55">
        <f t="shared" si="3"/>
        <v>588</v>
      </c>
      <c r="B55" s="21">
        <v>43934.560416666667</v>
      </c>
      <c r="C55">
        <v>1</v>
      </c>
      <c r="E55" t="s">
        <v>58</v>
      </c>
      <c r="F55">
        <v>55</v>
      </c>
      <c r="G55">
        <v>51</v>
      </c>
      <c r="H55" t="s">
        <v>38</v>
      </c>
      <c r="I55" s="18" t="s">
        <v>51</v>
      </c>
      <c r="J55" s="1">
        <v>3.48</v>
      </c>
      <c r="K55">
        <v>7199</v>
      </c>
      <c r="L55" s="1">
        <f>(52+34/60)/60</f>
        <v>0.87611111111111117</v>
      </c>
      <c r="M55" s="1">
        <f>J55/L55</f>
        <v>3.9720989220038043</v>
      </c>
      <c r="N55">
        <v>1</v>
      </c>
      <c r="O55" s="1">
        <f t="shared" ref="O55" si="23">J55/N55</f>
        <v>3.48</v>
      </c>
      <c r="P55" s="1">
        <f>15+7/60</f>
        <v>15.116666666666667</v>
      </c>
      <c r="Q55">
        <v>92</v>
      </c>
      <c r="R55" s="20">
        <v>9</v>
      </c>
      <c r="S55" s="20">
        <v>572</v>
      </c>
      <c r="T55" s="20">
        <v>134</v>
      </c>
      <c r="U55" s="20">
        <v>149</v>
      </c>
      <c r="V55" s="1">
        <f>14+22.5/60</f>
        <v>14.375</v>
      </c>
      <c r="W55" s="1">
        <f>15+3.9/60</f>
        <v>15.065</v>
      </c>
      <c r="X55" s="1">
        <f>15+26.8/60</f>
        <v>15.446666666666667</v>
      </c>
      <c r="Y55" s="1">
        <f>60/3.7</f>
        <v>16.216216216216214</v>
      </c>
      <c r="AD55">
        <v>0</v>
      </c>
      <c r="AE55">
        <v>0</v>
      </c>
      <c r="AF55" s="18" t="s">
        <v>31</v>
      </c>
      <c r="AG55" s="18" t="s">
        <v>32</v>
      </c>
      <c r="AH55" s="18">
        <v>0</v>
      </c>
    </row>
    <row r="56" spans="1:34" x14ac:dyDescent="0.25">
      <c r="A56">
        <f t="shared" si="3"/>
        <v>589</v>
      </c>
      <c r="B56" s="21">
        <v>43935.634722222225</v>
      </c>
      <c r="C56">
        <v>1</v>
      </c>
      <c r="E56" t="s">
        <v>33</v>
      </c>
      <c r="F56">
        <v>63</v>
      </c>
      <c r="G56">
        <v>71</v>
      </c>
      <c r="H56" s="18" t="s">
        <v>38</v>
      </c>
      <c r="I56" s="18" t="s">
        <v>34</v>
      </c>
      <c r="J56" s="1">
        <v>5.74</v>
      </c>
      <c r="K56">
        <v>12068</v>
      </c>
      <c r="L56" s="1">
        <f>91/60</f>
        <v>1.5166666666666666</v>
      </c>
      <c r="M56" s="1">
        <f>J56/L56</f>
        <v>3.7846153846153849</v>
      </c>
      <c r="N56">
        <v>1</v>
      </c>
      <c r="O56" s="1">
        <f t="shared" ref="O56" si="24">J56/N56</f>
        <v>5.74</v>
      </c>
      <c r="P56" s="1">
        <f>15+53/60</f>
        <v>15.883333333333333</v>
      </c>
      <c r="Q56">
        <v>66</v>
      </c>
      <c r="S56" s="20">
        <v>648</v>
      </c>
      <c r="T56" s="20">
        <v>92</v>
      </c>
      <c r="U56" s="20">
        <v>135</v>
      </c>
      <c r="V56" s="1">
        <f>15+48.5/60</f>
        <v>15.808333333333334</v>
      </c>
      <c r="W56" s="1">
        <f>15+48.8/60</f>
        <v>15.813333333333333</v>
      </c>
      <c r="X56" s="1">
        <f>15+26.9/60</f>
        <v>15.448333333333334</v>
      </c>
      <c r="Y56" s="1">
        <f>15+47</f>
        <v>62</v>
      </c>
      <c r="Z56" s="1">
        <f>15+49.2/60</f>
        <v>15.82</v>
      </c>
      <c r="AA56" s="1">
        <f>60/3.8</f>
        <v>15.789473684210527</v>
      </c>
      <c r="AD56">
        <v>3</v>
      </c>
      <c r="AE56">
        <v>0</v>
      </c>
      <c r="AF56" t="s">
        <v>31</v>
      </c>
      <c r="AG56" t="s">
        <v>32</v>
      </c>
      <c r="AH56">
        <v>0</v>
      </c>
    </row>
    <row r="57" spans="1:34" x14ac:dyDescent="0.25">
      <c r="A57">
        <f t="shared" si="3"/>
        <v>590</v>
      </c>
      <c r="B57" s="21">
        <v>43936.566666666666</v>
      </c>
      <c r="C57">
        <v>1</v>
      </c>
      <c r="E57" t="s">
        <v>33</v>
      </c>
      <c r="F57">
        <v>70</v>
      </c>
      <c r="G57">
        <v>40</v>
      </c>
      <c r="H57" s="18" t="s">
        <v>38</v>
      </c>
      <c r="I57" s="18" t="s">
        <v>37</v>
      </c>
      <c r="J57" s="1">
        <v>4.47</v>
      </c>
      <c r="K57">
        <v>9272</v>
      </c>
      <c r="L57" s="1">
        <f>(71-3)/60</f>
        <v>1.1333333333333333</v>
      </c>
      <c r="M57" s="1">
        <f>71/60</f>
        <v>1.1833333333333333</v>
      </c>
      <c r="N57">
        <v>1</v>
      </c>
      <c r="O57" s="1">
        <f t="shared" ref="O57" si="25">J57/N57</f>
        <v>4.47</v>
      </c>
      <c r="P57" s="1">
        <f>15+55/60</f>
        <v>15.916666666666666</v>
      </c>
      <c r="Q57">
        <v>177</v>
      </c>
      <c r="R57" s="20">
        <v>4</v>
      </c>
      <c r="S57" s="20">
        <v>632</v>
      </c>
      <c r="T57" s="20">
        <v>100</v>
      </c>
      <c r="U57" s="20">
        <v>152</v>
      </c>
      <c r="V57" s="1">
        <f>15+55.2/60</f>
        <v>15.92</v>
      </c>
      <c r="W57" s="1">
        <f>16+14.3/60</f>
        <v>16.238333333333333</v>
      </c>
      <c r="X57" s="1">
        <f>15+48.2/60</f>
        <v>15.803333333333333</v>
      </c>
      <c r="Y57" s="1">
        <f>15+41.1/60</f>
        <v>15.685</v>
      </c>
      <c r="Z57" s="1">
        <f>60/3.8</f>
        <v>15.789473684210527</v>
      </c>
      <c r="AD57">
        <v>3</v>
      </c>
      <c r="AE57">
        <v>1</v>
      </c>
      <c r="AF57" t="s">
        <v>31</v>
      </c>
      <c r="AG57" t="s">
        <v>32</v>
      </c>
      <c r="AH57">
        <v>0</v>
      </c>
    </row>
  </sheetData>
  <sortState ref="A2:AI3">
    <sortCondition ref="A2:A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Slinkman</dc:creator>
  <cp:lastModifiedBy>Craig Slinkman</cp:lastModifiedBy>
  <dcterms:created xsi:type="dcterms:W3CDTF">2020-02-26T17:24:07Z</dcterms:created>
  <dcterms:modified xsi:type="dcterms:W3CDTF">2020-04-17T04:48:49Z</dcterms:modified>
</cp:coreProperties>
</file>