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<sst xmlns="http://schemas.openxmlformats.org/spreadsheetml/2006/main" count="1115" uniqueCount="135">
  <si>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</si>
  <si>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</si>
  <si>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</si>
  <si>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</si>
  <si>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</si>
  <si>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</si>
  <si>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</si>
  <si>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dp</t>
  </si>
  <si>
    <t xml:space="preserve">rh</t>
  </si>
  <si>
    <t xml:space="preserve">direction_wind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</si>
  <si>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</si>
  <si>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</si>
  <si>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</si>
  <si>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</si>
  <si>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</si>
  <si>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</si>
  <si>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</si>
  <si>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</si>
  <si>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</si>
  <si>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</si>
  <si>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</si>
  <si>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</si>
  <si>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</si>
  <si>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</si>
  <si>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</si>
  <si>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</si>
  <si>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</si>
  <si>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</si>
  <si>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</si>
  <si>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</si>
  <si>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</si>
  <si>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</si>
  <si>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</si>
  <si>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</si>
  <si>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</si>
  <si>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</si>
  <si>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</si>
  <si>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</si>
  <si>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</si>
  <si>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</si>
  <si>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</si>
  <si>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</si>
  <si>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</si>
  <si>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</si>
  <si>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</si>
  <si>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</si>
  <si>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</si>
  <si>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</si>
  <si>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</si>
  <si>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</si>
  <si>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</si>
  <si>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</si>
  <si>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</si>
  <si>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</si>
  <si>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</si>
  <si>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</si>
  <si>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</si>
  <si>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</si>
  <si>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</si>
  <si>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</si>
  <si>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Vanderbilt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</si>
  <si>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</si>
  <si>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</si>
  <si>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</si>
  <si>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</si>
  <si>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</si>
  <si>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</si>
  <si>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</si>
  <si>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</si>
  <si>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Medical</t>
  </si>
  <si>
    <t xml:space="preserve">Rain Light</t>
  </si>
  <si>
    <t xml:space="preserve">Enchanted Lakes</t>
  </si>
  <si>
    <t xml:space="preserve">Vandergriff Park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</si>
  <si>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</si>
  <si>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</si>
  <si>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</si>
  <si>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</si>
  <si>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</si>
  <si>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</si>
  <si>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</si>
  <si>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</si>
  <si>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</si>
  <si>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</si>
  <si>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</si>
  <si>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</si>
  <si>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</si>
  <si>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</si>
  <si>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</si>
  <si>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</si>
  <si>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Good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</si>
  <si>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</si>
  <si>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</si>
  <si>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</si>
  <si>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</si>
  <si>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</si>
  <si>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Parks Mall - 3 laps</t>
  </si>
  <si>
    <t xml:space="preserve">NW</t>
  </si>
  <si>
    <t xml:space="preserve">N</t>
  </si>
  <si>
    <t xml:space="preserve">S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</si>
  <si>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</si>
  <si>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</si>
  <si>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</si>
  <si>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</si>
  <si>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</si>
  <si>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</si>
  <si>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</si>
  <si>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</si>
  <si>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</si>
  <si>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</si>
  <si>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</si>
  <si>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</si>
  <si>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</si>
  <si>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</si>
  <si>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Dentists</t>
  </si>
  <si>
    <t xml:space="preserve">SSE </t>
  </si>
  <si>
    <t xml:space="preserve">Recovery</t>
  </si>
  <si>
    <t xml:space="preserve">Mostly Cloudy </t>
  </si>
  <si>
    <t xml:space="preserve">ESE </t>
  </si>
  <si>
    <t xml:space="preserve">Light Rain </t>
  </si>
  <si>
    <t xml:space="preserve">Partly Cloudy </t>
  </si>
  <si>
    <t xml:space="preserve">NNW </t>
  </si>
  <si>
    <t xml:space="preserve">Fair </t>
  </si>
  <si>
    <t xml:space="preserve">SSW </t>
  </si>
  <si>
    <t xml:space="preserve">Var</t>
  </si>
  <si>
    <t xml:space="preserve">Calm</t>
  </si>
  <si>
    <t xml:space="preserve">Medical tests</t>
  </si>
  <si>
    <t xml:space="preserve">CALM 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</si>
  <si>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</si>
  <si>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</si>
  <si>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</si>
  <si>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</si>
  <si>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Doctor visit</t>
  </si>
  <si>
    <t xml:space="preserve">NE</t>
  </si>
  <si>
    <t xml:space="preserve">CALM</t>
  </si>
  <si>
    <t xml:space="preserve">Distance error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</si>
</sst>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94"/>
  <sheetViews>
    <sheetView showFormulas="false" showGridLines="true" showRowColHeaders="true" showZeros="true" rightToLeft="false" tabSelected="true" showOutlineSymbols="true" defaultGridColor="true" view="normal" topLeftCell="AJ1" colorId="64" zoomScale="100" zoomScaleNormal="100" zoomScalePageLayoutView="100" workbookViewId="0">
      <pane xSplit="0" ySplit="1" topLeftCell="A179" activePane="bottomLeft" state="frozen"/>
      <selection pane="topLeft" activeCell="AJ1" activeCellId="0" sqref="AJ1"/>
      <selection pane="bottomLeft" activeCell="AY194" activeCellId="0" sqref="AY194:BB194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4.43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3.36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6.6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5" min="15" style="0" width="12.22"/>
    <col collapsed="false" customWidth="true" hidden="false" outlineLevel="0" max="16" min="16" style="0" width="28.62"/>
    <col collapsed="false" customWidth="true" hidden="false" outlineLevel="0" max="17" min="17" style="3" width="9.19"/>
    <col collapsed="false" customWidth="true" hidden="false" outlineLevel="0" max="18" min="18" style="2" width="11.48"/>
    <col collapsed="false" customWidth="true" hidden="false" outlineLevel="0" max="19" min="19" style="2" width="6.74"/>
    <col collapsed="false" customWidth="true" hidden="false" outlineLevel="0" max="20" min="20" style="2" width="6.46"/>
    <col collapsed="false" customWidth="true" hidden="false" outlineLevel="0" max="21" min="21" style="3" width="6.42"/>
    <col collapsed="false" customWidth="true" hidden="false" outlineLevel="0" max="22" min="22" style="3" width="7.8"/>
    <col collapsed="false" customWidth="true" hidden="false" outlineLevel="0" max="23" min="23" style="3" width="5.43"/>
    <col collapsed="false" customWidth="true" hidden="false" outlineLevel="0" max="24" min="24" style="3" width="9.19"/>
    <col collapsed="false" customWidth="true" hidden="false" outlineLevel="0" max="25" min="25" style="0" width="4.66"/>
    <col collapsed="false" customWidth="true" hidden="false" outlineLevel="0" max="26" min="26" style="3" width="4.97"/>
    <col collapsed="false" customWidth="true" hidden="false" outlineLevel="0" max="27" min="27" style="3" width="6.35"/>
    <col collapsed="false" customWidth="true" hidden="false" outlineLevel="0" max="30" min="28" style="2" width="9.19"/>
    <col collapsed="false" customWidth="true" hidden="false" outlineLevel="0" max="31" min="31" style="0" width="8.71"/>
    <col collapsed="false" customWidth="true" hidden="false" outlineLevel="0" max="34" min="32" style="3" width="9.19"/>
    <col collapsed="false" customWidth="true" hidden="false" outlineLevel="0" max="35" min="35" style="3" width="7.55"/>
    <col collapsed="false" customWidth="true" hidden="false" outlineLevel="0" max="36" min="36" style="3" width="7.44"/>
    <col collapsed="false" customWidth="true" hidden="false" outlineLevel="0" max="41" min="37" style="3" width="9.19"/>
    <col collapsed="false" customWidth="true" hidden="false" outlineLevel="0" max="42" min="42" style="0" width="8.71"/>
    <col collapsed="false" customWidth="true" hidden="false" outlineLevel="0" max="43" min="43" style="0" width="8.14"/>
    <col collapsed="false" customWidth="true" hidden="false" outlineLevel="0" max="44" min="44" style="0" width="7.9"/>
    <col collapsed="false" customWidth="true" hidden="false" outlineLevel="0" max="45" min="45" style="4" width="6.74"/>
    <col collapsed="false" customWidth="true" hidden="false" outlineLevel="0" max="46" min="46" style="3" width="6.74"/>
    <col collapsed="false" customWidth="true" hidden="false" outlineLevel="0" max="47" min="47" style="3" width="6.88"/>
    <col collapsed="false" customWidth="true" hidden="false" outlineLevel="0" max="48" min="48" style="3" width="6.61"/>
    <col collapsed="false" customWidth="true" hidden="false" outlineLevel="0" max="50" min="49" style="3" width="6.74"/>
    <col collapsed="false" customWidth="true" hidden="false" outlineLevel="0" max="51" min="51" style="0" width="20.37"/>
    <col collapsed="false" customWidth="true" hidden="false" outlineLevel="0" max="52" min="52" style="0" width="8.71"/>
    <col collapsed="false" customWidth="true" hidden="false" outlineLevel="0" max="53" min="53" style="0" width="11.19"/>
    <col collapsed="false" customWidth="true" hidden="false" outlineLevel="0" max="54" min="54" style="0" width="17.8"/>
    <col collapsed="false" customWidth="true" hidden="false" outlineLevel="0" max="66" min="55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0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0" t="s">
        <v>41</v>
      </c>
      <c r="AQ1" s="0" t="s">
        <v>42</v>
      </c>
      <c r="AR1" s="3" t="s">
        <v>43</v>
      </c>
      <c r="AS1" s="5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0" t="s">
        <v>50</v>
      </c>
      <c r="AZ1" s="0" t="s">
        <v>51</v>
      </c>
      <c r="BA1" s="0" t="s">
        <v>52</v>
      </c>
      <c r="BB1" s="0" t="s">
        <v>53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54</v>
      </c>
      <c r="G2" s="2" t="n">
        <v>54</v>
      </c>
      <c r="I2" s="2" t="n">
        <v>98</v>
      </c>
      <c r="O2" s="0" t="s">
        <v>55</v>
      </c>
      <c r="P2" s="0" t="s">
        <v>56</v>
      </c>
      <c r="Q2" s="3" t="n">
        <v>5.19</v>
      </c>
      <c r="U2" s="3" t="n">
        <v>1.55</v>
      </c>
      <c r="X2" s="3" t="n">
        <v>3.35</v>
      </c>
      <c r="Y2" s="0" t="n">
        <v>3</v>
      </c>
      <c r="Z2" s="3" t="n">
        <v>1.73</v>
      </c>
      <c r="AA2" s="3" t="n">
        <f aca="false">16+46/60</f>
        <v>16.7666666666667</v>
      </c>
      <c r="AB2" s="2" t="n">
        <v>220</v>
      </c>
      <c r="AC2" s="2" t="n">
        <v>667</v>
      </c>
      <c r="AD2" s="2" t="n">
        <v>101</v>
      </c>
      <c r="AE2" s="0" t="n">
        <v>150</v>
      </c>
      <c r="AF2" s="3" t="n">
        <f aca="false">16+11.7/60</f>
        <v>16.195</v>
      </c>
      <c r="AG2" s="3" t="n">
        <f aca="false">16+55.8/60</f>
        <v>16.93</v>
      </c>
      <c r="AH2" s="3" t="n">
        <f aca="false">16+53.8/60</f>
        <v>16.8966666666667</v>
      </c>
      <c r="AI2" s="3" t="n">
        <f aca="false">17+8.8/60</f>
        <v>17.1466666666667</v>
      </c>
      <c r="AJ2" s="3" t="n">
        <f aca="false">60/3.6</f>
        <v>16.6666666666667</v>
      </c>
      <c r="AP2" s="0" t="n">
        <v>1</v>
      </c>
      <c r="AQ2" s="0" t="n">
        <v>1</v>
      </c>
      <c r="AY2" s="0" t="s">
        <v>57</v>
      </c>
      <c r="AZ2" s="0" t="s">
        <v>58</v>
      </c>
      <c r="BA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59</v>
      </c>
      <c r="G3" s="2" t="n">
        <v>77</v>
      </c>
      <c r="I3" s="2" t="n">
        <v>42</v>
      </c>
      <c r="O3" s="0" t="s">
        <v>55</v>
      </c>
      <c r="P3" s="0" t="s">
        <v>60</v>
      </c>
      <c r="Q3" s="3" t="n">
        <v>5.62</v>
      </c>
      <c r="U3" s="3" t="n">
        <v>1.53</v>
      </c>
      <c r="X3" s="3" t="n">
        <v>3.93</v>
      </c>
      <c r="Y3" s="0" t="n">
        <v>2</v>
      </c>
      <c r="Z3" s="3" t="n">
        <f aca="false">Q3/Y3</f>
        <v>2.81</v>
      </c>
      <c r="AA3" s="3" t="n">
        <v>16.35</v>
      </c>
      <c r="AB3" s="2" t="n">
        <v>125</v>
      </c>
      <c r="AC3" s="2" t="n">
        <v>943</v>
      </c>
      <c r="AD3" s="2" t="n">
        <v>124</v>
      </c>
      <c r="AE3" s="0" t="n">
        <v>140</v>
      </c>
      <c r="AF3" s="3" t="n">
        <v>15.62</v>
      </c>
      <c r="AG3" s="3" t="n">
        <v>16.3</v>
      </c>
      <c r="AH3" s="3" t="n">
        <v>16.08</v>
      </c>
      <c r="AI3" s="3" t="n">
        <v>15.83</v>
      </c>
      <c r="AJ3" s="3" t="n">
        <v>16.5</v>
      </c>
      <c r="AK3" s="3" t="n">
        <v>16.22</v>
      </c>
      <c r="AP3" s="0" t="n">
        <v>1</v>
      </c>
      <c r="AQ3" s="0" t="n">
        <v>0</v>
      </c>
      <c r="AY3" s="0" t="s">
        <v>57</v>
      </c>
      <c r="AZ3" s="0" t="s">
        <v>58</v>
      </c>
      <c r="BA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59</v>
      </c>
      <c r="G4" s="2" t="n">
        <v>74</v>
      </c>
      <c r="I4" s="2" t="n">
        <v>64</v>
      </c>
      <c r="O4" s="0" t="s">
        <v>55</v>
      </c>
      <c r="P4" s="0" t="s">
        <v>61</v>
      </c>
      <c r="Q4" s="3" t="n">
        <v>4.91</v>
      </c>
      <c r="U4" s="3" t="n">
        <v>1.25</v>
      </c>
      <c r="X4" s="3" t="n">
        <v>3.93</v>
      </c>
      <c r="Y4" s="0" t="n">
        <v>2</v>
      </c>
      <c r="Z4" s="3" t="n">
        <v>2.46</v>
      </c>
      <c r="AA4" s="3" t="n">
        <v>17.28</v>
      </c>
      <c r="AB4" s="2" t="n">
        <v>269</v>
      </c>
      <c r="AC4" s="2" t="n">
        <v>648</v>
      </c>
      <c r="AD4" s="2" t="n">
        <v>96</v>
      </c>
      <c r="AE4" s="0" t="n">
        <v>146</v>
      </c>
      <c r="AF4" s="3" t="n">
        <v>17.03</v>
      </c>
      <c r="AG4" s="3" t="n">
        <v>16.62</v>
      </c>
      <c r="AH4" s="3" t="n">
        <v>17.78</v>
      </c>
      <c r="AI4" s="3" t="n">
        <v>16.75</v>
      </c>
      <c r="AJ4" s="3" t="n">
        <v>17.14</v>
      </c>
      <c r="AP4" s="0" t="n">
        <v>1</v>
      </c>
      <c r="AQ4" s="0" t="n">
        <v>0</v>
      </c>
      <c r="AY4" s="0" t="s">
        <v>57</v>
      </c>
      <c r="AZ4" s="0" t="s">
        <v>58</v>
      </c>
      <c r="BA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62</v>
      </c>
      <c r="G5" s="2" t="n">
        <v>50</v>
      </c>
      <c r="I5" s="2" t="n">
        <v>60</v>
      </c>
      <c r="O5" s="0" t="s">
        <v>55</v>
      </c>
      <c r="P5" s="0" t="s">
        <v>56</v>
      </c>
      <c r="Q5" s="3" t="n">
        <v>5.47</v>
      </c>
      <c r="T5" s="2" t="n">
        <v>12521</v>
      </c>
      <c r="U5" s="3" t="n">
        <v>1.58</v>
      </c>
      <c r="X5" s="3" t="n">
        <v>3.45</v>
      </c>
      <c r="Y5" s="0" t="n">
        <v>4</v>
      </c>
      <c r="Z5" s="3" t="n">
        <v>1.37</v>
      </c>
      <c r="AA5" s="3" t="n">
        <v>17.4</v>
      </c>
      <c r="AB5" s="2" t="n">
        <v>54</v>
      </c>
      <c r="AC5" s="2" t="n">
        <v>1095</v>
      </c>
      <c r="AD5" s="2" t="n">
        <v>126</v>
      </c>
      <c r="AE5" s="0" t="n">
        <v>147</v>
      </c>
      <c r="AF5" s="3" t="n">
        <v>19.12</v>
      </c>
      <c r="AG5" s="3" t="n">
        <v>20.33</v>
      </c>
      <c r="AH5" s="3" t="n">
        <v>21.63</v>
      </c>
      <c r="AI5" s="3" t="n">
        <v>20.35</v>
      </c>
      <c r="AJ5" s="3" t="n">
        <v>20</v>
      </c>
      <c r="AQ5" s="0" t="n">
        <v>1</v>
      </c>
      <c r="AY5" s="0" t="s">
        <v>57</v>
      </c>
      <c r="AZ5" s="0" t="s">
        <v>58</v>
      </c>
      <c r="BA5" s="0" t="n">
        <v>0</v>
      </c>
      <c r="BB5" s="0" t="s">
        <v>53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59</v>
      </c>
      <c r="G6" s="2" t="n">
        <v>62</v>
      </c>
      <c r="I6" s="2" t="n">
        <v>80</v>
      </c>
      <c r="O6" s="0" t="s">
        <v>55</v>
      </c>
      <c r="P6" s="0" t="s">
        <v>63</v>
      </c>
      <c r="Q6" s="3" t="n">
        <v>5.49</v>
      </c>
      <c r="U6" s="3" t="n">
        <f aca="false">87/60</f>
        <v>1.45</v>
      </c>
      <c r="X6" s="3" t="n">
        <f aca="false">Q6/U6</f>
        <v>3.78620689655172</v>
      </c>
      <c r="Y6" s="0" t="n">
        <v>1</v>
      </c>
      <c r="Z6" s="3" t="n">
        <f aca="false">Q6/Y6</f>
        <v>5.49</v>
      </c>
      <c r="AA6" s="3" t="n">
        <f aca="false">15+45/60</f>
        <v>15.75</v>
      </c>
      <c r="AB6" s="2" t="n">
        <v>30</v>
      </c>
      <c r="AC6" s="2" t="n">
        <v>965</v>
      </c>
      <c r="AD6" s="2" t="n">
        <v>132</v>
      </c>
      <c r="AE6" s="0" t="n">
        <v>159</v>
      </c>
      <c r="AF6" s="3" t="n">
        <f aca="false">15+37/60</f>
        <v>15.6166666666667</v>
      </c>
      <c r="AG6" s="3" t="n">
        <f aca="false">15+50/60</f>
        <v>15.8333333333333</v>
      </c>
      <c r="AH6" s="3" t="n">
        <f aca="false">15+33/60</f>
        <v>15.55</v>
      </c>
      <c r="AI6" s="3" t="n">
        <f aca="false">15+27/60</f>
        <v>15.45</v>
      </c>
      <c r="AJ6" s="3" t="n">
        <f aca="false">16+11/60</f>
        <v>16.1833333333333</v>
      </c>
      <c r="AK6" s="3" t="n">
        <f aca="false">60/3.8</f>
        <v>15.7894736842105</v>
      </c>
      <c r="AP6" s="0" t="n">
        <v>0</v>
      </c>
      <c r="AQ6" s="0" t="n">
        <v>0</v>
      </c>
      <c r="AY6" s="0" t="s">
        <v>57</v>
      </c>
      <c r="AZ6" s="0" t="s">
        <v>58</v>
      </c>
      <c r="BA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59</v>
      </c>
      <c r="G7" s="2" t="n">
        <v>44</v>
      </c>
      <c r="I7" s="2" t="n">
        <v>45</v>
      </c>
      <c r="O7" s="0" t="s">
        <v>55</v>
      </c>
      <c r="P7" s="0" t="s">
        <v>56</v>
      </c>
      <c r="Q7" s="3" t="n">
        <v>2.86</v>
      </c>
      <c r="T7" s="2" t="n">
        <f aca="false">9769-843</f>
        <v>8926</v>
      </c>
      <c r="U7" s="3" t="n">
        <f aca="false">79/60</f>
        <v>1.31666666666667</v>
      </c>
      <c r="X7" s="3" t="n">
        <f aca="false">Q7/U7</f>
        <v>2.17215189873418</v>
      </c>
      <c r="Y7" s="0" t="n">
        <f aca="false">2</f>
        <v>2</v>
      </c>
      <c r="Z7" s="3" t="n">
        <f aca="false">Q7/Y7</f>
        <v>1.43</v>
      </c>
      <c r="AA7" s="3" t="n">
        <f aca="false">27+34/60</f>
        <v>27.5666666666667</v>
      </c>
      <c r="AB7" s="2" t="n">
        <v>54</v>
      </c>
      <c r="AC7" s="2" t="n">
        <v>649</v>
      </c>
      <c r="AD7" s="2" t="n">
        <v>110</v>
      </c>
      <c r="AE7" s="0" t="n">
        <v>146</v>
      </c>
      <c r="AF7" s="3" t="n">
        <f aca="false">16+46/60</f>
        <v>16.7666666666667</v>
      </c>
      <c r="AG7" s="3" t="n">
        <f aca="false">24+41/60</f>
        <v>24.6833333333333</v>
      </c>
      <c r="AH7" s="3" t="n">
        <f aca="false">37+16/60</f>
        <v>37.2666666666667</v>
      </c>
      <c r="AP7" s="0" t="n">
        <v>0</v>
      </c>
      <c r="AQ7" s="0" t="n">
        <v>0</v>
      </c>
      <c r="AY7" s="0" t="s">
        <v>57</v>
      </c>
      <c r="AZ7" s="0" t="s">
        <v>58</v>
      </c>
      <c r="BA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59</v>
      </c>
      <c r="G8" s="2" t="n">
        <v>54</v>
      </c>
      <c r="I8" s="2" t="n">
        <v>29</v>
      </c>
      <c r="O8" s="0" t="s">
        <v>64</v>
      </c>
      <c r="P8" s="0" t="s">
        <v>65</v>
      </c>
      <c r="Q8" s="3" t="n">
        <v>4.61</v>
      </c>
      <c r="T8" s="2" t="n">
        <v>9972</v>
      </c>
      <c r="U8" s="3" t="n">
        <f aca="false">73/60</f>
        <v>1.21666666666667</v>
      </c>
      <c r="X8" s="3" t="n">
        <f aca="false">Q8/U8</f>
        <v>3.78904109589041</v>
      </c>
      <c r="Y8" s="0" t="n">
        <v>1</v>
      </c>
      <c r="Z8" s="3" t="n">
        <f aca="false">Q8/U8</f>
        <v>3.78904109589041</v>
      </c>
      <c r="AA8" s="3" t="n">
        <f aca="false">15+52/60</f>
        <v>15.8666666666667</v>
      </c>
      <c r="AB8" s="2" t="n">
        <v>174</v>
      </c>
      <c r="AC8" s="2" t="n">
        <v>630</v>
      </c>
      <c r="AD8" s="2" t="n">
        <v>106</v>
      </c>
      <c r="AE8" s="0" t="n">
        <v>148</v>
      </c>
      <c r="AF8" s="3" t="n">
        <f aca="false">15+26/60</f>
        <v>15.4333333333333</v>
      </c>
      <c r="AG8" s="3" t="n">
        <f aca="false">15+51/60</f>
        <v>15.85</v>
      </c>
      <c r="AH8" s="3" t="n">
        <f aca="false">16+10.1/60</f>
        <v>16.1683333333333</v>
      </c>
      <c r="AI8" s="3" t="n">
        <f aca="false">16+5/60</f>
        <v>16.0833333333333</v>
      </c>
      <c r="AJ8" s="3" t="n">
        <f aca="false">60/3.8</f>
        <v>15.7894736842105</v>
      </c>
      <c r="AP8" s="0" t="n">
        <v>0</v>
      </c>
      <c r="AQ8" s="0" t="n">
        <v>0</v>
      </c>
      <c r="AY8" s="0" t="s">
        <v>57</v>
      </c>
      <c r="AZ8" s="0" t="s">
        <v>58</v>
      </c>
      <c r="BA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59</v>
      </c>
      <c r="G9" s="2" t="n">
        <v>52</v>
      </c>
      <c r="I9" s="2" t="n">
        <v>45</v>
      </c>
      <c r="O9" s="0" t="s">
        <v>64</v>
      </c>
      <c r="P9" s="0" t="s">
        <v>66</v>
      </c>
      <c r="Q9" s="3" t="n">
        <v>4.24</v>
      </c>
      <c r="T9" s="2" t="n">
        <v>10059</v>
      </c>
      <c r="U9" s="3" t="n">
        <f aca="false">68/60</f>
        <v>1.13333333333333</v>
      </c>
      <c r="X9" s="3" t="n">
        <f aca="false">Q9/U9</f>
        <v>3.74117647058824</v>
      </c>
      <c r="Y9" s="0" t="n">
        <v>1</v>
      </c>
      <c r="Z9" s="3" t="n">
        <f aca="false">Q9/Y9</f>
        <v>4.24</v>
      </c>
      <c r="AA9" s="3" t="n">
        <f aca="false">15+56/60</f>
        <v>15.9333333333333</v>
      </c>
      <c r="AB9" s="2" t="n">
        <v>33</v>
      </c>
      <c r="AC9" s="2" t="n">
        <v>387</v>
      </c>
      <c r="AD9" s="2" t="n">
        <v>92</v>
      </c>
      <c r="AE9" s="0" t="n">
        <v>133</v>
      </c>
      <c r="AF9" s="3" t="n">
        <f aca="false">15+19/60</f>
        <v>15.3166666666667</v>
      </c>
      <c r="AG9" s="3" t="n">
        <f aca="false">15+58.5/60</f>
        <v>15.975</v>
      </c>
      <c r="AH9" s="3" t="n">
        <f aca="false">16+22.2/60</f>
        <v>16.37</v>
      </c>
      <c r="AI9" s="3" t="n">
        <f aca="false">15+56.1/60</f>
        <v>15.935</v>
      </c>
      <c r="AJ9" s="3" t="n">
        <f aca="false">60/3.8</f>
        <v>15.7894736842105</v>
      </c>
      <c r="AP9" s="0" t="n">
        <v>0</v>
      </c>
      <c r="AQ9" s="0" t="n">
        <v>0</v>
      </c>
      <c r="AY9" s="0" t="s">
        <v>57</v>
      </c>
      <c r="AZ9" s="0" t="s">
        <v>58</v>
      </c>
      <c r="BA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59</v>
      </c>
      <c r="G10" s="2" t="n">
        <v>74</v>
      </c>
      <c r="I10" s="2" t="n">
        <v>25</v>
      </c>
      <c r="O10" s="0" t="s">
        <v>55</v>
      </c>
      <c r="AP10" s="0" t="n">
        <v>2</v>
      </c>
      <c r="AQ10" s="0" t="n">
        <v>1</v>
      </c>
      <c r="AY10" s="0" t="s">
        <v>57</v>
      </c>
      <c r="AZ10" s="0" t="s">
        <v>58</v>
      </c>
      <c r="BA10" s="0" t="n">
        <v>1</v>
      </c>
      <c r="BB10" s="0" t="s">
        <v>67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68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69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6" t="s">
        <v>70</v>
      </c>
      <c r="G14" s="2" t="n">
        <v>49</v>
      </c>
      <c r="I14" s="2" t="n">
        <v>72</v>
      </c>
      <c r="O14" s="0" t="s">
        <v>55</v>
      </c>
      <c r="P14" s="0" t="s">
        <v>56</v>
      </c>
      <c r="Q14" s="3" t="n">
        <v>5.05</v>
      </c>
      <c r="T14" s="2" t="n">
        <v>11922</v>
      </c>
      <c r="U14" s="3" t="n">
        <f aca="false">92/60</f>
        <v>1.53333333333333</v>
      </c>
      <c r="X14" s="3" t="n">
        <f aca="false">Q14/U14</f>
        <v>3.29347826086956</v>
      </c>
      <c r="Y14" s="0" t="n">
        <v>3</v>
      </c>
      <c r="Z14" s="3" t="n">
        <f aca="false">Q14/Y14</f>
        <v>1.68333333333333</v>
      </c>
      <c r="AA14" s="3" t="n">
        <f aca="false">18+19/60</f>
        <v>18.3166666666667</v>
      </c>
      <c r="AB14" s="2" t="n">
        <v>54</v>
      </c>
      <c r="AC14" s="2" t="n">
        <v>415</v>
      </c>
      <c r="AD14" s="2" t="n">
        <v>84</v>
      </c>
      <c r="AE14" s="0" t="n">
        <v>107</v>
      </c>
      <c r="AF14" s="3" t="n">
        <f aca="false">18+24/60</f>
        <v>18.4</v>
      </c>
      <c r="AG14" s="3" t="n">
        <f aca="false">18+15.7/60</f>
        <v>18.2616666666667</v>
      </c>
      <c r="AH14" s="3" t="n">
        <f aca="false">18+50/60</f>
        <v>18.8333333333333</v>
      </c>
      <c r="AI14" s="3" t="n">
        <f aca="false">17+51.4/60</f>
        <v>17.8566666666667</v>
      </c>
      <c r="AJ14" s="3" t="n">
        <f aca="false">17+59/60</f>
        <v>17.9833333333333</v>
      </c>
      <c r="AK14" s="3" t="n">
        <f aca="false">60/2.6</f>
        <v>23.0769230769231</v>
      </c>
      <c r="AP14" s="0" t="n">
        <v>1</v>
      </c>
      <c r="AQ14" s="0" t="n">
        <v>0</v>
      </c>
      <c r="AY14" s="0" t="s">
        <v>57</v>
      </c>
      <c r="AZ14" s="0" t="s">
        <v>58</v>
      </c>
      <c r="BA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59</v>
      </c>
      <c r="G15" s="2" t="n">
        <v>62</v>
      </c>
      <c r="I15" s="2" t="n">
        <v>46</v>
      </c>
      <c r="O15" s="0" t="s">
        <v>64</v>
      </c>
      <c r="P15" s="0" t="s">
        <v>71</v>
      </c>
      <c r="Q15" s="3" t="n">
        <v>4.48</v>
      </c>
      <c r="T15" s="2" t="n">
        <f aca="false">10056-560</f>
        <v>9496</v>
      </c>
      <c r="U15" s="3" t="n">
        <f aca="false">72/60</f>
        <v>1.2</v>
      </c>
      <c r="X15" s="3" t="n">
        <f aca="false">Q15/U15</f>
        <v>3.73333333333333</v>
      </c>
      <c r="Y15" s="0" t="n">
        <v>1</v>
      </c>
      <c r="Z15" s="3" t="n">
        <f aca="false">Q15/Y15</f>
        <v>4.48</v>
      </c>
      <c r="AA15" s="3" t="n">
        <f aca="false">15+59/60</f>
        <v>15.9833333333333</v>
      </c>
      <c r="AB15" s="2" t="n">
        <v>105</v>
      </c>
      <c r="AC15" s="2" t="n">
        <v>515</v>
      </c>
      <c r="AD15" s="2" t="n">
        <v>78</v>
      </c>
      <c r="AE15" s="0" t="n">
        <v>143</v>
      </c>
      <c r="AF15" s="3" t="n">
        <f aca="false">15+21.4/60</f>
        <v>15.3566666666667</v>
      </c>
      <c r="AG15" s="3" t="n">
        <f aca="false">15+41.9/60</f>
        <v>15.6983333333333</v>
      </c>
      <c r="AH15" s="3" t="n">
        <f aca="false">16+4.8/60</f>
        <v>16.08</v>
      </c>
      <c r="AI15" s="3" t="n">
        <f aca="false">16+24.6/60</f>
        <v>16.41</v>
      </c>
      <c r="AJ15" s="3" t="n">
        <f aca="false">60/3.8</f>
        <v>15.7894736842105</v>
      </c>
      <c r="AP15" s="0" t="n">
        <v>1</v>
      </c>
      <c r="AQ15" s="0" t="n">
        <v>0</v>
      </c>
      <c r="AY15" s="0" t="s">
        <v>57</v>
      </c>
      <c r="AZ15" s="0" t="s">
        <v>58</v>
      </c>
      <c r="BA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59</v>
      </c>
      <c r="G16" s="2" t="n">
        <v>64</v>
      </c>
      <c r="I16" s="2" t="n">
        <v>19</v>
      </c>
      <c r="O16" s="0" t="s">
        <v>64</v>
      </c>
      <c r="P16" s="0" t="s">
        <v>72</v>
      </c>
      <c r="Q16" s="3" t="n">
        <v>5.8</v>
      </c>
      <c r="T16" s="2" t="n">
        <v>11898</v>
      </c>
      <c r="U16" s="3" t="n">
        <f aca="false">1+29/60</f>
        <v>1.48333333333333</v>
      </c>
      <c r="X16" s="3" t="n">
        <f aca="false">Q16/U16</f>
        <v>3.91011235955056</v>
      </c>
      <c r="Y16" s="0" t="n">
        <v>2</v>
      </c>
      <c r="Z16" s="3" t="n">
        <f aca="false">Q16/Y16</f>
        <v>2.9</v>
      </c>
      <c r="AA16" s="3" t="n">
        <f aca="false">15+21/60</f>
        <v>15.35</v>
      </c>
      <c r="AB16" s="2" t="n">
        <v>148</v>
      </c>
      <c r="AC16" s="2" t="n">
        <v>697</v>
      </c>
      <c r="AD16" s="2" t="n">
        <v>93</v>
      </c>
      <c r="AE16" s="0" t="n">
        <v>146</v>
      </c>
      <c r="AF16" s="3" t="n">
        <f aca="false">14+38.3/60</f>
        <v>14.6383333333333</v>
      </c>
      <c r="AG16" s="3" t="n">
        <f aca="false">15+15.3/60</f>
        <v>15.255</v>
      </c>
      <c r="AH16" s="3" t="n">
        <f aca="false">16+2/60</f>
        <v>16.0333333333333</v>
      </c>
      <c r="AI16" s="3" t="n">
        <f aca="false">14+50.8/60</f>
        <v>14.8466666666667</v>
      </c>
      <c r="AJ16" s="3" t="n">
        <f aca="false">15+32.4/60</f>
        <v>15.54</v>
      </c>
      <c r="AK16" s="3" t="n">
        <f aca="false">60/3.8</f>
        <v>15.7894736842105</v>
      </c>
      <c r="AP16" s="0" t="n">
        <v>1</v>
      </c>
      <c r="AQ16" s="0" t="n">
        <v>0</v>
      </c>
      <c r="AY16" s="0" t="s">
        <v>57</v>
      </c>
      <c r="AZ16" s="0" t="s">
        <v>58</v>
      </c>
      <c r="BA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59</v>
      </c>
      <c r="G17" s="2" t="n">
        <v>61</v>
      </c>
      <c r="I17" s="2" t="n">
        <v>34</v>
      </c>
      <c r="O17" s="0" t="s">
        <v>64</v>
      </c>
      <c r="P17" s="0" t="s">
        <v>73</v>
      </c>
      <c r="Q17" s="3" t="n">
        <v>4.47</v>
      </c>
      <c r="T17" s="2" t="n">
        <v>9834</v>
      </c>
      <c r="U17" s="3" t="n">
        <f aca="false">(60+11)/60</f>
        <v>1.18333333333333</v>
      </c>
      <c r="X17" s="3" t="n">
        <f aca="false">Q17/U17</f>
        <v>3.77746478873239</v>
      </c>
      <c r="Y17" s="0" t="n">
        <v>1</v>
      </c>
      <c r="AA17" s="3" t="n">
        <f aca="false">15+52/60</f>
        <v>15.8666666666667</v>
      </c>
      <c r="AB17" s="2" t="n">
        <v>226</v>
      </c>
      <c r="AC17" s="2" t="n">
        <v>497</v>
      </c>
      <c r="AD17" s="2" t="n">
        <v>80</v>
      </c>
      <c r="AE17" s="0" t="n">
        <v>107</v>
      </c>
      <c r="AF17" s="3" t="n">
        <f aca="false">15+51.3/60</f>
        <v>15.855</v>
      </c>
      <c r="AG17" s="3" t="n">
        <f aca="false">16+12/4/60</f>
        <v>16.05</v>
      </c>
      <c r="AH17" s="3" t="n">
        <f aca="false">15+58.2/60</f>
        <v>15.97</v>
      </c>
      <c r="AI17" s="3" t="n">
        <f aca="false">15+31/60</f>
        <v>15.5166666666667</v>
      </c>
      <c r="AJ17" s="3" t="n">
        <f aca="false">60/3.8</f>
        <v>15.7894736842105</v>
      </c>
      <c r="AP17" s="0" t="n">
        <v>0</v>
      </c>
      <c r="AQ17" s="0" t="n">
        <v>0</v>
      </c>
      <c r="AY17" s="0" t="s">
        <v>57</v>
      </c>
      <c r="AZ17" s="0" t="s">
        <v>58</v>
      </c>
      <c r="BA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68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54</v>
      </c>
      <c r="G19" s="2" t="n">
        <v>59</v>
      </c>
      <c r="I19" s="2" t="n">
        <v>87</v>
      </c>
      <c r="O19" s="0" t="s">
        <v>55</v>
      </c>
      <c r="P19" s="0" t="s">
        <v>56</v>
      </c>
      <c r="Q19" s="3" t="n">
        <v>3.83</v>
      </c>
      <c r="U19" s="3" t="n">
        <f aca="false">(60+7)/60</f>
        <v>1.11666666666667</v>
      </c>
      <c r="X19" s="3" t="n">
        <f aca="false">Q19/U19</f>
        <v>3.42985074626866</v>
      </c>
      <c r="Y19" s="0" t="n">
        <v>2</v>
      </c>
      <c r="Z19" s="3" t="n">
        <f aca="false">Q19/Y19</f>
        <v>1.915</v>
      </c>
      <c r="AA19" s="3" t="n">
        <f aca="false">17+33/60</f>
        <v>17.55</v>
      </c>
      <c r="AB19" s="2" t="n">
        <v>54</v>
      </c>
      <c r="AC19" s="2" t="n">
        <v>290</v>
      </c>
      <c r="AP19" s="0" t="n">
        <v>1</v>
      </c>
      <c r="AQ19" s="0" t="n">
        <v>0</v>
      </c>
      <c r="AY19" s="0" t="s">
        <v>57</v>
      </c>
      <c r="AZ19" s="0" t="s">
        <v>58</v>
      </c>
      <c r="BA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59</v>
      </c>
      <c r="G20" s="2" t="n">
        <v>54</v>
      </c>
      <c r="I20" s="2" t="n">
        <v>61</v>
      </c>
      <c r="O20" s="0" t="s">
        <v>64</v>
      </c>
      <c r="P20" s="0" t="s">
        <v>74</v>
      </c>
      <c r="Q20" s="3" t="n">
        <v>4.56</v>
      </c>
      <c r="T20" s="2" t="n">
        <f aca="false">10591-1210-25</f>
        <v>9356</v>
      </c>
      <c r="U20" s="3" t="n">
        <f aca="false">1+16/60+28/(60*60)</f>
        <v>1.27444444444444</v>
      </c>
      <c r="X20" s="3" t="n">
        <f aca="false">Q20/U20</f>
        <v>3.57802964254577</v>
      </c>
      <c r="Y20" s="0" t="n">
        <v>1</v>
      </c>
      <c r="Z20" s="3" t="n">
        <f aca="false">Q20/Y20</f>
        <v>4.56</v>
      </c>
      <c r="AA20" s="3" t="n">
        <f aca="false">16+46/60</f>
        <v>16.7666666666667</v>
      </c>
      <c r="AB20" s="2" t="n">
        <v>220</v>
      </c>
      <c r="AC20" s="2" t="n">
        <v>667</v>
      </c>
      <c r="AD20" s="2" t="n">
        <v>101</v>
      </c>
      <c r="AE20" s="0" t="n">
        <v>150</v>
      </c>
      <c r="AF20" s="3" t="n">
        <f aca="false">16+11.7/60</f>
        <v>16.195</v>
      </c>
      <c r="AG20" s="3" t="n">
        <f aca="false">16+55.8/60</f>
        <v>16.93</v>
      </c>
      <c r="AH20" s="3" t="n">
        <f aca="false">16+53.8/60</f>
        <v>16.8966666666667</v>
      </c>
      <c r="AI20" s="3" t="n">
        <f aca="false">17+8.8/60</f>
        <v>17.1466666666667</v>
      </c>
      <c r="AJ20" s="3" t="n">
        <f aca="false">60/3.6</f>
        <v>16.6666666666667</v>
      </c>
      <c r="AP20" s="0" t="n">
        <v>0</v>
      </c>
      <c r="AQ20" s="0" t="n">
        <v>0</v>
      </c>
      <c r="AY20" s="0" t="s">
        <v>57</v>
      </c>
      <c r="AZ20" s="0" t="s">
        <v>58</v>
      </c>
      <c r="BA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59</v>
      </c>
      <c r="G21" s="2" t="n">
        <v>81</v>
      </c>
      <c r="I21" s="2" t="n">
        <v>64</v>
      </c>
      <c r="O21" s="0" t="s">
        <v>64</v>
      </c>
      <c r="P21" s="0" t="s">
        <v>75</v>
      </c>
      <c r="Q21" s="3" t="n">
        <v>3.93</v>
      </c>
      <c r="T21" s="2" t="n">
        <v>9359</v>
      </c>
      <c r="U21" s="3" t="n">
        <f aca="false">67/60</f>
        <v>1.11666666666667</v>
      </c>
      <c r="X21" s="3" t="n">
        <f aca="false">Q21/U21</f>
        <v>3.51940298507463</v>
      </c>
      <c r="Y21" s="0" t="n">
        <v>1</v>
      </c>
      <c r="Z21" s="3" t="n">
        <f aca="false">Q21/Y21</f>
        <v>3.93</v>
      </c>
      <c r="AA21" s="3" t="n">
        <f aca="false">17+6/60</f>
        <v>17.1</v>
      </c>
      <c r="AB21" s="2" t="n">
        <v>194</v>
      </c>
      <c r="AC21" s="2" t="n">
        <v>910</v>
      </c>
      <c r="AD21" s="2" t="n">
        <v>135</v>
      </c>
      <c r="AE21" s="0" t="n">
        <v>159</v>
      </c>
      <c r="AF21" s="3" t="n">
        <f aca="false">17+22.9/60</f>
        <v>17.3816666666667</v>
      </c>
      <c r="AG21" s="3" t="n">
        <f aca="false">17+6.5/60</f>
        <v>17.1083333333333</v>
      </c>
      <c r="AH21" s="3" t="n">
        <f aca="false">16+32.4/60</f>
        <v>16.54</v>
      </c>
      <c r="AI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59</v>
      </c>
      <c r="G22" s="2" t="n">
        <v>64</v>
      </c>
      <c r="I22" s="2" t="n">
        <v>53</v>
      </c>
      <c r="O22" s="0" t="s">
        <v>64</v>
      </c>
      <c r="P22" s="0" t="s">
        <v>76</v>
      </c>
      <c r="Q22" s="3" t="n">
        <v>5.76</v>
      </c>
      <c r="U22" s="3" t="n">
        <f aca="false">(94+44/60)/60</f>
        <v>1.57888888888889</v>
      </c>
      <c r="X22" s="3" t="n">
        <f aca="false">Q22/U22</f>
        <v>3.64813511611541</v>
      </c>
      <c r="Y22" s="0" t="n">
        <v>1</v>
      </c>
      <c r="Z22" s="3" t="n">
        <f aca="false">Q22/Y22</f>
        <v>5.76</v>
      </c>
      <c r="AA22" s="3" t="n">
        <f aca="false">16+27/60</f>
        <v>16.45</v>
      </c>
      <c r="AB22" s="2" t="n">
        <v>272</v>
      </c>
      <c r="AC22" s="2" t="n">
        <v>1270</v>
      </c>
      <c r="AD22" s="2" t="n">
        <v>138</v>
      </c>
      <c r="AE22" s="0" t="n">
        <v>162</v>
      </c>
      <c r="AF22" s="3" t="n">
        <f aca="false">15+19.3/60</f>
        <v>15.3216666666667</v>
      </c>
      <c r="AG22" s="3" t="n">
        <f aca="false">15+35.2/60</f>
        <v>15.5866666666667</v>
      </c>
      <c r="AH22" s="3" t="n">
        <f aca="false">15+23.2/60</f>
        <v>15.3866666666667</v>
      </c>
      <c r="AI22" s="3" t="n">
        <f aca="false">16+19.5/60</f>
        <v>16.325</v>
      </c>
      <c r="AJ22" s="3" t="n">
        <f aca="false">18+16.5/60</f>
        <v>18.275</v>
      </c>
      <c r="AK22" s="3" t="n">
        <f aca="false">60/3.3</f>
        <v>18.1818181818182</v>
      </c>
      <c r="AP22" s="0" t="n">
        <v>2</v>
      </c>
      <c r="AQ22" s="0" t="n">
        <v>0</v>
      </c>
      <c r="AY22" s="0" t="s">
        <v>57</v>
      </c>
      <c r="AZ22" s="0" t="s">
        <v>58</v>
      </c>
      <c r="BA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68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70</v>
      </c>
      <c r="G24" s="2" t="n">
        <v>60</v>
      </c>
      <c r="I24" s="2" t="n">
        <v>86</v>
      </c>
      <c r="O24" s="0" t="s">
        <v>55</v>
      </c>
      <c r="P24" s="0" t="s">
        <v>56</v>
      </c>
      <c r="Q24" s="3" t="n">
        <v>3.18</v>
      </c>
      <c r="U24" s="3" t="n">
        <f aca="false">(60+3+47/60)/60</f>
        <v>1.06305555555556</v>
      </c>
      <c r="X24" s="3" t="n">
        <f aca="false">Q24/U24</f>
        <v>2.99137705774758</v>
      </c>
      <c r="Y24" s="0" t="n">
        <v>2</v>
      </c>
      <c r="Z24" s="3" t="n">
        <f aca="false">Q24/Y24</f>
        <v>1.59</v>
      </c>
      <c r="AA24" s="3" t="n">
        <f aca="false">20+3/60</f>
        <v>20.05</v>
      </c>
      <c r="AB24" s="2" t="n">
        <f aca="false">2*54/3</f>
        <v>36</v>
      </c>
      <c r="AC24" s="2" t="n">
        <v>351</v>
      </c>
      <c r="AD24" s="2" t="n">
        <v>90</v>
      </c>
      <c r="AE24" s="0" t="n">
        <v>118</v>
      </c>
      <c r="AF24" s="3" t="n">
        <f aca="false">19+41/60</f>
        <v>19.6833333333333</v>
      </c>
      <c r="AG24" s="3" t="n">
        <f aca="false">19+29.6/60</f>
        <v>19.4933333333333</v>
      </c>
      <c r="AH24" s="3" t="n">
        <f aca="false">21+7.8/60</f>
        <v>21.13</v>
      </c>
      <c r="AI24" s="3" t="n">
        <f aca="false">60/3.2</f>
        <v>18.75</v>
      </c>
      <c r="AP24" s="0" t="n">
        <v>1</v>
      </c>
      <c r="AQ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68</v>
      </c>
      <c r="F25" s="0" t="s">
        <v>54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54</v>
      </c>
      <c r="G26" s="2" t="n">
        <v>70</v>
      </c>
      <c r="I26" s="2" t="n">
        <v>70</v>
      </c>
      <c r="O26" s="0" t="s">
        <v>64</v>
      </c>
      <c r="P26" s="0" t="s">
        <v>77</v>
      </c>
      <c r="Q26" s="3" t="n">
        <v>4.97</v>
      </c>
      <c r="T26" s="2" t="n">
        <v>12897</v>
      </c>
      <c r="U26" s="3" t="n">
        <f aca="false">77/60</f>
        <v>1.28333333333333</v>
      </c>
      <c r="X26" s="3" t="n">
        <f aca="false">Q26/U26</f>
        <v>3.87272727272727</v>
      </c>
      <c r="Y26" s="0" t="n">
        <v>3</v>
      </c>
      <c r="Z26" s="3" t="n">
        <f aca="false">Q26/Y26</f>
        <v>1.65666666666667</v>
      </c>
      <c r="AA26" s="3" t="n">
        <f aca="false">15+31/60</f>
        <v>15.5166666666667</v>
      </c>
      <c r="AB26" s="2" t="n">
        <v>118</v>
      </c>
      <c r="AC26" s="2" t="n">
        <v>591</v>
      </c>
      <c r="AD26" s="2" t="n">
        <v>86</v>
      </c>
      <c r="AE26" s="0" t="n">
        <v>148</v>
      </c>
      <c r="AF26" s="3" t="n">
        <f aca="false">15+31.1/60</f>
        <v>15.5183333333333</v>
      </c>
      <c r="AG26" s="3" t="n">
        <f aca="false">15+39.1/60</f>
        <v>15.6516666666667</v>
      </c>
      <c r="AH26" s="3" t="n">
        <f aca="false">15+18.3/60</f>
        <v>15.305</v>
      </c>
      <c r="AI26" s="3" t="n">
        <f aca="false">15+20.8/60</f>
        <v>15.3466666666667</v>
      </c>
      <c r="AJ26" s="3" t="n">
        <f aca="false">15+19.7/60</f>
        <v>15.3283333333333</v>
      </c>
      <c r="AP26" s="0" t="n">
        <v>1</v>
      </c>
      <c r="AQ26" s="0" t="n">
        <v>1</v>
      </c>
      <c r="AY26" s="0" t="s">
        <v>57</v>
      </c>
      <c r="AZ26" s="0" t="s">
        <v>58</v>
      </c>
      <c r="BA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6" t="s">
        <v>54</v>
      </c>
      <c r="G27" s="2" t="n">
        <v>67</v>
      </c>
      <c r="I27" s="2" t="n">
        <v>84</v>
      </c>
      <c r="O27" s="0" t="s">
        <v>64</v>
      </c>
      <c r="P27" s="0" t="s">
        <v>72</v>
      </c>
      <c r="Q27" s="3" t="n">
        <v>6.13</v>
      </c>
      <c r="T27" s="2" t="n">
        <v>12444</v>
      </c>
      <c r="U27" s="3" t="n">
        <f aca="false">96/60</f>
        <v>1.6</v>
      </c>
      <c r="X27" s="3" t="n">
        <f aca="false">Q27/U27</f>
        <v>3.83125</v>
      </c>
      <c r="Y27" s="0" t="n">
        <v>2</v>
      </c>
      <c r="Z27" s="3" t="n">
        <f aca="false">Q27/Y27</f>
        <v>3.065</v>
      </c>
      <c r="AA27" s="3" t="n">
        <f aca="false">15+36/60</f>
        <v>15.6</v>
      </c>
      <c r="AB27" s="2" t="n">
        <v>167</v>
      </c>
      <c r="AC27" s="2" t="n">
        <v>686</v>
      </c>
      <c r="AD27" s="2" t="n">
        <v>86</v>
      </c>
      <c r="AE27" s="0" t="n">
        <v>135</v>
      </c>
      <c r="AF27" s="3" t="n">
        <f aca="false">15+16.8/60</f>
        <v>15.28</v>
      </c>
      <c r="AG27" s="3" t="n">
        <f aca="false">15+28.3/60</f>
        <v>15.4716666666667</v>
      </c>
      <c r="AH27" s="3" t="n">
        <f aca="false">15+54.6/60</f>
        <v>15.91</v>
      </c>
      <c r="AI27" s="3" t="n">
        <f aca="false">16+16.3/60</f>
        <v>16.2716666666667</v>
      </c>
      <c r="AJ27" s="3" t="n">
        <f aca="false">15+20.2/60</f>
        <v>15.3366666666667</v>
      </c>
      <c r="AK27" s="3" t="n">
        <f aca="false">60/3.8</f>
        <v>15.7894736842105</v>
      </c>
      <c r="AP27" s="0" t="n">
        <v>1</v>
      </c>
      <c r="AQ27" s="0" t="n">
        <v>1</v>
      </c>
      <c r="AY27" s="0" t="s">
        <v>57</v>
      </c>
      <c r="AZ27" s="0" t="s">
        <v>58</v>
      </c>
      <c r="BA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6" t="s">
        <v>78</v>
      </c>
      <c r="G28" s="2" t="n">
        <v>79</v>
      </c>
      <c r="I28" s="2" t="n">
        <v>66</v>
      </c>
      <c r="O28" s="0" t="s">
        <v>64</v>
      </c>
      <c r="P28" s="0" t="s">
        <v>61</v>
      </c>
      <c r="Q28" s="3" t="n">
        <v>4.56</v>
      </c>
      <c r="T28" s="2" t="n">
        <v>9920</v>
      </c>
      <c r="U28" s="3" t="n">
        <f aca="false">(60+17+36/60)/60</f>
        <v>1.29333333333333</v>
      </c>
      <c r="X28" s="3" t="n">
        <f aca="false">Q28/U28</f>
        <v>3.52577319587629</v>
      </c>
      <c r="Y28" s="0" t="n">
        <v>1</v>
      </c>
      <c r="Z28" s="3" t="n">
        <f aca="false">Q28/Y28</f>
        <v>4.56</v>
      </c>
      <c r="AA28" s="3" t="n">
        <f aca="false">17+1/60</f>
        <v>17.0166666666667</v>
      </c>
      <c r="AB28" s="2" t="n">
        <v>325</v>
      </c>
      <c r="AC28" s="2" t="n">
        <v>995</v>
      </c>
      <c r="AD28" s="2" t="n">
        <v>133</v>
      </c>
      <c r="AE28" s="0" t="n">
        <v>156</v>
      </c>
      <c r="AF28" s="3" t="n">
        <f aca="false">16+13/60</f>
        <v>16.2166666666667</v>
      </c>
      <c r="AG28" s="3" t="n">
        <f aca="false">16+20.9/60</f>
        <v>16.3483333333333</v>
      </c>
      <c r="AH28" s="3" t="n">
        <f aca="false">16+36.9/60</f>
        <v>16.615</v>
      </c>
      <c r="AI28" s="3" t="n">
        <f aca="false">17+53.1/60</f>
        <v>17.885</v>
      </c>
      <c r="AJ28" s="3" t="n">
        <f aca="false">60/3.2</f>
        <v>18.75</v>
      </c>
      <c r="AP28" s="0" t="n">
        <v>1</v>
      </c>
      <c r="AQ28" s="0" t="n">
        <v>0</v>
      </c>
      <c r="AY28" s="0" t="s">
        <v>57</v>
      </c>
      <c r="AZ28" s="0" t="s">
        <v>58</v>
      </c>
      <c r="BA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6" t="s">
        <v>79</v>
      </c>
      <c r="G29" s="2" t="n">
        <v>66</v>
      </c>
      <c r="I29" s="2" t="n">
        <v>64</v>
      </c>
      <c r="BA29" s="0" t="n">
        <v>1</v>
      </c>
      <c r="BB29" s="0" t="s">
        <v>80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6" t="s">
        <v>78</v>
      </c>
      <c r="G30" s="2" t="n">
        <v>51</v>
      </c>
      <c r="I30" s="2" t="n">
        <v>68</v>
      </c>
      <c r="O30" s="0" t="s">
        <v>55</v>
      </c>
      <c r="P30" s="0" t="s">
        <v>71</v>
      </c>
      <c r="Q30" s="3" t="n">
        <v>4.53</v>
      </c>
      <c r="T30" s="2" t="n">
        <v>9714</v>
      </c>
      <c r="U30" s="3" t="n">
        <f aca="false">72/60</f>
        <v>1.2</v>
      </c>
      <c r="X30" s="3" t="n">
        <f aca="false">Q30/U30</f>
        <v>3.775</v>
      </c>
      <c r="Y30" s="0" t="n">
        <v>1</v>
      </c>
      <c r="Z30" s="3" t="n">
        <f aca="false">Q30/Y30</f>
        <v>4.53</v>
      </c>
      <c r="AA30" s="3" t="n">
        <f aca="false">16+1/60</f>
        <v>16.0166666666667</v>
      </c>
      <c r="AB30" s="2" t="n">
        <v>85</v>
      </c>
      <c r="AC30" s="2" t="n">
        <v>595</v>
      </c>
      <c r="AD30" s="2" t="n">
        <v>110</v>
      </c>
      <c r="AE30" s="0" t="n">
        <v>136</v>
      </c>
      <c r="AF30" s="3" t="n">
        <f aca="false">15+39.1/60</f>
        <v>15.6516666666667</v>
      </c>
      <c r="AG30" s="3" t="n">
        <f aca="false">15+59.3/60</f>
        <v>15.9883333333333</v>
      </c>
      <c r="AH30" s="3" t="n">
        <f aca="false">15+57.9/60</f>
        <v>15.965</v>
      </c>
      <c r="AI30" s="3" t="n">
        <f aca="false">16+14.4/60</f>
        <v>16.24</v>
      </c>
      <c r="AJ30" s="3" t="n">
        <f aca="false">60/3.7</f>
        <v>16.2162162162162</v>
      </c>
      <c r="AP30" s="0" t="n">
        <v>0</v>
      </c>
      <c r="AQ30" s="0" t="n">
        <v>0</v>
      </c>
      <c r="AY30" s="0" t="s">
        <v>57</v>
      </c>
      <c r="AZ30" s="0" t="s">
        <v>58</v>
      </c>
      <c r="BA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59</v>
      </c>
      <c r="G31" s="2" t="n">
        <v>58</v>
      </c>
      <c r="I31" s="2" t="n">
        <v>60</v>
      </c>
      <c r="O31" s="0" t="s">
        <v>55</v>
      </c>
      <c r="P31" s="0" t="s">
        <v>73</v>
      </c>
      <c r="Q31" s="3" t="n">
        <v>5.29</v>
      </c>
      <c r="T31" s="2" t="n">
        <v>11153</v>
      </c>
      <c r="U31" s="3" t="n">
        <f aca="false">86/60</f>
        <v>1.43333333333333</v>
      </c>
      <c r="X31" s="3" t="n">
        <f aca="false">Q31/U31</f>
        <v>3.6906976744186</v>
      </c>
      <c r="Y31" s="0" t="n">
        <v>1</v>
      </c>
      <c r="Z31" s="3" t="n">
        <f aca="false">Q31/Y31</f>
        <v>5.29</v>
      </c>
      <c r="AA31" s="3" t="n">
        <f aca="false">16+13/60</f>
        <v>16.2166666666667</v>
      </c>
      <c r="AB31" s="2" t="n">
        <v>243</v>
      </c>
      <c r="AC31" s="2" t="n">
        <v>617</v>
      </c>
      <c r="AD31" s="2" t="n">
        <v>99</v>
      </c>
      <c r="AE31" s="0" t="n">
        <v>130</v>
      </c>
      <c r="AF31" s="3" t="n">
        <f aca="false">15+55.2/60</f>
        <v>15.92</v>
      </c>
      <c r="AG31" s="3" t="n">
        <f aca="false">16+43.7/60</f>
        <v>16.7283333333333</v>
      </c>
      <c r="AH31" s="3" t="n">
        <f aca="false">16+18.3/60</f>
        <v>16.305</v>
      </c>
      <c r="AI31" s="3" t="n">
        <f aca="false">15+49.8/60</f>
        <v>15.83</v>
      </c>
      <c r="AJ31" s="3" t="n">
        <f aca="false">60/3.7</f>
        <v>16.2162162162162</v>
      </c>
      <c r="AP31" s="0" t="n">
        <v>0</v>
      </c>
      <c r="AQ31" s="0" t="n">
        <v>1</v>
      </c>
      <c r="AY31" s="0" t="s">
        <v>57</v>
      </c>
      <c r="AZ31" s="0" t="s">
        <v>58</v>
      </c>
      <c r="BA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54</v>
      </c>
      <c r="G32" s="2" t="n">
        <v>62</v>
      </c>
      <c r="I32" s="2" t="n">
        <v>80</v>
      </c>
      <c r="O32" s="0" t="s">
        <v>55</v>
      </c>
      <c r="P32" s="0" t="s">
        <v>74</v>
      </c>
      <c r="Q32" s="3" t="n">
        <v>5.13</v>
      </c>
      <c r="T32" s="2" t="n">
        <v>10892</v>
      </c>
      <c r="U32" s="3" t="n">
        <f aca="false">82/60</f>
        <v>1.36666666666667</v>
      </c>
      <c r="X32" s="3" t="n">
        <f aca="false">Q32/U32</f>
        <v>3.75365853658537</v>
      </c>
      <c r="Y32" s="0" t="n">
        <v>1</v>
      </c>
      <c r="Z32" s="3" t="n">
        <f aca="false">Q32/Y32</f>
        <v>5.13</v>
      </c>
      <c r="AA32" s="3" t="n">
        <f aca="false">16+5/60</f>
        <v>16.0833333333333</v>
      </c>
      <c r="AB32" s="2" t="n">
        <v>217</v>
      </c>
      <c r="AC32" s="2" t="n">
        <v>673</v>
      </c>
      <c r="AD32" s="2" t="n">
        <v>104</v>
      </c>
      <c r="AE32" s="0" t="n">
        <v>143</v>
      </c>
      <c r="AF32" s="3" t="n">
        <f aca="false">15+56.6/60</f>
        <v>15.9433333333333</v>
      </c>
      <c r="AG32" s="3" t="n">
        <f aca="false">15+55.7/60</f>
        <v>15.9283333333333</v>
      </c>
      <c r="AH32" s="3" t="n">
        <f aca="false">16+6.8/60</f>
        <v>16.1133333333333</v>
      </c>
      <c r="AI32" s="3" t="n">
        <f aca="false">16+28.8/60</f>
        <v>16.48</v>
      </c>
      <c r="AJ32" s="3" t="n">
        <f aca="false">60/3.7</f>
        <v>16.2162162162162</v>
      </c>
      <c r="AP32" s="0" t="n">
        <v>0</v>
      </c>
      <c r="AQ32" s="0" t="n">
        <v>1</v>
      </c>
      <c r="AY32" s="0" t="s">
        <v>57</v>
      </c>
      <c r="AZ32" s="0" t="s">
        <v>58</v>
      </c>
      <c r="BA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6" t="s">
        <v>54</v>
      </c>
      <c r="G33" s="2" t="n">
        <v>68</v>
      </c>
      <c r="I33" s="2" t="n">
        <v>81</v>
      </c>
      <c r="O33" s="0" t="s">
        <v>55</v>
      </c>
      <c r="P33" s="0" t="s">
        <v>77</v>
      </c>
      <c r="Q33" s="3" t="n">
        <v>4.76</v>
      </c>
      <c r="T33" s="2" t="n">
        <v>9868</v>
      </c>
      <c r="U33" s="3" t="n">
        <f aca="false">75/60</f>
        <v>1.25</v>
      </c>
      <c r="X33" s="3" t="n">
        <f aca="false">Q33/U33</f>
        <v>3.808</v>
      </c>
      <c r="Y33" s="0" t="n">
        <v>1</v>
      </c>
      <c r="Z33" s="3" t="n">
        <f aca="false">Q33/Y33</f>
        <v>4.76</v>
      </c>
      <c r="AA33" s="3" t="n">
        <f aca="false">15+46/60</f>
        <v>15.7666666666667</v>
      </c>
      <c r="AB33" s="2" t="n">
        <v>95</v>
      </c>
      <c r="AC33" s="2" t="n">
        <v>513</v>
      </c>
      <c r="AD33" s="2" t="n">
        <v>80</v>
      </c>
      <c r="AE33" s="0" t="n">
        <v>111</v>
      </c>
      <c r="AF33" s="3" t="n">
        <f aca="false">15+19.9/60</f>
        <v>15.3316666666667</v>
      </c>
      <c r="AG33" s="3" t="n">
        <f aca="false">15+38/60</f>
        <v>15.6333333333333</v>
      </c>
      <c r="AH33" s="3" t="n">
        <f aca="false">15+54.7/60</f>
        <v>15.9116666666667</v>
      </c>
      <c r="AI33" s="3" t="n">
        <f aca="false">15+37.4/60</f>
        <v>15.6233333333333</v>
      </c>
      <c r="AJ33" s="3" t="n">
        <f aca="false">60/3.8</f>
        <v>15.7894736842105</v>
      </c>
      <c r="AP33" s="0" t="n">
        <v>0</v>
      </c>
      <c r="AQ33" s="0" t="n">
        <v>0</v>
      </c>
      <c r="AY33" s="0" t="s">
        <v>57</v>
      </c>
      <c r="AZ33" s="0" t="s">
        <v>58</v>
      </c>
      <c r="BA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59</v>
      </c>
      <c r="G34" s="2" t="n">
        <v>86</v>
      </c>
      <c r="I34" s="2" t="n">
        <v>20</v>
      </c>
      <c r="O34" s="0" t="s">
        <v>64</v>
      </c>
      <c r="P34" s="0" t="s">
        <v>72</v>
      </c>
      <c r="Q34" s="3" t="n">
        <v>4.75</v>
      </c>
      <c r="U34" s="3" t="n">
        <f aca="false">(60+15)/60</f>
        <v>1.25</v>
      </c>
      <c r="X34" s="3" t="n">
        <f aca="false">Q34/U34</f>
        <v>3.8</v>
      </c>
      <c r="Y34" s="0" t="n">
        <v>2</v>
      </c>
      <c r="Z34" s="3" t="n">
        <f aca="false">Q34/Y34</f>
        <v>2.375</v>
      </c>
      <c r="AA34" s="3" t="n">
        <f aca="false">15+53/60</f>
        <v>15.8833333333333</v>
      </c>
      <c r="AB34" s="2" t="n">
        <v>125</v>
      </c>
      <c r="AC34" s="2" t="n">
        <v>706</v>
      </c>
      <c r="AD34" s="2" t="n">
        <v>106</v>
      </c>
      <c r="AE34" s="0" t="n">
        <v>150</v>
      </c>
      <c r="AF34" s="3" t="n">
        <f aca="false">15+5.2/60</f>
        <v>15.0866666666667</v>
      </c>
      <c r="AG34" s="3" t="n">
        <f aca="false">15+48/60</f>
        <v>15.8</v>
      </c>
      <c r="AH34" s="3" t="n">
        <f aca="false">16+12.7/60</f>
        <v>16.2116666666667</v>
      </c>
      <c r="AI34" s="3" t="n">
        <f aca="false">15+37.3/60</f>
        <v>15.6216666666667</v>
      </c>
      <c r="AJ34" s="3" t="n">
        <f aca="false">60/3.6</f>
        <v>16.6666666666667</v>
      </c>
      <c r="AP34" s="0" t="n">
        <v>2</v>
      </c>
      <c r="AQ34" s="0" t="n">
        <v>0</v>
      </c>
      <c r="AY34" s="0" t="s">
        <v>57</v>
      </c>
      <c r="AZ34" s="0" t="s">
        <v>58</v>
      </c>
      <c r="BA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59</v>
      </c>
      <c r="G35" s="2" t="n">
        <v>87</v>
      </c>
      <c r="I35" s="2" t="n">
        <v>40</v>
      </c>
      <c r="O35" s="0" t="s">
        <v>64</v>
      </c>
      <c r="P35" s="0" t="s">
        <v>61</v>
      </c>
      <c r="Q35" s="3" t="n">
        <v>4.61</v>
      </c>
      <c r="U35" s="3" t="n">
        <f aca="false">(60+17+20/60)/60</f>
        <v>1.28888888888889</v>
      </c>
      <c r="X35" s="3" t="n">
        <f aca="false">Q35/U35</f>
        <v>3.57672413793103</v>
      </c>
      <c r="Y35" s="0" t="n">
        <v>1</v>
      </c>
      <c r="Z35" s="3" t="n">
        <f aca="false">Q35/Y35</f>
        <v>4.61</v>
      </c>
      <c r="AA35" s="3" t="n">
        <f aca="false">16+48/60</f>
        <v>16.8</v>
      </c>
      <c r="AB35" s="2" t="n">
        <v>256</v>
      </c>
      <c r="AC35" s="2" t="n">
        <v>980</v>
      </c>
      <c r="AD35" s="2" t="n">
        <v>131</v>
      </c>
      <c r="AE35" s="0" t="n">
        <v>159</v>
      </c>
      <c r="AF35" s="3" t="n">
        <f aca="false">15+37.8/60</f>
        <v>15.63</v>
      </c>
      <c r="AG35" s="3" t="n">
        <f aca="false">16+18.2/60</f>
        <v>16.3033333333333</v>
      </c>
      <c r="AH35" s="3" t="n">
        <f aca="false">15+56.2/60</f>
        <v>15.9366666666667</v>
      </c>
      <c r="AI35" s="3" t="n">
        <f aca="false">17+53.6/60</f>
        <v>17.8933333333333</v>
      </c>
      <c r="AJ35" s="3" t="n">
        <f aca="false">60/3.1</f>
        <v>19.3548387096774</v>
      </c>
      <c r="AP35" s="0" t="n">
        <v>5</v>
      </c>
      <c r="AQ35" s="0" t="n">
        <v>0</v>
      </c>
      <c r="AY35" s="0" t="s">
        <v>57</v>
      </c>
      <c r="AZ35" s="0" t="s">
        <v>58</v>
      </c>
      <c r="BA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59</v>
      </c>
      <c r="G36" s="2" t="n">
        <v>82</v>
      </c>
      <c r="I36" s="2" t="n">
        <v>50</v>
      </c>
      <c r="O36" s="0" t="s">
        <v>64</v>
      </c>
      <c r="P36" s="0" t="s">
        <v>63</v>
      </c>
      <c r="Q36" s="3" t="n">
        <v>4.87</v>
      </c>
      <c r="T36" s="2" t="n">
        <v>11631</v>
      </c>
      <c r="U36" s="3" t="n">
        <f aca="false">1+25/60</f>
        <v>1.41666666666667</v>
      </c>
      <c r="X36" s="3" t="n">
        <f aca="false">Q36/U36</f>
        <v>3.43764705882353</v>
      </c>
      <c r="Y36" s="0" t="n">
        <v>1</v>
      </c>
      <c r="Z36" s="3" t="n">
        <f aca="false">Q36/Y36</f>
        <v>4.87</v>
      </c>
      <c r="AA36" s="3" t="n">
        <f aca="false">17+27/60</f>
        <v>17.45</v>
      </c>
      <c r="AB36" s="2" t="n">
        <v>249</v>
      </c>
      <c r="AC36" s="2" t="n">
        <v>777</v>
      </c>
      <c r="AD36" s="2" t="n">
        <v>109</v>
      </c>
      <c r="AE36" s="0" t="n">
        <v>150</v>
      </c>
      <c r="AF36" s="3" t="n">
        <f aca="false">16+53.3/60</f>
        <v>16.8883333333333</v>
      </c>
      <c r="AG36" s="3" t="n">
        <f aca="false">16+27/60</f>
        <v>16.45</v>
      </c>
      <c r="AH36" s="3" t="n">
        <f aca="false">17+25.8/60</f>
        <v>17.43</v>
      </c>
      <c r="AI36" s="3" t="n">
        <f aca="false">17+1/60</f>
        <v>17.0166666666667</v>
      </c>
      <c r="AJ36" s="3" t="n">
        <f aca="false">60/3</f>
        <v>20</v>
      </c>
      <c r="AP36" s="0" t="n">
        <v>5</v>
      </c>
      <c r="AQ36" s="0" t="n">
        <v>0</v>
      </c>
      <c r="AY36" s="0" t="s">
        <v>57</v>
      </c>
      <c r="AZ36" s="0" t="s">
        <v>58</v>
      </c>
      <c r="BA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78</v>
      </c>
      <c r="G37" s="2" t="n">
        <v>83</v>
      </c>
      <c r="I37" s="2" t="n">
        <v>56</v>
      </c>
      <c r="O37" s="0" t="s">
        <v>55</v>
      </c>
      <c r="P37" s="0" t="s">
        <v>71</v>
      </c>
      <c r="Q37" s="3" t="n">
        <v>4.41</v>
      </c>
      <c r="T37" s="2" t="n">
        <v>9542</v>
      </c>
      <c r="U37" s="3" t="n">
        <f aca="false">75/60</f>
        <v>1.25</v>
      </c>
      <c r="X37" s="3" t="n">
        <f aca="false">Q37/U37</f>
        <v>3.528</v>
      </c>
      <c r="Y37" s="0" t="n">
        <v>1</v>
      </c>
      <c r="Z37" s="3" t="n">
        <f aca="false">Q37/Y37</f>
        <v>4.41</v>
      </c>
      <c r="AA37" s="3" t="n">
        <f aca="false">16+59/60</f>
        <v>16.9833333333333</v>
      </c>
      <c r="AB37" s="2" t="n">
        <v>190</v>
      </c>
      <c r="AC37" s="2" t="n">
        <v>473</v>
      </c>
      <c r="AD37" s="2" t="n">
        <v>71</v>
      </c>
      <c r="AE37" s="0" t="n">
        <v>111</v>
      </c>
      <c r="AF37" s="3" t="n">
        <f aca="false">16+7.9/60</f>
        <v>16.1316666666667</v>
      </c>
      <c r="AG37" s="3" t="n">
        <f aca="false">16+28.5/60</f>
        <v>16.475</v>
      </c>
      <c r="AH37" s="3" t="n">
        <f aca="false">16+49.9/60</f>
        <v>16.8316666666667</v>
      </c>
      <c r="AI37" s="3" t="n">
        <f aca="false">18+0.7/60</f>
        <v>18.0116666666667</v>
      </c>
      <c r="AJ37" s="3" t="n">
        <f aca="false">60/3.3</f>
        <v>18.1818181818182</v>
      </c>
      <c r="AP37" s="0" t="n">
        <v>3</v>
      </c>
      <c r="AQ37" s="0" t="n">
        <v>0</v>
      </c>
      <c r="AY37" s="0" t="s">
        <v>57</v>
      </c>
      <c r="AZ37" s="0" t="s">
        <v>58</v>
      </c>
      <c r="BA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59</v>
      </c>
      <c r="G38" s="2" t="n">
        <v>74</v>
      </c>
      <c r="I38" s="2" t="n">
        <v>19</v>
      </c>
      <c r="O38" s="0" t="s">
        <v>64</v>
      </c>
      <c r="P38" s="0" t="s">
        <v>81</v>
      </c>
      <c r="Q38" s="3" t="n">
        <v>6.55</v>
      </c>
      <c r="T38" s="2" t="n">
        <v>11504</v>
      </c>
      <c r="U38" s="3" t="n">
        <f aca="false">1+46/60</f>
        <v>1.76666666666667</v>
      </c>
      <c r="X38" s="3" t="n">
        <f aca="false">Q38/U38</f>
        <v>3.70754716981132</v>
      </c>
      <c r="Y38" s="0" t="n">
        <v>1</v>
      </c>
      <c r="Z38" s="3" t="n">
        <f aca="false">Q38/Y38</f>
        <v>6.55</v>
      </c>
      <c r="AA38" s="3" t="n">
        <f aca="false">16+13/60</f>
        <v>16.2166666666667</v>
      </c>
      <c r="AB38" s="2" t="n">
        <v>69</v>
      </c>
      <c r="AC38" s="2" t="n">
        <v>1364</v>
      </c>
      <c r="AD38" s="2" t="n">
        <v>133</v>
      </c>
      <c r="AE38" s="0" t="n">
        <v>156</v>
      </c>
      <c r="AF38" s="3" t="n">
        <f aca="false">15+17.3/60</f>
        <v>15.2883333333333</v>
      </c>
      <c r="AG38" s="3" t="n">
        <f aca="false">16+31.1/60</f>
        <v>16.5183333333333</v>
      </c>
      <c r="AH38" s="3" t="n">
        <f aca="false">16+33</f>
        <v>49</v>
      </c>
      <c r="AI38" s="3" t="n">
        <f aca="false">16+33.6/60</f>
        <v>16.56</v>
      </c>
      <c r="AJ38" s="3" t="n">
        <f aca="false">17+91.3/60</f>
        <v>18.5216666666667</v>
      </c>
      <c r="AK38" s="3" t="n">
        <f aca="false">16+3.7/60</f>
        <v>16.0616666666667</v>
      </c>
      <c r="AL38" s="3" t="n">
        <f aca="false">60/3.7</f>
        <v>16.2162162162162</v>
      </c>
      <c r="AP38" s="0" t="n">
        <v>3</v>
      </c>
      <c r="AQ38" s="0" t="n">
        <v>0</v>
      </c>
      <c r="AY38" s="0" t="s">
        <v>57</v>
      </c>
      <c r="AZ38" s="0" t="s">
        <v>58</v>
      </c>
      <c r="BA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68</v>
      </c>
      <c r="F39" s="6" t="s">
        <v>59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82</v>
      </c>
      <c r="F40" s="6" t="s">
        <v>83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54</v>
      </c>
      <c r="G41" s="2" t="n">
        <v>48</v>
      </c>
      <c r="I41" s="2" t="n">
        <v>55</v>
      </c>
      <c r="O41" s="0" t="s">
        <v>55</v>
      </c>
      <c r="P41" s="0" t="s">
        <v>72</v>
      </c>
      <c r="Q41" s="3" t="n">
        <v>6.48</v>
      </c>
      <c r="T41" s="2" t="n">
        <v>13160</v>
      </c>
      <c r="U41" s="3" t="n">
        <f aca="false">101/60</f>
        <v>1.68333333333333</v>
      </c>
      <c r="X41" s="3" t="n">
        <f aca="false">Q41/U41</f>
        <v>3.84950495049505</v>
      </c>
      <c r="Y41" s="0" t="n">
        <v>1</v>
      </c>
      <c r="Z41" s="3" t="n">
        <f aca="false">Q41/Y41</f>
        <v>6.48</v>
      </c>
      <c r="AA41" s="3" t="n">
        <f aca="false">16+13/60</f>
        <v>16.2166666666667</v>
      </c>
      <c r="AB41" s="2" t="n">
        <v>180</v>
      </c>
      <c r="AC41" s="2" t="n">
        <v>1124</v>
      </c>
      <c r="AD41" s="2" t="n">
        <v>126</v>
      </c>
      <c r="AE41" s="0" t="n">
        <v>152</v>
      </c>
      <c r="AF41" s="3" t="n">
        <f aca="false">15+44.8/60</f>
        <v>15.7466666666667</v>
      </c>
      <c r="AG41" s="3" t="n">
        <f aca="false">15+20.8/60</f>
        <v>15.3466666666667</v>
      </c>
      <c r="AH41" s="3" t="n">
        <f aca="false">15+37.9/60</f>
        <v>15.6316666666667</v>
      </c>
      <c r="AI41" s="3" t="n">
        <f aca="false">15+55.5/60</f>
        <v>15.925</v>
      </c>
      <c r="AJ41" s="3" t="n">
        <f aca="false">15+19/60</f>
        <v>15.3166666666667</v>
      </c>
      <c r="AK41" s="3" t="n">
        <f aca="false">15+29.2/60</f>
        <v>15.4866666666667</v>
      </c>
      <c r="AL41" s="3" t="n">
        <f aca="false">60/3.9</f>
        <v>15.3846153846154</v>
      </c>
      <c r="AP41" s="0" t="n">
        <v>1</v>
      </c>
      <c r="AQ41" s="0" t="n">
        <v>0</v>
      </c>
      <c r="AY41" s="0" t="s">
        <v>57</v>
      </c>
      <c r="AZ41" s="0" t="s">
        <v>58</v>
      </c>
      <c r="BA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59</v>
      </c>
      <c r="G42" s="2" t="n">
        <v>72</v>
      </c>
      <c r="I42" s="2" t="n">
        <v>50</v>
      </c>
      <c r="O42" s="0" t="s">
        <v>64</v>
      </c>
      <c r="P42" s="0" t="s">
        <v>76</v>
      </c>
      <c r="Q42" s="3" t="n">
        <v>6.14</v>
      </c>
      <c r="T42" s="2" t="n">
        <v>12629</v>
      </c>
      <c r="U42" s="3" t="n">
        <f aca="false">94/60</f>
        <v>1.56666666666667</v>
      </c>
      <c r="X42" s="3" t="n">
        <f aca="false">Q42/U42</f>
        <v>3.91914893617021</v>
      </c>
      <c r="Y42" s="0" t="n">
        <v>1</v>
      </c>
      <c r="Z42" s="3" t="n">
        <f aca="false">Q42/Y42</f>
        <v>6.14</v>
      </c>
      <c r="AA42" s="3" t="n">
        <f aca="false">15+15/60</f>
        <v>15.25</v>
      </c>
      <c r="AB42" s="2" t="n">
        <v>72</v>
      </c>
      <c r="AC42" s="2" t="n">
        <v>668</v>
      </c>
      <c r="AD42" s="2" t="n">
        <v>84</v>
      </c>
      <c r="AE42" s="0" t="n">
        <v>107</v>
      </c>
      <c r="AF42" s="3" t="n">
        <f aca="false">15+33.4/60</f>
        <v>15.5566666666667</v>
      </c>
      <c r="AG42" s="3" t="n">
        <f aca="false">15+6.8/60</f>
        <v>15.1133333333333</v>
      </c>
      <c r="AH42" s="3" t="n">
        <f aca="false">15+17.2/60</f>
        <v>15.2866666666667</v>
      </c>
      <c r="AI42" s="3" t="n">
        <f aca="false">15+10.1/60</f>
        <v>15.1683333333333</v>
      </c>
      <c r="AJ42" s="3" t="n">
        <f aca="false">15+21.9/60</f>
        <v>15.365</v>
      </c>
      <c r="AK42" s="3" t="n">
        <f aca="false">15+21.9/60</f>
        <v>15.365</v>
      </c>
      <c r="AL42" s="3" t="n">
        <f aca="false">60/4</f>
        <v>15</v>
      </c>
      <c r="AP42" s="0" t="n">
        <v>1</v>
      </c>
      <c r="AQ42" s="0" t="n">
        <v>0</v>
      </c>
      <c r="AY42" s="0" t="s">
        <v>57</v>
      </c>
      <c r="AZ42" s="0" t="s">
        <v>58</v>
      </c>
      <c r="BA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54</v>
      </c>
      <c r="G43" s="2" t="n">
        <v>69</v>
      </c>
      <c r="I43" s="2" t="n">
        <v>73</v>
      </c>
      <c r="O43" s="0" t="s">
        <v>64</v>
      </c>
      <c r="P43" s="0" t="s">
        <v>71</v>
      </c>
      <c r="Q43" s="3" t="n">
        <v>4.5</v>
      </c>
      <c r="U43" s="3" t="n">
        <f aca="false">72/60</f>
        <v>1.2</v>
      </c>
      <c r="X43" s="3" t="n">
        <f aca="false">Q43/U43</f>
        <v>3.75</v>
      </c>
      <c r="Y43" s="0" t="n">
        <v>1</v>
      </c>
      <c r="Z43" s="3" t="n">
        <f aca="false">Q43/Y43</f>
        <v>4.5</v>
      </c>
      <c r="AA43" s="3" t="n">
        <f aca="false">15+59/60</f>
        <v>15.9833333333333</v>
      </c>
      <c r="AB43" s="2" t="n">
        <v>102</v>
      </c>
      <c r="AC43" s="2" t="n">
        <v>570</v>
      </c>
      <c r="AD43" s="2" t="n">
        <v>101</v>
      </c>
      <c r="AE43" s="0" t="n">
        <v>136</v>
      </c>
      <c r="AF43" s="3" t="n">
        <f aca="false">15+52/60</f>
        <v>15.8666666666667</v>
      </c>
      <c r="AG43" s="3" t="n">
        <f aca="false">15+59.6/60</f>
        <v>15.9933333333333</v>
      </c>
      <c r="AH43" s="3" t="n">
        <f aca="false">16+30.4/60</f>
        <v>16.5066666666667</v>
      </c>
      <c r="AI43" s="3" t="n">
        <f aca="false">16+28/60</f>
        <v>16.4666666666667</v>
      </c>
      <c r="AJ43" s="3" t="n">
        <f aca="false">60/3.7</f>
        <v>16.2162162162162</v>
      </c>
      <c r="AP43" s="0" t="n">
        <v>0</v>
      </c>
      <c r="AQ43" s="0" t="n">
        <v>0</v>
      </c>
      <c r="AY43" s="0" t="s">
        <v>57</v>
      </c>
      <c r="AZ43" s="0" t="s">
        <v>58</v>
      </c>
      <c r="BA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82</v>
      </c>
      <c r="F44" s="0" t="s">
        <v>54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82</v>
      </c>
      <c r="F45" s="0" t="s">
        <v>54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82</v>
      </c>
      <c r="F46" s="0" t="s">
        <v>54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59</v>
      </c>
      <c r="G47" s="2" t="n">
        <v>71</v>
      </c>
      <c r="I47" s="2" t="n">
        <v>70</v>
      </c>
      <c r="O47" s="0" t="s">
        <v>64</v>
      </c>
      <c r="P47" s="0" t="s">
        <v>73</v>
      </c>
      <c r="Q47" s="3" t="n">
        <v>5.12</v>
      </c>
      <c r="U47" s="3" t="n">
        <f aca="false">(60+23)/60</f>
        <v>1.38333333333333</v>
      </c>
      <c r="X47" s="3" t="n">
        <f aca="false">Q47/U47</f>
        <v>3.70120481927711</v>
      </c>
      <c r="Y47" s="0" t="n">
        <v>1</v>
      </c>
      <c r="Z47" s="3" t="n">
        <f aca="false">Q47/Y47</f>
        <v>5.12</v>
      </c>
      <c r="AA47" s="3" t="n">
        <f aca="false">16+8/60</f>
        <v>16.1333333333333</v>
      </c>
      <c r="AB47" s="2" t="n">
        <v>203</v>
      </c>
      <c r="AC47" s="2" t="n">
        <v>842</v>
      </c>
      <c r="AD47" s="2" t="n">
        <v>120</v>
      </c>
      <c r="AE47" s="0" t="n">
        <v>151</v>
      </c>
      <c r="AF47" s="3" t="n">
        <f aca="false">15+49.1/60</f>
        <v>15.8183333333333</v>
      </c>
      <c r="AG47" s="3" t="n">
        <f aca="false">16+46.2/60</f>
        <v>16.77</v>
      </c>
      <c r="AH47" s="3" t="n">
        <f aca="false">16+5/60</f>
        <v>16.0833333333333</v>
      </c>
      <c r="AI47" s="3" t="n">
        <f aca="false">16+5.4/60</f>
        <v>16.09</v>
      </c>
      <c r="AJ47" s="3" t="n">
        <f aca="false">16+9/60</f>
        <v>16.15</v>
      </c>
      <c r="AK47" s="3" t="n">
        <f aca="false">60/4.3</f>
        <v>13.953488372093</v>
      </c>
      <c r="AP47" s="0" t="n">
        <v>0</v>
      </c>
      <c r="AQ47" s="0" t="n">
        <v>0</v>
      </c>
      <c r="AY47" s="0" t="s">
        <v>57</v>
      </c>
      <c r="AZ47" s="0" t="s">
        <v>58</v>
      </c>
      <c r="BA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7" t="s">
        <v>59</v>
      </c>
      <c r="G48" s="2" t="n">
        <v>86</v>
      </c>
      <c r="I48" s="2" t="n">
        <v>43</v>
      </c>
      <c r="O48" s="0" t="s">
        <v>55</v>
      </c>
      <c r="P48" s="0" t="s">
        <v>74</v>
      </c>
      <c r="Q48" s="3" t="n">
        <v>4.78</v>
      </c>
      <c r="T48" s="2" t="n">
        <v>10730</v>
      </c>
      <c r="U48" s="3" t="n">
        <f aca="false">(60+23)/60</f>
        <v>1.38333333333333</v>
      </c>
      <c r="X48" s="3" t="n">
        <f aca="false">Q48/U48</f>
        <v>3.45542168674699</v>
      </c>
      <c r="Y48" s="0" t="n">
        <v>1</v>
      </c>
      <c r="Z48" s="3" t="n">
        <f aca="false">Q48/Y48</f>
        <v>4.78</v>
      </c>
      <c r="AA48" s="3" t="n">
        <f aca="false">17+2/60</f>
        <v>17.0333333333333</v>
      </c>
      <c r="AB48" s="2" t="n">
        <v>190</v>
      </c>
      <c r="AC48" s="2" t="n">
        <v>1000</v>
      </c>
      <c r="AD48" s="2" t="n">
        <v>134</v>
      </c>
      <c r="AE48" s="0" t="n">
        <v>164</v>
      </c>
      <c r="AF48" s="3" t="n">
        <f aca="false">15+58.8/60</f>
        <v>15.98</v>
      </c>
      <c r="AG48" s="3" t="n">
        <f aca="false">15+59.1/60</f>
        <v>15.985</v>
      </c>
      <c r="AH48" s="3" t="n">
        <f aca="false">17+38.5/60</f>
        <v>17.6416666666667</v>
      </c>
      <c r="AI48" s="3" t="n">
        <f aca="false">17+38.5/60</f>
        <v>17.6416666666667</v>
      </c>
      <c r="AJ48" s="3" t="n">
        <f aca="false">60/3.5</f>
        <v>17.1428571428571</v>
      </c>
      <c r="AP48" s="0" t="n">
        <v>5</v>
      </c>
      <c r="AQ48" s="0" t="n">
        <v>1</v>
      </c>
      <c r="AY48" s="0" t="s">
        <v>57</v>
      </c>
      <c r="AZ48" s="0" t="s">
        <v>58</v>
      </c>
      <c r="BA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59</v>
      </c>
      <c r="G49" s="2" t="n">
        <v>85</v>
      </c>
      <c r="I49" s="2" t="n">
        <v>55</v>
      </c>
      <c r="O49" s="0" t="s">
        <v>64</v>
      </c>
      <c r="P49" s="0" t="s">
        <v>84</v>
      </c>
      <c r="Q49" s="3" t="n">
        <v>3.52</v>
      </c>
      <c r="U49" s="3" t="n">
        <f aca="false">78/60</f>
        <v>1.3</v>
      </c>
      <c r="X49" s="3" t="n">
        <f aca="false">(60+23)/60</f>
        <v>1.38333333333333</v>
      </c>
      <c r="Y49" s="0" t="n">
        <v>2</v>
      </c>
      <c r="Z49" s="3" t="n">
        <v>1</v>
      </c>
      <c r="AA49" s="3" t="n">
        <f aca="false">22+6/60</f>
        <v>22.1</v>
      </c>
      <c r="AB49" s="2" t="n">
        <v>59</v>
      </c>
      <c r="AC49" s="2" t="n">
        <v>688</v>
      </c>
      <c r="AD49" s="2" t="n">
        <v>115</v>
      </c>
      <c r="AE49" s="2" t="n">
        <v>142</v>
      </c>
      <c r="AF49" s="3" t="n">
        <f aca="false">20+23.6/60</f>
        <v>20.3933333333333</v>
      </c>
      <c r="AG49" s="3" t="n">
        <f aca="false">24+49.2/60</f>
        <v>24.82</v>
      </c>
      <c r="AH49" s="3" t="n">
        <f aca="false">21+18.9/60</f>
        <v>21.315</v>
      </c>
      <c r="AI49" s="3" t="n">
        <f aca="false">60/2.7</f>
        <v>22.2222222222222</v>
      </c>
      <c r="AP49" s="0" t="n">
        <v>0</v>
      </c>
      <c r="AQ49" s="0" t="n">
        <v>0</v>
      </c>
      <c r="AY49" s="0" t="s">
        <v>57</v>
      </c>
      <c r="AZ49" s="0" t="s">
        <v>58</v>
      </c>
      <c r="BA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59</v>
      </c>
      <c r="G50" s="2" t="n">
        <v>88</v>
      </c>
      <c r="I50" s="2" t="n">
        <v>49</v>
      </c>
      <c r="O50" s="0" t="s">
        <v>55</v>
      </c>
      <c r="P50" s="0" t="s">
        <v>85</v>
      </c>
      <c r="Q50" s="3" t="n">
        <v>4.8</v>
      </c>
      <c r="T50" s="2" t="n">
        <v>10730</v>
      </c>
      <c r="U50" s="3" t="n">
        <f aca="false">(60+14)/60</f>
        <v>1.23333333333333</v>
      </c>
      <c r="X50" s="3" t="n">
        <f aca="false">Q50/U50</f>
        <v>3.89189189189189</v>
      </c>
      <c r="Y50" s="0" t="n">
        <v>1</v>
      </c>
      <c r="Z50" s="3" t="n">
        <f aca="false">Q50/Y50</f>
        <v>4.8</v>
      </c>
      <c r="AA50" s="3" t="n">
        <f aca="false">15+24/60</f>
        <v>15.4</v>
      </c>
      <c r="AB50" s="2" t="n">
        <v>43</v>
      </c>
      <c r="AC50" s="2" t="n">
        <v>555</v>
      </c>
      <c r="AD50" s="2" t="n">
        <v>107</v>
      </c>
      <c r="AE50" s="2" t="n">
        <v>133</v>
      </c>
      <c r="AF50" s="3" t="n">
        <f aca="false">15+15.9/60</f>
        <v>15.265</v>
      </c>
      <c r="AG50" s="3" t="n">
        <f aca="false">15+35.7/60</f>
        <v>15.595</v>
      </c>
      <c r="AH50" s="3" t="n">
        <f aca="false">15+33.1/60</f>
        <v>15.5516666666667</v>
      </c>
      <c r="AI50" s="3" t="n">
        <f aca="false">15+15.3/60</f>
        <v>15.255</v>
      </c>
      <c r="AJ50" s="3" t="n">
        <f aca="false">60/3.9</f>
        <v>15.3846153846154</v>
      </c>
      <c r="AP50" s="0" t="n">
        <v>0</v>
      </c>
      <c r="AQ50" s="0" t="n">
        <v>1</v>
      </c>
      <c r="AY50" s="0" t="s">
        <v>57</v>
      </c>
      <c r="AZ50" s="0" t="s">
        <v>58</v>
      </c>
      <c r="BA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59</v>
      </c>
      <c r="G51" s="2" t="n">
        <v>77</v>
      </c>
      <c r="I51" s="2" t="n">
        <v>71</v>
      </c>
      <c r="O51" s="0" t="s">
        <v>64</v>
      </c>
      <c r="P51" s="0" t="s">
        <v>71</v>
      </c>
      <c r="Q51" s="3" t="n">
        <v>4.48</v>
      </c>
      <c r="T51" s="2" t="n">
        <f aca="false">10135-726</f>
        <v>9409</v>
      </c>
      <c r="U51" s="3" t="n">
        <f aca="false">71/60</f>
        <v>1.18333333333333</v>
      </c>
      <c r="X51" s="3" t="n">
        <f aca="false">Q51/U51</f>
        <v>3.78591549295775</v>
      </c>
      <c r="Y51" s="0" t="n">
        <v>1</v>
      </c>
      <c r="Z51" s="3" t="n">
        <f aca="false">Q51/Y51</f>
        <v>4.48</v>
      </c>
      <c r="AA51" s="3" t="n">
        <f aca="false">15+46/60</f>
        <v>15.7666666666667</v>
      </c>
      <c r="AB51" s="2" t="n">
        <v>98</v>
      </c>
      <c r="AC51" s="2" t="n">
        <v>628</v>
      </c>
      <c r="AD51" s="2" t="n">
        <f aca="false">111</f>
        <v>111</v>
      </c>
      <c r="AE51" s="2" t="n">
        <v>144</v>
      </c>
      <c r="AF51" s="3" t="n">
        <f aca="false">15+42.1/60</f>
        <v>15.7016666666667</v>
      </c>
      <c r="AG51" s="3" t="n">
        <f aca="false">15+34.9/60</f>
        <v>15.5816666666667</v>
      </c>
      <c r="AH51" s="3" t="n">
        <f aca="false">15+24.4/60</f>
        <v>15.4066666666667</v>
      </c>
      <c r="AI51" s="3" t="n">
        <f aca="false">16+23.6/60</f>
        <v>16.3933333333333</v>
      </c>
      <c r="AJ51" s="3" t="n">
        <f aca="false">60/3.8</f>
        <v>15.7894736842105</v>
      </c>
      <c r="AP51" s="0" t="n">
        <v>1</v>
      </c>
      <c r="AQ51" s="0" t="n">
        <v>1</v>
      </c>
      <c r="AY51" s="0" t="s">
        <v>57</v>
      </c>
      <c r="AZ51" s="0" t="s">
        <v>58</v>
      </c>
      <c r="BA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68</v>
      </c>
      <c r="F52" s="0" t="s">
        <v>54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86</v>
      </c>
      <c r="F53" s="0" t="s">
        <v>78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59</v>
      </c>
      <c r="G54" s="2" t="n">
        <v>54</v>
      </c>
      <c r="I54" s="2" t="n">
        <v>45</v>
      </c>
      <c r="O54" s="0" t="s">
        <v>55</v>
      </c>
      <c r="P54" s="0" t="s">
        <v>87</v>
      </c>
      <c r="Q54" s="3" t="n">
        <v>4.48</v>
      </c>
      <c r="T54" s="2" t="n">
        <v>9655</v>
      </c>
      <c r="U54" s="3" t="n">
        <f aca="false">74/60</f>
        <v>1.23333333333333</v>
      </c>
      <c r="X54" s="3" t="n">
        <f aca="false">Q54/U54</f>
        <v>3.63243243243243</v>
      </c>
      <c r="Y54" s="0" t="n">
        <v>1</v>
      </c>
      <c r="Z54" s="3" t="n">
        <f aca="false">Q54/Y54</f>
        <v>4.48</v>
      </c>
      <c r="AA54" s="3" t="n">
        <f aca="false">16+20/60</f>
        <v>16.3333333333333</v>
      </c>
      <c r="AB54" s="2" t="n">
        <v>223</v>
      </c>
      <c r="AC54" s="2" t="n">
        <v>850</v>
      </c>
      <c r="AD54" s="2" t="n">
        <v>132</v>
      </c>
      <c r="AE54" s="2" t="n">
        <v>150</v>
      </c>
      <c r="AF54" s="3" t="n">
        <f aca="false">15+52/60</f>
        <v>15.8666666666667</v>
      </c>
      <c r="AG54" s="3" t="n">
        <f aca="false">15+53.3/60</f>
        <v>15.8883333333333</v>
      </c>
      <c r="AH54" s="3" t="n">
        <f aca="false">16+29.4/60</f>
        <v>16.49</v>
      </c>
      <c r="AI54" s="3" t="n">
        <f aca="false">16+50.6/60</f>
        <v>16.8433333333333</v>
      </c>
      <c r="AJ54" s="3" t="n">
        <f aca="false">60/3.7</f>
        <v>16.2162162162162</v>
      </c>
      <c r="AP54" s="0" t="n">
        <v>0</v>
      </c>
      <c r="AQ54" s="0" t="n">
        <v>0</v>
      </c>
      <c r="AY54" s="0" t="s">
        <v>57</v>
      </c>
      <c r="AZ54" s="0" t="s">
        <v>58</v>
      </c>
      <c r="BA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78</v>
      </c>
      <c r="G55" s="2" t="n">
        <v>55</v>
      </c>
      <c r="I55" s="2" t="n">
        <v>51</v>
      </c>
      <c r="O55" s="0" t="s">
        <v>64</v>
      </c>
      <c r="P55" s="0" t="s">
        <v>72</v>
      </c>
      <c r="Q55" s="3" t="n">
        <v>3.48</v>
      </c>
      <c r="T55" s="2" t="n">
        <v>7199</v>
      </c>
      <c r="U55" s="3" t="n">
        <f aca="false">(52+34/60)/60</f>
        <v>0.876111111111111</v>
      </c>
      <c r="X55" s="3" t="n">
        <f aca="false">Q55/U55</f>
        <v>3.9720989220038</v>
      </c>
      <c r="Y55" s="0" t="n">
        <v>1</v>
      </c>
      <c r="Z55" s="3" t="n">
        <f aca="false">Q55/Y55</f>
        <v>3.48</v>
      </c>
      <c r="AA55" s="3" t="n">
        <f aca="false">15+7/60</f>
        <v>15.1166666666667</v>
      </c>
      <c r="AB55" s="2" t="n">
        <v>92</v>
      </c>
      <c r="AC55" s="2" t="n">
        <v>572</v>
      </c>
      <c r="AD55" s="2" t="n">
        <v>134</v>
      </c>
      <c r="AE55" s="2" t="n">
        <v>149</v>
      </c>
      <c r="AF55" s="3" t="n">
        <f aca="false">14+22.5/60</f>
        <v>14.375</v>
      </c>
      <c r="AG55" s="3" t="n">
        <f aca="false">15+3.9/60</f>
        <v>15.065</v>
      </c>
      <c r="AH55" s="3" t="n">
        <f aca="false">15+26.8/60</f>
        <v>15.4466666666667</v>
      </c>
      <c r="AI55" s="3" t="n">
        <f aca="false">60/3.7</f>
        <v>16.2162162162162</v>
      </c>
      <c r="AP55" s="0" t="n">
        <v>0</v>
      </c>
      <c r="AQ55" s="0" t="n">
        <v>0</v>
      </c>
      <c r="AY55" s="0" t="s">
        <v>57</v>
      </c>
      <c r="AZ55" s="0" t="s">
        <v>58</v>
      </c>
      <c r="BA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59</v>
      </c>
      <c r="G56" s="2" t="n">
        <v>63</v>
      </c>
      <c r="I56" s="2" t="n">
        <v>71</v>
      </c>
      <c r="O56" s="0" t="s">
        <v>64</v>
      </c>
      <c r="P56" s="0" t="s">
        <v>63</v>
      </c>
      <c r="Q56" s="3" t="n">
        <v>5.74</v>
      </c>
      <c r="T56" s="2" t="n">
        <v>12068</v>
      </c>
      <c r="U56" s="3" t="n">
        <f aca="false">91/60</f>
        <v>1.51666666666667</v>
      </c>
      <c r="X56" s="3" t="n">
        <f aca="false">Q56/U56</f>
        <v>3.78461538461538</v>
      </c>
      <c r="Y56" s="0" t="n">
        <v>1</v>
      </c>
      <c r="Z56" s="3" t="n">
        <f aca="false">Q56/Y56</f>
        <v>5.74</v>
      </c>
      <c r="AA56" s="3" t="n">
        <f aca="false">15+53/60</f>
        <v>15.8833333333333</v>
      </c>
      <c r="AB56" s="2" t="n">
        <v>66</v>
      </c>
      <c r="AC56" s="2" t="n">
        <v>648</v>
      </c>
      <c r="AD56" s="2" t="n">
        <v>92</v>
      </c>
      <c r="AE56" s="2" t="n">
        <v>135</v>
      </c>
      <c r="AF56" s="3" t="n">
        <f aca="false">15+48.5/60</f>
        <v>15.8083333333333</v>
      </c>
      <c r="AG56" s="3" t="n">
        <f aca="false">15+48.8/60</f>
        <v>15.8133333333333</v>
      </c>
      <c r="AH56" s="3" t="n">
        <f aca="false">15+26.9/60</f>
        <v>15.4483333333333</v>
      </c>
      <c r="AI56" s="3" t="n">
        <f aca="false">15+47</f>
        <v>62</v>
      </c>
      <c r="AJ56" s="3" t="n">
        <f aca="false">15+49.2/60</f>
        <v>15.82</v>
      </c>
      <c r="AK56" s="3" t="n">
        <f aca="false">60/3.8</f>
        <v>15.7894736842105</v>
      </c>
      <c r="AP56" s="0" t="n">
        <v>3</v>
      </c>
      <c r="AQ56" s="0" t="n">
        <v>0</v>
      </c>
      <c r="AY56" s="0" t="s">
        <v>57</v>
      </c>
      <c r="AZ56" s="0" t="s">
        <v>58</v>
      </c>
      <c r="BA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59</v>
      </c>
      <c r="G57" s="2" t="n">
        <v>70</v>
      </c>
      <c r="I57" s="2" t="n">
        <v>40</v>
      </c>
      <c r="O57" s="0" t="s">
        <v>64</v>
      </c>
      <c r="P57" s="0" t="s">
        <v>65</v>
      </c>
      <c r="Q57" s="3" t="n">
        <v>4.47</v>
      </c>
      <c r="T57" s="2" t="n">
        <v>9272</v>
      </c>
      <c r="U57" s="3" t="n">
        <f aca="false">(71-3)/60</f>
        <v>1.13333333333333</v>
      </c>
      <c r="X57" s="3" t="n">
        <f aca="false">Q57/U57</f>
        <v>3.94411764705882</v>
      </c>
      <c r="Y57" s="0" t="n">
        <v>1</v>
      </c>
      <c r="Z57" s="3" t="n">
        <f aca="false">Q57/Y57</f>
        <v>4.47</v>
      </c>
      <c r="AA57" s="3" t="n">
        <f aca="false">15+55/60</f>
        <v>15.9166666666667</v>
      </c>
      <c r="AB57" s="2" t="n">
        <v>177</v>
      </c>
      <c r="AC57" s="2" t="n">
        <v>632</v>
      </c>
      <c r="AD57" s="2" t="n">
        <v>100</v>
      </c>
      <c r="AE57" s="2" t="n">
        <v>152</v>
      </c>
      <c r="AF57" s="3" t="n">
        <f aca="false">15+55.2/60</f>
        <v>15.92</v>
      </c>
      <c r="AG57" s="3" t="n">
        <f aca="false">16+14.3/60</f>
        <v>16.2383333333333</v>
      </c>
      <c r="AH57" s="3" t="n">
        <f aca="false">15+48.2/60</f>
        <v>15.8033333333333</v>
      </c>
      <c r="AI57" s="3" t="n">
        <f aca="false">15+41.1/60</f>
        <v>15.685</v>
      </c>
      <c r="AJ57" s="3" t="n">
        <f aca="false">60/3.8</f>
        <v>15.7894736842105</v>
      </c>
      <c r="AP57" s="0" t="n">
        <v>3</v>
      </c>
      <c r="AQ57" s="0" t="n">
        <v>1</v>
      </c>
      <c r="AY57" s="0" t="s">
        <v>57</v>
      </c>
      <c r="AZ57" s="0" t="s">
        <v>58</v>
      </c>
      <c r="BA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54</v>
      </c>
      <c r="G58" s="2" t="n">
        <v>53</v>
      </c>
      <c r="I58" s="2" t="n">
        <v>35</v>
      </c>
      <c r="O58" s="0" t="s">
        <v>55</v>
      </c>
      <c r="P58" s="0" t="s">
        <v>84</v>
      </c>
      <c r="Q58" s="3" t="n">
        <v>2.56</v>
      </c>
      <c r="U58" s="3" t="n">
        <f aca="false">(45+45/60)/60</f>
        <v>0.7625</v>
      </c>
      <c r="X58" s="3" t="n">
        <f aca="false">Q58/U58</f>
        <v>3.35737704918033</v>
      </c>
      <c r="Y58" s="0" t="n">
        <v>1</v>
      </c>
      <c r="Z58" s="3" t="n">
        <f aca="false">Q58/Y58</f>
        <v>2.56</v>
      </c>
      <c r="AA58" s="3" t="n">
        <f aca="false">17+54/60</f>
        <v>17.9</v>
      </c>
      <c r="AB58" s="2" t="n">
        <v>26.2</v>
      </c>
      <c r="AC58" s="2" t="n">
        <v>427</v>
      </c>
      <c r="AD58" s="2" t="n">
        <v>116</v>
      </c>
      <c r="AE58" s="2" t="n">
        <v>140</v>
      </c>
      <c r="AF58" s="3" t="n">
        <f aca="false">18+5.9/10</f>
        <v>18.59</v>
      </c>
      <c r="AG58" s="3" t="n">
        <f aca="false">17+9/60</f>
        <v>17.15</v>
      </c>
      <c r="AH58" s="3" t="n">
        <f aca="false">60/3.2</f>
        <v>18.75</v>
      </c>
      <c r="AP58" s="0" t="n">
        <v>0</v>
      </c>
      <c r="AQ58" s="0" t="n">
        <v>0</v>
      </c>
      <c r="AY58" s="0" t="s">
        <v>57</v>
      </c>
      <c r="AZ58" s="0" t="s">
        <v>58</v>
      </c>
      <c r="BA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59</v>
      </c>
      <c r="G59" s="2" t="n">
        <v>63</v>
      </c>
      <c r="I59" s="2" t="n">
        <v>48</v>
      </c>
      <c r="O59" s="0" t="s">
        <v>64</v>
      </c>
      <c r="P59" s="0" t="s">
        <v>81</v>
      </c>
      <c r="Q59" s="3" t="n">
        <v>5.92</v>
      </c>
      <c r="R59" s="2" t="n">
        <v>794</v>
      </c>
      <c r="S59" s="2" t="n">
        <v>14362</v>
      </c>
      <c r="T59" s="2" t="n">
        <f aca="false">S59-R59</f>
        <v>13568</v>
      </c>
      <c r="U59" s="3" t="n">
        <f aca="false">95/60</f>
        <v>1.58333333333333</v>
      </c>
      <c r="X59" s="3" t="n">
        <f aca="false">Q59/U59</f>
        <v>3.73894736842105</v>
      </c>
      <c r="Y59" s="0" t="n">
        <v>1</v>
      </c>
      <c r="Z59" s="3" t="n">
        <f aca="false">Q59/Y59</f>
        <v>5.92</v>
      </c>
      <c r="AA59" s="3" t="n">
        <f aca="false">16+5/60</f>
        <v>16.0833333333333</v>
      </c>
      <c r="AB59" s="2" t="n">
        <v>62</v>
      </c>
      <c r="AC59" s="2" t="n">
        <v>1308</v>
      </c>
      <c r="AD59" s="2" t="n">
        <v>142</v>
      </c>
      <c r="AE59" s="2" t="n">
        <v>158</v>
      </c>
      <c r="AF59" s="3" t="n">
        <f aca="false">15+5.9/60</f>
        <v>15.0983333333333</v>
      </c>
      <c r="AG59" s="3" t="n">
        <f aca="false">15+1.1/60</f>
        <v>15.0183333333333</v>
      </c>
      <c r="AH59" s="3" t="n">
        <f aca="false">15+11.2/60</f>
        <v>15.1866666666667</v>
      </c>
      <c r="AI59" s="3" t="n">
        <f aca="false">17+2.4/60</f>
        <v>17.04</v>
      </c>
      <c r="AJ59" s="3" t="n">
        <f aca="false">17+5.5/60</f>
        <v>17.0916666666667</v>
      </c>
      <c r="AK59" s="3" t="n">
        <f aca="false">60/3.5</f>
        <v>17.1428571428571</v>
      </c>
      <c r="AP59" s="0" t="n">
        <v>3</v>
      </c>
      <c r="AQ59" s="0" t="n">
        <v>0</v>
      </c>
      <c r="AY59" s="0" t="s">
        <v>57</v>
      </c>
      <c r="AZ59" s="0" t="s">
        <v>58</v>
      </c>
      <c r="BA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78</v>
      </c>
      <c r="G60" s="2" t="n">
        <v>78</v>
      </c>
      <c r="I60" s="2" t="n">
        <v>61</v>
      </c>
      <c r="O60" s="0" t="s">
        <v>55</v>
      </c>
      <c r="P60" s="0" t="s">
        <v>77</v>
      </c>
      <c r="Q60" s="3" t="n">
        <v>4.84</v>
      </c>
      <c r="R60" s="2" t="n">
        <v>800</v>
      </c>
      <c r="S60" s="2" t="n">
        <v>11138</v>
      </c>
      <c r="T60" s="2" t="n">
        <f aca="false">S60-R60</f>
        <v>10338</v>
      </c>
      <c r="U60" s="3" t="n">
        <f aca="false">78/60</f>
        <v>1.3</v>
      </c>
      <c r="X60" s="3" t="n">
        <f aca="false">Q60/U60</f>
        <v>3.72307692307692</v>
      </c>
      <c r="Y60" s="0" t="n">
        <v>1</v>
      </c>
      <c r="Z60" s="3" t="n">
        <f aca="false">Q60/Y60</f>
        <v>4.84</v>
      </c>
      <c r="AA60" s="3" t="n">
        <f aca="false">16+9/60</f>
        <v>16.15</v>
      </c>
      <c r="AB60" s="2" t="n">
        <v>138</v>
      </c>
      <c r="AC60" s="2" t="n">
        <v>871</v>
      </c>
      <c r="AD60" s="2" t="n">
        <v>127</v>
      </c>
      <c r="AE60" s="2" t="n">
        <v>144</v>
      </c>
      <c r="AF60" s="3" t="n">
        <f aca="false">15+25.7/60</f>
        <v>15.4283333333333</v>
      </c>
      <c r="AG60" s="3" t="n">
        <f aca="false">15+41.1/60</f>
        <v>15.685</v>
      </c>
      <c r="AH60" s="3" t="n">
        <f aca="false">15+50.5/60</f>
        <v>15.8416666666667</v>
      </c>
      <c r="AI60" s="3" t="n">
        <f aca="false">16+41.1/60</f>
        <v>16.685</v>
      </c>
      <c r="AJ60" s="3" t="n">
        <f aca="false">14+35.9/60</f>
        <v>14.5983333333333</v>
      </c>
      <c r="AP60" s="0" t="n">
        <v>2</v>
      </c>
      <c r="AQ60" s="0" t="n">
        <v>0</v>
      </c>
      <c r="AY60" s="0" t="s">
        <v>57</v>
      </c>
      <c r="AZ60" s="0" t="s">
        <v>58</v>
      </c>
      <c r="BA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78</v>
      </c>
      <c r="G61" s="2" t="n">
        <v>79</v>
      </c>
      <c r="I61" s="2" t="n">
        <v>61</v>
      </c>
      <c r="O61" s="0" t="s">
        <v>64</v>
      </c>
      <c r="P61" s="0" t="s">
        <v>72</v>
      </c>
      <c r="Q61" s="3" t="n">
        <v>4.46</v>
      </c>
      <c r="R61" s="2" t="n">
        <v>934</v>
      </c>
      <c r="S61" s="2" t="n">
        <v>10304</v>
      </c>
      <c r="T61" s="2" t="n">
        <f aca="false">S61-R61</f>
        <v>9370</v>
      </c>
      <c r="U61" s="3" t="n">
        <f aca="false">71/60</f>
        <v>1.18333333333333</v>
      </c>
      <c r="X61" s="3" t="n">
        <f aca="false">Q61/U61</f>
        <v>3.76901408450704</v>
      </c>
      <c r="Y61" s="0" t="n">
        <v>1</v>
      </c>
      <c r="Z61" s="3" t="n">
        <f aca="false">Q61/Y61</f>
        <v>4.46</v>
      </c>
      <c r="AA61" s="3" t="n">
        <f aca="false">15+55/60</f>
        <v>15.9166666666667</v>
      </c>
      <c r="AB61" s="2" t="n">
        <v>125</v>
      </c>
      <c r="AC61" s="2" t="n">
        <v>839</v>
      </c>
      <c r="AD61" s="2" t="n">
        <v>132</v>
      </c>
      <c r="AE61" s="2" t="n">
        <v>145</v>
      </c>
      <c r="AF61" s="3" t="n">
        <f aca="false">14+56.6/60</f>
        <v>14.9433333333333</v>
      </c>
      <c r="AG61" s="3" t="n">
        <f aca="false">16+18.7/60</f>
        <v>16.3116666666667</v>
      </c>
      <c r="AH61" s="3" t="n">
        <f aca="false">16+3.4/60</f>
        <v>16.0566666666667</v>
      </c>
      <c r="AI61" s="3" t="n">
        <f aca="false">16+0.082/60</f>
        <v>16.0013666666667</v>
      </c>
      <c r="AJ61" s="3" t="n">
        <f aca="false">60/3.7</f>
        <v>16.2162162162162</v>
      </c>
      <c r="AP61" s="0" t="n">
        <v>0</v>
      </c>
      <c r="AQ61" s="0" t="n">
        <v>0</v>
      </c>
      <c r="AY61" s="0" t="s">
        <v>57</v>
      </c>
      <c r="AZ61" s="0" t="s">
        <v>58</v>
      </c>
      <c r="BA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59</v>
      </c>
      <c r="G62" s="2" t="n">
        <v>83</v>
      </c>
      <c r="I62" s="2" t="n">
        <v>64</v>
      </c>
      <c r="O62" s="0" t="s">
        <v>64</v>
      </c>
      <c r="AE62" s="2"/>
      <c r="BA62" s="0" t="n">
        <v>1</v>
      </c>
      <c r="BB62" s="0" t="s">
        <v>80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59</v>
      </c>
      <c r="G63" s="2" t="n">
        <v>64</v>
      </c>
      <c r="I63" s="2" t="n">
        <v>62</v>
      </c>
      <c r="M63" s="0" t="s">
        <v>88</v>
      </c>
      <c r="O63" s="0" t="s">
        <v>55</v>
      </c>
      <c r="P63" s="0" t="s">
        <v>61</v>
      </c>
      <c r="Q63" s="3" t="n">
        <v>4.61</v>
      </c>
      <c r="R63" s="2" t="n">
        <f aca="false">AVERAGE(R59:R61)</f>
        <v>842.666666666667</v>
      </c>
      <c r="S63" s="2" t="n">
        <v>11299</v>
      </c>
      <c r="T63" s="2" t="n">
        <f aca="false">S63-R63</f>
        <v>10456.3333333333</v>
      </c>
      <c r="U63" s="3" t="n">
        <f aca="false">78/60</f>
        <v>1.3</v>
      </c>
      <c r="X63" s="3" t="n">
        <f aca="false">Q63/U63</f>
        <v>3.54615384615385</v>
      </c>
      <c r="Y63" s="0" t="n">
        <v>1</v>
      </c>
      <c r="Z63" s="3" t="n">
        <f aca="false">Q63/Y63</f>
        <v>4.61</v>
      </c>
      <c r="AA63" s="3" t="n">
        <f aca="false">17+1/60</f>
        <v>17.0166666666667</v>
      </c>
      <c r="AB63" s="2" t="n">
        <v>118</v>
      </c>
      <c r="AC63" s="2" t="n">
        <v>506</v>
      </c>
      <c r="AD63" s="2" t="n">
        <v>73</v>
      </c>
      <c r="AE63" s="2" t="n">
        <v>103</v>
      </c>
      <c r="AF63" s="3" t="n">
        <f aca="false">15.5</f>
        <v>15.5</v>
      </c>
      <c r="AG63" s="3" t="n">
        <f aca="false">16+18/60</f>
        <v>16.3</v>
      </c>
      <c r="AH63" s="3" t="n">
        <f aca="false">17+1/60</f>
        <v>17.0166666666667</v>
      </c>
      <c r="AI63" s="3" t="n">
        <f aca="false">17+46/60</f>
        <v>17.7666666666667</v>
      </c>
      <c r="AJ63" s="3" t="n">
        <f aca="false">60/3.1</f>
        <v>19.3548387096774</v>
      </c>
      <c r="AP63" s="0" t="n">
        <v>5</v>
      </c>
      <c r="AQ63" s="0" t="n">
        <v>0</v>
      </c>
      <c r="AY63" s="0" t="s">
        <v>57</v>
      </c>
      <c r="AZ63" s="0" t="s">
        <v>58</v>
      </c>
      <c r="BA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82</v>
      </c>
      <c r="F64" s="0" t="s">
        <v>54</v>
      </c>
      <c r="G64" s="2" t="n">
        <v>69</v>
      </c>
      <c r="I64" s="2" t="n">
        <v>65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59</v>
      </c>
      <c r="G65" s="2" t="n">
        <v>76</v>
      </c>
      <c r="I65" s="2" t="n">
        <v>43</v>
      </c>
      <c r="M65" s="0" t="s">
        <v>89</v>
      </c>
      <c r="O65" s="0" t="s">
        <v>55</v>
      </c>
      <c r="P65" s="0" t="s">
        <v>81</v>
      </c>
      <c r="Q65" s="3" t="n">
        <v>6.01</v>
      </c>
      <c r="R65" s="2" t="n">
        <f aca="false">AVERAGE(R59:R63)</f>
        <v>842.666666666667</v>
      </c>
      <c r="S65" s="2" t="n">
        <v>13876</v>
      </c>
      <c r="T65" s="2" t="n">
        <f aca="false">S65-R65</f>
        <v>13033.3333333333</v>
      </c>
      <c r="U65" s="3" t="n">
        <f aca="false">93/60</f>
        <v>1.55</v>
      </c>
      <c r="X65" s="3" t="n">
        <f aca="false">Q65/U65</f>
        <v>3.87741935483871</v>
      </c>
      <c r="Y65" s="0" t="n">
        <v>1</v>
      </c>
      <c r="Z65" s="3" t="n">
        <f aca="false">Q65/Y65</f>
        <v>6.01</v>
      </c>
      <c r="AA65" s="3" t="n">
        <f aca="false">15+28/60</f>
        <v>15.4666666666667</v>
      </c>
      <c r="AB65" s="2" t="n">
        <v>49</v>
      </c>
      <c r="AC65" s="2" t="n">
        <v>802</v>
      </c>
      <c r="AD65" s="2" t="n">
        <v>94</v>
      </c>
      <c r="AE65" s="2" t="n">
        <v>156</v>
      </c>
      <c r="AF65" s="3" t="n">
        <f aca="false">15+30.2/60</f>
        <v>15.5033333333333</v>
      </c>
      <c r="AG65" s="3" t="n">
        <f aca="false">15+34.4/60</f>
        <v>15.5733333333333</v>
      </c>
      <c r="AH65" s="3" t="n">
        <f aca="false">15+36.1/60</f>
        <v>15.6016666666667</v>
      </c>
      <c r="AI65" s="3" t="n">
        <f aca="false">15+40.6/60</f>
        <v>15.6766666666667</v>
      </c>
      <c r="AJ65" s="3" t="n">
        <f aca="false">15+18.1/60</f>
        <v>15.3016666666667</v>
      </c>
      <c r="AK65" s="3" t="n">
        <f aca="false">15+7.9/60</f>
        <v>15.1316666666667</v>
      </c>
      <c r="AL65" s="3" t="n">
        <f aca="false">60/3.9</f>
        <v>15.3846153846154</v>
      </c>
      <c r="AP65" s="0" t="n">
        <v>1</v>
      </c>
      <c r="AQ65" s="0" t="n">
        <v>1</v>
      </c>
      <c r="AY65" s="0" t="s">
        <v>57</v>
      </c>
      <c r="AZ65" s="0" t="s">
        <v>58</v>
      </c>
      <c r="BA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59</v>
      </c>
      <c r="G66" s="2" t="n">
        <v>81</v>
      </c>
      <c r="I66" s="2" t="n">
        <v>37</v>
      </c>
      <c r="M66" s="0" t="s">
        <v>89</v>
      </c>
      <c r="O66" s="0" t="s">
        <v>64</v>
      </c>
      <c r="P66" s="0" t="s">
        <v>87</v>
      </c>
      <c r="Q66" s="3" t="n">
        <v>5.36</v>
      </c>
      <c r="R66" s="2" t="n">
        <f aca="false">R65</f>
        <v>842.666666666667</v>
      </c>
      <c r="U66" s="3" t="n">
        <f aca="false">88/60</f>
        <v>1.46666666666667</v>
      </c>
      <c r="X66" s="3" t="n">
        <f aca="false">Q66/U66</f>
        <v>3.65454545454546</v>
      </c>
      <c r="Y66" s="0" t="n">
        <v>1</v>
      </c>
      <c r="Z66" s="3" t="n">
        <f aca="false">Q66/Y66</f>
        <v>5.36</v>
      </c>
      <c r="AA66" s="3" t="n">
        <f aca="false">16+21/60</f>
        <v>16.35</v>
      </c>
      <c r="AB66" s="2" t="n">
        <v>184</v>
      </c>
      <c r="AC66" s="2" t="n">
        <v>802</v>
      </c>
      <c r="AD66" s="2" t="n">
        <v>104</v>
      </c>
      <c r="AE66" s="2" t="n">
        <v>156</v>
      </c>
      <c r="AF66" s="3" t="n">
        <f aca="false">16+23.8/60</f>
        <v>16.3966666666667</v>
      </c>
      <c r="AG66" s="3" t="n">
        <f aca="false">15+43.3/60</f>
        <v>15.7216666666667</v>
      </c>
      <c r="AH66" s="3" t="n">
        <f aca="false">16+9.8/60</f>
        <v>16.1633333333333</v>
      </c>
      <c r="AI66" s="3" t="n">
        <f aca="false">15+51.5/60</f>
        <v>15.8583333333333</v>
      </c>
      <c r="AJ66" s="3" t="n">
        <f aca="false">17+17.3/60</f>
        <v>17.2883333333333</v>
      </c>
      <c r="AK66" s="3" t="n">
        <f aca="false">60/3.7</f>
        <v>16.2162162162162</v>
      </c>
      <c r="AP66" s="0" t="n">
        <v>0</v>
      </c>
      <c r="AQ66" s="0" t="n">
        <v>0</v>
      </c>
      <c r="AY66" s="0" t="s">
        <v>57</v>
      </c>
      <c r="AZ66" s="0" t="s">
        <v>58</v>
      </c>
      <c r="BA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59</v>
      </c>
      <c r="G67" s="2" t="n">
        <v>76</v>
      </c>
      <c r="I67" s="2" t="n">
        <v>37</v>
      </c>
      <c r="M67" s="0" t="s">
        <v>89</v>
      </c>
      <c r="O67" s="0" t="s">
        <v>55</v>
      </c>
      <c r="P67" s="0" t="s">
        <v>76</v>
      </c>
      <c r="Q67" s="3" t="n">
        <v>7.82</v>
      </c>
      <c r="R67" s="2" t="n">
        <v>749</v>
      </c>
      <c r="S67" s="2" t="n">
        <v>17135</v>
      </c>
      <c r="T67" s="2" t="n">
        <f aca="false">S67-R67</f>
        <v>16386</v>
      </c>
      <c r="U67" s="3" t="n">
        <f aca="false">120/60</f>
        <v>2</v>
      </c>
      <c r="X67" s="3" t="n">
        <f aca="false">Q67/U67</f>
        <v>3.91</v>
      </c>
      <c r="Y67" s="0" t="n">
        <v>1</v>
      </c>
      <c r="Z67" s="3" t="n">
        <f aca="false">Q67/Y67</f>
        <v>7.82</v>
      </c>
      <c r="AA67" s="3" t="n">
        <f aca="false">15+23/60</f>
        <v>15.3833333333333</v>
      </c>
      <c r="AB67" s="2" t="n">
        <v>92</v>
      </c>
      <c r="AC67" s="2" t="n">
        <v>1585</v>
      </c>
      <c r="AD67" s="2" t="n">
        <v>135</v>
      </c>
      <c r="AE67" s="2" t="n">
        <v>156</v>
      </c>
      <c r="AF67" s="3" t="n">
        <f aca="false">15+24/60</f>
        <v>15.4</v>
      </c>
      <c r="AG67" s="3" t="n">
        <f aca="false">14+41.8/60</f>
        <v>14.6966666666667</v>
      </c>
      <c r="AH67" s="3" t="n">
        <f aca="false">14+39.5/60</f>
        <v>14.6583333333333</v>
      </c>
      <c r="AI67" s="3" t="n">
        <f aca="false">15+5.8/60</f>
        <v>15.0966666666667</v>
      </c>
      <c r="AJ67" s="3" t="n">
        <f aca="false">15+48.2/60</f>
        <v>15.8033333333333</v>
      </c>
      <c r="AK67" s="3" t="n">
        <f aca="false">15+6.5/60</f>
        <v>15.1083333333333</v>
      </c>
      <c r="AL67" s="3" t="n">
        <f aca="false">15+59.2/60</f>
        <v>15.9866666666667</v>
      </c>
      <c r="AM67" s="3" t="n">
        <f aca="false">60/3.9</f>
        <v>15.3846153846154</v>
      </c>
      <c r="AP67" s="0" t="n">
        <v>4</v>
      </c>
      <c r="AQ67" s="0" t="n">
        <v>0</v>
      </c>
      <c r="AY67" s="0" t="s">
        <v>57</v>
      </c>
      <c r="AZ67" s="0" t="s">
        <v>58</v>
      </c>
      <c r="BA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59</v>
      </c>
      <c r="G68" s="2" t="n">
        <v>81</v>
      </c>
      <c r="I68" s="2" t="n">
        <v>23</v>
      </c>
      <c r="M68" s="0" t="s">
        <v>89</v>
      </c>
      <c r="O68" s="0" t="s">
        <v>64</v>
      </c>
      <c r="P68" s="0" t="s">
        <v>63</v>
      </c>
      <c r="Q68" s="3" t="n">
        <v>7.11</v>
      </c>
      <c r="R68" s="2" t="n">
        <v>1025</v>
      </c>
      <c r="S68" s="2" t="n">
        <v>16621</v>
      </c>
      <c r="T68" s="2" t="n">
        <f aca="false">S68-R68</f>
        <v>15596</v>
      </c>
      <c r="U68" s="3" t="n">
        <f aca="false">(60+56)/60</f>
        <v>1.93333333333333</v>
      </c>
      <c r="X68" s="3" t="n">
        <f aca="false">Q68/U68</f>
        <v>3.67758620689655</v>
      </c>
      <c r="Y68" s="0" t="n">
        <v>1</v>
      </c>
      <c r="Z68" s="3" t="n">
        <f aca="false">Q68/Y68</f>
        <v>7.11</v>
      </c>
      <c r="AA68" s="3" t="n">
        <f aca="false">16+15/60</f>
        <v>16.25</v>
      </c>
      <c r="AB68" s="2" t="n">
        <v>62</v>
      </c>
      <c r="AC68" s="2" t="n">
        <v>1131</v>
      </c>
      <c r="AD68" s="2" t="n">
        <v>112</v>
      </c>
      <c r="AE68" s="2" t="n">
        <v>147</v>
      </c>
      <c r="AF68" s="3" t="n">
        <f aca="false">15+29.1/60</f>
        <v>15.485</v>
      </c>
      <c r="AG68" s="3" t="n">
        <f aca="false">15+46.1/60</f>
        <v>15.7683333333333</v>
      </c>
      <c r="AH68" s="3" t="n">
        <f aca="false">16+8.2/60</f>
        <v>16.1366666666667</v>
      </c>
      <c r="AI68" s="3" t="n">
        <f aca="false">16+20/60</f>
        <v>16.3333333333333</v>
      </c>
      <c r="AJ68" s="3" t="n">
        <f aca="false">16+22.4/60</f>
        <v>16.3733333333333</v>
      </c>
      <c r="AK68" s="3" t="n">
        <f aca="false">17+8.8/60</f>
        <v>17.1466666666667</v>
      </c>
      <c r="AL68" s="3" t="n">
        <f aca="false">16+32.7/60</f>
        <v>16.545</v>
      </c>
      <c r="AM68" s="3" t="n">
        <f aca="false">60/3.8</f>
        <v>15.7894736842105</v>
      </c>
      <c r="AP68" s="0" t="n">
        <v>3</v>
      </c>
      <c r="AQ68" s="0" t="n">
        <v>1</v>
      </c>
      <c r="AY68" s="0" t="s">
        <v>57</v>
      </c>
      <c r="AZ68" s="0" t="s">
        <v>58</v>
      </c>
      <c r="BA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59</v>
      </c>
      <c r="G69" s="2" t="n">
        <v>83</v>
      </c>
      <c r="I69" s="2" t="n">
        <v>37</v>
      </c>
      <c r="M69" s="0" t="s">
        <v>89</v>
      </c>
      <c r="P69" s="0" t="s">
        <v>74</v>
      </c>
      <c r="Q69" s="3" t="n">
        <v>5.41</v>
      </c>
      <c r="R69" s="2" t="n">
        <f aca="false">AVERAGE(R59:R68)</f>
        <v>853.75</v>
      </c>
      <c r="S69" s="2" t="n">
        <v>12500</v>
      </c>
      <c r="T69" s="2" t="n">
        <f aca="false">S69-R69</f>
        <v>11646.25</v>
      </c>
      <c r="U69" s="3" t="n">
        <f aca="false">92/60</f>
        <v>1.53333333333333</v>
      </c>
      <c r="X69" s="3" t="n">
        <f aca="false">Q69/U69</f>
        <v>3.52826086956522</v>
      </c>
      <c r="Y69" s="0" t="n">
        <v>1</v>
      </c>
      <c r="Z69" s="3" t="n">
        <f aca="false">Q69/Y69</f>
        <v>5.41</v>
      </c>
      <c r="AA69" s="3" t="n">
        <f aca="false">16+59/60</f>
        <v>16.9833333333333</v>
      </c>
      <c r="AB69" s="2" t="n">
        <v>243</v>
      </c>
      <c r="AC69" s="2" t="n">
        <v>1092</v>
      </c>
      <c r="AD69" s="2" t="n">
        <v>126</v>
      </c>
      <c r="AE69" s="2" t="n">
        <v>149</v>
      </c>
      <c r="AF69" s="3" t="n">
        <f aca="false">15+51.6/60</f>
        <v>15.86</v>
      </c>
      <c r="AG69" s="3" t="n">
        <f aca="false">16+23.2/60</f>
        <v>16.3866666666667</v>
      </c>
      <c r="AH69" s="3" t="n">
        <f aca="false">16+31.3/60</f>
        <v>16.5216666666667</v>
      </c>
      <c r="AI69" s="3" t="n">
        <f aca="false">17+48.3/60</f>
        <v>17.805</v>
      </c>
      <c r="AJ69" s="3" t="n">
        <f aca="false">17+48.3/60</f>
        <v>17.805</v>
      </c>
      <c r="AK69" s="3" t="n">
        <f aca="false">60/3.5</f>
        <v>17.1428571428571</v>
      </c>
      <c r="AP69" s="0" t="n">
        <v>3</v>
      </c>
      <c r="AQ69" s="0" t="n">
        <v>2</v>
      </c>
      <c r="AY69" s="0" t="s">
        <v>57</v>
      </c>
      <c r="AZ69" s="0" t="s">
        <v>58</v>
      </c>
      <c r="BA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79</v>
      </c>
      <c r="G70" s="2" t="n">
        <v>84</v>
      </c>
      <c r="I70" s="2" t="n">
        <v>61</v>
      </c>
      <c r="M70" s="0" t="s">
        <v>89</v>
      </c>
      <c r="O70" s="0" t="s">
        <v>64</v>
      </c>
      <c r="P70" s="0" t="s">
        <v>73</v>
      </c>
      <c r="Q70" s="3" t="n">
        <v>5.18</v>
      </c>
      <c r="R70" s="2" t="n">
        <v>918</v>
      </c>
      <c r="S70" s="2" t="n">
        <v>12208</v>
      </c>
      <c r="T70" s="2" t="n">
        <f aca="false">S70-R70</f>
        <v>11290</v>
      </c>
      <c r="U70" s="3" t="n">
        <f aca="false">90/60</f>
        <v>1.5</v>
      </c>
      <c r="X70" s="3" t="n">
        <f aca="false">Q70/U70</f>
        <v>3.45333333333333</v>
      </c>
      <c r="Y70" s="0" t="n">
        <v>1</v>
      </c>
      <c r="Z70" s="3" t="n">
        <f aca="false">Q70/Y70</f>
        <v>5.18</v>
      </c>
      <c r="AA70" s="3" t="n">
        <f aca="false">17+20/60</f>
        <v>17.3333333333333</v>
      </c>
      <c r="AB70" s="2" t="n">
        <v>200</v>
      </c>
      <c r="AC70" s="2" t="n">
        <v>1154</v>
      </c>
      <c r="AD70" s="2" t="n">
        <v>133</v>
      </c>
      <c r="AE70" s="2" t="n">
        <v>153</v>
      </c>
      <c r="AF70" s="3" t="n">
        <f aca="false">16+4.6/60</f>
        <v>16.0766666666667</v>
      </c>
      <c r="AG70" s="3" t="n">
        <f aca="false">16+49.2/60</f>
        <v>16.82</v>
      </c>
      <c r="AH70" s="3" t="n">
        <f aca="false">16+55.5/60</f>
        <v>16.925</v>
      </c>
      <c r="AI70" s="3" t="n">
        <v>17</v>
      </c>
      <c r="AJ70" s="3" t="n">
        <f aca="false">19+35/60</f>
        <v>19.5833333333333</v>
      </c>
      <c r="AK70" s="3" t="n">
        <f aca="false">60/3.5</f>
        <v>17.1428571428571</v>
      </c>
      <c r="AP70" s="0" t="n">
        <v>5</v>
      </c>
      <c r="AQ70" s="0" t="n">
        <v>1</v>
      </c>
      <c r="AY70" s="0" t="s">
        <v>57</v>
      </c>
      <c r="AZ70" s="0" t="s">
        <v>58</v>
      </c>
      <c r="BA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59</v>
      </c>
      <c r="G71" s="2" t="n">
        <v>75</v>
      </c>
      <c r="I71" s="2" t="n">
        <v>77</v>
      </c>
      <c r="M71" s="0" t="s">
        <v>89</v>
      </c>
      <c r="O71" s="0" t="s">
        <v>55</v>
      </c>
      <c r="P71" s="0" t="s">
        <v>71</v>
      </c>
      <c r="Q71" s="3" t="n">
        <v>5.24</v>
      </c>
      <c r="R71" s="2" t="n">
        <f aca="false">AVERAGE(R65:R70)</f>
        <v>871.847222222222</v>
      </c>
      <c r="S71" s="2" t="n">
        <v>12034</v>
      </c>
      <c r="T71" s="2" t="n">
        <f aca="false">S71-R71</f>
        <v>11162.1527777778</v>
      </c>
      <c r="U71" s="3" t="n">
        <f aca="false">85/60</f>
        <v>1.41666666666667</v>
      </c>
      <c r="X71" s="3" t="n">
        <f aca="false">Q71/U71</f>
        <v>3.69882352941176</v>
      </c>
      <c r="Y71" s="0" t="n">
        <v>1</v>
      </c>
      <c r="Z71" s="3" t="n">
        <f aca="false">Q71/Y71</f>
        <v>5.24</v>
      </c>
      <c r="AA71" s="3" t="n">
        <f aca="false">16+9/60</f>
        <v>16.15</v>
      </c>
      <c r="AB71" s="2" t="n">
        <v>112</v>
      </c>
      <c r="AC71" s="2" t="n">
        <v>663</v>
      </c>
      <c r="AD71" s="2" t="n">
        <v>93</v>
      </c>
      <c r="AE71" s="2" t="n">
        <v>134</v>
      </c>
      <c r="AF71" s="3" t="n">
        <f aca="false">15+54/60</f>
        <v>15.9</v>
      </c>
      <c r="AG71" s="3" t="n">
        <f aca="false">15+46.2/60</f>
        <v>15.77</v>
      </c>
      <c r="AH71" s="3" t="n">
        <f aca="false">15+50.9/60</f>
        <v>15.8483333333333</v>
      </c>
      <c r="AI71" s="3" t="n">
        <f aca="false">16+27.2/60</f>
        <v>16.4533333333333</v>
      </c>
      <c r="AJ71" s="3" t="n">
        <f aca="false">16+51/60</f>
        <v>16.85</v>
      </c>
      <c r="AK71" s="3" t="n">
        <f aca="false">60/3.8</f>
        <v>15.7894736842105</v>
      </c>
      <c r="AP71" s="0" t="n">
        <v>0</v>
      </c>
      <c r="AQ71" s="0" t="n">
        <v>0</v>
      </c>
      <c r="AY71" s="0" t="s">
        <v>57</v>
      </c>
      <c r="AZ71" s="0" t="s">
        <v>58</v>
      </c>
      <c r="BA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59</v>
      </c>
      <c r="G72" s="2" t="n">
        <v>77</v>
      </c>
      <c r="I72" s="2" t="n">
        <v>32</v>
      </c>
      <c r="M72" s="0" t="s">
        <v>89</v>
      </c>
      <c r="O72" s="0" t="s">
        <v>64</v>
      </c>
      <c r="P72" s="0" t="s">
        <v>61</v>
      </c>
      <c r="Q72" s="3" t="n">
        <v>5.64</v>
      </c>
      <c r="R72" s="2" t="n">
        <v>1124</v>
      </c>
      <c r="S72" s="2" t="n">
        <v>13003</v>
      </c>
      <c r="T72" s="2" t="n">
        <f aca="false">S72-R72</f>
        <v>11879</v>
      </c>
      <c r="U72" s="3" t="n">
        <f aca="false">92/60</f>
        <v>1.53333333333333</v>
      </c>
      <c r="X72" s="3" t="n">
        <f aca="false">Q72/U72</f>
        <v>3.67826086956522</v>
      </c>
      <c r="Y72" s="0" t="n">
        <v>1</v>
      </c>
      <c r="Z72" s="3" t="n">
        <f aca="false">Q72/Y72</f>
        <v>5.64</v>
      </c>
      <c r="AA72" s="3" t="n">
        <f aca="false">16+19/60</f>
        <v>16.3166666666667</v>
      </c>
      <c r="AB72" s="2" t="n">
        <v>220</v>
      </c>
      <c r="AC72" s="2" t="n">
        <v>1024</v>
      </c>
      <c r="AD72" s="2" t="n">
        <v>122</v>
      </c>
      <c r="AE72" s="2" t="n">
        <v>147</v>
      </c>
      <c r="AF72" s="3" t="n">
        <f aca="false">16+23.8/60</f>
        <v>16.3966666666667</v>
      </c>
      <c r="AG72" s="3" t="n">
        <f aca="false">15+29.7/60</f>
        <v>15.495</v>
      </c>
      <c r="AH72" s="3" t="n">
        <f aca="false">16+4.6/60</f>
        <v>16.0766666666667</v>
      </c>
      <c r="AI72" s="3" t="n">
        <f aca="false">16+41.7/60</f>
        <v>16.695</v>
      </c>
      <c r="AJ72" s="3" t="n">
        <f aca="false">16+16.9/60</f>
        <v>16.2816666666667</v>
      </c>
      <c r="AK72" s="3" t="n">
        <f aca="false">60/3.5</f>
        <v>17.1428571428571</v>
      </c>
      <c r="AP72" s="0" t="n">
        <v>0</v>
      </c>
      <c r="AQ72" s="0" t="n">
        <v>1</v>
      </c>
      <c r="AY72" s="0" t="s">
        <v>57</v>
      </c>
      <c r="AZ72" s="0" t="s">
        <v>58</v>
      </c>
      <c r="BA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59</v>
      </c>
      <c r="G73" s="2" t="n">
        <v>71</v>
      </c>
      <c r="I73" s="2" t="n">
        <v>53</v>
      </c>
      <c r="M73" s="0" t="s">
        <v>89</v>
      </c>
      <c r="O73" s="0" t="s">
        <v>64</v>
      </c>
      <c r="P73" s="0" t="s">
        <v>81</v>
      </c>
      <c r="Q73" s="3" t="n">
        <v>6</v>
      </c>
      <c r="R73" s="2" t="n">
        <v>867</v>
      </c>
      <c r="S73" s="2" t="n">
        <v>13450</v>
      </c>
      <c r="T73" s="2" t="n">
        <f aca="false">S73-R73</f>
        <v>12583</v>
      </c>
      <c r="U73" s="3" t="n">
        <f aca="false">93/60</f>
        <v>1.55</v>
      </c>
      <c r="X73" s="3" t="n">
        <f aca="false">Q73/U73</f>
        <v>3.87096774193548</v>
      </c>
      <c r="Y73" s="0" t="n">
        <v>1</v>
      </c>
      <c r="Z73" s="3" t="n">
        <f aca="false">Q73/Y73</f>
        <v>6</v>
      </c>
      <c r="AA73" s="3" t="n">
        <f aca="false">15+30/60</f>
        <v>15.5</v>
      </c>
      <c r="AB73" s="2" t="n">
        <v>46</v>
      </c>
      <c r="AC73" s="2" t="n">
        <v>602</v>
      </c>
      <c r="AD73" s="2" t="n">
        <v>76</v>
      </c>
      <c r="AE73" s="2" t="n">
        <v>119</v>
      </c>
      <c r="AF73" s="3" t="n">
        <f aca="false">15+35.8/60</f>
        <v>15.5966666666667</v>
      </c>
      <c r="AG73" s="3" t="n">
        <f aca="false">15+17.4/60</f>
        <v>15.29</v>
      </c>
      <c r="AH73" s="3" t="n">
        <f aca="false">15+48.2/60</f>
        <v>15.8033333333333</v>
      </c>
      <c r="AI73" s="3" t="n">
        <f aca="false">15+12/60</f>
        <v>15.2</v>
      </c>
      <c r="AJ73" s="3" t="n">
        <f aca="false">15+57.9/60</f>
        <v>15.965</v>
      </c>
      <c r="AK73" s="3" t="n">
        <f aca="false">15+57.9/60</f>
        <v>15.965</v>
      </c>
      <c r="AP73" s="0" t="n">
        <v>1</v>
      </c>
      <c r="AQ73" s="0" t="n">
        <v>0</v>
      </c>
      <c r="AY73" s="0" t="s">
        <v>57</v>
      </c>
      <c r="AZ73" s="0" t="s">
        <v>58</v>
      </c>
      <c r="BA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79</v>
      </c>
      <c r="G74" s="2" t="n">
        <v>72</v>
      </c>
      <c r="I74" s="2" t="n">
        <v>71</v>
      </c>
      <c r="M74" s="0" t="s">
        <v>89</v>
      </c>
      <c r="O74" s="0" t="s">
        <v>55</v>
      </c>
      <c r="P74" s="0" t="s">
        <v>63</v>
      </c>
      <c r="Q74" s="3" t="n">
        <v>6.52</v>
      </c>
      <c r="R74" s="2" t="n">
        <f aca="false">AVERAGE(R63:R73)</f>
        <v>893.659722222222</v>
      </c>
      <c r="S74" s="2" t="n">
        <v>14258</v>
      </c>
      <c r="T74" s="2" t="n">
        <f aca="false">S74-R74</f>
        <v>13364.3402777778</v>
      </c>
      <c r="U74" s="3" t="n">
        <f aca="false">100/60</f>
        <v>1.66666666666667</v>
      </c>
      <c r="X74" s="3" t="n">
        <f aca="false">Q74/U74</f>
        <v>3.912</v>
      </c>
      <c r="Y74" s="0" t="n">
        <v>1</v>
      </c>
      <c r="Z74" s="3" t="n">
        <f aca="false">Q74/Y74</f>
        <v>6.52</v>
      </c>
      <c r="AA74" s="3" t="n">
        <f aca="false">15+20/30</f>
        <v>15.6666666666667</v>
      </c>
      <c r="AB74" s="2" t="n">
        <v>89</v>
      </c>
      <c r="AC74" s="2" t="n">
        <v>708</v>
      </c>
      <c r="AD74" s="2" t="n">
        <v>80</v>
      </c>
      <c r="AE74" s="2" t="n">
        <v>117</v>
      </c>
      <c r="AF74" s="3" t="n">
        <f aca="false">15+23.6/60</f>
        <v>15.3933333333333</v>
      </c>
      <c r="AG74" s="3" t="n">
        <f aca="false">15+7.1/60</f>
        <v>15.1183333333333</v>
      </c>
      <c r="AH74" s="3" t="n">
        <f aca="false">14+58.5/60</f>
        <v>14.975</v>
      </c>
      <c r="AI74" s="3" t="n">
        <f aca="false">15+21.2/60</f>
        <v>15.3533333333333</v>
      </c>
      <c r="AJ74" s="3" t="n">
        <f aca="false">15+14.3/60</f>
        <v>15.2383333333333</v>
      </c>
      <c r="AK74" s="3" t="n">
        <f aca="false">15+34/60</f>
        <v>15.5666666666667</v>
      </c>
      <c r="AL74" s="3" t="n">
        <f aca="false">60/3.9</f>
        <v>15.3846153846154</v>
      </c>
      <c r="AP74" s="0" t="n">
        <v>0</v>
      </c>
      <c r="AQ74" s="0" t="n">
        <v>0</v>
      </c>
      <c r="AY74" s="0" t="s">
        <v>57</v>
      </c>
      <c r="AZ74" s="0" t="s">
        <v>58</v>
      </c>
      <c r="BA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59</v>
      </c>
      <c r="G75" s="2" t="n">
        <v>84</v>
      </c>
      <c r="I75" s="2" t="n">
        <v>55</v>
      </c>
      <c r="M75" s="0" t="s">
        <v>89</v>
      </c>
      <c r="O75" s="0" t="s">
        <v>55</v>
      </c>
      <c r="P75" s="0" t="s">
        <v>72</v>
      </c>
      <c r="Q75" s="3" t="n">
        <v>5.38</v>
      </c>
      <c r="R75" s="2" t="n">
        <v>1074</v>
      </c>
      <c r="S75" s="2" t="n">
        <v>12286</v>
      </c>
      <c r="T75" s="2" t="n">
        <f aca="false">S75-R75</f>
        <v>11212</v>
      </c>
      <c r="U75" s="3" t="n">
        <f aca="false">87/60</f>
        <v>1.45</v>
      </c>
      <c r="X75" s="3" t="n">
        <f aca="false">Q75/U75</f>
        <v>3.71034482758621</v>
      </c>
      <c r="Y75" s="0" t="n">
        <v>4</v>
      </c>
      <c r="Z75" s="3" t="n">
        <f aca="false">Q75/Y75</f>
        <v>1.345</v>
      </c>
      <c r="AA75" s="3" t="n">
        <f aca="false">16+14/60</f>
        <v>16.2333333333333</v>
      </c>
      <c r="AB75" s="2" t="n">
        <v>112</v>
      </c>
      <c r="AC75" s="2" t="n">
        <v>1081</v>
      </c>
      <c r="AD75" s="2" t="n">
        <v>125</v>
      </c>
      <c r="AE75" s="2" t="n">
        <v>143</v>
      </c>
      <c r="AF75" s="3" t="n">
        <f aca="false">15+25.3/60</f>
        <v>15.4216666666667</v>
      </c>
      <c r="AG75" s="3" t="n">
        <f aca="false">16+16.4/60</f>
        <v>16.2733333333333</v>
      </c>
      <c r="AH75" s="3" t="n">
        <f aca="false">16+17.7/60</f>
        <v>16.295</v>
      </c>
      <c r="AI75" s="3" t="n">
        <f aca="false">16+12/7/60</f>
        <v>16.0285714285714</v>
      </c>
      <c r="AJ75" s="3" t="n">
        <f aca="false">60/3.7</f>
        <v>16.2162162162162</v>
      </c>
      <c r="AP75" s="0" t="n">
        <v>0</v>
      </c>
      <c r="AQ75" s="0" t="n">
        <v>0</v>
      </c>
      <c r="AY75" s="0" t="s">
        <v>57</v>
      </c>
      <c r="AZ75" s="0" t="s">
        <v>58</v>
      </c>
      <c r="BA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59</v>
      </c>
      <c r="G76" s="2" t="n">
        <v>55</v>
      </c>
      <c r="I76" s="2" t="n">
        <v>60</v>
      </c>
      <c r="M76" s="0" t="s">
        <v>89</v>
      </c>
      <c r="O76" s="0" t="s">
        <v>64</v>
      </c>
      <c r="P76" s="0" t="s">
        <v>76</v>
      </c>
      <c r="Q76" s="3" t="n">
        <v>7.91</v>
      </c>
      <c r="R76" s="2" t="n">
        <v>444</v>
      </c>
      <c r="U76" s="3" t="n">
        <f aca="false">(120+12)/60</f>
        <v>2.2</v>
      </c>
      <c r="X76" s="3" t="n">
        <f aca="false">Q76/U76</f>
        <v>3.59545454545455</v>
      </c>
      <c r="Y76" s="0" t="n">
        <v>1</v>
      </c>
      <c r="Z76" s="3" t="n">
        <f aca="false">Q76/Y76</f>
        <v>7.91</v>
      </c>
      <c r="AA76" s="3" t="n">
        <f aca="false">16+38/60</f>
        <v>16.6333333333333</v>
      </c>
      <c r="AB76" s="2" t="n">
        <v>76</v>
      </c>
      <c r="AC76" s="2" t="n">
        <v>847</v>
      </c>
      <c r="AD76" s="2" t="n">
        <v>72</v>
      </c>
      <c r="AE76" s="2" t="n">
        <v>117</v>
      </c>
      <c r="AF76" s="3" t="n">
        <f aca="false">16+23.1/60</f>
        <v>16.385</v>
      </c>
      <c r="AG76" s="3" t="n">
        <f aca="false">16+53.7/60</f>
        <v>16.895</v>
      </c>
      <c r="AH76" s="3" t="n">
        <f aca="false">16+36.3/60</f>
        <v>16.605</v>
      </c>
      <c r="AI76" s="3" t="n">
        <f aca="false">16+26/60</f>
        <v>16.4333333333333</v>
      </c>
      <c r="AJ76" s="3" t="n">
        <f aca="false">16+14.5/60</f>
        <v>16.2416666666667</v>
      </c>
      <c r="AK76" s="3" t="n">
        <f aca="false">16+13.7/60</f>
        <v>16.2283333333333</v>
      </c>
      <c r="AL76" s="3" t="n">
        <f aca="false">17+3/60</f>
        <v>17.05</v>
      </c>
      <c r="AM76" s="3" t="n">
        <f aca="false">60/3.5</f>
        <v>17.1428571428571</v>
      </c>
      <c r="AP76" s="0" t="n">
        <v>1</v>
      </c>
      <c r="AQ76" s="0" t="n">
        <v>1</v>
      </c>
      <c r="AY76" s="0" t="s">
        <v>57</v>
      </c>
      <c r="AZ76" s="0" t="s">
        <v>58</v>
      </c>
      <c r="BA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78</v>
      </c>
      <c r="G77" s="2" t="n">
        <v>76</v>
      </c>
      <c r="I77" s="2" t="n">
        <v>53</v>
      </c>
      <c r="M77" s="0" t="s">
        <v>89</v>
      </c>
      <c r="O77" s="0" t="s">
        <v>55</v>
      </c>
      <c r="P77" s="0" t="s">
        <v>72</v>
      </c>
      <c r="Q77" s="3" t="n">
        <v>4.61</v>
      </c>
      <c r="R77" s="2" t="n">
        <v>1419</v>
      </c>
      <c r="S77" s="2" t="n">
        <v>11400</v>
      </c>
      <c r="T77" s="2" t="n">
        <f aca="false">S77-R77</f>
        <v>9981</v>
      </c>
      <c r="U77" s="3" t="n">
        <f aca="false">95/60</f>
        <v>1.58333333333333</v>
      </c>
      <c r="X77" s="3" t="n">
        <f aca="false">Q77/U77</f>
        <v>2.91157894736842</v>
      </c>
      <c r="Y77" s="0" t="n">
        <v>1</v>
      </c>
      <c r="Z77" s="3" t="n">
        <f aca="false">Q77/Y77</f>
        <v>4.61</v>
      </c>
      <c r="AA77" s="3" t="n">
        <f aca="false">16+18/60</f>
        <v>16.3</v>
      </c>
      <c r="AB77" s="2" t="n">
        <v>164</v>
      </c>
      <c r="AC77" s="2" t="n">
        <v>526</v>
      </c>
      <c r="AD77" s="2" t="n">
        <v>87</v>
      </c>
      <c r="AE77" s="2" t="n">
        <v>139</v>
      </c>
      <c r="AF77" s="3" t="n">
        <f aca="false">15+58.4/60</f>
        <v>15.9733333333333</v>
      </c>
      <c r="AG77" s="3" t="n">
        <f aca="false">16+20.7/60</f>
        <v>16.345</v>
      </c>
      <c r="AH77" s="3" t="n">
        <f aca="false">16+49.5/60</f>
        <v>16.825</v>
      </c>
      <c r="AI77" s="3" t="n">
        <f aca="false">15+59/60</f>
        <v>15.9833333333333</v>
      </c>
      <c r="AJ77" s="3" t="n">
        <f aca="false">60/3.7</f>
        <v>16.2162162162162</v>
      </c>
      <c r="AP77" s="0" t="n">
        <v>0</v>
      </c>
      <c r="AQ77" s="0" t="n">
        <v>0</v>
      </c>
      <c r="AY77" s="0" t="s">
        <v>57</v>
      </c>
      <c r="AZ77" s="0" t="s">
        <v>58</v>
      </c>
      <c r="BA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59</v>
      </c>
      <c r="G78" s="2" t="n">
        <v>77</v>
      </c>
      <c r="I78" s="2" t="n">
        <v>31</v>
      </c>
      <c r="M78" s="0" t="s">
        <v>89</v>
      </c>
      <c r="O78" s="0" t="s">
        <v>64</v>
      </c>
      <c r="P78" s="0" t="s">
        <v>85</v>
      </c>
      <c r="Q78" s="3" t="n">
        <v>6.65</v>
      </c>
      <c r="R78" s="2" t="n">
        <v>1581</v>
      </c>
      <c r="S78" s="2" t="n">
        <v>15491</v>
      </c>
      <c r="T78" s="2" t="n">
        <f aca="false">S78-R78</f>
        <v>13910</v>
      </c>
      <c r="U78" s="3" t="n">
        <f aca="false">106/60</f>
        <v>1.76666666666667</v>
      </c>
      <c r="X78" s="3" t="n">
        <f aca="false">Q78/U78</f>
        <v>3.76415094339623</v>
      </c>
      <c r="Y78" s="0" t="n">
        <v>1</v>
      </c>
      <c r="Z78" s="3" t="n">
        <f aca="false">Q78/Y78</f>
        <v>6.65</v>
      </c>
      <c r="AA78" s="3" t="n">
        <f aca="false">15+54/60</f>
        <v>15.9</v>
      </c>
      <c r="AB78" s="2" t="n">
        <v>26</v>
      </c>
      <c r="AC78" s="2" t="n">
        <v>708</v>
      </c>
      <c r="AD78" s="2" t="n">
        <v>72</v>
      </c>
      <c r="AE78" s="2" t="n">
        <v>115</v>
      </c>
      <c r="AF78" s="3" t="n">
        <f aca="false">15+16.5/60</f>
        <v>15.275</v>
      </c>
      <c r="AG78" s="3" t="n">
        <f aca="false">16+18.2/60</f>
        <v>16.3033333333333</v>
      </c>
      <c r="AH78" s="3" t="n">
        <f aca="false">16+7.8/60</f>
        <v>16.13</v>
      </c>
      <c r="AI78" s="3" t="n">
        <f aca="false">16+6.6/60</f>
        <v>16.11</v>
      </c>
      <c r="AJ78" s="3" t="n">
        <f aca="false">16+14/60</f>
        <v>16.2333333333333</v>
      </c>
      <c r="AK78" s="3" t="n">
        <f aca="false">15+22.6/60</f>
        <v>15.3766666666667</v>
      </c>
      <c r="AL78" s="3" t="n">
        <f aca="false">60/3.8</f>
        <v>15.7894736842105</v>
      </c>
      <c r="AP78" s="0" t="n">
        <v>0</v>
      </c>
      <c r="AQ78" s="0" t="n">
        <v>0</v>
      </c>
      <c r="AY78" s="0" t="s">
        <v>57</v>
      </c>
      <c r="AZ78" s="0" t="s">
        <v>58</v>
      </c>
      <c r="BA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78</v>
      </c>
      <c r="G79" s="2" t="n">
        <v>81</v>
      </c>
      <c r="I79" s="2" t="n">
        <v>38</v>
      </c>
      <c r="M79" s="0" t="s">
        <v>89</v>
      </c>
      <c r="O79" s="0" t="s">
        <v>55</v>
      </c>
      <c r="P79" s="0" t="s">
        <v>61</v>
      </c>
      <c r="Q79" s="3" t="n">
        <v>5.65</v>
      </c>
      <c r="R79" s="2" t="n">
        <v>774</v>
      </c>
      <c r="S79" s="2" t="n">
        <v>12767</v>
      </c>
      <c r="T79" s="2" t="n">
        <f aca="false">S79-R79</f>
        <v>11993</v>
      </c>
      <c r="U79" s="3" t="n">
        <f aca="false">91/60</f>
        <v>1.51666666666667</v>
      </c>
      <c r="X79" s="3" t="n">
        <f aca="false">Q79/U79</f>
        <v>3.72527472527473</v>
      </c>
      <c r="Y79" s="0" t="n">
        <v>1</v>
      </c>
      <c r="Z79" s="3" t="n">
        <f aca="false">Q79/Y79</f>
        <v>5.65</v>
      </c>
      <c r="AA79" s="3" t="n">
        <f aca="false">16+5/60</f>
        <v>16.0833333333333</v>
      </c>
      <c r="AB79" s="2" t="n">
        <v>253</v>
      </c>
      <c r="AC79" s="2" t="n">
        <v>1265</v>
      </c>
      <c r="AD79" s="2" t="n">
        <v>131</v>
      </c>
      <c r="AE79" s="2" t="n">
        <v>152</v>
      </c>
      <c r="AF79" s="3" t="n">
        <f aca="false">15+36.8/60</f>
        <v>15.6133333333333</v>
      </c>
      <c r="AG79" s="3" t="n">
        <f aca="false">16+32.2/60</f>
        <v>16.5366666666667</v>
      </c>
      <c r="AH79" s="3" t="n">
        <f aca="false">15+55/60</f>
        <v>15.9166666666667</v>
      </c>
      <c r="AI79" s="3" t="n">
        <f aca="false">17+3.3/60</f>
        <v>17.055</v>
      </c>
      <c r="AJ79" s="3" t="n">
        <f aca="false">15+37.6/60</f>
        <v>15.6266666666667</v>
      </c>
      <c r="AK79" s="3" t="n">
        <f aca="false">60/3.7</f>
        <v>16.2162162162162</v>
      </c>
      <c r="AP79" s="0" t="n">
        <v>0</v>
      </c>
      <c r="AQ79" s="0" t="n">
        <v>0</v>
      </c>
      <c r="AY79" s="0" t="s">
        <v>57</v>
      </c>
      <c r="AZ79" s="0" t="s">
        <v>58</v>
      </c>
      <c r="BA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54</v>
      </c>
      <c r="G80" s="2" t="n">
        <v>68</v>
      </c>
      <c r="I80" s="2" t="n">
        <v>56</v>
      </c>
      <c r="M80" s="0" t="s">
        <v>89</v>
      </c>
      <c r="O80" s="0" t="s">
        <v>55</v>
      </c>
      <c r="P80" s="0" t="s">
        <v>71</v>
      </c>
      <c r="Q80" s="3" t="n">
        <v>5.58</v>
      </c>
      <c r="R80" s="2" t="n">
        <v>1020</v>
      </c>
      <c r="U80" s="3" t="n">
        <f aca="false">92/60</f>
        <v>1.53333333333333</v>
      </c>
      <c r="X80" s="3" t="n">
        <f aca="false">Q80/U80</f>
        <v>3.63913043478261</v>
      </c>
      <c r="Y80" s="0" t="n">
        <v>1</v>
      </c>
      <c r="Z80" s="3" t="n">
        <f aca="false">Q80/Y80</f>
        <v>5.58</v>
      </c>
      <c r="AA80" s="3" t="n">
        <f aca="false">16+32/60</f>
        <v>16.5333333333333</v>
      </c>
      <c r="AB80" s="2" t="n">
        <v>144</v>
      </c>
      <c r="AC80" s="2" t="n">
        <v>630</v>
      </c>
      <c r="AD80" s="2" t="n">
        <v>85</v>
      </c>
      <c r="AE80" s="2" t="n">
        <v>117</v>
      </c>
      <c r="AF80" s="3" t="n">
        <f aca="false">16+17.6/60</f>
        <v>16.2933333333333</v>
      </c>
      <c r="AG80" s="3" t="n">
        <f aca="false">16+41.8/60</f>
        <v>16.6966666666667</v>
      </c>
      <c r="AH80" s="3" t="n">
        <f aca="false">16+21.4/60</f>
        <v>16.3566666666667</v>
      </c>
      <c r="AI80" s="3" t="n">
        <f aca="false">16+46.3/60</f>
        <v>16.7716666666667</v>
      </c>
      <c r="AJ80" s="3" t="n">
        <f aca="false">16+49.8/60</f>
        <v>16.83</v>
      </c>
      <c r="AK80" s="3" t="n">
        <v>8</v>
      </c>
      <c r="AP80" s="0" t="n">
        <v>0</v>
      </c>
      <c r="AQ80" s="0" t="n">
        <v>0</v>
      </c>
      <c r="AY80" s="0" t="s">
        <v>57</v>
      </c>
      <c r="AZ80" s="0" t="s">
        <v>58</v>
      </c>
      <c r="BA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59</v>
      </c>
      <c r="G81" s="2" t="n">
        <v>70</v>
      </c>
      <c r="M81" s="0" t="s">
        <v>89</v>
      </c>
      <c r="O81" s="0" t="s">
        <v>64</v>
      </c>
      <c r="P81" s="0" t="s">
        <v>90</v>
      </c>
      <c r="Q81" s="3" t="n">
        <v>4.58</v>
      </c>
      <c r="U81" s="3" t="n">
        <f aca="false">74/60</f>
        <v>1.23333333333333</v>
      </c>
      <c r="X81" s="3" t="n">
        <f aca="false">Q81/U81</f>
        <v>3.71351351351351</v>
      </c>
      <c r="Y81" s="0" t="n">
        <v>1</v>
      </c>
      <c r="Z81" s="3" t="n">
        <f aca="false">Q81/Y81</f>
        <v>4.58</v>
      </c>
      <c r="AA81" s="3" t="n">
        <f aca="false">19+1/60</f>
        <v>19.0166666666667</v>
      </c>
      <c r="AB81" s="2" t="n">
        <v>7</v>
      </c>
      <c r="AC81" s="2" t="n">
        <v>810</v>
      </c>
      <c r="AD81" s="2" t="n">
        <v>118</v>
      </c>
      <c r="AE81" s="2" t="n">
        <v>136</v>
      </c>
      <c r="AF81" s="3" t="n">
        <f aca="false">16+1.8/60</f>
        <v>16.03</v>
      </c>
      <c r="AG81" s="3" t="n">
        <f aca="false">16+26/60</f>
        <v>16.4333333333333</v>
      </c>
      <c r="AH81" s="3" t="n">
        <f aca="false">16+9.8/60</f>
        <v>16.1633333333333</v>
      </c>
      <c r="AI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59</v>
      </c>
      <c r="G82" s="2" t="n">
        <v>75</v>
      </c>
      <c r="I82" s="2" t="n">
        <v>36</v>
      </c>
      <c r="M82" s="0" t="s">
        <v>89</v>
      </c>
      <c r="O82" s="0" t="s">
        <v>64</v>
      </c>
      <c r="P82" s="0" t="s">
        <v>76</v>
      </c>
      <c r="Q82" s="3" t="n">
        <v>8.9</v>
      </c>
      <c r="R82" s="2" t="n">
        <v>1203</v>
      </c>
      <c r="S82" s="2" t="n">
        <v>19953</v>
      </c>
      <c r="T82" s="2" t="n">
        <f aca="false">S82-R82</f>
        <v>18750</v>
      </c>
      <c r="U82" s="3" t="n">
        <f aca="false">(120+24)/60</f>
        <v>2.4</v>
      </c>
      <c r="X82" s="3" t="n">
        <f aca="false">Q82/U82</f>
        <v>3.70833333333333</v>
      </c>
      <c r="Y82" s="0" t="n">
        <v>1</v>
      </c>
      <c r="Z82" s="3" t="n">
        <f aca="false">Q82/Y82</f>
        <v>8.9</v>
      </c>
      <c r="AA82" s="3" t="n">
        <f aca="false">16+12/60</f>
        <v>16.2</v>
      </c>
      <c r="AB82" s="2" t="n">
        <v>108</v>
      </c>
      <c r="AC82" s="2" t="n">
        <v>973</v>
      </c>
      <c r="AD82" s="2" t="n">
        <v>84</v>
      </c>
      <c r="AE82" s="2" t="n">
        <v>112</v>
      </c>
      <c r="AF82" s="3" t="n">
        <f aca="false">16+20.4/60</f>
        <v>16.34</v>
      </c>
      <c r="AG82" s="3" t="n">
        <f aca="false">15+38.5/60</f>
        <v>15.6416666666667</v>
      </c>
      <c r="AH82" s="3" t="n">
        <f aca="false">15+29.4/60</f>
        <v>15.49</v>
      </c>
      <c r="AI82" s="3" t="n">
        <f aca="false">15+53.7/60</f>
        <v>15.895</v>
      </c>
      <c r="AJ82" s="3" t="n">
        <f aca="false">16+54.6/60</f>
        <v>16.91</v>
      </c>
      <c r="AK82" s="3" t="n">
        <f aca="false">15+49.8/60</f>
        <v>15.83</v>
      </c>
      <c r="AL82" s="3" t="n">
        <f aca="false">15+58.2/60</f>
        <v>15.97</v>
      </c>
      <c r="AM82" s="3" t="n">
        <f aca="false">16+26.7/60</f>
        <v>16.445</v>
      </c>
      <c r="AN82" s="3" t="n">
        <f aca="false">60/3.4</f>
        <v>17.6470588235294</v>
      </c>
      <c r="AP82" s="0" t="n">
        <v>3</v>
      </c>
      <c r="AY82" s="0" t="s">
        <v>57</v>
      </c>
      <c r="AZ82" s="0" t="s">
        <v>58</v>
      </c>
      <c r="BA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59</v>
      </c>
      <c r="G83" s="2" t="n">
        <v>64</v>
      </c>
      <c r="I83" s="2" t="n">
        <v>56</v>
      </c>
      <c r="M83" s="0" t="s">
        <v>89</v>
      </c>
      <c r="O83" s="0" t="s">
        <v>55</v>
      </c>
      <c r="P83" s="0" t="s">
        <v>72</v>
      </c>
      <c r="Q83" s="3" t="n">
        <v>3.37</v>
      </c>
      <c r="R83" s="2" t="n">
        <v>1529</v>
      </c>
      <c r="S83" s="2" t="n">
        <v>14380</v>
      </c>
      <c r="T83" s="2" t="n">
        <f aca="false">S83-R83</f>
        <v>12851</v>
      </c>
      <c r="U83" s="3" t="n">
        <f aca="false">54/60</f>
        <v>0.9</v>
      </c>
      <c r="X83" s="3" t="n">
        <f aca="false">Q83/U83</f>
        <v>3.74444444444444</v>
      </c>
      <c r="Y83" s="0" t="n">
        <v>1</v>
      </c>
      <c r="Z83" s="3" t="n">
        <f aca="false">X83/U83</f>
        <v>4.16049382716049</v>
      </c>
      <c r="AA83" s="3" t="n">
        <f aca="false">16+0/60</f>
        <v>16</v>
      </c>
      <c r="AB83" s="2" t="n">
        <v>103</v>
      </c>
      <c r="AC83" s="2" t="n">
        <v>516</v>
      </c>
      <c r="AD83" s="2" t="n">
        <v>108</v>
      </c>
      <c r="AE83" s="2" t="n">
        <v>134</v>
      </c>
      <c r="AF83" s="3" t="n">
        <f aca="false">16+15.8/60</f>
        <v>16.2633333333333</v>
      </c>
      <c r="AG83" s="3" t="n">
        <f aca="false">15+36.2/60</f>
        <v>15.6033333333333</v>
      </c>
      <c r="AH83" s="3" t="n">
        <f aca="false">15+52.7/60</f>
        <v>15.8783333333333</v>
      </c>
      <c r="AI83" s="3" t="n">
        <f aca="false">60/3.6</f>
        <v>16.6666666666667</v>
      </c>
      <c r="AP83" s="0" t="n">
        <v>0</v>
      </c>
      <c r="AQ83" s="0" t="n">
        <v>0</v>
      </c>
      <c r="AY83" s="0" t="s">
        <v>57</v>
      </c>
      <c r="AZ83" s="0" t="s">
        <v>58</v>
      </c>
      <c r="BA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82</v>
      </c>
      <c r="F84" s="0" t="s">
        <v>70</v>
      </c>
      <c r="G84" s="2" t="n">
        <v>70</v>
      </c>
      <c r="I84" s="2" t="n">
        <v>100</v>
      </c>
      <c r="M84" s="0" t="s">
        <v>88</v>
      </c>
      <c r="Y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54</v>
      </c>
      <c r="G85" s="2" t="n">
        <v>73</v>
      </c>
      <c r="I85" s="2" t="n">
        <v>76</v>
      </c>
      <c r="M85" s="0" t="s">
        <v>88</v>
      </c>
      <c r="O85" s="0" t="s">
        <v>55</v>
      </c>
      <c r="P85" s="0" t="s">
        <v>61</v>
      </c>
      <c r="Q85" s="3" t="n">
        <v>5.64</v>
      </c>
      <c r="R85" s="2" t="n">
        <v>313</v>
      </c>
      <c r="S85" s="2" t="n">
        <v>12562</v>
      </c>
      <c r="T85" s="2" t="n">
        <f aca="false">S85-R85</f>
        <v>12249</v>
      </c>
      <c r="U85" s="3" t="n">
        <f aca="false">94/60</f>
        <v>1.56666666666667</v>
      </c>
      <c r="X85" s="3" t="n">
        <f aca="false">Q85/U85</f>
        <v>3.6</v>
      </c>
      <c r="Y85" s="0" t="n">
        <v>1</v>
      </c>
      <c r="Z85" s="3" t="n">
        <f aca="false">Q85/Y85</f>
        <v>5.64</v>
      </c>
      <c r="AA85" s="3" t="n">
        <f aca="false">16+39/60</f>
        <v>16.65</v>
      </c>
      <c r="AB85" s="2" t="n">
        <v>217</v>
      </c>
      <c r="AC85" s="2" t="n">
        <v>624</v>
      </c>
      <c r="AD85" s="2" t="n">
        <v>78</v>
      </c>
      <c r="AE85" s="2" t="n">
        <v>109</v>
      </c>
      <c r="AF85" s="3" t="n">
        <f aca="false">16+11.1/60</f>
        <v>16.185</v>
      </c>
      <c r="AG85" s="3" t="n">
        <f aca="false">16+6.2/60</f>
        <v>16.1033333333333</v>
      </c>
      <c r="AH85" s="3" t="n">
        <f aca="false">16+27.2/60</f>
        <v>16.4533333333333</v>
      </c>
      <c r="AI85" s="3" t="n">
        <f aca="false">18+3/0.5/60</f>
        <v>18.1</v>
      </c>
      <c r="AJ85" s="3" t="n">
        <f aca="false">16+41.5/60</f>
        <v>16.6916666666667</v>
      </c>
      <c r="AK85" s="3" t="n">
        <f aca="false">60/3.7</f>
        <v>16.2162162162162</v>
      </c>
      <c r="AP85" s="0" t="n">
        <v>5</v>
      </c>
      <c r="AQ85" s="0" t="n">
        <v>0</v>
      </c>
      <c r="AY85" s="0" t="s">
        <v>57</v>
      </c>
      <c r="AZ85" s="0" t="s">
        <v>58</v>
      </c>
      <c r="BA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91</v>
      </c>
      <c r="G86" s="2" t="n">
        <v>85</v>
      </c>
      <c r="I86" s="2" t="n">
        <v>55</v>
      </c>
      <c r="M86" s="0" t="s">
        <v>89</v>
      </c>
      <c r="O86" s="0" t="s">
        <v>64</v>
      </c>
      <c r="P86" s="0" t="s">
        <v>81</v>
      </c>
      <c r="Q86" s="3" t="n">
        <v>6.01</v>
      </c>
      <c r="R86" s="2" t="n">
        <v>1116</v>
      </c>
      <c r="S86" s="2" t="n">
        <v>14151</v>
      </c>
      <c r="T86" s="2" t="n">
        <f aca="false">S86-R86</f>
        <v>13035</v>
      </c>
      <c r="U86" s="3" t="n">
        <f aca="false">95/60</f>
        <v>1.58333333333333</v>
      </c>
      <c r="V86" s="3" t="n">
        <f aca="false">1+51/60</f>
        <v>1.85</v>
      </c>
      <c r="W86" s="3" t="n">
        <f aca="false">V86-U86</f>
        <v>0.266666666666667</v>
      </c>
      <c r="X86" s="3" t="n">
        <f aca="false">Q86/U86</f>
        <v>3.79578947368421</v>
      </c>
      <c r="Y86" s="0" t="n">
        <v>1</v>
      </c>
      <c r="Z86" s="3" t="n">
        <f aca="false">Q86/Y86</f>
        <v>6.01</v>
      </c>
      <c r="AA86" s="3" t="n">
        <f aca="false">15+43/60</f>
        <v>15.7166666666667</v>
      </c>
      <c r="AB86" s="2" t="n">
        <v>92</v>
      </c>
      <c r="AC86" s="2" t="n">
        <v>1206</v>
      </c>
      <c r="AD86" s="2" t="n">
        <v>133</v>
      </c>
      <c r="AE86" s="2" t="n">
        <v>169</v>
      </c>
      <c r="AF86" s="3" t="n">
        <f aca="false">15+8.1/60</f>
        <v>15.135</v>
      </c>
      <c r="AG86" s="3" t="n">
        <f aca="false">15+8.2/60</f>
        <v>15.1366666666667</v>
      </c>
      <c r="AH86" s="3" t="n">
        <f aca="false">15+27.2/60</f>
        <v>15.4533333333333</v>
      </c>
      <c r="AI86" s="3" t="n">
        <f aca="false">16+17.7/60</f>
        <v>16.295</v>
      </c>
      <c r="AJ86" s="3" t="n">
        <f aca="false">16+7.7/60</f>
        <v>16.1283333333333</v>
      </c>
      <c r="AK86" s="3" t="n">
        <f aca="false">16+5.6/60</f>
        <v>16.0933333333333</v>
      </c>
      <c r="AL86" s="3" t="n">
        <f aca="false">60/3.8</f>
        <v>15.7894736842105</v>
      </c>
      <c r="AP86" s="0" t="n">
        <v>6</v>
      </c>
      <c r="AQ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54</v>
      </c>
      <c r="G87" s="2" t="n">
        <v>81</v>
      </c>
      <c r="I87" s="2" t="n">
        <v>62</v>
      </c>
      <c r="M87" s="0" t="s">
        <v>88</v>
      </c>
      <c r="O87" s="0" t="s">
        <v>55</v>
      </c>
      <c r="P87" s="0" t="s">
        <v>76</v>
      </c>
      <c r="Q87" s="3" t="n">
        <v>7.53</v>
      </c>
      <c r="R87" s="2" t="n">
        <v>1129</v>
      </c>
      <c r="S87" s="2" t="n">
        <v>17488</v>
      </c>
      <c r="T87" s="2" t="n">
        <v>16539</v>
      </c>
      <c r="U87" s="3" t="n">
        <f aca="false">120/60</f>
        <v>2</v>
      </c>
      <c r="V87" s="3" t="n">
        <f aca="false">2+22/60</f>
        <v>2.36666666666667</v>
      </c>
      <c r="W87" s="3" t="n">
        <f aca="false">V87-U87</f>
        <v>0.366666666666667</v>
      </c>
      <c r="X87" s="3" t="n">
        <f aca="false">Q87/U87</f>
        <v>3.765</v>
      </c>
      <c r="Y87" s="0" t="n">
        <v>1</v>
      </c>
      <c r="Z87" s="3" t="n">
        <f aca="false">Q87/Y87</f>
        <v>7.53</v>
      </c>
      <c r="AA87" s="3" t="n">
        <f aca="false">15+55/60</f>
        <v>15.9166666666667</v>
      </c>
      <c r="AB87" s="2" t="n">
        <v>371</v>
      </c>
      <c r="AC87" s="2" t="n">
        <v>983</v>
      </c>
      <c r="AD87" s="2" t="n">
        <v>107</v>
      </c>
      <c r="AE87" s="2" t="n">
        <v>139</v>
      </c>
      <c r="AF87" s="3" t="n">
        <f aca="false">15+24/60</f>
        <v>15.4</v>
      </c>
      <c r="AG87" s="3" t="n">
        <f aca="false">15+18.6/60</f>
        <v>15.31</v>
      </c>
      <c r="AH87" s="3" t="n">
        <f aca="false">15+12.2/60</f>
        <v>15.2033333333333</v>
      </c>
      <c r="AI87" s="3" t="n">
        <f aca="false">16+4.6/60</f>
        <v>16.0766666666667</v>
      </c>
      <c r="AJ87" s="3" t="n">
        <f aca="false">15+56.6</f>
        <v>71.6</v>
      </c>
      <c r="AK87" s="3" t="n">
        <f aca="false">16+19.8/60</f>
        <v>16.33</v>
      </c>
      <c r="AL87" s="3" t="n">
        <f aca="false">16+42.6/60</f>
        <v>16.71</v>
      </c>
      <c r="AM87" s="3" t="n">
        <f aca="false">60/3.8</f>
        <v>15.7894736842105</v>
      </c>
      <c r="AP87" s="0" t="n">
        <v>7</v>
      </c>
      <c r="AQ87" s="0" t="n">
        <v>0</v>
      </c>
      <c r="AY87" s="0" t="s">
        <v>57</v>
      </c>
      <c r="AZ87" s="0" t="s">
        <v>58</v>
      </c>
      <c r="BA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82</v>
      </c>
      <c r="F88" s="0" t="s">
        <v>54</v>
      </c>
      <c r="G88" s="2" t="n">
        <v>68</v>
      </c>
      <c r="I88" s="2" t="n">
        <v>87</v>
      </c>
      <c r="M88" s="0" t="s">
        <v>88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59</v>
      </c>
      <c r="G89" s="2" t="n">
        <v>80</v>
      </c>
      <c r="I89" s="2" t="n">
        <v>54</v>
      </c>
      <c r="M89" s="0" t="s">
        <v>89</v>
      </c>
      <c r="O89" s="0" t="s">
        <v>64</v>
      </c>
      <c r="P89" s="0" t="s">
        <v>72</v>
      </c>
      <c r="Q89" s="3" t="n">
        <v>5.18</v>
      </c>
      <c r="R89" s="2" t="n">
        <f aca="false">AVERAGE(R65:R80)</f>
        <v>956.224392361111</v>
      </c>
      <c r="S89" s="2" t="n">
        <v>11451</v>
      </c>
      <c r="T89" s="2" t="n">
        <f aca="false">S89-R89</f>
        <v>10494.7756076389</v>
      </c>
      <c r="U89" s="3" t="n">
        <f aca="false">83/60</f>
        <v>1.38333333333333</v>
      </c>
      <c r="V89" s="3" t="n">
        <f aca="false">88/60</f>
        <v>1.46666666666667</v>
      </c>
      <c r="W89" s="3" t="n">
        <f aca="false">V89-U89</f>
        <v>0.0833333333333333</v>
      </c>
      <c r="X89" s="3" t="n">
        <f aca="false">Q89/U89</f>
        <v>3.74457831325301</v>
      </c>
      <c r="Y89" s="0" t="n">
        <v>1</v>
      </c>
      <c r="Z89" s="3" t="n">
        <f aca="false">Q89/Y89</f>
        <v>5.18</v>
      </c>
      <c r="AA89" s="3" t="n">
        <f aca="false">16+1/60</f>
        <v>16.0166666666667</v>
      </c>
      <c r="AB89" s="2" t="n">
        <v>562</v>
      </c>
      <c r="AC89" s="2" t="n">
        <v>859</v>
      </c>
      <c r="AD89" s="2" t="n">
        <v>117</v>
      </c>
      <c r="AE89" s="2" t="n">
        <v>154</v>
      </c>
      <c r="AF89" s="3" t="n">
        <f aca="false">15+24.8/60</f>
        <v>15.4133333333333</v>
      </c>
      <c r="AG89" s="3" t="n">
        <f aca="false">15+55.7/60</f>
        <v>15.9283333333333</v>
      </c>
      <c r="AH89" s="3" t="n">
        <f aca="false">15+40.5/60</f>
        <v>15.675</v>
      </c>
      <c r="AI89" s="3" t="n">
        <f aca="false">16+35.5/60</f>
        <v>16.5916666666667</v>
      </c>
      <c r="AJ89" s="3" t="n">
        <f aca="false">16+31.8/60</f>
        <v>16.53</v>
      </c>
      <c r="AK89" s="3" t="n">
        <f aca="false">80/3.8</f>
        <v>21.0526315789474</v>
      </c>
      <c r="AP89" s="0" t="n">
        <v>1</v>
      </c>
      <c r="AQ89" s="0" t="n">
        <v>0</v>
      </c>
      <c r="AS89" s="5" t="n">
        <f aca="false">60*U89-SUM(AT89:AX89)</f>
        <v>0</v>
      </c>
      <c r="AT89" s="3" t="n">
        <f aca="false">4+50/60</f>
        <v>4.83333333333333</v>
      </c>
      <c r="AU89" s="3" t="n">
        <f aca="false">13+36/60</f>
        <v>13.6</v>
      </c>
      <c r="AV89" s="3" t="n">
        <f aca="false">20+25/60</f>
        <v>20.4166666666667</v>
      </c>
      <c r="AW89" s="3" t="n">
        <f aca="false">30+52/60</f>
        <v>30.8666666666667</v>
      </c>
      <c r="AX89" s="3" t="n">
        <f aca="false">13+17/60</f>
        <v>13.2833333333333</v>
      </c>
      <c r="AY89" s="0" t="s">
        <v>57</v>
      </c>
      <c r="AZ89" s="0" t="s">
        <v>58</v>
      </c>
      <c r="BA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59</v>
      </c>
      <c r="G90" s="2" t="n">
        <v>89</v>
      </c>
      <c r="I90" s="2" t="n">
        <v>43</v>
      </c>
      <c r="M90" s="0" t="s">
        <v>89</v>
      </c>
      <c r="O90" s="0" t="s">
        <v>55</v>
      </c>
      <c r="P90" s="0" t="s">
        <v>90</v>
      </c>
      <c r="Q90" s="3" t="n">
        <v>5.38</v>
      </c>
      <c r="R90" s="2" t="n">
        <f aca="false">AVERAGE(R59:R89)</f>
        <v>958.326205261752</v>
      </c>
      <c r="S90" s="2" t="n">
        <v>13259</v>
      </c>
      <c r="T90" s="2" t="n">
        <f aca="false">S90-R90</f>
        <v>12300.6737947382</v>
      </c>
      <c r="U90" s="3" t="n">
        <f aca="false">91/60</f>
        <v>1.51666666666667</v>
      </c>
      <c r="V90" s="3" t="n">
        <v>1.66666666666667</v>
      </c>
      <c r="W90" s="3" t="n">
        <f aca="false">V90-U90</f>
        <v>0.150000000000003</v>
      </c>
      <c r="X90" s="3" t="n">
        <f aca="false">Q90/U90</f>
        <v>3.54725274725275</v>
      </c>
      <c r="Y90" s="0" t="n">
        <v>1</v>
      </c>
      <c r="Z90" s="3" t="n">
        <f aca="false">Q90/Y90</f>
        <v>5.38</v>
      </c>
      <c r="AA90" s="3" t="n">
        <f aca="false">16+51/60</f>
        <v>16.85</v>
      </c>
      <c r="AB90" s="2" t="n">
        <v>354</v>
      </c>
      <c r="AC90" s="2" t="n">
        <v>1038</v>
      </c>
      <c r="AD90" s="2" t="n">
        <v>122</v>
      </c>
      <c r="AE90" s="2" t="n">
        <v>144</v>
      </c>
      <c r="AF90" s="3" t="n">
        <f aca="false">15+39.2/60</f>
        <v>15.6533333333333</v>
      </c>
      <c r="AG90" s="3" t="n">
        <f aca="false">16+40.2/60</f>
        <v>16.67</v>
      </c>
      <c r="AH90" s="3" t="n">
        <f aca="false">17+1.7/60</f>
        <v>17.0283333333333</v>
      </c>
      <c r="AI90" s="3" t="n">
        <f aca="false">17+20/60</f>
        <v>17.3333333333333</v>
      </c>
      <c r="AJ90" s="3" t="n">
        <f aca="false">17+0.9/60</f>
        <v>17.015</v>
      </c>
      <c r="AK90" s="3" t="n">
        <f aca="false">60/3.6</f>
        <v>16.6666666666667</v>
      </c>
      <c r="AP90" s="0" t="n">
        <v>4</v>
      </c>
      <c r="AQ90" s="0" t="n">
        <v>0</v>
      </c>
      <c r="AS90" s="5" t="n">
        <f aca="false">60*U90-SUM(AT90:AX90)</f>
        <v>0.466666666666654</v>
      </c>
      <c r="AT90" s="3" t="n">
        <f aca="false">7+18/60</f>
        <v>7.3</v>
      </c>
      <c r="AU90" s="3" t="n">
        <f aca="false">8+18/60</f>
        <v>8.3</v>
      </c>
      <c r="AV90" s="3" t="n">
        <v>1</v>
      </c>
      <c r="AW90" s="3" t="n">
        <f aca="false">54+50/60</f>
        <v>54.8333333333333</v>
      </c>
      <c r="AX90" s="3" t="n">
        <f aca="false">19+6/60</f>
        <v>19.1</v>
      </c>
      <c r="AY90" s="0" t="s">
        <v>57</v>
      </c>
      <c r="AZ90" s="0" t="s">
        <v>58</v>
      </c>
      <c r="BA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59</v>
      </c>
      <c r="G91" s="2" t="n">
        <f aca="false">AVERAGE(77,81,85)</f>
        <v>81</v>
      </c>
      <c r="I91" s="2" t="n">
        <f aca="false">AVERAGE(69,72,57)</f>
        <v>66</v>
      </c>
      <c r="M91" s="0" t="s">
        <v>89</v>
      </c>
      <c r="O91" s="0" t="s">
        <v>64</v>
      </c>
      <c r="P91" s="0" t="s">
        <v>81</v>
      </c>
      <c r="Q91" s="3" t="n">
        <v>6.41</v>
      </c>
      <c r="R91" s="2" t="n">
        <v>991</v>
      </c>
      <c r="S91" s="2" t="n">
        <v>14461</v>
      </c>
      <c r="T91" s="2" t="n">
        <f aca="false">S91-R91</f>
        <v>13470</v>
      </c>
      <c r="U91" s="3" t="n">
        <f aca="false">(99+29/60)/60</f>
        <v>1.65805555555556</v>
      </c>
      <c r="V91" s="3" t="n">
        <f aca="false">(60+44+9/60)/60</f>
        <v>1.73583333333333</v>
      </c>
      <c r="W91" s="3" t="n">
        <f aca="false">V91-U91</f>
        <v>0.0777777777777777</v>
      </c>
      <c r="X91" s="3" t="n">
        <f aca="false">Q91/U91</f>
        <v>3.86597420003351</v>
      </c>
      <c r="Y91" s="0" t="n">
        <v>1</v>
      </c>
      <c r="Z91" s="3" t="n">
        <f aca="false">Q91/Y91</f>
        <v>6.41</v>
      </c>
      <c r="AA91" s="3" t="n">
        <f aca="false">15+31/60</f>
        <v>15.5166666666667</v>
      </c>
      <c r="AB91" s="2" t="n">
        <v>213</v>
      </c>
      <c r="AC91" s="2" t="n">
        <v>1071</v>
      </c>
      <c r="AD91" s="2" t="n">
        <v>121</v>
      </c>
      <c r="AE91" s="2" t="n">
        <v>143</v>
      </c>
      <c r="AF91" s="3" t="n">
        <f aca="false">16+11/60</f>
        <v>16.1833333333333</v>
      </c>
      <c r="AG91" s="3" t="n">
        <f aca="false">15+23.9/60</f>
        <v>15.3983333333333</v>
      </c>
      <c r="AH91" s="3" t="n">
        <f aca="false">15+44.7/60</f>
        <v>15.745</v>
      </c>
      <c r="AI91" s="3" t="n">
        <f aca="false">15+44.7/60</f>
        <v>15.745</v>
      </c>
      <c r="AJ91" s="3" t="n">
        <f aca="false">15+5.3/70</f>
        <v>15.0757142857143</v>
      </c>
      <c r="AK91" s="3" t="n">
        <f aca="false">15+4.3/60</f>
        <v>15.0716666666667</v>
      </c>
      <c r="AL91" s="3" t="n">
        <f aca="false">60/3.9</f>
        <v>15.3846153846154</v>
      </c>
      <c r="AP91" s="0" t="n">
        <v>1</v>
      </c>
      <c r="AQ91" s="0" t="n">
        <v>0</v>
      </c>
      <c r="AS91" s="5" t="n">
        <f aca="false">60*U91-SUM(AT91:AX91)</f>
        <v>0</v>
      </c>
      <c r="AT91" s="3" t="n">
        <f aca="false">1+16/60</f>
        <v>1.26666666666667</v>
      </c>
      <c r="AU91" s="3" t="n">
        <f aca="false">14+28/60</f>
        <v>14.4666666666667</v>
      </c>
      <c r="AV91" s="3" t="n">
        <f aca="false">16+20/60</f>
        <v>16.3333333333333</v>
      </c>
      <c r="AW91" s="3" t="n">
        <f aca="false">58+46/60</f>
        <v>58.7666666666667</v>
      </c>
      <c r="AX91" s="3" t="n">
        <f aca="false">8+39/60</f>
        <v>8.65</v>
      </c>
      <c r="AY91" s="0" t="s">
        <v>57</v>
      </c>
      <c r="AZ91" s="0" t="s">
        <v>58</v>
      </c>
      <c r="BA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54</v>
      </c>
      <c r="G92" s="2" t="n">
        <v>74</v>
      </c>
      <c r="I92" s="2" t="n">
        <v>71</v>
      </c>
      <c r="M92" s="0" t="s">
        <v>89</v>
      </c>
      <c r="O92" s="0" t="s">
        <v>64</v>
      </c>
      <c r="P92" s="0" t="s">
        <v>63</v>
      </c>
      <c r="Q92" s="3" t="n">
        <v>8.06</v>
      </c>
      <c r="R92" s="2" t="n">
        <v>1526</v>
      </c>
      <c r="S92" s="2" t="n">
        <v>18458</v>
      </c>
      <c r="T92" s="2" t="n">
        <f aca="false">S92-R92</f>
        <v>16932</v>
      </c>
      <c r="U92" s="3" t="n">
        <f aca="false">(123+3/60)/60</f>
        <v>2.05083333333333</v>
      </c>
      <c r="V92" s="3" t="n">
        <f aca="false">(133+31/60)/60</f>
        <v>2.22527777777778</v>
      </c>
      <c r="W92" s="3" t="n">
        <f aca="false">V92-U92</f>
        <v>0.174444444444445</v>
      </c>
      <c r="X92" s="3" t="n">
        <f aca="false">Q92/U92</f>
        <v>3.93010971149939</v>
      </c>
      <c r="Y92" s="0" t="n">
        <v>1</v>
      </c>
      <c r="Z92" s="3" t="n">
        <f aca="false">Q92/Y92</f>
        <v>8.06</v>
      </c>
      <c r="AA92" s="3" t="n">
        <f aca="false">15+18/60</f>
        <v>15.3</v>
      </c>
      <c r="AB92" s="2" t="n">
        <v>830</v>
      </c>
      <c r="AC92" s="2" t="n">
        <v>1021</v>
      </c>
      <c r="AD92" s="2" t="n">
        <v>102</v>
      </c>
      <c r="AE92" s="2" t="n">
        <v>154</v>
      </c>
      <c r="AF92" s="3" t="n">
        <f aca="false">15+46/60</f>
        <v>15.7666666666667</v>
      </c>
      <c r="AG92" s="3" t="n">
        <f aca="false">16+2.7/60</f>
        <v>16.045</v>
      </c>
      <c r="AH92" s="3" t="n">
        <f aca="false">15+10.5/60</f>
        <v>15.175</v>
      </c>
      <c r="AI92" s="3" t="n">
        <f aca="false">15+16.2/60</f>
        <v>15.27</v>
      </c>
      <c r="AJ92" s="3" t="n">
        <f aca="false">14+46.9/60</f>
        <v>14.7816666666667</v>
      </c>
      <c r="AK92" s="3" t="n">
        <f aca="false">15+12.3/60</f>
        <v>15.205</v>
      </c>
      <c r="AL92" s="3" t="n">
        <f aca="false">15+33.9/60</f>
        <v>15.565</v>
      </c>
      <c r="AM92" s="3" t="n">
        <f aca="false">15+26.9/60</f>
        <v>15.4483333333333</v>
      </c>
      <c r="AN92" s="3" t="n">
        <f aca="false">60/3.9</f>
        <v>15.3846153846154</v>
      </c>
      <c r="AP92" s="0" t="n">
        <v>3</v>
      </c>
      <c r="AQ92" s="0" t="n">
        <v>0</v>
      </c>
      <c r="AS92" s="5" t="n">
        <f aca="false">60*U92-SUM(AT92:AX92)</f>
        <v>12.3833333333333</v>
      </c>
      <c r="AT92" s="3" t="n">
        <f aca="false">27+50/60</f>
        <v>27.8333333333333</v>
      </c>
      <c r="AU92" s="3" t="n">
        <f aca="false">36+21/60</f>
        <v>36.35</v>
      </c>
      <c r="AV92" s="3" t="n">
        <f aca="false">20+56/60</f>
        <v>20.9333333333333</v>
      </c>
      <c r="AW92" s="3" t="n">
        <f aca="false">17+21/60</f>
        <v>17.35</v>
      </c>
      <c r="AX92" s="3" t="n">
        <f aca="false">8+12/60</f>
        <v>8.2</v>
      </c>
      <c r="AY92" s="0" t="s">
        <v>57</v>
      </c>
      <c r="AZ92" s="0" t="s">
        <v>58</v>
      </c>
      <c r="BA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54</v>
      </c>
      <c r="G93" s="2" t="n">
        <v>76</v>
      </c>
      <c r="I93" s="2" t="n">
        <v>74</v>
      </c>
      <c r="M93" s="0" t="s">
        <v>89</v>
      </c>
      <c r="O93" s="0" t="s">
        <v>55</v>
      </c>
      <c r="P93" s="0" t="s">
        <v>61</v>
      </c>
      <c r="Q93" s="3" t="n">
        <v>5.96</v>
      </c>
      <c r="R93" s="2" t="n">
        <v>1075</v>
      </c>
      <c r="S93" s="2" t="n">
        <v>13081</v>
      </c>
      <c r="T93" s="2" t="n">
        <f aca="false">S93-R93</f>
        <v>12006</v>
      </c>
      <c r="U93" s="3" t="n">
        <f aca="false">100/60</f>
        <v>1.66666666666667</v>
      </c>
      <c r="V93" s="3" t="n">
        <v>1.76666666666667</v>
      </c>
      <c r="W93" s="3" t="n">
        <f aca="false">V93-U93</f>
        <v>0.100000000000003</v>
      </c>
      <c r="X93" s="3" t="n">
        <f aca="false">Q93/U93</f>
        <v>3.576</v>
      </c>
      <c r="Y93" s="0" t="n">
        <v>1</v>
      </c>
      <c r="Z93" s="3" t="n">
        <f aca="false">Q93/Y93</f>
        <v>5.96</v>
      </c>
      <c r="AA93" s="3" t="n">
        <f aca="false">16+47/60</f>
        <v>16.7833333333333</v>
      </c>
      <c r="AB93" s="2" t="n">
        <v>671</v>
      </c>
      <c r="AC93" s="2" t="n">
        <v>671</v>
      </c>
      <c r="AD93" s="2" t="n">
        <v>90</v>
      </c>
      <c r="AE93" s="2" t="n">
        <v>123</v>
      </c>
      <c r="AF93" s="3" t="n">
        <f aca="false">16+12.5/60</f>
        <v>16.2083333333333</v>
      </c>
      <c r="AG93" s="3" t="n">
        <f aca="false">16+6.1/60</f>
        <v>16.1016666666667</v>
      </c>
      <c r="AH93" s="3" t="n">
        <f aca="false">16+19.4/60</f>
        <v>16.3233333333333</v>
      </c>
      <c r="AI93" s="3" t="n">
        <f aca="false">16+44.3/60</f>
        <v>16.7383333333333</v>
      </c>
      <c r="AJ93" s="3" t="n">
        <f aca="false">17+0.3/60</f>
        <v>17.005</v>
      </c>
      <c r="AK93" s="3" t="n">
        <f aca="false">60/3.6</f>
        <v>16.6666666666667</v>
      </c>
      <c r="AP93" s="0" t="n">
        <v>2</v>
      </c>
      <c r="AQ93" s="0" t="n">
        <v>0</v>
      </c>
      <c r="AS93" s="5" t="n">
        <f aca="false">60*U93-SUM(AT93:AX93)</f>
        <v>-0.0333333333333314</v>
      </c>
      <c r="AT93" s="3" t="n">
        <f aca="false">41+4/60</f>
        <v>41.0666666666667</v>
      </c>
      <c r="AU93" s="3" t="n">
        <f aca="false">54+30/60</f>
        <v>54.5</v>
      </c>
      <c r="AV93" s="3" t="n">
        <f aca="false">3+58/60</f>
        <v>3.96666666666667</v>
      </c>
      <c r="AW93" s="3" t="n">
        <f aca="false">30/60</f>
        <v>0.5</v>
      </c>
      <c r="AX93" s="3" t="n">
        <v>0</v>
      </c>
      <c r="AY93" s="0" t="s">
        <v>57</v>
      </c>
      <c r="AZ93" s="0" t="s">
        <v>58</v>
      </c>
      <c r="BA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59</v>
      </c>
      <c r="G94" s="2" t="n">
        <f aca="false">AVERAGE(54,66,57)</f>
        <v>59</v>
      </c>
      <c r="I94" s="2" t="n">
        <f aca="false">AVERAGE(80,78,68)</f>
        <v>75.3333333333333</v>
      </c>
      <c r="M94" s="0" t="s">
        <v>89</v>
      </c>
      <c r="O94" s="0" t="s">
        <v>64</v>
      </c>
      <c r="P94" s="0" t="s">
        <v>76</v>
      </c>
      <c r="Q94" s="3" t="n">
        <v>9.77</v>
      </c>
      <c r="R94" s="2" t="n">
        <v>646</v>
      </c>
      <c r="S94" s="2" t="n">
        <v>21466</v>
      </c>
      <c r="T94" s="2" t="n">
        <f aca="false">S94-R94</f>
        <v>20820</v>
      </c>
      <c r="U94" s="3" t="n">
        <f aca="false">(120+37+14/60)/60</f>
        <v>2.62055555555556</v>
      </c>
      <c r="V94" s="3" t="n">
        <f aca="false">(120+43+37/60)/60</f>
        <v>2.72694444444444</v>
      </c>
      <c r="W94" s="3" t="n">
        <f aca="false">V94-U94</f>
        <v>0.106388888888889</v>
      </c>
      <c r="X94" s="3" t="n">
        <f aca="false">Q94/U94</f>
        <v>3.72821708713165</v>
      </c>
      <c r="Y94" s="0" t="n">
        <v>1</v>
      </c>
      <c r="Z94" s="3" t="n">
        <f aca="false">Q94/Y94</f>
        <v>9.77</v>
      </c>
      <c r="AA94" s="3" t="n">
        <f aca="false">16+5/60</f>
        <v>16.0833333333333</v>
      </c>
      <c r="AB94" s="2" t="n">
        <v>335</v>
      </c>
      <c r="AC94" s="2" t="n">
        <v>1565</v>
      </c>
      <c r="AD94" s="2" t="n">
        <v>110</v>
      </c>
      <c r="AE94" s="2" t="n">
        <v>147</v>
      </c>
      <c r="AF94" s="3" t="n">
        <f aca="false">15+42.6/60</f>
        <v>15.71</v>
      </c>
      <c r="AG94" s="3" t="n">
        <f aca="false">15+36.9/60</f>
        <v>15.615</v>
      </c>
      <c r="AH94" s="3" t="n">
        <f aca="false">15+37.1/60</f>
        <v>15.6183333333333</v>
      </c>
      <c r="AI94" s="3" t="n">
        <f aca="false">15+54.3/60</f>
        <v>15.905</v>
      </c>
      <c r="AJ94" s="3" t="n">
        <f aca="false">16+17.5/60</f>
        <v>16.2916666666667</v>
      </c>
      <c r="AK94" s="3" t="n">
        <f aca="false">16+35.4/60</f>
        <v>16.59</v>
      </c>
      <c r="AL94" s="3" t="n">
        <f aca="false">16+25.5/60</f>
        <v>16.425</v>
      </c>
      <c r="AM94" s="3" t="n">
        <f aca="false">15+43.4/60</f>
        <v>15.7233333333333</v>
      </c>
      <c r="AN94" s="3" t="n">
        <f aca="false">16+7.7/60</f>
        <v>16.1283333333333</v>
      </c>
      <c r="AO94" s="3" t="n">
        <f aca="false">60/3.5</f>
        <v>17.1428571428571</v>
      </c>
      <c r="AP94" s="0" t="n">
        <v>4</v>
      </c>
      <c r="AQ94" s="0" t="n">
        <v>1</v>
      </c>
      <c r="AS94" s="5" t="n">
        <f aca="false">60*U94-SUM(AT94:AX94)</f>
        <v>24.3</v>
      </c>
      <c r="AT94" s="3" t="n">
        <f aca="false">17+9/60</f>
        <v>17.15</v>
      </c>
      <c r="AU94" s="3" t="n">
        <f aca="false">25</f>
        <v>25</v>
      </c>
      <c r="AV94" s="3" t="n">
        <f aca="false">14+8/60</f>
        <v>14.1333333333333</v>
      </c>
      <c r="AW94" s="3" t="n">
        <f aca="false">27+43/60</f>
        <v>27.7166666666667</v>
      </c>
      <c r="AX94" s="3" t="n">
        <f aca="false">48+56/60</f>
        <v>48.9333333333333</v>
      </c>
      <c r="AY94" s="0" t="s">
        <v>57</v>
      </c>
      <c r="AZ94" s="0" t="s">
        <v>58</v>
      </c>
      <c r="BA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59</v>
      </c>
      <c r="G95" s="2" t="n">
        <v>87</v>
      </c>
      <c r="I95" s="2" t="n">
        <v>0.56</v>
      </c>
      <c r="M95" s="0" t="s">
        <v>89</v>
      </c>
      <c r="O95" s="0" t="s">
        <v>55</v>
      </c>
      <c r="P95" s="0" t="s">
        <v>92</v>
      </c>
      <c r="Q95" s="3" t="n">
        <v>6.75</v>
      </c>
      <c r="R95" s="2" t="n">
        <v>1268</v>
      </c>
      <c r="S95" s="2" t="n">
        <v>15181</v>
      </c>
      <c r="T95" s="2" t="n">
        <f aca="false">S95-R95</f>
        <v>13913</v>
      </c>
      <c r="U95" s="3" t="n">
        <f aca="false">(55+60)/60</f>
        <v>1.91666666666667</v>
      </c>
      <c r="V95" s="3" t="n">
        <f aca="false">(60+58)/60</f>
        <v>1.96666666666667</v>
      </c>
      <c r="W95" s="3" t="n">
        <f aca="false">V95-U95</f>
        <v>0.0499999999999998</v>
      </c>
      <c r="X95" s="3" t="n">
        <f aca="false">Q95/U95</f>
        <v>3.52173913043478</v>
      </c>
      <c r="Y95" s="0" t="n">
        <v>1</v>
      </c>
      <c r="Z95" s="3" t="n">
        <f aca="false">Q95/Y95</f>
        <v>6.75</v>
      </c>
      <c r="AA95" s="3" t="n">
        <f aca="false">16+54/60</f>
        <v>16.9</v>
      </c>
      <c r="AB95" s="2" t="n">
        <v>558</v>
      </c>
      <c r="AC95" s="2" t="n">
        <v>1227</v>
      </c>
      <c r="AD95" s="2" t="n">
        <v>119</v>
      </c>
      <c r="AE95" s="2" t="n">
        <v>149</v>
      </c>
      <c r="AF95" s="3" t="n">
        <f aca="false">16+32.5/60</f>
        <v>16.5416666666667</v>
      </c>
      <c r="AG95" s="3" t="n">
        <f aca="false">17+6.2/60</f>
        <v>17.1033333333333</v>
      </c>
      <c r="AH95" s="3" t="n">
        <f aca="false">17+33.8/60</f>
        <v>17.5633333333333</v>
      </c>
      <c r="AI95" s="3" t="n">
        <f aca="false">16+21.2/60</f>
        <v>16.3533333333333</v>
      </c>
      <c r="AJ95" s="3" t="n">
        <f aca="false">16+43.8/60</f>
        <v>16.73</v>
      </c>
      <c r="AK95" s="3" t="n">
        <f aca="false">16+56.1/60</f>
        <v>16.935</v>
      </c>
      <c r="AL95" s="3" t="n">
        <f aca="false">60/3.5</f>
        <v>17.1428571428571</v>
      </c>
      <c r="AP95" s="0" t="n">
        <v>1</v>
      </c>
      <c r="AQ95" s="0" t="n">
        <v>2</v>
      </c>
      <c r="AS95" s="5" t="n">
        <f aca="false">60*U95-SUM(AT95:AX95)</f>
        <v>0.933333333333337</v>
      </c>
      <c r="AT95" s="3" t="n">
        <f aca="false">6+4/60</f>
        <v>6.06666666666667</v>
      </c>
      <c r="AU95" s="3" t="n">
        <f aca="false">26+21/60</f>
        <v>26.35</v>
      </c>
      <c r="AV95" s="3" t="n">
        <f aca="false">13+33/60</f>
        <v>13.55</v>
      </c>
      <c r="AW95" s="3" t="n">
        <f aca="false">32+14/60</f>
        <v>32.2333333333333</v>
      </c>
      <c r="AX95" s="3" t="n">
        <f aca="false">35+52/60</f>
        <v>35.8666666666667</v>
      </c>
      <c r="AY95" s="0" t="s">
        <v>57</v>
      </c>
      <c r="AZ95" s="0" t="s">
        <v>58</v>
      </c>
      <c r="BA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68</v>
      </c>
      <c r="F96" s="0" t="s">
        <v>54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54</v>
      </c>
      <c r="G97" s="2" t="n">
        <v>71</v>
      </c>
      <c r="I97" s="2" t="n">
        <v>59</v>
      </c>
      <c r="M97" s="0" t="s">
        <v>89</v>
      </c>
      <c r="O97" s="0" t="s">
        <v>55</v>
      </c>
      <c r="P97" s="0" t="s">
        <v>63</v>
      </c>
      <c r="Q97" s="3" t="n">
        <v>8.93</v>
      </c>
      <c r="R97" s="2" t="n">
        <v>1026</v>
      </c>
      <c r="S97" s="2" t="n">
        <v>19808</v>
      </c>
      <c r="T97" s="2" t="n">
        <v>18782</v>
      </c>
      <c r="U97" s="3" t="n">
        <f aca="false">( 120+18+34/60)/60</f>
        <v>2.30944444444444</v>
      </c>
      <c r="V97" s="3" t="n">
        <f aca="false">(120+31)/60</f>
        <v>2.51666666666667</v>
      </c>
      <c r="W97" s="3" t="n">
        <f aca="false">V97-U97</f>
        <v>0.207222222222222</v>
      </c>
      <c r="X97" s="3" t="n">
        <f aca="false">Q97/U97</f>
        <v>3.86673081549194</v>
      </c>
      <c r="Y97" s="0" t="n">
        <v>1</v>
      </c>
      <c r="Z97" s="3" t="n">
        <f aca="false">Q97/Y97</f>
        <v>8.93</v>
      </c>
      <c r="AA97" s="3" t="n">
        <f aca="false">15+27/60</f>
        <v>15.45</v>
      </c>
      <c r="AB97" s="2" t="n">
        <v>220</v>
      </c>
      <c r="AC97" s="2" t="n">
        <v>1258</v>
      </c>
      <c r="AD97" s="2" t="n">
        <v>109</v>
      </c>
      <c r="AE97" s="2" t="n">
        <v>163</v>
      </c>
      <c r="AF97" s="3" t="n">
        <f aca="false">15+27.2/60</f>
        <v>15.4533333333333</v>
      </c>
      <c r="AG97" s="3" t="n">
        <f aca="false">15+21.9/60</f>
        <v>15.365</v>
      </c>
      <c r="AH97" s="3" t="n">
        <f aca="false">16+16.1/60</f>
        <v>16.2683333333333</v>
      </c>
      <c r="AI97" s="3" t="n">
        <f aca="false">15+27.1/60</f>
        <v>15.4516666666667</v>
      </c>
      <c r="AJ97" s="3" t="n">
        <f aca="false">17+3/60</f>
        <v>17.05</v>
      </c>
      <c r="AK97" s="3" t="n">
        <f aca="false">15+34.8/60</f>
        <v>15.58</v>
      </c>
      <c r="AL97" s="3" t="n">
        <f aca="false">15+24.3/60</f>
        <v>15.405</v>
      </c>
      <c r="AM97" s="3" t="n">
        <f aca="false">14+45.6/60</f>
        <v>14.76</v>
      </c>
      <c r="AN97" s="3" t="n">
        <f aca="false">14+3.4/60</f>
        <v>14.0566666666667</v>
      </c>
      <c r="AO97" s="3" t="n">
        <v>15</v>
      </c>
      <c r="AP97" s="0" t="n">
        <v>2</v>
      </c>
      <c r="AQ97" s="0" t="n">
        <v>1</v>
      </c>
      <c r="AS97" s="4" t="n">
        <f aca="false">60*U97-SUM(AT97:AX97)</f>
        <v>2.13333333333333</v>
      </c>
      <c r="AT97" s="3" t="n">
        <f aca="false">27+11/60</f>
        <v>27.1833333333333</v>
      </c>
      <c r="AU97" s="3" t="n">
        <f aca="false">44+1/6</f>
        <v>44.1666666666667</v>
      </c>
      <c r="AV97" s="3" t="n">
        <f aca="false">25+24/60</f>
        <v>25.4</v>
      </c>
      <c r="AW97" s="3" t="n">
        <f aca="false">11+32/60</f>
        <v>11.5333333333333</v>
      </c>
      <c r="AX97" s="3" t="n">
        <f aca="false">28+9/60</f>
        <v>28.15</v>
      </c>
      <c r="AY97" s="0" t="s">
        <v>57</v>
      </c>
      <c r="AZ97" s="0" t="s">
        <v>58</v>
      </c>
      <c r="BA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59</v>
      </c>
      <c r="G98" s="2" t="n">
        <f aca="false">AVERAGE(79,82)</f>
        <v>80.5</v>
      </c>
      <c r="I98" s="2" t="n">
        <f aca="false">AVERAGE(47+37)</f>
        <v>84</v>
      </c>
      <c r="M98" s="0" t="s">
        <v>89</v>
      </c>
      <c r="O98" s="0" t="s">
        <v>55</v>
      </c>
      <c r="P98" s="0" t="s">
        <v>72</v>
      </c>
      <c r="Q98" s="3" t="n">
        <v>6.98</v>
      </c>
      <c r="R98" s="2" t="n">
        <v>925</v>
      </c>
      <c r="S98" s="2" t="n">
        <v>16250</v>
      </c>
      <c r="T98" s="2" t="n">
        <f aca="false">S98-R98</f>
        <v>15325</v>
      </c>
      <c r="U98" s="3" t="n">
        <f aca="false">(60+51+29/60)/60</f>
        <v>1.85805555555556</v>
      </c>
      <c r="V98" s="3" t="n">
        <f aca="false">(60+57)/60</f>
        <v>1.95</v>
      </c>
      <c r="W98" s="3" t="n">
        <f aca="false">V98-U98</f>
        <v>0.0919444444444444</v>
      </c>
      <c r="X98" s="3" t="n">
        <f aca="false">Q98/U98</f>
        <v>3.75661533861564</v>
      </c>
      <c r="Y98" s="0" t="n">
        <v>1</v>
      </c>
      <c r="Z98" s="3" t="n">
        <f aca="false">Q98/Y98</f>
        <v>6.98</v>
      </c>
      <c r="AA98" s="3" t="n">
        <f aca="false">15+59/60</f>
        <v>15.9833333333333</v>
      </c>
      <c r="AB98" s="2" t="n">
        <f aca="false">282</f>
        <v>282</v>
      </c>
      <c r="AC98" s="2" t="n">
        <v>1053</v>
      </c>
      <c r="AD98" s="2" t="n">
        <v>119</v>
      </c>
      <c r="AE98" s="2" t="n">
        <v>141</v>
      </c>
      <c r="AF98" s="3" t="n">
        <f aca="false">15+38.1/60</f>
        <v>15.635</v>
      </c>
      <c r="AG98" s="3" t="n">
        <f aca="false">15+33.1/60</f>
        <v>15.5516666666667</v>
      </c>
      <c r="AH98" s="3" t="n">
        <f aca="false">16+11.2/60</f>
        <v>16.1866666666667</v>
      </c>
      <c r="AI98" s="3" t="n">
        <f aca="false">15+28.2/60</f>
        <v>15.47</v>
      </c>
      <c r="AJ98" s="3" t="n">
        <f aca="false">16+13/60</f>
        <v>16.2166666666667</v>
      </c>
      <c r="AK98" s="3" t="n">
        <f aca="false">16+21.6/60</f>
        <v>16.36</v>
      </c>
      <c r="AL98" s="3" t="n">
        <f aca="false">60/3.7</f>
        <v>16.2162162162162</v>
      </c>
      <c r="AP98" s="0" t="n">
        <v>1</v>
      </c>
      <c r="AQ98" s="0" t="n">
        <v>1</v>
      </c>
      <c r="AS98" s="4" t="n">
        <f aca="false">60*U98-SUM(AT98:AX98)</f>
        <v>8.99866666666668</v>
      </c>
      <c r="AT98" s="3" t="n">
        <f aca="false">22/60</f>
        <v>0.366666666666667</v>
      </c>
      <c r="AU98" s="3" t="n">
        <f aca="false">5+2/60</f>
        <v>5.03333333333333</v>
      </c>
      <c r="AV98" s="3" t="n">
        <f aca="false">36+57/60</f>
        <v>36.95</v>
      </c>
      <c r="AW98" s="3" t="n">
        <f aca="false">60+5/60</f>
        <v>60.0833333333333</v>
      </c>
      <c r="AX98" s="3" t="n">
        <f aca="false">3.08/60</f>
        <v>0.0513333333333333</v>
      </c>
      <c r="AY98" s="0" t="s">
        <v>57</v>
      </c>
      <c r="AZ98" s="0" t="s">
        <v>58</v>
      </c>
      <c r="BA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68</v>
      </c>
      <c r="F99" s="0" t="s">
        <v>59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93</v>
      </c>
      <c r="F100" s="0" t="s">
        <v>59</v>
      </c>
      <c r="G100" s="2" t="n">
        <f aca="false">AVERAGE(84,87)</f>
        <v>85.5</v>
      </c>
      <c r="I100" s="2" t="n">
        <f aca="false">AVERAGE(40,32)</f>
        <v>36</v>
      </c>
      <c r="M100" s="0" t="s">
        <v>89</v>
      </c>
      <c r="O100" s="0" t="s">
        <v>64</v>
      </c>
      <c r="P100" s="0" t="s">
        <v>90</v>
      </c>
      <c r="Q100" s="3" t="n">
        <v>6.46</v>
      </c>
      <c r="R100" s="2" t="n">
        <v>898</v>
      </c>
      <c r="S100" s="2" t="n">
        <v>14956</v>
      </c>
      <c r="T100" s="2" t="n">
        <f aca="false">S100-R100</f>
        <v>14058</v>
      </c>
      <c r="U100" s="3" t="n">
        <f aca="false">(60+51)/60</f>
        <v>1.85</v>
      </c>
      <c r="V100" s="3" t="n">
        <f aca="false">(60+53)/60</f>
        <v>1.88333333333333</v>
      </c>
      <c r="W100" s="3" t="n">
        <f aca="false">V100-U100</f>
        <v>0.0333333333333332</v>
      </c>
      <c r="X100" s="3" t="n">
        <f aca="false">Q100/U100</f>
        <v>3.49189189189189</v>
      </c>
      <c r="Y100" s="0" t="n">
        <v>1</v>
      </c>
      <c r="Z100" s="3" t="n">
        <f aca="false">Q100/Y100</f>
        <v>6.46</v>
      </c>
      <c r="AA100" s="3" t="n">
        <f aca="false">17+17/60</f>
        <v>17.2833333333333</v>
      </c>
      <c r="AB100" s="2" t="n">
        <v>177</v>
      </c>
      <c r="AC100" s="2" t="n">
        <v>905</v>
      </c>
      <c r="AD100" s="2" t="n">
        <v>112</v>
      </c>
      <c r="AE100" s="2" t="n">
        <v>139</v>
      </c>
      <c r="AF100" s="3" t="n">
        <f aca="false">16+5.3/60</f>
        <v>16.0883333333333</v>
      </c>
      <c r="AG100" s="3" t="n">
        <f aca="false">16+6.9/70</f>
        <v>16.0985714285714</v>
      </c>
      <c r="AH100" s="3" t="n">
        <f aca="false">16+57.4/60</f>
        <v>16.9566666666667</v>
      </c>
      <c r="AI100" s="3" t="n">
        <f aca="false">19+16.7/60</f>
        <v>19.2783333333333</v>
      </c>
      <c r="AJ100" s="3" t="n">
        <f aca="false">17+29.2/60</f>
        <v>17.4866666666667</v>
      </c>
      <c r="AK100" s="3" t="n">
        <f aca="false">17+26.3/60</f>
        <v>17.4383333333333</v>
      </c>
      <c r="AL100" s="3" t="n">
        <f aca="false">60/3.5</f>
        <v>17.1428571428571</v>
      </c>
      <c r="AP100" s="0" t="n">
        <v>1</v>
      </c>
      <c r="AQ100" s="0" t="n">
        <v>1</v>
      </c>
      <c r="AS100" s="4" t="n">
        <f aca="false">60*U100-SUM(AT100:AX100)</f>
        <v>11.5245</v>
      </c>
      <c r="AT100" s="3" t="n">
        <f aca="false">13/60</f>
        <v>0.216666666666667</v>
      </c>
      <c r="AU100" s="3" t="n">
        <f aca="false">28*37/60</f>
        <v>17.2666666666667</v>
      </c>
      <c r="AV100" s="3" t="n">
        <f aca="false">47+14/60</f>
        <v>47.2333333333333</v>
      </c>
      <c r="AW100" s="3" t="n">
        <f aca="false">34+45/60</f>
        <v>34.75</v>
      </c>
      <c r="AX100" s="3" t="n">
        <f aca="false">0.53/60</f>
        <v>0.00883333333333333</v>
      </c>
      <c r="AY100" s="0" t="s">
        <v>57</v>
      </c>
      <c r="AZ100" s="0" t="s">
        <v>58</v>
      </c>
      <c r="BA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93</v>
      </c>
      <c r="F101" s="0" t="s">
        <v>59</v>
      </c>
      <c r="G101" s="2" t="n">
        <f aca="false">AVERAGE(86,87)</f>
        <v>86.5</v>
      </c>
      <c r="I101" s="2" t="n">
        <f aca="false">AVERAGE(36,35)</f>
        <v>35.5</v>
      </c>
      <c r="M101" s="0" t="s">
        <v>89</v>
      </c>
      <c r="O101" s="0" t="s">
        <v>64</v>
      </c>
      <c r="P101" s="0" t="s">
        <v>61</v>
      </c>
      <c r="Q101" s="3" t="n">
        <v>6.45</v>
      </c>
      <c r="R101" s="2" t="n">
        <v>287</v>
      </c>
      <c r="S101" s="2" t="n">
        <v>15039</v>
      </c>
      <c r="T101" s="2" t="n">
        <f aca="false">S101-R101</f>
        <v>14752</v>
      </c>
      <c r="U101" s="3" t="n">
        <f aca="false">(60+55 + 19/60)/60</f>
        <v>1.92194444444444</v>
      </c>
      <c r="V101" s="3" t="n">
        <f aca="false">(60+59+35/60)/60</f>
        <v>1.99305555555556</v>
      </c>
      <c r="W101" s="3" t="n">
        <f aca="false">V101-U101</f>
        <v>0.0711111111111111</v>
      </c>
      <c r="X101" s="3" t="n">
        <f aca="false">Q101/U101</f>
        <v>3.35597629715277</v>
      </c>
      <c r="Y101" s="0" t="n">
        <v>1</v>
      </c>
      <c r="Z101" s="3" t="n">
        <f aca="false">Q101/Y101</f>
        <v>6.45</v>
      </c>
      <c r="AA101" s="3" t="n">
        <f aca="false">17+53/60</f>
        <v>17.8833333333333</v>
      </c>
      <c r="AB101" s="2" t="n">
        <v>308</v>
      </c>
      <c r="AC101" s="2" t="n">
        <v>893</v>
      </c>
      <c r="AD101" s="2" t="n">
        <v>106</v>
      </c>
      <c r="AE101" s="2" t="n">
        <v>138</v>
      </c>
      <c r="AF101" s="3" t="n">
        <f aca="false">16+50.8/60</f>
        <v>16.8466666666667</v>
      </c>
      <c r="AG101" s="3" t="n">
        <f aca="false">16+59/60</f>
        <v>16.9833333333333</v>
      </c>
      <c r="AH101" s="3" t="n">
        <f aca="false">17+18.4/60</f>
        <v>17.3066666666667</v>
      </c>
      <c r="AI101" s="3" t="n">
        <f aca="false">17+11.8/60</f>
        <v>17.1966666666667</v>
      </c>
      <c r="AJ101" s="3" t="n">
        <f aca="false">20+0.9</f>
        <v>20.9</v>
      </c>
      <c r="AK101" s="3" t="n">
        <f aca="false">18+22.7/60</f>
        <v>18.3783333333333</v>
      </c>
      <c r="AL101" s="3" t="n">
        <f aca="false">60/3.5</f>
        <v>17.1428571428571</v>
      </c>
      <c r="AP101" s="0" t="n">
        <v>2</v>
      </c>
      <c r="AQ101" s="0" t="n">
        <v>0</v>
      </c>
      <c r="AS101" s="4" t="n">
        <f aca="false">60*U101-SUM(AT101:AX101)</f>
        <v>0</v>
      </c>
      <c r="AT101" s="3" t="n">
        <f aca="false">1+26/60</f>
        <v>1.43333333333333</v>
      </c>
      <c r="AU101" s="3" t="n">
        <f aca="false">65+39/60</f>
        <v>65.65</v>
      </c>
      <c r="AV101" s="3" t="n">
        <f aca="false">20+34/60</f>
        <v>20.5666666666667</v>
      </c>
      <c r="AW101" s="3" t="n">
        <f aca="false">25+53/60</f>
        <v>25.8833333333333</v>
      </c>
      <c r="AX101" s="3" t="n">
        <f aca="false">1+47/60</f>
        <v>1.78333333333333</v>
      </c>
      <c r="AY101" s="0" t="s">
        <v>57</v>
      </c>
      <c r="AZ101" s="0" t="s">
        <v>58</v>
      </c>
      <c r="BA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41060.5701388889</v>
      </c>
      <c r="C102" s="0" t="n">
        <v>1</v>
      </c>
      <c r="F102" s="0" t="s">
        <v>79</v>
      </c>
      <c r="G102" s="2" t="n">
        <f aca="false">AVERAGE(86,88)</f>
        <v>87</v>
      </c>
      <c r="I102" s="2" t="n">
        <f aca="false">AVERAGE(38,35)</f>
        <v>36.5</v>
      </c>
      <c r="M102" s="0" t="s">
        <v>89</v>
      </c>
      <c r="O102" s="0" t="s">
        <v>64</v>
      </c>
      <c r="P102" s="0" t="s">
        <v>76</v>
      </c>
      <c r="Q102" s="3" t="n">
        <v>7.1</v>
      </c>
      <c r="R102" s="2" t="n">
        <v>341</v>
      </c>
      <c r="S102" s="2" t="n">
        <v>15990</v>
      </c>
      <c r="T102" s="2" t="n">
        <f aca="false">S102-R102</f>
        <v>15649</v>
      </c>
      <c r="U102" s="3" t="n">
        <f aca="false">(60+53)/60</f>
        <v>1.88333333333333</v>
      </c>
      <c r="V102" s="3" t="n">
        <f aca="false">(120+20/60)/60</f>
        <v>2.00555555555556</v>
      </c>
      <c r="W102" s="3" t="n">
        <f aca="false">V102-U102</f>
        <v>0.122222222222222</v>
      </c>
      <c r="X102" s="3" t="n">
        <f aca="false">Q102/U102</f>
        <v>3.76991150442478</v>
      </c>
      <c r="Y102" s="0" t="n">
        <v>1</v>
      </c>
      <c r="Z102" s="3" t="n">
        <f aca="false">Q102/Y102</f>
        <v>7.1</v>
      </c>
      <c r="AA102" s="3" t="n">
        <f aca="false">15+57/60</f>
        <v>15.95</v>
      </c>
      <c r="AB102" s="2" t="n">
        <v>840</v>
      </c>
      <c r="AC102" s="2" t="n">
        <v>876</v>
      </c>
      <c r="AD102" s="2" t="n">
        <v>92</v>
      </c>
      <c r="AE102" s="2" t="n">
        <v>151</v>
      </c>
      <c r="AF102" s="3" t="n">
        <f aca="false">14+58.7/60</f>
        <v>14.9783333333333</v>
      </c>
      <c r="AG102" s="3" t="n">
        <f aca="false">15+19.4/60</f>
        <v>15.3233333333333</v>
      </c>
      <c r="AH102" s="3" t="n">
        <f aca="false">15+43.3/60</f>
        <v>15.7216666666667</v>
      </c>
      <c r="AI102" s="3" t="n">
        <f aca="false">16+23.2/60</f>
        <v>16.3866666666667</v>
      </c>
      <c r="AJ102" s="3" t="n">
        <f aca="false">16+17/60</f>
        <v>16.2833333333333</v>
      </c>
      <c r="AK102" s="3" t="n">
        <f aca="false">16+48/60</f>
        <v>16.8</v>
      </c>
      <c r="AL102" s="3" t="n">
        <f aca="false">16+9.3/60</f>
        <v>16.155</v>
      </c>
      <c r="AM102" s="3" t="n">
        <f aca="false">60/3.8</f>
        <v>15.7894736842105</v>
      </c>
      <c r="AS102" s="4" t="n">
        <f aca="false">60*U102-SUM(AT102:AX102)</f>
        <v>113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78</v>
      </c>
      <c r="G103" s="2" t="n">
        <v>73</v>
      </c>
      <c r="I103" s="2" t="n">
        <f aca="false">AVERAGE(90,79)</f>
        <v>84.5</v>
      </c>
      <c r="M103" s="0" t="s">
        <v>88</v>
      </c>
      <c r="O103" s="0" t="s">
        <v>64</v>
      </c>
      <c r="P103" s="0" t="s">
        <v>92</v>
      </c>
      <c r="Q103" s="3" t="n">
        <v>6.71</v>
      </c>
      <c r="S103" s="2" t="n">
        <v>15412</v>
      </c>
      <c r="U103" s="3" t="n">
        <f aca="false">(60+59)/60</f>
        <v>1.98333333333333</v>
      </c>
      <c r="V103" s="3" t="n">
        <f aca="false">127/60</f>
        <v>2.11666666666667</v>
      </c>
      <c r="W103" s="3" t="n">
        <f aca="false">V103-U103</f>
        <v>0.133333333333333</v>
      </c>
      <c r="X103" s="3" t="n">
        <f aca="false">Q103/U103</f>
        <v>3.38319327731092</v>
      </c>
      <c r="Y103" s="0" t="n">
        <v>1</v>
      </c>
      <c r="Z103" s="3" t="n">
        <f aca="false">Q103/Y103</f>
        <v>6.71</v>
      </c>
      <c r="AA103" s="3" t="n">
        <f aca="false">17.67</f>
        <v>17.67</v>
      </c>
      <c r="AB103" s="2" t="n">
        <v>282</v>
      </c>
      <c r="AC103" s="2" t="n">
        <v>799</v>
      </c>
      <c r="AD103" s="2" t="n">
        <v>82</v>
      </c>
      <c r="AE103" s="2" t="n">
        <v>126</v>
      </c>
      <c r="AF103" s="3" t="n">
        <f aca="false">17+5.1/60</f>
        <v>17.085</v>
      </c>
      <c r="AG103" s="3" t="n">
        <f aca="false">16+27.3/60</f>
        <v>16.455</v>
      </c>
      <c r="AH103" s="3" t="n">
        <f aca="false">17+32/60</f>
        <v>17.5333333333333</v>
      </c>
      <c r="AI103" s="3" t="n">
        <f aca="false">17+45.1/60</f>
        <v>17.7516666666667</v>
      </c>
      <c r="AJ103" s="3" t="n">
        <f aca="false">18+1/60</f>
        <v>18.0166666666667</v>
      </c>
      <c r="AK103" s="3" t="n">
        <f aca="false">18+21/60</f>
        <v>18.35</v>
      </c>
      <c r="AL103" s="3" t="n">
        <f aca="false">60/3.4</f>
        <v>17.6470588235294</v>
      </c>
      <c r="AP103" s="0" t="n">
        <v>1</v>
      </c>
      <c r="AQ103" s="0" t="n">
        <v>3</v>
      </c>
      <c r="AS103" s="4" t="n">
        <f aca="false">60*U103-SUM(AT103:AX103)</f>
        <v>56.9833333333333</v>
      </c>
      <c r="AT103" s="3" t="n">
        <f aca="false">27.25</f>
        <v>27.25</v>
      </c>
      <c r="AU103" s="3" t="n">
        <f aca="false">13+43/60</f>
        <v>13.7166666666667</v>
      </c>
      <c r="AV103" s="3" t="n">
        <f aca="false">14+50/60</f>
        <v>14.8333333333333</v>
      </c>
      <c r="AW103" s="3" t="n">
        <f aca="false">6+13/60</f>
        <v>6.21666666666667</v>
      </c>
      <c r="AX103" s="3" t="n">
        <v>0</v>
      </c>
      <c r="AY103" s="0" t="s">
        <v>57</v>
      </c>
      <c r="AZ103" s="0" t="s">
        <v>58</v>
      </c>
      <c r="BA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78</v>
      </c>
      <c r="G104" s="2" t="n">
        <v>86</v>
      </c>
      <c r="I104" s="2" t="n">
        <v>53</v>
      </c>
      <c r="M104" s="0" t="s">
        <v>89</v>
      </c>
      <c r="O104" s="0" t="s">
        <v>64</v>
      </c>
      <c r="P104" s="0" t="s">
        <v>90</v>
      </c>
      <c r="Q104" s="3" t="n">
        <v>7.04</v>
      </c>
      <c r="R104" s="2" t="n">
        <v>1392</v>
      </c>
      <c r="S104" s="2" t="n">
        <v>16929</v>
      </c>
      <c r="T104" s="2" t="n">
        <f aca="false">S104-R104</f>
        <v>15537</v>
      </c>
      <c r="U104" s="3" t="n">
        <f aca="false">(60+59)/60</f>
        <v>1.98333333333333</v>
      </c>
      <c r="V104" s="3" t="n">
        <f aca="false">(120+26)/60</f>
        <v>2.43333333333333</v>
      </c>
      <c r="W104" s="3" t="n">
        <f aca="false">V104-U104</f>
        <v>0.45</v>
      </c>
      <c r="X104" s="3" t="n">
        <f aca="false">Q104/U104</f>
        <v>3.54957983193277</v>
      </c>
      <c r="Y104" s="0" t="n">
        <v>1</v>
      </c>
      <c r="Z104" s="3" t="n">
        <f aca="false">Q104/Y104</f>
        <v>7.04</v>
      </c>
      <c r="AA104" s="3" t="n">
        <f aca="false">16+53/60</f>
        <v>16.8833333333333</v>
      </c>
      <c r="AB104" s="2" t="n">
        <v>840</v>
      </c>
      <c r="AC104" s="2" t="n">
        <v>1174</v>
      </c>
      <c r="AD104" s="2" t="n">
        <v>118</v>
      </c>
      <c r="AE104" s="2" t="n">
        <v>154</v>
      </c>
      <c r="AF104" s="3" t="n">
        <f aca="false">15+43/60</f>
        <v>15.7166666666667</v>
      </c>
      <c r="AG104" s="3" t="n">
        <f aca="false">15+47/60</f>
        <v>15.7833333333333</v>
      </c>
      <c r="AH104" s="3" t="n">
        <f aca="false">17+4/60</f>
        <v>17.0666666666667</v>
      </c>
      <c r="AI104" s="3" t="n">
        <f aca="false">17+17/60</f>
        <v>17.2833333333333</v>
      </c>
      <c r="AJ104" s="3" t="n">
        <f aca="false">17+44/60</f>
        <v>17.7333333333333</v>
      </c>
      <c r="AK104" s="3" t="n">
        <f aca="false">17+38/60</f>
        <v>17.6333333333333</v>
      </c>
      <c r="AL104" s="3" t="n">
        <f aca="false">16+51/60</f>
        <v>16.85</v>
      </c>
      <c r="AM104" s="3" t="n">
        <f aca="false">60/3.6</f>
        <v>16.6666666666667</v>
      </c>
      <c r="AP104" s="0" t="n">
        <v>4</v>
      </c>
      <c r="AQ104" s="0" t="n">
        <v>0</v>
      </c>
      <c r="AS104" s="4" t="n">
        <f aca="false">60*U104-SUM(AT104:AX104)</f>
        <v>0.25</v>
      </c>
      <c r="AT104" s="3" t="n">
        <f aca="false">3+28/60</f>
        <v>3.46666666666667</v>
      </c>
      <c r="AU104" s="3" t="n">
        <f aca="false">36+3/60</f>
        <v>36.05</v>
      </c>
      <c r="AV104" s="3" t="n">
        <f aca="false">25+52/60</f>
        <v>25.8666666666667</v>
      </c>
      <c r="AW104" s="3" t="n">
        <f aca="false">15+28/60</f>
        <v>15.4666666666667</v>
      </c>
      <c r="AX104" s="3" t="n">
        <f aca="false">37+54/60</f>
        <v>37.9</v>
      </c>
      <c r="AY104" s="0" t="s">
        <v>57</v>
      </c>
      <c r="AZ104" s="0" t="s">
        <v>58</v>
      </c>
      <c r="BA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59</v>
      </c>
      <c r="G105" s="2" t="n">
        <v>93</v>
      </c>
      <c r="I105" s="2" t="n">
        <v>47</v>
      </c>
      <c r="M105" s="0" t="s">
        <v>88</v>
      </c>
      <c r="O105" s="0" t="s">
        <v>55</v>
      </c>
      <c r="P105" s="0" t="s">
        <v>56</v>
      </c>
      <c r="Q105" s="3" t="n">
        <v>4.62</v>
      </c>
      <c r="U105" s="3" t="n">
        <f aca="false">102/60</f>
        <v>1.7</v>
      </c>
      <c r="V105" s="3" t="n">
        <f aca="false">102/60</f>
        <v>1.7</v>
      </c>
      <c r="W105" s="3" t="n">
        <f aca="false">V105-U105</f>
        <v>0</v>
      </c>
      <c r="X105" s="3" t="n">
        <f aca="false">Q105/U105</f>
        <v>2.71764705882353</v>
      </c>
      <c r="Y105" s="0" t="n">
        <v>2</v>
      </c>
      <c r="Z105" s="3" t="n">
        <f aca="false">Q105/Y105</f>
        <v>2.31</v>
      </c>
      <c r="AA105" s="3" t="n">
        <f aca="false">22+1/60</f>
        <v>22.0166666666667</v>
      </c>
      <c r="AB105" s="2" t="n">
        <v>253</v>
      </c>
      <c r="AC105" s="2" t="n">
        <v>1044</v>
      </c>
      <c r="AD105" s="2" t="n">
        <v>118</v>
      </c>
      <c r="AE105" s="2" t="n">
        <v>134</v>
      </c>
      <c r="AF105" s="3" t="n">
        <f aca="false">22+49/60</f>
        <v>22.8166666666667</v>
      </c>
      <c r="AG105" s="3" t="n">
        <f aca="false">22+34/60</f>
        <v>22.5666666666667</v>
      </c>
      <c r="AH105" s="3" t="n">
        <f aca="false">22+29.7/60</f>
        <v>22.495</v>
      </c>
      <c r="AI105" s="3" t="n">
        <f aca="false">21+10.3/60</f>
        <v>21.1716666666667</v>
      </c>
      <c r="AJ105" s="3" t="n">
        <f aca="false">60/2.9</f>
        <v>20.6896551724138</v>
      </c>
      <c r="AP105" s="0" t="n">
        <v>0</v>
      </c>
      <c r="AQ105" s="0" t="n">
        <v>0</v>
      </c>
      <c r="AS105" s="4" t="n">
        <f aca="false">60*U105-SUM(AT105:AX105)</f>
        <v>0.449999999999989</v>
      </c>
      <c r="AT105" s="3" t="n">
        <v>3.25</v>
      </c>
      <c r="AU105" s="3" t="n">
        <f aca="false">19+33/60</f>
        <v>19.55</v>
      </c>
      <c r="AV105" s="3" t="n">
        <f aca="false">6+2/60</f>
        <v>6.03333333333333</v>
      </c>
      <c r="AW105" s="3" t="n">
        <f aca="false">70+13/60</f>
        <v>70.2166666666667</v>
      </c>
      <c r="AX105" s="3" t="n">
        <f aca="false">2.5</f>
        <v>2.5</v>
      </c>
      <c r="AY105" s="0" t="s">
        <v>57</v>
      </c>
      <c r="AZ105" s="0" t="s">
        <v>58</v>
      </c>
      <c r="BA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59</v>
      </c>
      <c r="G106" s="2" t="n">
        <f aca="false">AVERAGE(83,86)</f>
        <v>84.5</v>
      </c>
      <c r="I106" s="2" t="n">
        <f aca="false">AVERAGE(72,67)</f>
        <v>69.5</v>
      </c>
      <c r="M106" s="0" t="s">
        <v>88</v>
      </c>
      <c r="O106" s="0" t="s">
        <v>64</v>
      </c>
      <c r="P106" s="0" t="s">
        <v>56</v>
      </c>
      <c r="Q106" s="3" t="n">
        <v>4.06</v>
      </c>
      <c r="R106" s="2" t="n">
        <v>1196</v>
      </c>
      <c r="S106" s="2" t="n">
        <v>12451</v>
      </c>
      <c r="T106" s="2" t="n">
        <f aca="false">S106-R106</f>
        <v>11255</v>
      </c>
      <c r="U106" s="3" t="n">
        <f aca="false">91/60</f>
        <v>1.51666666666667</v>
      </c>
      <c r="V106" s="3" t="n">
        <f aca="false">97/60</f>
        <v>1.61666666666667</v>
      </c>
      <c r="W106" s="3" t="n">
        <f aca="false">V106-U106</f>
        <v>0.1</v>
      </c>
      <c r="X106" s="3" t="n">
        <f aca="false">Q106/U106</f>
        <v>2.67692307692308</v>
      </c>
      <c r="Y106" s="0" t="n">
        <v>2</v>
      </c>
      <c r="Z106" s="3" t="n">
        <f aca="false">Q106/Y106</f>
        <v>2.03</v>
      </c>
      <c r="AA106" s="3" t="n">
        <f aca="false">22+19/60</f>
        <v>22.3166666666667</v>
      </c>
      <c r="AB106" s="2" t="n">
        <v>62</v>
      </c>
      <c r="AC106" s="2" t="n">
        <v>824</v>
      </c>
      <c r="AD106" s="2" t="n">
        <v>112</v>
      </c>
      <c r="AE106" s="2" t="n">
        <v>128</v>
      </c>
      <c r="AF106" s="3" t="n">
        <f aca="false">20+42/60</f>
        <v>20.7</v>
      </c>
      <c r="AG106" s="3" t="n">
        <f aca="false">23+10/60</f>
        <v>23.1666666666667</v>
      </c>
      <c r="AH106" s="3" t="n">
        <f aca="false">23+37/60</f>
        <v>23.6166666666667</v>
      </c>
      <c r="AI106" s="3" t="n">
        <f aca="false">21+49/60</f>
        <v>21.8166666666667</v>
      </c>
      <c r="AJ106" s="3" t="n">
        <f aca="false">60/2.7</f>
        <v>22.2222222222222</v>
      </c>
      <c r="AP106" s="0" t="n">
        <v>1</v>
      </c>
      <c r="AQ106" s="0" t="n">
        <v>0</v>
      </c>
      <c r="AS106" s="4" t="n">
        <f aca="false">60*U106-SUM(AT106:AX106)</f>
        <v>0.849999999999994</v>
      </c>
      <c r="AT106" s="3" t="n">
        <f aca="false">5+38/60</f>
        <v>5.63333333333333</v>
      </c>
      <c r="AU106" s="3" t="n">
        <f aca="false">10+45/60</f>
        <v>10.75</v>
      </c>
      <c r="AV106" s="3" t="n">
        <f aca="false">53+46/60</f>
        <v>53.7666666666667</v>
      </c>
      <c r="AW106" s="3" t="n">
        <f aca="false">20</f>
        <v>20</v>
      </c>
      <c r="AX106" s="3" t="n">
        <v>0</v>
      </c>
      <c r="AY106" s="0" t="s">
        <v>57</v>
      </c>
      <c r="AZ106" s="0" t="s">
        <v>58</v>
      </c>
      <c r="BA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94</v>
      </c>
      <c r="F107" s="0" t="s">
        <v>59</v>
      </c>
      <c r="G107" s="2" t="n">
        <v>90</v>
      </c>
      <c r="I107" s="2" t="n">
        <v>74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59</v>
      </c>
      <c r="G108" s="2" t="n">
        <f aca="false">AVERAGE(90,91)</f>
        <v>90.5</v>
      </c>
      <c r="I108" s="2" t="n">
        <f aca="false">AVERAGE(50,48)</f>
        <v>49</v>
      </c>
      <c r="M108" s="0" t="s">
        <v>88</v>
      </c>
      <c r="O108" s="0" t="s">
        <v>64</v>
      </c>
      <c r="P108" s="0" t="s">
        <v>56</v>
      </c>
      <c r="Q108" s="3" t="n">
        <v>5.87</v>
      </c>
      <c r="U108" s="3" t="n">
        <f aca="false">123/60</f>
        <v>2.05</v>
      </c>
      <c r="V108" s="3" t="n">
        <f aca="false">124/60</f>
        <v>2.06666666666667</v>
      </c>
      <c r="W108" s="3" t="n">
        <f aca="false">V108-U108</f>
        <v>0.0166666666666671</v>
      </c>
      <c r="X108" s="3" t="n">
        <f aca="false">Q108/U108</f>
        <v>2.86341463414634</v>
      </c>
      <c r="Y108" s="0" t="n">
        <v>2</v>
      </c>
      <c r="Z108" s="3" t="n">
        <f aca="false">Q108/Y108</f>
        <v>2.935</v>
      </c>
      <c r="AA108" s="3" t="n">
        <f aca="false">20+53/60</f>
        <v>20.8833333333333</v>
      </c>
      <c r="AB108" s="2" t="n">
        <v>302</v>
      </c>
      <c r="AC108" s="2" t="n">
        <v>1491</v>
      </c>
      <c r="AD108" s="2" t="n">
        <v>130</v>
      </c>
      <c r="AE108" s="2" t="n">
        <v>150</v>
      </c>
      <c r="AF108" s="3" t="n">
        <f aca="false">18+29/60</f>
        <v>18.4833333333333</v>
      </c>
      <c r="AG108" s="3" t="n">
        <f aca="false">22+8/60</f>
        <v>22.1333333333333</v>
      </c>
      <c r="AH108" s="3" t="n">
        <f aca="false">22+17/60</f>
        <v>22.2833333333333</v>
      </c>
      <c r="AI108" s="3" t="n">
        <f aca="false">19+3/50</f>
        <v>19.06</v>
      </c>
      <c r="AJ108" s="3" t="n">
        <f aca="false">20+59/60</f>
        <v>20.9833333333333</v>
      </c>
      <c r="AK108" s="3" t="n">
        <f aca="false">60/2.6</f>
        <v>23.0769230769231</v>
      </c>
      <c r="AP108" s="0" t="n">
        <v>0</v>
      </c>
      <c r="AQ108" s="0" t="n">
        <v>0</v>
      </c>
      <c r="AS108" s="4" t="n">
        <f aca="false">60*U108-SUM(AT108:AX108)</f>
        <v>0.299999999999983</v>
      </c>
      <c r="AT108" s="3" t="n">
        <v>0</v>
      </c>
      <c r="AU108" s="3" t="n">
        <f aca="false">25/60</f>
        <v>0.416666666666667</v>
      </c>
      <c r="AV108" s="3" t="n">
        <f aca="false">5+33/60</f>
        <v>5.55</v>
      </c>
      <c r="AW108" s="3" t="n">
        <f aca="false">81+3/60</f>
        <v>81.05</v>
      </c>
      <c r="AX108" s="3" t="n">
        <f aca="false">35+41/60</f>
        <v>35.6833333333333</v>
      </c>
      <c r="AY108" s="0" t="s">
        <v>57</v>
      </c>
      <c r="AZ108" s="0" t="s">
        <v>58</v>
      </c>
      <c r="BA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68</v>
      </c>
      <c r="F109" s="0" t="s">
        <v>59</v>
      </c>
      <c r="G109" s="2" t="n">
        <v>91</v>
      </c>
      <c r="I109" s="2" t="n">
        <v>50</v>
      </c>
      <c r="M109" s="0" t="s">
        <v>88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59</v>
      </c>
      <c r="G110" s="2" t="n">
        <v>95</v>
      </c>
      <c r="I110" s="2" t="n">
        <v>41</v>
      </c>
      <c r="M110" s="0" t="s">
        <v>88</v>
      </c>
      <c r="O110" s="0" t="s">
        <v>64</v>
      </c>
      <c r="P110" s="0" t="s">
        <v>56</v>
      </c>
      <c r="Q110" s="3" t="n">
        <v>5.78</v>
      </c>
      <c r="R110" s="2" t="n">
        <v>1718</v>
      </c>
      <c r="S110" s="2" t="n">
        <v>17665</v>
      </c>
      <c r="T110" s="2" t="n">
        <f aca="false">S110-R110</f>
        <v>15947</v>
      </c>
      <c r="U110" s="3" t="n">
        <f aca="false">126/60</f>
        <v>2.1</v>
      </c>
      <c r="V110" s="3" t="n">
        <f aca="false">128/60</f>
        <v>2.13333333333333</v>
      </c>
      <c r="W110" s="3" t="n">
        <f aca="false">V110-U110</f>
        <v>0.0333333333333332</v>
      </c>
      <c r="X110" s="3" t="n">
        <f aca="false">Q110/U110</f>
        <v>2.75238095238095</v>
      </c>
      <c r="Y110" s="0" t="n">
        <v>2</v>
      </c>
      <c r="Z110" s="3" t="n">
        <f aca="false">Q110/Y110</f>
        <v>2.89</v>
      </c>
      <c r="AA110" s="3" t="n">
        <f aca="false">21+49/60</f>
        <v>21.8166666666667</v>
      </c>
      <c r="AB110" s="2" t="n">
        <v>177</v>
      </c>
      <c r="AC110" s="2" t="n">
        <v>1313</v>
      </c>
      <c r="AD110" s="2" t="n">
        <v>122</v>
      </c>
      <c r="AE110" s="2" t="n">
        <v>151</v>
      </c>
      <c r="AF110" s="3" t="n">
        <f aca="false">18+28/60</f>
        <v>18.4666666666667</v>
      </c>
      <c r="AG110" s="3" t="n">
        <f aca="false">22+8/60</f>
        <v>22.1333333333333</v>
      </c>
      <c r="AH110" s="3" t="n">
        <f aca="false">23+53/60</f>
        <v>23.8833333333333</v>
      </c>
      <c r="AI110" s="3" t="n">
        <f aca="false">21+19/60</f>
        <v>21.3166666666667</v>
      </c>
      <c r="AJ110" s="3" t="n">
        <f aca="false">21+8/60</f>
        <v>21.1333333333333</v>
      </c>
      <c r="AK110" s="3" t="n">
        <f aca="false">60/2.7</f>
        <v>22.2222222222222</v>
      </c>
      <c r="AP110" s="0" t="n">
        <v>1</v>
      </c>
      <c r="AQ110" s="0" t="n">
        <v>1</v>
      </c>
      <c r="AS110" s="4" t="n">
        <f aca="false">60*U110-SUM(AT110:AX110)</f>
        <v>0.11666666666666</v>
      </c>
      <c r="AT110" s="3" t="n">
        <f aca="false">4+27/60</f>
        <v>4.45</v>
      </c>
      <c r="AU110" s="3" t="n">
        <f aca="false">20+54/60</f>
        <v>20.9</v>
      </c>
      <c r="AV110" s="3" t="n">
        <f aca="false">9+35/60</f>
        <v>9.58333333333333</v>
      </c>
      <c r="AW110" s="3" t="n">
        <f aca="false">67+12/60</f>
        <v>67.2</v>
      </c>
      <c r="AX110" s="3" t="n">
        <f aca="false">23+45/60</f>
        <v>23.75</v>
      </c>
      <c r="AY110" s="0" t="s">
        <v>57</v>
      </c>
      <c r="AZ110" s="0" t="s">
        <v>58</v>
      </c>
      <c r="BA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59</v>
      </c>
      <c r="G111" s="2" t="n">
        <v>90</v>
      </c>
      <c r="I111" s="2" t="n">
        <v>57</v>
      </c>
      <c r="M111" s="0" t="s">
        <v>88</v>
      </c>
      <c r="O111" s="0" t="s">
        <v>64</v>
      </c>
      <c r="P111" s="0" t="s">
        <v>56</v>
      </c>
      <c r="Q111" s="3" t="n">
        <v>2.97</v>
      </c>
      <c r="U111" s="3" t="n">
        <f aca="false">64/60</f>
        <v>1.06666666666667</v>
      </c>
      <c r="V111" s="3" t="n">
        <f aca="false">U111</f>
        <v>1.06666666666667</v>
      </c>
      <c r="W111" s="3" t="n">
        <f aca="false">V111-U111</f>
        <v>0</v>
      </c>
      <c r="X111" s="3" t="n">
        <f aca="false">Q111/U111</f>
        <v>2.784375</v>
      </c>
      <c r="Y111" s="0" t="n">
        <v>1</v>
      </c>
      <c r="Z111" s="3" t="n">
        <f aca="false">Q111/Y111</f>
        <v>2.97</v>
      </c>
      <c r="AA111" s="3" t="n">
        <f aca="false">21+31/60</f>
        <v>21.5166666666667</v>
      </c>
      <c r="AB111" s="2" t="n">
        <v>210</v>
      </c>
      <c r="AC111" s="2" t="n">
        <v>649</v>
      </c>
      <c r="AD111" s="2" t="n">
        <v>119</v>
      </c>
      <c r="AE111" s="2" t="n">
        <v>137</v>
      </c>
      <c r="AF111" s="3" t="n">
        <f aca="false">20+46/60</f>
        <v>20.7666666666667</v>
      </c>
      <c r="AG111" s="3" t="n">
        <f aca="false">20+15/60</f>
        <v>20.25</v>
      </c>
      <c r="AH111" s="3" t="n">
        <f aca="false">60/2.8</f>
        <v>21.4285714285714</v>
      </c>
      <c r="AP111" s="0" t="n">
        <v>0</v>
      </c>
      <c r="AQ111" s="0" t="n">
        <v>0</v>
      </c>
      <c r="AS111" s="4" t="n">
        <f aca="false">60*U111-SUM(AT111:AX111)</f>
        <v>0.0666666666666629</v>
      </c>
      <c r="AT111" s="3" t="n">
        <f aca="false">19/60</f>
        <v>0.316666666666667</v>
      </c>
      <c r="AU111" s="3" t="n">
        <f aca="false">9+11/60</f>
        <v>9.18333333333333</v>
      </c>
      <c r="AV111" s="3" t="n">
        <f aca="false">14+1/60</f>
        <v>14.0166666666667</v>
      </c>
      <c r="AW111" s="3" t="n">
        <f aca="false">39+44/60</f>
        <v>39.7333333333333</v>
      </c>
      <c r="AX111" s="3" t="n">
        <f aca="false">41/60</f>
        <v>0.683333333333333</v>
      </c>
      <c r="AY111" s="0" t="s">
        <v>57</v>
      </c>
      <c r="AZ111" s="0" t="s">
        <v>58</v>
      </c>
      <c r="BA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59</v>
      </c>
      <c r="G112" s="2" t="n">
        <v>97</v>
      </c>
      <c r="I112" s="2" t="n">
        <v>26</v>
      </c>
      <c r="M112" s="0" t="s">
        <v>88</v>
      </c>
      <c r="O112" s="0" t="s">
        <v>64</v>
      </c>
      <c r="P112" s="0" t="s">
        <v>95</v>
      </c>
      <c r="Q112" s="3" t="n">
        <v>1.25</v>
      </c>
      <c r="U112" s="3" t="n">
        <f aca="false">31/60</f>
        <v>0.516666666666667</v>
      </c>
      <c r="V112" s="3" t="n">
        <f aca="false">32/60</f>
        <v>0.533333333333333</v>
      </c>
      <c r="W112" s="3" t="n">
        <f aca="false">V112-U112</f>
        <v>0.0166666666666666</v>
      </c>
      <c r="X112" s="3" t="n">
        <f aca="false">Q112/U112</f>
        <v>2.41935483870968</v>
      </c>
      <c r="Y112" s="0" t="n">
        <v>1</v>
      </c>
      <c r="Z112" s="3" t="n">
        <f aca="false">Q112/Y112</f>
        <v>1.25</v>
      </c>
      <c r="AA112" s="3" t="n">
        <f aca="false">24+54/60</f>
        <v>24.9</v>
      </c>
      <c r="AB112" s="2" t="n">
        <v>16</v>
      </c>
      <c r="AC112" s="2" t="n">
        <v>279</v>
      </c>
      <c r="AD112" s="2" t="n">
        <v>108</v>
      </c>
      <c r="AE112" s="2" t="n">
        <v>120</v>
      </c>
      <c r="AF112" s="3" t="n">
        <f aca="false">24+17/60</f>
        <v>24.2833333333333</v>
      </c>
      <c r="AG112" s="3" t="n">
        <f aca="false">60/2.4</f>
        <v>25</v>
      </c>
      <c r="AP112" s="0" t="n">
        <v>0</v>
      </c>
      <c r="AQ112" s="0" t="n">
        <v>0</v>
      </c>
      <c r="AS112" s="4" t="n">
        <v>0</v>
      </c>
      <c r="AT112" s="3" t="n">
        <v>0</v>
      </c>
      <c r="AU112" s="3" t="n">
        <f aca="false">9+20/60</f>
        <v>9.33333333333333</v>
      </c>
      <c r="AV112" s="3" t="n">
        <f aca="false">21+23/60</f>
        <v>21.3833333333333</v>
      </c>
      <c r="AW112" s="3" t="n">
        <v>0.333333333333333</v>
      </c>
      <c r="AX112" s="3" t="n">
        <v>0</v>
      </c>
      <c r="AY112" s="0" t="s">
        <v>57</v>
      </c>
      <c r="AZ112" s="0" t="s">
        <v>58</v>
      </c>
      <c r="BA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59</v>
      </c>
      <c r="G113" s="2" t="n">
        <v>76</v>
      </c>
      <c r="H113" s="2" t="n">
        <v>43</v>
      </c>
      <c r="I113" s="2" t="n">
        <v>23</v>
      </c>
      <c r="J113" s="2" t="s">
        <v>96</v>
      </c>
      <c r="K113" s="2" t="n">
        <v>12</v>
      </c>
      <c r="L113" s="2" t="n">
        <v>25</v>
      </c>
      <c r="M113" s="0" t="s">
        <v>89</v>
      </c>
      <c r="O113" s="0" t="s">
        <v>55</v>
      </c>
      <c r="P113" s="0" t="s">
        <v>63</v>
      </c>
      <c r="Q113" s="3" t="n">
        <v>7.53</v>
      </c>
      <c r="R113" s="2" t="n">
        <v>1541</v>
      </c>
      <c r="S113" s="2" t="n">
        <v>17850</v>
      </c>
      <c r="T113" s="2" t="n">
        <f aca="false">S113-R113</f>
        <v>16309</v>
      </c>
      <c r="U113" s="3" t="n">
        <f aca="false">119/60</f>
        <v>1.98333333333333</v>
      </c>
      <c r="V113" s="3" t="n">
        <v>2.28333333333333</v>
      </c>
      <c r="W113" s="3" t="n">
        <f aca="false">V113-U113</f>
        <v>0.299999999999997</v>
      </c>
      <c r="X113" s="3" t="n">
        <f aca="false">Q113/U113</f>
        <v>3.79663865546218</v>
      </c>
      <c r="Y113" s="0" t="n">
        <v>1</v>
      </c>
      <c r="Z113" s="3" t="n">
        <f aca="false">Q113/Y113</f>
        <v>7.53</v>
      </c>
      <c r="AA113" s="3" t="n">
        <f aca="false">15+49/60</f>
        <v>15.8166666666667</v>
      </c>
      <c r="AB113" s="2" t="n">
        <v>151</v>
      </c>
      <c r="AC113" s="2" t="n">
        <v>1211</v>
      </c>
      <c r="AD113" s="2" t="n">
        <v>122</v>
      </c>
      <c r="AE113" s="2" t="n">
        <v>151</v>
      </c>
      <c r="AF113" s="3" t="n">
        <f aca="false">15+17/60</f>
        <v>15.2833333333333</v>
      </c>
      <c r="AG113" s="3" t="n">
        <f aca="false">15+2/60</f>
        <v>15.0333333333333</v>
      </c>
      <c r="AH113" s="3" t="n">
        <f aca="false">15+10/60</f>
        <v>15.1666666666667</v>
      </c>
      <c r="AI113" s="3" t="n">
        <f aca="false">15+49/60</f>
        <v>15.8166666666667</v>
      </c>
      <c r="AJ113" s="3" t="n">
        <f aca="false">16+56/60</f>
        <v>16.9333333333333</v>
      </c>
      <c r="AK113" s="3" t="n">
        <f aca="false">16+42/60</f>
        <v>16.7</v>
      </c>
      <c r="AL113" s="3" t="n">
        <f aca="false">16+42/60</f>
        <v>16.7</v>
      </c>
      <c r="AM113" s="3" t="n">
        <f aca="false">60/3.7</f>
        <v>16.2162162162162</v>
      </c>
      <c r="AP113" s="0" t="n">
        <v>5</v>
      </c>
      <c r="AQ113" s="0" t="n">
        <v>1</v>
      </c>
      <c r="AS113" s="4" t="n">
        <f aca="false">60*U113-SUM(AT113:AX113)</f>
        <v>83.68</v>
      </c>
      <c r="AT113" s="3" t="n">
        <f aca="false">51/60</f>
        <v>0.85</v>
      </c>
      <c r="AU113" s="3" t="n">
        <f aca="false">(33+3/60)</f>
        <v>33.05</v>
      </c>
      <c r="AV113" s="3" t="n">
        <f aca="false">17/60</f>
        <v>0.283333333333333</v>
      </c>
      <c r="AW113" s="3" t="n">
        <f aca="false">(14+54/60)/60</f>
        <v>0.248333333333333</v>
      </c>
      <c r="AX113" s="3" t="n">
        <f aca="false">(53+18/60)/60</f>
        <v>0.888333333333333</v>
      </c>
      <c r="AY113" s="0" t="s">
        <v>57</v>
      </c>
      <c r="AZ113" s="0" t="s">
        <v>58</v>
      </c>
      <c r="BA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59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97</v>
      </c>
      <c r="K114" s="2" t="n">
        <v>7</v>
      </c>
      <c r="L114" s="2" t="n">
        <v>0</v>
      </c>
      <c r="M114" s="0" t="s">
        <v>89</v>
      </c>
      <c r="O114" s="0" t="s">
        <v>55</v>
      </c>
      <c r="P114" s="0" t="s">
        <v>90</v>
      </c>
      <c r="Q114" s="3" t="n">
        <v>5.23</v>
      </c>
      <c r="R114" s="2" t="n">
        <v>1265</v>
      </c>
      <c r="S114" s="2" t="n">
        <v>12504</v>
      </c>
      <c r="T114" s="2" t="n">
        <f aca="false">S114-R114</f>
        <v>11239</v>
      </c>
      <c r="U114" s="3" t="n">
        <f aca="false">87/60</f>
        <v>1.45</v>
      </c>
      <c r="V114" s="3" t="n">
        <f aca="false">95/60</f>
        <v>1.58333333333333</v>
      </c>
      <c r="W114" s="3" t="n">
        <f aca="false">V114-U114</f>
        <v>0.133333333333333</v>
      </c>
      <c r="X114" s="3" t="n">
        <f aca="false">Q114/U114</f>
        <v>3.60689655172414</v>
      </c>
      <c r="Y114" s="0" t="n">
        <v>1</v>
      </c>
      <c r="Z114" s="3" t="n">
        <f aca="false">Q114/Y114</f>
        <v>5.23</v>
      </c>
      <c r="AA114" s="3" t="n">
        <f aca="false">16+34/60</f>
        <v>16.5666666666667</v>
      </c>
      <c r="AB114" s="2" t="n">
        <v>135</v>
      </c>
      <c r="AC114" s="2" t="n">
        <v>745</v>
      </c>
      <c r="AD114" s="2" t="n">
        <v>119</v>
      </c>
      <c r="AE114" s="2" t="n">
        <v>131</v>
      </c>
      <c r="AF114" s="3" t="n">
        <f aca="false">15+45/60</f>
        <v>15.75</v>
      </c>
      <c r="AG114" s="3" t="n">
        <f aca="false">17+9/60</f>
        <v>17.15</v>
      </c>
      <c r="AH114" s="3" t="n">
        <f aca="false">16+56/60</f>
        <v>16.9333333333333</v>
      </c>
      <c r="AI114" s="3" t="n">
        <f aca="false">16+36/60</f>
        <v>16.6</v>
      </c>
      <c r="AJ114" s="3" t="n">
        <f aca="false">16+24/60</f>
        <v>16.4</v>
      </c>
      <c r="AK114" s="3" t="n">
        <f aca="false">60/3.6</f>
        <v>16.6666666666667</v>
      </c>
      <c r="AP114" s="0" t="n">
        <v>0</v>
      </c>
      <c r="AQ114" s="0" t="n">
        <v>0</v>
      </c>
      <c r="AS114" s="4" t="n">
        <f aca="false">60*U114-SUM(AT114:AX114)</f>
        <v>0.38333333333334</v>
      </c>
      <c r="AT114" s="3" t="n">
        <v>0</v>
      </c>
      <c r="AU114" s="3" t="n">
        <f aca="false">7+16/60</f>
        <v>7.26666666666667</v>
      </c>
      <c r="AV114" s="3" t="n">
        <f aca="false">25+43/60</f>
        <v>25.7166666666667</v>
      </c>
      <c r="AW114" s="3" t="n">
        <f aca="false">53+38/60</f>
        <v>53.6333333333333</v>
      </c>
      <c r="AX114" s="3" t="n">
        <v>0</v>
      </c>
      <c r="AY114" s="0" t="s">
        <v>57</v>
      </c>
      <c r="AZ114" s="0" t="s">
        <v>58</v>
      </c>
      <c r="BA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59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98</v>
      </c>
      <c r="K115" s="2" t="n">
        <v>15</v>
      </c>
      <c r="L115" s="2" t="n">
        <v>29</v>
      </c>
      <c r="M115" s="0" t="s">
        <v>89</v>
      </c>
      <c r="O115" s="0" t="s">
        <v>64</v>
      </c>
      <c r="P115" s="0" t="s">
        <v>76</v>
      </c>
      <c r="Q115" s="3" t="n">
        <v>7.84</v>
      </c>
      <c r="R115" s="2" t="n">
        <v>591</v>
      </c>
      <c r="S115" s="2" t="n">
        <v>18113</v>
      </c>
      <c r="T115" s="2" t="n">
        <f aca="false">S115-R115</f>
        <v>17522</v>
      </c>
      <c r="U115" s="3" t="n">
        <f aca="false">(120+12)/60</f>
        <v>2.2</v>
      </c>
      <c r="V115" s="3" t="n">
        <f aca="false">(120+44)/60</f>
        <v>2.73333333333333</v>
      </c>
      <c r="W115" s="3" t="n">
        <f aca="false">V115-U115</f>
        <v>0.533333333333333</v>
      </c>
      <c r="X115" s="3" t="n">
        <f aca="false">Q115/U115</f>
        <v>3.56363636363636</v>
      </c>
      <c r="Y115" s="0" t="n">
        <v>1</v>
      </c>
      <c r="Z115" s="3" t="n">
        <f aca="false">Q115/Y115</f>
        <v>7.84</v>
      </c>
      <c r="AA115" s="3" t="n">
        <f aca="false">16+51/60</f>
        <v>16.85</v>
      </c>
      <c r="AB115" s="2" t="n">
        <v>515</v>
      </c>
      <c r="AC115" s="2" t="n">
        <v>1333</v>
      </c>
      <c r="AD115" s="2" t="n">
        <v>123</v>
      </c>
      <c r="AE115" s="2" t="n">
        <v>151</v>
      </c>
      <c r="AF115" s="3" t="n">
        <f aca="false">15+3/60</f>
        <v>15.05</v>
      </c>
      <c r="AG115" s="3" t="n">
        <f aca="false">14+57/60</f>
        <v>14.95</v>
      </c>
      <c r="AH115" s="3" t="n">
        <f aca="false">15+38/60</f>
        <v>15.6333333333333</v>
      </c>
      <c r="AI115" s="3" t="n">
        <f aca="false">16+28/60</f>
        <v>16.4666666666667</v>
      </c>
      <c r="AJ115" s="3" t="n">
        <f aca="false">18+22/60</f>
        <v>18.3666666666667</v>
      </c>
      <c r="AK115" s="3" t="n">
        <f aca="false">18+54/60</f>
        <v>18.9</v>
      </c>
      <c r="AL115" s="3" t="n">
        <f aca="false">18+13/60</f>
        <v>18.2166666666667</v>
      </c>
      <c r="AM115" s="3" t="n">
        <f aca="false">60/3.6</f>
        <v>16.6666666666667</v>
      </c>
      <c r="AP115" s="0" t="n">
        <v>6</v>
      </c>
      <c r="AQ115" s="0" t="n">
        <v>0</v>
      </c>
      <c r="AS115" s="4" t="n">
        <f aca="false">60*U115-SUM(AT115:AX115)</f>
        <v>40.3455555555555</v>
      </c>
      <c r="AT115" s="3" t="n">
        <f aca="false">1+20/60</f>
        <v>1.33333333333333</v>
      </c>
      <c r="AU115" s="3" t="n">
        <f aca="false">23+7/60</f>
        <v>23.1166666666667</v>
      </c>
      <c r="AV115" s="3" t="n">
        <f aca="false">16+33/60</f>
        <v>16.55</v>
      </c>
      <c r="AW115" s="3" t="n">
        <f aca="false">49+58/60</f>
        <v>49.9666666666667</v>
      </c>
      <c r="AX115" s="3" t="n">
        <f aca="false">(41+16/60)/60</f>
        <v>0.687777777777778</v>
      </c>
      <c r="AY115" s="0" t="s">
        <v>57</v>
      </c>
      <c r="AZ115" s="0" t="s">
        <v>58</v>
      </c>
      <c r="BA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59</v>
      </c>
      <c r="G116" s="2" t="n">
        <v>92</v>
      </c>
      <c r="H116" s="2" t="n">
        <v>56</v>
      </c>
      <c r="I116" s="2" t="n">
        <v>30</v>
      </c>
      <c r="J116" s="2" t="s">
        <v>98</v>
      </c>
      <c r="K116" s="2" t="n">
        <v>13</v>
      </c>
      <c r="L116" s="2" t="n">
        <v>22</v>
      </c>
      <c r="M116" s="0" t="s">
        <v>89</v>
      </c>
      <c r="O116" s="0" t="s">
        <v>55</v>
      </c>
      <c r="P116" s="0" t="s">
        <v>95</v>
      </c>
      <c r="Q116" s="3" t="n">
        <v>5.32</v>
      </c>
      <c r="U116" s="3" t="n">
        <f aca="false">131/60</f>
        <v>2.18333333333333</v>
      </c>
      <c r="V116" s="3" t="n">
        <f aca="false">132/60</f>
        <v>2.2</v>
      </c>
      <c r="W116" s="3" t="n">
        <f aca="false">V116-U116</f>
        <v>0.0166666666666671</v>
      </c>
      <c r="X116" s="3" t="n">
        <f aca="false">Q116/U116</f>
        <v>2.43664122137405</v>
      </c>
      <c r="Y116" s="0" t="n">
        <v>4</v>
      </c>
      <c r="Z116" s="3" t="n">
        <f aca="false">Q116/Y116</f>
        <v>1.33</v>
      </c>
      <c r="AA116" s="3" t="n">
        <f aca="false">24+35/60</f>
        <v>24.5833333333333</v>
      </c>
      <c r="AB116" s="2" t="n">
        <v>89</v>
      </c>
      <c r="AC116" s="2" t="n">
        <v>641</v>
      </c>
      <c r="AD116" s="2" t="n">
        <v>84</v>
      </c>
      <c r="AE116" s="2" t="n">
        <v>124</v>
      </c>
      <c r="AF116" s="3" t="n">
        <f aca="false">24+53/60</f>
        <v>24.8833333333333</v>
      </c>
      <c r="AG116" s="3" t="n">
        <f aca="false">21+45/60</f>
        <v>21.75</v>
      </c>
      <c r="AH116" s="3" t="n">
        <f aca="false">22+46/60</f>
        <v>22.7666666666667</v>
      </c>
      <c r="AI116" s="3" t="n">
        <f aca="false">28+29/60</f>
        <v>28.4833333333333</v>
      </c>
      <c r="AJ116" s="3" t="n">
        <f aca="false">25+33/60</f>
        <v>25.55</v>
      </c>
      <c r="AK116" s="3" t="n">
        <f aca="false">60/2.6</f>
        <v>23.0769230769231</v>
      </c>
      <c r="AP116" s="0" t="n">
        <v>0</v>
      </c>
      <c r="AQ116" s="0" t="n">
        <v>0</v>
      </c>
      <c r="AS116" s="4" t="n">
        <f aca="false">60*U116-SUM(AT116:AX116)</f>
        <v>40.8833333333333</v>
      </c>
      <c r="AT116" s="3" t="n">
        <f aca="false">52+36/60</f>
        <v>52.6</v>
      </c>
      <c r="AU116" s="3" t="n">
        <f aca="false">15+57/60</f>
        <v>15.95</v>
      </c>
      <c r="AV116" s="3" t="n">
        <f aca="false">20+35/60</f>
        <v>20.5833333333333</v>
      </c>
      <c r="AW116" s="3" t="n">
        <f aca="false">59/60</f>
        <v>0.983333333333333</v>
      </c>
      <c r="AX116" s="3" t="n">
        <v>0</v>
      </c>
      <c r="AY116" s="0" t="s">
        <v>57</v>
      </c>
      <c r="AZ116" s="0" t="s">
        <v>58</v>
      </c>
      <c r="BA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59</v>
      </c>
      <c r="G117" s="2" t="n">
        <v>92</v>
      </c>
      <c r="H117" s="2" t="n">
        <v>57</v>
      </c>
      <c r="I117" s="2" t="n">
        <v>31</v>
      </c>
      <c r="J117" s="2" t="s">
        <v>99</v>
      </c>
      <c r="K117" s="2" t="n">
        <v>13</v>
      </c>
      <c r="L117" s="2" t="n">
        <v>18</v>
      </c>
      <c r="M117" s="0" t="s">
        <v>89</v>
      </c>
      <c r="O117" s="0" t="s">
        <v>64</v>
      </c>
      <c r="P117" s="0" t="s">
        <v>95</v>
      </c>
      <c r="Q117" s="3" t="n">
        <v>4.32</v>
      </c>
      <c r="R117" s="2" t="n">
        <v>1624</v>
      </c>
      <c r="S117" s="2" t="n">
        <v>15611</v>
      </c>
      <c r="T117" s="2" t="n">
        <f aca="false">S117-R117</f>
        <v>13987</v>
      </c>
      <c r="U117" s="3" t="n">
        <f aca="false">109/60</f>
        <v>1.81666666666667</v>
      </c>
      <c r="V117" s="3" t="n">
        <f aca="false">111/60</f>
        <v>1.85</v>
      </c>
      <c r="W117" s="3" t="n">
        <f aca="false">V117-U117</f>
        <v>0.0333333333333334</v>
      </c>
      <c r="X117" s="3" t="n">
        <f aca="false">Q117/U117</f>
        <v>2.37798165137615</v>
      </c>
      <c r="Y117" s="0" t="n">
        <v>3</v>
      </c>
      <c r="Z117" s="3" t="n">
        <f aca="false">Q117/Y117</f>
        <v>1.44</v>
      </c>
      <c r="AA117" s="3" t="n">
        <f aca="false">25+22/60</f>
        <v>25.3666666666667</v>
      </c>
      <c r="AB117" s="2" t="n">
        <v>72</v>
      </c>
      <c r="AC117" s="2" t="n">
        <v>679</v>
      </c>
      <c r="AD117" s="2" t="n">
        <v>101</v>
      </c>
      <c r="AE117" s="2" t="n">
        <v>133</v>
      </c>
      <c r="AF117" s="3" t="n">
        <f aca="false">25+58/60</f>
        <v>25.9666666666667</v>
      </c>
      <c r="AG117" s="3" t="n">
        <f aca="false">26+32/60</f>
        <v>26.5333333333333</v>
      </c>
      <c r="AH117" s="3" t="n">
        <f aca="false">24+21/60</f>
        <v>24.35</v>
      </c>
      <c r="AI117" s="3" t="n">
        <f aca="false">24+56/60</f>
        <v>24.9333333333333</v>
      </c>
      <c r="AJ117" s="3" t="n">
        <f aca="false">60/2.8</f>
        <v>21.4285714285714</v>
      </c>
      <c r="AP117" s="0" t="n">
        <v>0</v>
      </c>
      <c r="AQ117" s="0" t="n">
        <v>0</v>
      </c>
      <c r="AS117" s="4" t="n">
        <f aca="false">60*U117-SUM(AT117:AX117)</f>
        <v>0.166666666666671</v>
      </c>
      <c r="AT117" s="3" t="n">
        <f aca="false">9+3/60</f>
        <v>9.05</v>
      </c>
      <c r="AU117" s="3" t="n">
        <f aca="false">62+3/60</f>
        <v>62.05</v>
      </c>
      <c r="AV117" s="3" t="n">
        <f aca="false">32+42/60</f>
        <v>32.7</v>
      </c>
      <c r="AW117" s="3" t="n">
        <f aca="false">5+2/60</f>
        <v>5.03333333333333</v>
      </c>
      <c r="AX117" s="3" t="n">
        <v>0</v>
      </c>
      <c r="AY117" s="0" t="s">
        <v>57</v>
      </c>
      <c r="AZ117" s="0" t="s">
        <v>58</v>
      </c>
      <c r="BA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59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98</v>
      </c>
      <c r="K118" s="2" t="n">
        <v>7</v>
      </c>
      <c r="L118" s="2" t="n">
        <v>0</v>
      </c>
      <c r="M118" s="0" t="s">
        <v>89</v>
      </c>
      <c r="O118" s="0" t="s">
        <v>55</v>
      </c>
      <c r="P118" s="0" t="s">
        <v>95</v>
      </c>
      <c r="Q118" s="3" t="n">
        <v>4.39</v>
      </c>
      <c r="R118" s="2" t="n">
        <v>829</v>
      </c>
      <c r="S118" s="2" t="n">
        <v>14530</v>
      </c>
      <c r="T118" s="2" t="n">
        <f aca="false">S118-R118</f>
        <v>13701</v>
      </c>
      <c r="U118" s="3" t="n">
        <f aca="false">(60+43)/60</f>
        <v>1.71666666666667</v>
      </c>
      <c r="V118" s="3" t="n">
        <f aca="false">(60+44)/60</f>
        <v>1.73333333333333</v>
      </c>
      <c r="W118" s="3" t="n">
        <f aca="false">V118-U118</f>
        <v>0.0166666666666668</v>
      </c>
      <c r="X118" s="3" t="n">
        <f aca="false">Q118/U118</f>
        <v>2.55728155339806</v>
      </c>
      <c r="Y118" s="0" t="n">
        <v>3</v>
      </c>
      <c r="Z118" s="3" t="n">
        <f aca="false">Q118/Y118</f>
        <v>1.46333333333333</v>
      </c>
      <c r="AA118" s="3" t="n">
        <f aca="false">23+28/60</f>
        <v>23.4666666666667</v>
      </c>
      <c r="AB118" s="2" t="n">
        <v>312</v>
      </c>
      <c r="AC118" s="2" t="n">
        <v>1053</v>
      </c>
      <c r="AD118" s="2" t="n">
        <v>124</v>
      </c>
      <c r="AE118" s="2" t="n">
        <v>145</v>
      </c>
      <c r="AF118" s="3" t="n">
        <f aca="false">20+27/60</f>
        <v>20.45</v>
      </c>
      <c r="AG118" s="3" t="n">
        <f aca="false">20+40/60</f>
        <v>20.6666666666667</v>
      </c>
      <c r="AH118" s="3" t="n">
        <f aca="false">24+24/60</f>
        <v>24.4</v>
      </c>
      <c r="AI118" s="3" t="n">
        <f aca="false">27+13/60</f>
        <v>27.2166666666667</v>
      </c>
      <c r="AJ118" s="3" t="n">
        <f aca="false">60/2.6</f>
        <v>23.0769230769231</v>
      </c>
      <c r="AP118" s="0" t="n">
        <v>0</v>
      </c>
      <c r="AQ118" s="0" t="n">
        <v>1</v>
      </c>
      <c r="AS118" s="4" t="n">
        <f aca="false">60*U118-SUM(AT118:AX118)</f>
        <v>0</v>
      </c>
      <c r="AT118" s="3" t="n">
        <f aca="false">0+12/60</f>
        <v>0.2</v>
      </c>
      <c r="AU118" s="3" t="n">
        <f aca="false">5+24/60</f>
        <v>5.4</v>
      </c>
      <c r="AV118" s="3" t="n">
        <f aca="false">7+26/60</f>
        <v>7.43333333333333</v>
      </c>
      <c r="AW118" s="3" t="n">
        <f aca="false">87+58/60</f>
        <v>87.9666666666667</v>
      </c>
      <c r="AX118" s="3" t="n">
        <v>2</v>
      </c>
      <c r="AY118" s="0" t="s">
        <v>57</v>
      </c>
      <c r="AZ118" s="0" t="s">
        <v>58</v>
      </c>
      <c r="BA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59</v>
      </c>
      <c r="G119" s="2" t="n">
        <v>92</v>
      </c>
      <c r="H119" s="2" t="n">
        <v>63</v>
      </c>
      <c r="I119" s="2" t="n">
        <v>39</v>
      </c>
      <c r="J119" s="2" t="s">
        <v>100</v>
      </c>
      <c r="K119" s="2" t="n">
        <v>11</v>
      </c>
      <c r="L119" s="2" t="n">
        <v>0</v>
      </c>
      <c r="M119" s="0" t="s">
        <v>89</v>
      </c>
      <c r="O119" s="0" t="s">
        <v>64</v>
      </c>
      <c r="P119" s="0" t="s">
        <v>56</v>
      </c>
      <c r="Q119" s="3" t="n">
        <v>6.22</v>
      </c>
      <c r="R119" s="2" t="n">
        <v>1004</v>
      </c>
      <c r="S119" s="2" t="n">
        <v>17209</v>
      </c>
      <c r="T119" s="2" t="n">
        <f aca="false">S119-R119</f>
        <v>16205</v>
      </c>
      <c r="U119" s="3" t="n">
        <f aca="false">124/60</f>
        <v>2.06666666666667</v>
      </c>
      <c r="V119" s="3" t="n">
        <f aca="false">131/60</f>
        <v>2.18333333333333</v>
      </c>
      <c r="W119" s="3" t="n">
        <f aca="false">V119-U119</f>
        <v>0.116666666666666</v>
      </c>
      <c r="X119" s="3" t="n">
        <f aca="false">Q119/U119</f>
        <v>3.00967741935484</v>
      </c>
      <c r="Y119" s="0" t="n">
        <v>2</v>
      </c>
      <c r="Z119" s="3" t="n">
        <f aca="false">Q119/Y119</f>
        <v>3.11</v>
      </c>
      <c r="AA119" s="3" t="n">
        <f aca="false">19+59/60</f>
        <v>19.9833333333333</v>
      </c>
      <c r="AB119" s="2" t="n">
        <v>164</v>
      </c>
      <c r="AC119" s="2" t="n">
        <v>1419</v>
      </c>
      <c r="AD119" s="2" t="n">
        <v>132</v>
      </c>
      <c r="AE119" s="2" t="n">
        <v>156</v>
      </c>
      <c r="AF119" s="3" t="n">
        <f aca="false">16+56/60</f>
        <v>16.9333333333333</v>
      </c>
      <c r="AG119" s="3" t="n">
        <f aca="false">21+2/60</f>
        <v>21.0333333333333</v>
      </c>
      <c r="AH119" s="3" t="n">
        <f aca="false">20+51/60</f>
        <v>20.85</v>
      </c>
      <c r="AI119" s="3" t="n">
        <f aca="false">19+20/60</f>
        <v>19.3333333333333</v>
      </c>
      <c r="AJ119" s="3" t="n">
        <f aca="false">20+24/60</f>
        <v>20.4</v>
      </c>
      <c r="AK119" s="3" t="n">
        <f aca="false">20+58.9/60</f>
        <v>20.9816666666667</v>
      </c>
      <c r="AL119" s="3" t="n">
        <f aca="false">60/2.8</f>
        <v>21.4285714285714</v>
      </c>
      <c r="AP119" s="0" t="n">
        <v>2</v>
      </c>
      <c r="AQ119" s="0" t="n">
        <v>0</v>
      </c>
      <c r="AS119" s="4" t="n">
        <v>0</v>
      </c>
      <c r="AT119" s="3" t="n">
        <v>0</v>
      </c>
      <c r="AU119" s="3" t="n">
        <f aca="false">1+26/60</f>
        <v>1.43333333333333</v>
      </c>
      <c r="AV119" s="3" t="n">
        <f aca="false">11+14/60</f>
        <v>11.2333333333333</v>
      </c>
      <c r="AW119" s="3" t="n">
        <f aca="false">37</f>
        <v>37</v>
      </c>
      <c r="AX119" s="3" t="n">
        <f aca="false">74+27/60</f>
        <v>74.45</v>
      </c>
      <c r="AY119" s="0" t="s">
        <v>57</v>
      </c>
      <c r="AZ119" s="0" t="s">
        <v>58</v>
      </c>
      <c r="BA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59</v>
      </c>
      <c r="G120" s="2" t="n">
        <v>93</v>
      </c>
      <c r="H120" s="2" t="n">
        <v>54</v>
      </c>
      <c r="I120" s="2" t="n">
        <v>28</v>
      </c>
      <c r="J120" s="2" t="s">
        <v>100</v>
      </c>
      <c r="K120" s="2" t="n">
        <v>17</v>
      </c>
      <c r="L120" s="2" t="n">
        <v>28</v>
      </c>
      <c r="M120" s="0" t="s">
        <v>89</v>
      </c>
      <c r="O120" s="0" t="s">
        <v>55</v>
      </c>
      <c r="P120" s="0" t="s">
        <v>56</v>
      </c>
      <c r="Q120" s="3" t="n">
        <v>6.45</v>
      </c>
      <c r="R120" s="2" t="n">
        <v>813</v>
      </c>
      <c r="S120" s="2" t="n">
        <v>17264</v>
      </c>
      <c r="T120" s="2" t="n">
        <f aca="false">S120-R120</f>
        <v>16451</v>
      </c>
      <c r="U120" s="3" t="n">
        <f aca="false">135/60</f>
        <v>2.25</v>
      </c>
      <c r="V120" s="3" t="n">
        <f aca="false">156/60</f>
        <v>2.6</v>
      </c>
      <c r="W120" s="3" t="n">
        <f aca="false">V120-U120</f>
        <v>0.35</v>
      </c>
      <c r="X120" s="3" t="n">
        <f aca="false">Q120/U120</f>
        <v>2.86666666666667</v>
      </c>
      <c r="Y120" s="0" t="n">
        <v>2</v>
      </c>
      <c r="Z120" s="3" t="n">
        <f aca="false">Q120/Y120</f>
        <v>3.225</v>
      </c>
      <c r="AA120" s="3" t="n">
        <f aca="false">20+55/60</f>
        <v>20.9166666666667</v>
      </c>
      <c r="AB120" s="2" t="n">
        <v>138</v>
      </c>
      <c r="AC120" s="2" t="n">
        <v>1200</v>
      </c>
      <c r="AD120" s="2" t="n">
        <v>121</v>
      </c>
      <c r="AE120" s="2" t="n">
        <v>143</v>
      </c>
      <c r="AF120" s="3" t="n">
        <f aca="false">18+57/60</f>
        <v>18.95</v>
      </c>
      <c r="AG120" s="3" t="n">
        <f aca="false">21+51/60</f>
        <v>21.85</v>
      </c>
      <c r="AH120" s="3" t="n">
        <f aca="false">21+55/60</f>
        <v>21.9166666666667</v>
      </c>
      <c r="AI120" s="3" t="n">
        <f aca="false">21+30/60</f>
        <v>21.5</v>
      </c>
      <c r="AJ120" s="3" t="n">
        <f aca="false">20+6/60</f>
        <v>20.1</v>
      </c>
      <c r="AK120" s="3" t="n">
        <f aca="false">21+45/60</f>
        <v>21.75</v>
      </c>
      <c r="AL120" s="3" t="n">
        <f aca="false">60/2.9</f>
        <v>20.6896551724138</v>
      </c>
      <c r="AP120" s="0" t="n">
        <v>3</v>
      </c>
      <c r="AQ120" s="0" t="n">
        <v>1</v>
      </c>
      <c r="AS120" s="4" t="n">
        <f aca="false">60*U120-SUM(AT120:AX120)</f>
        <v>-0.0999999999999943</v>
      </c>
      <c r="AT120" s="3" t="n">
        <v>0</v>
      </c>
      <c r="AU120" s="3" t="n">
        <f aca="false">11+9/60</f>
        <v>11.15</v>
      </c>
      <c r="AV120" s="3" t="n">
        <f aca="false">34+10/60</f>
        <v>34.1666666666667</v>
      </c>
      <c r="AW120" s="3" t="n">
        <f aca="false">78+24/60</f>
        <v>78.4</v>
      </c>
      <c r="AX120" s="3" t="n">
        <f aca="false">11+23/60</f>
        <v>11.3833333333333</v>
      </c>
      <c r="AY120" s="0" t="s">
        <v>57</v>
      </c>
      <c r="AZ120" s="0" t="s">
        <v>58</v>
      </c>
      <c r="BA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59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98</v>
      </c>
      <c r="K121" s="2" t="n">
        <v>14</v>
      </c>
      <c r="L121" s="2" t="n">
        <v>23</v>
      </c>
      <c r="M121" s="0" t="s">
        <v>89</v>
      </c>
      <c r="O121" s="0" t="s">
        <v>55</v>
      </c>
      <c r="P121" s="0" t="s">
        <v>56</v>
      </c>
      <c r="Q121" s="3" t="n">
        <v>6.64</v>
      </c>
      <c r="R121" s="2" t="n">
        <v>808</v>
      </c>
      <c r="S121" s="2" t="n">
        <v>18058</v>
      </c>
      <c r="T121" s="2" t="n">
        <f aca="false">S121-R121</f>
        <v>17250</v>
      </c>
      <c r="U121" s="3" t="n">
        <f aca="false">133/60</f>
        <v>2.21666666666667</v>
      </c>
      <c r="V121" s="3" t="n">
        <f aca="false">140/60</f>
        <v>2.33333333333333</v>
      </c>
      <c r="W121" s="3" t="n">
        <f aca="false">V121-U121</f>
        <v>0.116666666666667</v>
      </c>
      <c r="X121" s="3" t="n">
        <f aca="false">Q121/U121</f>
        <v>2.99548872180451</v>
      </c>
      <c r="Y121" s="0" t="n">
        <v>2</v>
      </c>
      <c r="Z121" s="3" t="n">
        <f aca="false">Q121/Y121</f>
        <v>3.32</v>
      </c>
      <c r="AA121" s="3" t="n">
        <f aca="false">20+2/60</f>
        <v>20.0333333333333</v>
      </c>
      <c r="AB121" s="2" t="n">
        <v>395</v>
      </c>
      <c r="AC121" s="2" t="n">
        <v>1266</v>
      </c>
      <c r="AD121" s="2" t="n">
        <v>126</v>
      </c>
      <c r="AE121" s="2" t="n">
        <v>149</v>
      </c>
      <c r="AF121" s="3" t="n">
        <f aca="false">18+17/60</f>
        <v>18.2833333333333</v>
      </c>
      <c r="AG121" s="3" t="n">
        <f aca="false">21+13/60</f>
        <v>21.2166666666667</v>
      </c>
      <c r="AH121" s="3" t="n">
        <f aca="false">20+43/60</f>
        <v>20.7166666666667</v>
      </c>
      <c r="AI121" s="3" t="n">
        <f aca="false">19+2/60</f>
        <v>19.0333333333333</v>
      </c>
      <c r="AJ121" s="3" t="n">
        <f aca="false">18+55/60</f>
        <v>18.9166666666667</v>
      </c>
      <c r="AK121" s="3" t="n">
        <f aca="false">20+16/60</f>
        <v>20.2666666666667</v>
      </c>
      <c r="AL121" s="3" t="n">
        <f aca="false">60/2.6</f>
        <v>23.0769230769231</v>
      </c>
      <c r="AP121" s="0" t="n">
        <v>2</v>
      </c>
      <c r="AQ121" s="0" t="n">
        <v>0</v>
      </c>
      <c r="AS121" s="4" t="n">
        <v>0</v>
      </c>
      <c r="AT121" s="3" t="n">
        <f aca="false">0.11/60</f>
        <v>0.00183333333333333</v>
      </c>
      <c r="AU121" s="3" t="n">
        <f aca="false">3+57/60</f>
        <v>3.95</v>
      </c>
      <c r="AV121" s="3" t="n">
        <v>25</v>
      </c>
      <c r="AW121" s="3" t="n">
        <f aca="false">71+42/60</f>
        <v>71.7</v>
      </c>
      <c r="AX121" s="3" t="n">
        <f aca="false">32+14/60</f>
        <v>32.2333333333333</v>
      </c>
      <c r="AY121" s="0" t="s">
        <v>57</v>
      </c>
      <c r="AZ121" s="0" t="s">
        <v>58</v>
      </c>
      <c r="BA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68</v>
      </c>
      <c r="F122" s="0" t="s">
        <v>59</v>
      </c>
      <c r="G122" s="2" t="n">
        <v>88</v>
      </c>
      <c r="H122" s="2" t="n">
        <v>68</v>
      </c>
      <c r="I122" s="2" t="n">
        <v>52</v>
      </c>
      <c r="J122" s="2" t="s">
        <v>101</v>
      </c>
      <c r="K122" s="2" t="n">
        <v>16</v>
      </c>
      <c r="L122" s="2" t="n">
        <v>0</v>
      </c>
      <c r="M122" s="0" t="s">
        <v>88</v>
      </c>
      <c r="AS122" s="4" t="n">
        <f aca="false">60*U122-SUM(AT122:AX122)</f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59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98</v>
      </c>
      <c r="K123" s="2" t="n">
        <f aca="false">AVERAGE(9,6)</f>
        <v>7.5</v>
      </c>
      <c r="L123" s="2" t="n">
        <v>0</v>
      </c>
      <c r="M123" s="0" t="s">
        <v>89</v>
      </c>
      <c r="O123" s="0" t="s">
        <v>55</v>
      </c>
      <c r="P123" s="0" t="s">
        <v>56</v>
      </c>
      <c r="Q123" s="3" t="n">
        <v>7.04</v>
      </c>
      <c r="U123" s="3" t="n">
        <f aca="false">(120+23)/60</f>
        <v>2.38333333333333</v>
      </c>
      <c r="V123" s="3" t="n">
        <f aca="false">(120+30)/60</f>
        <v>2.5</v>
      </c>
      <c r="W123" s="3" t="n">
        <f aca="false">V123-U123</f>
        <v>0.116666666666667</v>
      </c>
      <c r="X123" s="3" t="n">
        <f aca="false">Q123/U123</f>
        <v>2.95384615384615</v>
      </c>
      <c r="Y123" s="0" t="n">
        <v>2</v>
      </c>
      <c r="Z123" s="3" t="n">
        <f aca="false">Q123/Y123</f>
        <v>3.52</v>
      </c>
      <c r="AA123" s="3" t="n">
        <f aca="false">20+19/60</f>
        <v>20.3166666666667</v>
      </c>
      <c r="AB123" s="2" t="n">
        <v>128</v>
      </c>
      <c r="AC123" s="2" t="n">
        <v>785</v>
      </c>
      <c r="AD123" s="2" t="n">
        <v>94</v>
      </c>
      <c r="AE123" s="2" t="n">
        <v>127</v>
      </c>
      <c r="AF123" s="3" t="n">
        <f aca="false">19+33/60</f>
        <v>19.55</v>
      </c>
      <c r="AG123" s="3" t="n">
        <f aca="false">19+18/60</f>
        <v>19.3</v>
      </c>
      <c r="AH123" s="3" t="n">
        <f aca="false">19+37/60</f>
        <v>19.6166666666667</v>
      </c>
      <c r="AI123" s="3" t="n">
        <f aca="false">21+54/60</f>
        <v>21.9</v>
      </c>
      <c r="AJ123" s="3" t="n">
        <f aca="false">20+16/60</f>
        <v>20.2666666666667</v>
      </c>
      <c r="AK123" s="3" t="n">
        <f aca="false">19+34/60</f>
        <v>19.5666666666667</v>
      </c>
      <c r="AL123" s="3" t="n">
        <f aca="false">21+17/60</f>
        <v>21.2833333333333</v>
      </c>
      <c r="AP123" s="0" t="n">
        <v>3</v>
      </c>
      <c r="AQ123" s="0" t="n">
        <v>3</v>
      </c>
      <c r="AS123" s="4" t="n">
        <f aca="false">60*U123-SUM(AT123:AX123)</f>
        <v>2.33333333333334</v>
      </c>
      <c r="AT123" s="3" t="n">
        <f aca="false">35+11/60</f>
        <v>35.1833333333333</v>
      </c>
      <c r="AU123" s="3" t="n">
        <f aca="false">86+30/60</f>
        <v>86.5</v>
      </c>
      <c r="AV123" s="3" t="n">
        <f aca="false">18+2/60</f>
        <v>18.0333333333333</v>
      </c>
      <c r="AW123" s="3" t="n">
        <f aca="false">57/60</f>
        <v>0.95</v>
      </c>
      <c r="AX123" s="3" t="n">
        <v>0</v>
      </c>
      <c r="AY123" s="0" t="s">
        <v>57</v>
      </c>
      <c r="AZ123" s="0" t="s">
        <v>58</v>
      </c>
      <c r="BA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59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102</v>
      </c>
      <c r="K124" s="2" t="n">
        <v>9</v>
      </c>
      <c r="L124" s="2" t="n">
        <v>0</v>
      </c>
      <c r="M124" s="0" t="s">
        <v>88</v>
      </c>
      <c r="O124" s="0" t="s">
        <v>55</v>
      </c>
      <c r="P124" s="0" t="s">
        <v>56</v>
      </c>
      <c r="Q124" s="3" t="n">
        <v>3</v>
      </c>
      <c r="R124" s="2" t="n">
        <v>1025</v>
      </c>
      <c r="S124" s="2" t="n">
        <v>9200</v>
      </c>
      <c r="T124" s="2" t="n">
        <f aca="false">S124-R124</f>
        <v>8175</v>
      </c>
      <c r="U124" s="3" t="n">
        <f aca="false">63/60</f>
        <v>1.05</v>
      </c>
      <c r="V124" s="3" t="n">
        <f aca="false">1+4/60</f>
        <v>1.06666666666667</v>
      </c>
      <c r="W124" s="3" t="n">
        <f aca="false">V124-U124</f>
        <v>0.0166666666666666</v>
      </c>
      <c r="X124" s="3" t="n">
        <f aca="false">Q124/U124</f>
        <v>2.85714285714286</v>
      </c>
      <c r="Y124" s="0" t="n">
        <v>2</v>
      </c>
      <c r="Z124" s="3" t="n">
        <f aca="false">Q124/Y124</f>
        <v>1.5</v>
      </c>
      <c r="AA124" s="3" t="n">
        <f aca="false">19+5/60</f>
        <v>19.0833333333333</v>
      </c>
      <c r="AB124" s="2" t="n">
        <v>75</v>
      </c>
      <c r="AC124" s="2" t="n">
        <v>614</v>
      </c>
      <c r="AD124" s="2" t="n">
        <v>122</v>
      </c>
      <c r="AE124" s="2" t="n">
        <v>143</v>
      </c>
      <c r="AF124" s="3" t="n">
        <f aca="false">16+28/60</f>
        <v>16.4666666666667</v>
      </c>
      <c r="AG124" s="3" t="n">
        <f aca="false">18+2/60</f>
        <v>18.0333333333333</v>
      </c>
      <c r="AH124" s="3" t="n">
        <f aca="false">21+32/60</f>
        <v>21.5333333333333</v>
      </c>
      <c r="AI124" s="3" t="n">
        <f aca="false">60/2.6</f>
        <v>23.0769230769231</v>
      </c>
      <c r="AP124" s="0" t="n">
        <v>1</v>
      </c>
      <c r="AQ124" s="0" t="n">
        <v>0</v>
      </c>
      <c r="AS124" s="4" t="n">
        <f aca="false">60*U124-SUM(AT124:AX124)</f>
        <v>0.0500000000000043</v>
      </c>
      <c r="AT124" s="3" t="n">
        <v>0</v>
      </c>
      <c r="AU124" s="3" t="n">
        <f aca="false">6+55/60</f>
        <v>6.91666666666667</v>
      </c>
      <c r="AV124" s="3" t="n">
        <f aca="false">10.5</f>
        <v>10.5</v>
      </c>
      <c r="AW124" s="3" t="n">
        <f aca="false">40+15/60</f>
        <v>40.25</v>
      </c>
      <c r="AX124" s="3" t="n">
        <f aca="false">5+17/60</f>
        <v>5.28333333333333</v>
      </c>
      <c r="AY124" s="0" t="s">
        <v>57</v>
      </c>
      <c r="AZ124" s="0" t="s">
        <v>58</v>
      </c>
      <c r="BA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59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98</v>
      </c>
      <c r="K125" s="2" t="n">
        <f aca="false">AVERAGE(16,0,19)</f>
        <v>11.6666666666667</v>
      </c>
      <c r="L125" s="2" t="n">
        <f aca="false">AVERAGE(24,0,0)</f>
        <v>8</v>
      </c>
      <c r="M125" s="0" t="s">
        <v>88</v>
      </c>
      <c r="O125" s="0" t="s">
        <v>55</v>
      </c>
      <c r="P125" s="0" t="s">
        <v>56</v>
      </c>
      <c r="Q125" s="3" t="n">
        <v>6.8</v>
      </c>
      <c r="R125" s="2" t="n">
        <v>1277</v>
      </c>
      <c r="S125" s="2" t="n">
        <v>18696</v>
      </c>
      <c r="T125" s="2" t="n">
        <f aca="false">S125-R125</f>
        <v>17419</v>
      </c>
      <c r="U125" s="3" t="n">
        <f aca="false">(120+17)/60</f>
        <v>2.28333333333333</v>
      </c>
      <c r="V125" s="3" t="n">
        <f aca="false">(120+24)/60</f>
        <v>2.4</v>
      </c>
      <c r="W125" s="3" t="n">
        <f aca="false">V125-U125</f>
        <v>0.116666666666667</v>
      </c>
      <c r="X125" s="3" t="n">
        <f aca="false">Q125/U125</f>
        <v>2.97810218978102</v>
      </c>
      <c r="Y125" s="0" t="n">
        <v>2</v>
      </c>
      <c r="Z125" s="3" t="n">
        <f aca="false">Q125/Y125</f>
        <v>3.4</v>
      </c>
      <c r="AA125" s="3" t="n">
        <f aca="false">20+11/60</f>
        <v>20.1833333333333</v>
      </c>
      <c r="AB125" s="2" t="n">
        <v>358</v>
      </c>
      <c r="AC125" s="2" t="n">
        <v>730</v>
      </c>
      <c r="AD125" s="2" t="n">
        <v>93</v>
      </c>
      <c r="AE125" s="2" t="n">
        <v>130</v>
      </c>
      <c r="AF125" s="3" t="n">
        <f aca="false">17+39/60</f>
        <v>17.65</v>
      </c>
      <c r="AG125" s="3" t="n">
        <f aca="false">19+41/60</f>
        <v>19.6833333333333</v>
      </c>
      <c r="AH125" s="3" t="n">
        <f aca="false">19+57/60</f>
        <v>19.95</v>
      </c>
      <c r="AI125" s="3" t="n">
        <f aca="false">20+38/60</f>
        <v>20.6333333333333</v>
      </c>
      <c r="AJ125" s="3" t="n">
        <f aca="false">19+41/60</f>
        <v>19.6833333333333</v>
      </c>
      <c r="AK125" s="3" t="n">
        <f aca="false">19+32/60</f>
        <v>19.5333333333333</v>
      </c>
      <c r="AL125" s="3" t="n">
        <f aca="false">60/2.4</f>
        <v>25</v>
      </c>
      <c r="AP125" s="0" t="n">
        <v>2</v>
      </c>
      <c r="AQ125" s="0" t="n">
        <v>1</v>
      </c>
      <c r="AS125" s="4" t="n">
        <f aca="false">60*U125-SUM(AT125:AX125)</f>
        <v>0.0166666666666515</v>
      </c>
      <c r="AT125" s="3" t="n">
        <f aca="false">39+18/60</f>
        <v>39.3</v>
      </c>
      <c r="AU125" s="3" t="n">
        <f aca="false">86+17/60</f>
        <v>86.2833333333333</v>
      </c>
      <c r="AV125" s="3" t="n">
        <f aca="false">10+39/60</f>
        <v>10.65</v>
      </c>
      <c r="AW125" s="3" t="n">
        <f aca="false">0.75</f>
        <v>0.75</v>
      </c>
      <c r="AX125" s="3" t="n">
        <v>0</v>
      </c>
      <c r="AY125" s="0" t="s">
        <v>57</v>
      </c>
      <c r="AZ125" s="0" t="s">
        <v>58</v>
      </c>
      <c r="BA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78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102</v>
      </c>
      <c r="K126" s="2" t="n">
        <v>5</v>
      </c>
      <c r="L126" s="2" t="n">
        <v>0</v>
      </c>
      <c r="M126" s="0" t="s">
        <v>88</v>
      </c>
      <c r="O126" s="0" t="s">
        <v>55</v>
      </c>
      <c r="P126" s="0" t="s">
        <v>95</v>
      </c>
      <c r="Q126" s="3" t="n">
        <v>4.33</v>
      </c>
      <c r="R126" s="2" t="n">
        <v>994</v>
      </c>
      <c r="S126" s="2" t="n">
        <v>15491</v>
      </c>
      <c r="T126" s="2" t="n">
        <f aca="false">S126-R126</f>
        <v>14497</v>
      </c>
      <c r="U126" s="3" t="n">
        <f aca="false">(60+48)/60</f>
        <v>1.8</v>
      </c>
      <c r="V126" s="3" t="n">
        <v>1.83333333333333</v>
      </c>
      <c r="W126" s="3" t="n">
        <f aca="false">V126-U126</f>
        <v>0.0333333333333299</v>
      </c>
      <c r="X126" s="3" t="n">
        <f aca="false">Q126/U126</f>
        <v>2.40555555555556</v>
      </c>
      <c r="Y126" s="0" t="n">
        <v>3</v>
      </c>
      <c r="Z126" s="3" t="n">
        <f aca="false">Q126/Y126</f>
        <v>1.44333333333333</v>
      </c>
      <c r="AA126" s="3" t="n">
        <f aca="false">25+8/60</f>
        <v>25.1333333333333</v>
      </c>
      <c r="AB126" s="2" t="n">
        <v>36</v>
      </c>
      <c r="AC126" s="2" t="n">
        <v>773</v>
      </c>
      <c r="AD126" s="2" t="n">
        <v>108</v>
      </c>
      <c r="AE126" s="2" t="n">
        <v>136</v>
      </c>
      <c r="AF126" s="3" t="n">
        <f aca="false">24+34/60</f>
        <v>24.5666666666667</v>
      </c>
      <c r="AG126" s="3" t="n">
        <f aca="false">26+22/60</f>
        <v>26.3666666666667</v>
      </c>
      <c r="AH126" s="3" t="n">
        <f aca="false">23+16/60</f>
        <v>23.2666666666667</v>
      </c>
      <c r="AI126" s="3" t="n">
        <f aca="false">25+39/60</f>
        <v>25.65</v>
      </c>
      <c r="AJ126" s="3" t="n">
        <f aca="false">60/2.4</f>
        <v>25</v>
      </c>
      <c r="AP126" s="0" t="n">
        <v>0</v>
      </c>
      <c r="AQ126" s="0" t="n">
        <v>1</v>
      </c>
      <c r="AS126" s="4" t="n">
        <v>0</v>
      </c>
      <c r="AT126" s="3" t="n">
        <f aca="false">5+27/60</f>
        <v>5.45</v>
      </c>
      <c r="AU126" s="3" t="n">
        <f aca="false">31+9/60</f>
        <v>31.15</v>
      </c>
      <c r="AV126" s="3" t="n">
        <f aca="false">47+1/60</f>
        <v>47.0166666666667</v>
      </c>
      <c r="AW126" s="3" t="n">
        <f aca="false">24+47/60</f>
        <v>24.7833333333333</v>
      </c>
      <c r="AX126" s="3" t="n">
        <f aca="false">16/60</f>
        <v>0.266666666666667</v>
      </c>
      <c r="AY126" s="0" t="s">
        <v>57</v>
      </c>
      <c r="AZ126" s="0" t="s">
        <v>58</v>
      </c>
      <c r="BA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59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103</v>
      </c>
      <c r="K127" s="2" t="n">
        <f aca="false">AVERAGE(12,9)</f>
        <v>10.5</v>
      </c>
      <c r="L127" s="2" t="n">
        <v>0</v>
      </c>
      <c r="M127" s="0" t="s">
        <v>88</v>
      </c>
      <c r="O127" s="0" t="s">
        <v>64</v>
      </c>
      <c r="P127" s="0" t="s">
        <v>56</v>
      </c>
      <c r="Q127" s="3" t="n">
        <v>7.18</v>
      </c>
      <c r="R127" s="2" t="n">
        <v>1763</v>
      </c>
      <c r="S127" s="2" t="n">
        <v>19883</v>
      </c>
      <c r="T127" s="2" t="n">
        <f aca="false">S127-R127</f>
        <v>18120</v>
      </c>
      <c r="U127" s="3" t="n">
        <f aca="false">(120+28)/60</f>
        <v>2.46666666666667</v>
      </c>
      <c r="V127" s="3" t="n">
        <f aca="false">(120+40)/60</f>
        <v>2.66666666666667</v>
      </c>
      <c r="W127" s="3" t="n">
        <f aca="false">V127-U127</f>
        <v>0.2</v>
      </c>
      <c r="X127" s="3" t="n">
        <f aca="false">Q127/U127</f>
        <v>2.91081081081081</v>
      </c>
      <c r="Y127" s="0" t="n">
        <v>3</v>
      </c>
      <c r="Z127" s="3" t="n">
        <f aca="false">Q127/Y127</f>
        <v>2.39333333333333</v>
      </c>
      <c r="AA127" s="3" t="n">
        <f aca="false">20+36/60</f>
        <v>20.6</v>
      </c>
      <c r="AB127" s="2" t="n">
        <v>187</v>
      </c>
      <c r="AC127" s="2" t="n">
        <v>788</v>
      </c>
      <c r="AD127" s="2" t="n">
        <v>82</v>
      </c>
      <c r="AE127" s="2" t="n">
        <v>117</v>
      </c>
      <c r="AF127" s="3" t="n">
        <f aca="false">17+30/60</f>
        <v>17.5</v>
      </c>
      <c r="AG127" s="3" t="n">
        <f aca="false">20+47/60</f>
        <v>20.7833333333333</v>
      </c>
      <c r="AH127" s="3" t="n">
        <f aca="false">20+48/60</f>
        <v>20.8</v>
      </c>
      <c r="AI127" s="3" t="n">
        <f aca="false">22+5/60</f>
        <v>22.0833333333333</v>
      </c>
      <c r="AJ127" s="3" t="n">
        <f aca="false">16+57/60</f>
        <v>16.95</v>
      </c>
      <c r="AK127" s="3" t="n">
        <f aca="false">21+31/60</f>
        <v>21.5166666666667</v>
      </c>
      <c r="AL127" s="3" t="n">
        <f aca="false">23+32/60</f>
        <v>23.5333333333333</v>
      </c>
      <c r="AM127" s="3" t="n">
        <f aca="false">60/2.5</f>
        <v>24</v>
      </c>
      <c r="AP127" s="0" t="n">
        <v>2</v>
      </c>
      <c r="AQ127" s="0" t="n">
        <v>0</v>
      </c>
      <c r="AS127" s="4" t="n">
        <f aca="false">60*U127-SUM(AT127:AX127)</f>
        <v>60.1</v>
      </c>
      <c r="AT127" s="3" t="n">
        <f aca="false">41+7/60</f>
        <v>41.1166666666667</v>
      </c>
      <c r="AU127" s="3" t="n">
        <f aca="false">26+16/60</f>
        <v>26.2666666666667</v>
      </c>
      <c r="AV127" s="3" t="n">
        <f aca="false">20+31/60</f>
        <v>20.5166666666667</v>
      </c>
      <c r="AW127" s="3" t="n">
        <v>0</v>
      </c>
      <c r="AX127" s="3" t="n">
        <v>0</v>
      </c>
      <c r="AY127" s="0" t="s">
        <v>57</v>
      </c>
      <c r="AZ127" s="0" t="s">
        <v>58</v>
      </c>
      <c r="BA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59</v>
      </c>
      <c r="G128" s="2" t="n">
        <v>85</v>
      </c>
      <c r="H128" s="2" t="n">
        <v>70</v>
      </c>
      <c r="I128" s="2" t="n">
        <v>61</v>
      </c>
      <c r="J128" s="2" t="s">
        <v>104</v>
      </c>
      <c r="K128" s="2" t="n">
        <v>9</v>
      </c>
      <c r="L128" s="2" t="n">
        <v>0</v>
      </c>
      <c r="M128" s="0" t="s">
        <v>88</v>
      </c>
      <c r="O128" s="0" t="s">
        <v>55</v>
      </c>
      <c r="P128" s="0" t="s">
        <v>95</v>
      </c>
      <c r="Q128" s="3" t="n">
        <v>4.51</v>
      </c>
      <c r="U128" s="3" t="n">
        <f aca="false">106/60</f>
        <v>1.76666666666667</v>
      </c>
      <c r="V128" s="3" t="n">
        <f aca="false">108/60</f>
        <v>1.8</v>
      </c>
      <c r="W128" s="3" t="n">
        <f aca="false">V128-U128</f>
        <v>0.0333333333333334</v>
      </c>
      <c r="X128" s="3" t="n">
        <f aca="false">Q128/U128</f>
        <v>2.55283018867925</v>
      </c>
      <c r="Y128" s="0" t="n">
        <v>3</v>
      </c>
      <c r="Z128" s="3" t="n">
        <f aca="false">Q128/Y128</f>
        <v>1.50333333333333</v>
      </c>
      <c r="AA128" s="3" t="n">
        <f aca="false">23+34/60</f>
        <v>23.5666666666667</v>
      </c>
      <c r="AB128" s="2" t="n">
        <v>56</v>
      </c>
      <c r="AC128" s="2" t="n">
        <v>995</v>
      </c>
      <c r="AD128" s="2" t="n">
        <v>116</v>
      </c>
      <c r="AE128" s="2" t="n">
        <v>143</v>
      </c>
      <c r="AF128" s="3" t="n">
        <f aca="false">24+18/60</f>
        <v>24.3</v>
      </c>
      <c r="AG128" s="3" t="n">
        <f aca="false">24+21/60</f>
        <v>24.35</v>
      </c>
      <c r="AH128" s="3" t="n">
        <f aca="false">22+57/60</f>
        <v>22.95</v>
      </c>
      <c r="AI128" s="3" t="n">
        <f aca="false">24+11/60</f>
        <v>24.1833333333333</v>
      </c>
      <c r="AJ128" s="3" t="n">
        <f aca="false">60/2.9</f>
        <v>20.6896551724138</v>
      </c>
      <c r="AP128" s="0" t="n">
        <v>0</v>
      </c>
      <c r="AQ128" s="0" t="n">
        <v>1</v>
      </c>
      <c r="AS128" s="4" t="n">
        <v>0</v>
      </c>
      <c r="AT128" s="3" t="n">
        <v>0</v>
      </c>
      <c r="AU128" s="3" t="n">
        <f aca="false">15+31/60</f>
        <v>15.5166666666667</v>
      </c>
      <c r="AV128" s="3" t="n">
        <f aca="false">34+5/60</f>
        <v>34.0833333333333</v>
      </c>
      <c r="AW128" s="3" t="n">
        <f aca="false">55+49/60</f>
        <v>55.8166666666667</v>
      </c>
      <c r="AX128" s="3" t="n">
        <f aca="false">49/60</f>
        <v>0.816666666666667</v>
      </c>
      <c r="AY128" s="0" t="s">
        <v>57</v>
      </c>
      <c r="AZ128" s="0" t="s">
        <v>58</v>
      </c>
      <c r="BA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54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98</v>
      </c>
      <c r="K129" s="2" t="n">
        <v>15</v>
      </c>
      <c r="L129" s="2" t="n">
        <v>23</v>
      </c>
      <c r="M129" s="0" t="s">
        <v>88</v>
      </c>
      <c r="O129" s="0" t="s">
        <v>105</v>
      </c>
      <c r="P129" s="0" t="s">
        <v>106</v>
      </c>
      <c r="Q129" s="3" t="n">
        <v>5.85</v>
      </c>
      <c r="R129" s="2" t="n">
        <v>720</v>
      </c>
      <c r="S129" s="2" t="n">
        <v>19311</v>
      </c>
      <c r="T129" s="2" t="n">
        <f aca="false">S129-R129</f>
        <v>18591</v>
      </c>
      <c r="U129" s="3" t="n">
        <f aca="false">(120+27)/60</f>
        <v>2.45</v>
      </c>
      <c r="V129" s="3" t="n">
        <f aca="false">(120+33)/60</f>
        <v>2.55</v>
      </c>
      <c r="W129" s="3" t="n">
        <f aca="false">V129-U129</f>
        <v>0.0999999999999996</v>
      </c>
      <c r="X129" s="3" t="n">
        <f aca="false">Q129/U129</f>
        <v>2.38775510204082</v>
      </c>
      <c r="Y129" s="0" t="n">
        <v>4</v>
      </c>
      <c r="Z129" s="3" t="n">
        <f aca="false">Q129/Y129</f>
        <v>1.4625</v>
      </c>
      <c r="AA129" s="3" t="n">
        <f aca="false">25+4/60</f>
        <v>25.0666666666667</v>
      </c>
      <c r="AB129" s="2" t="n">
        <v>85</v>
      </c>
      <c r="AC129" s="2" t="n">
        <v>647</v>
      </c>
      <c r="AD129" s="2" t="n">
        <v>82</v>
      </c>
      <c r="AE129" s="2" t="n">
        <v>111</v>
      </c>
      <c r="AF129" s="3" t="n">
        <f aca="false">26+37/60</f>
        <v>26.6166666666667</v>
      </c>
      <c r="AG129" s="3" t="n">
        <f aca="false">25+6/60</f>
        <v>25.1</v>
      </c>
      <c r="AH129" s="3" t="n">
        <f aca="false">25+34/60</f>
        <v>25.5666666666667</v>
      </c>
      <c r="AI129" s="3" t="n">
        <f aca="false">22+3/60</f>
        <v>22.05</v>
      </c>
      <c r="AJ129" s="3" t="n">
        <f aca="false">24+49/60</f>
        <v>24.8166666666667</v>
      </c>
      <c r="AK129" s="3" t="n">
        <f aca="false">60/2.3</f>
        <v>26.0869565217391</v>
      </c>
      <c r="AP129" s="0" t="n">
        <v>2</v>
      </c>
      <c r="AQ129" s="0" t="n">
        <v>0</v>
      </c>
      <c r="AS129" s="4" t="n">
        <f aca="false">60*U129-SUM(AT129:AX129)</f>
        <v>40.8333333333333</v>
      </c>
      <c r="AT129" s="3" t="n">
        <f aca="false">60+3/60</f>
        <v>60.05</v>
      </c>
      <c r="AU129" s="3" t="n">
        <f aca="false">42+38/60</f>
        <v>42.6333333333333</v>
      </c>
      <c r="AV129" s="3" t="n">
        <f aca="false">3+29/60</f>
        <v>3.48333333333333</v>
      </c>
      <c r="AW129" s="3" t="n">
        <v>0</v>
      </c>
      <c r="AX129" s="3" t="n">
        <v>0</v>
      </c>
      <c r="AY129" s="0" t="s">
        <v>57</v>
      </c>
      <c r="AZ129" s="0" t="s">
        <v>58</v>
      </c>
      <c r="BA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8" t="s">
        <v>107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98</v>
      </c>
      <c r="K130" s="2" t="n">
        <v>14</v>
      </c>
      <c r="L130" s="2" t="n">
        <v>26</v>
      </c>
      <c r="M130" s="0" t="s">
        <v>88</v>
      </c>
      <c r="O130" s="0" t="s">
        <v>55</v>
      </c>
      <c r="P130" s="0" t="s">
        <v>95</v>
      </c>
      <c r="Q130" s="3" t="n">
        <v>4.56</v>
      </c>
      <c r="R130" s="2" t="n">
        <v>751</v>
      </c>
      <c r="S130" s="2" t="n">
        <v>14944</v>
      </c>
      <c r="T130" s="2" t="n">
        <f aca="false">S130-R130</f>
        <v>14193</v>
      </c>
      <c r="U130" s="3" t="n">
        <f aca="false">(60+45)/60</f>
        <v>1.75</v>
      </c>
      <c r="V130" s="3" t="n">
        <f aca="false">(60+ 47)/60</f>
        <v>1.78333333333333</v>
      </c>
      <c r="W130" s="3" t="n">
        <f aca="false">V130-U130</f>
        <v>0.0333333333333334</v>
      </c>
      <c r="X130" s="3" t="n">
        <f aca="false">Q130/U130</f>
        <v>2.60571428571429</v>
      </c>
      <c r="Y130" s="0" t="n">
        <v>3</v>
      </c>
      <c r="Z130" s="3" t="n">
        <f aca="false">Q130/Y130</f>
        <v>1.52</v>
      </c>
      <c r="AA130" s="3" t="n">
        <f aca="false">22+59/60</f>
        <v>22.9833333333333</v>
      </c>
      <c r="AB130" s="2" t="n">
        <v>171</v>
      </c>
      <c r="AC130" s="2" t="n">
        <v>817</v>
      </c>
      <c r="AD130" s="2" t="n">
        <v>113</v>
      </c>
      <c r="AE130" s="2" t="n">
        <v>147</v>
      </c>
      <c r="AF130" s="3" t="n">
        <f aca="false">26+9/60</f>
        <v>26.15</v>
      </c>
      <c r="AG130" s="3" t="n">
        <f aca="false">26+3/60</f>
        <v>26.05</v>
      </c>
      <c r="AH130" s="3" t="n">
        <f aca="false">20+30/60</f>
        <v>20.5</v>
      </c>
      <c r="AI130" s="3" t="n">
        <f aca="false">19+2/60</f>
        <v>19.0333333333333</v>
      </c>
      <c r="AJ130" s="3" t="n">
        <f aca="false">60/2.6</f>
        <v>23.0769230769231</v>
      </c>
      <c r="AP130" s="0" t="n">
        <v>1</v>
      </c>
      <c r="AQ130" s="0" t="n">
        <v>2</v>
      </c>
      <c r="AS130" s="4" t="n">
        <v>0</v>
      </c>
      <c r="AT130" s="3" t="n">
        <f aca="false">0+52/60</f>
        <v>0.866666666666667</v>
      </c>
      <c r="AU130" s="3" t="n">
        <f aca="false">36+30/60</f>
        <v>36.5</v>
      </c>
      <c r="AV130" s="3" t="n">
        <f aca="false">25+38/50</f>
        <v>25.76</v>
      </c>
      <c r="AW130" s="3" t="n">
        <f aca="false">35+22/60</f>
        <v>35.3666666666667</v>
      </c>
      <c r="AX130" s="3" t="n">
        <f aca="false">6+30/60</f>
        <v>6.5</v>
      </c>
      <c r="AY130" s="0" t="s">
        <v>57</v>
      </c>
      <c r="AZ130" s="0" t="s">
        <v>58</v>
      </c>
      <c r="BA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68</v>
      </c>
      <c r="F131" s="0" t="s">
        <v>78</v>
      </c>
      <c r="G131" s="2" t="n">
        <v>88</v>
      </c>
      <c r="H131" s="2" t="n">
        <v>72</v>
      </c>
      <c r="I131" s="2" t="n">
        <v>58</v>
      </c>
      <c r="J131" s="2" t="s">
        <v>98</v>
      </c>
      <c r="K131" s="2" t="n">
        <v>15</v>
      </c>
      <c r="L131" s="2" t="n">
        <v>33</v>
      </c>
      <c r="M131" s="0" t="s">
        <v>88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59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98</v>
      </c>
      <c r="K132" s="2" t="n">
        <f aca="false">AVERAGE(16,17)</f>
        <v>16.5</v>
      </c>
      <c r="L132" s="2" t="n">
        <f aca="false">AVERAGE(29,30)</f>
        <v>29.5</v>
      </c>
      <c r="M132" s="0" t="s">
        <v>88</v>
      </c>
      <c r="O132" s="0" t="s">
        <v>105</v>
      </c>
      <c r="P132" s="0" t="s">
        <v>95</v>
      </c>
      <c r="Q132" s="3" t="n">
        <v>4.25</v>
      </c>
      <c r="R132" s="2" t="n">
        <v>854</v>
      </c>
      <c r="S132" s="2" t="n">
        <v>14500</v>
      </c>
      <c r="T132" s="2" t="n">
        <f aca="false">S132-R132</f>
        <v>13646</v>
      </c>
      <c r="U132" s="3" t="n">
        <f aca="false">(60+49)/60</f>
        <v>1.81666666666667</v>
      </c>
      <c r="V132" s="3" t="n">
        <f aca="false">(60+53)/60</f>
        <v>1.88333333333333</v>
      </c>
      <c r="W132" s="3" t="n">
        <f aca="false">V132-U132</f>
        <v>0.0666666666666667</v>
      </c>
      <c r="X132" s="3" t="n">
        <f aca="false">Q132/U132</f>
        <v>2.3394495412844</v>
      </c>
      <c r="Y132" s="0" t="n">
        <v>3</v>
      </c>
      <c r="Z132" s="3" t="n">
        <f aca="false">Q132/Y132</f>
        <v>1.41666666666667</v>
      </c>
      <c r="AA132" s="3" t="n">
        <f aca="false">25+37/60</f>
        <v>25.6166666666667</v>
      </c>
      <c r="AB132" s="2" t="n">
        <v>56</v>
      </c>
      <c r="AC132" s="2" t="n">
        <v>546</v>
      </c>
      <c r="AD132" s="2" t="n">
        <v>93</v>
      </c>
      <c r="AE132" s="2" t="n">
        <v>127</v>
      </c>
      <c r="AF132" s="3" t="n">
        <f aca="false">24+27/60</f>
        <v>24.45</v>
      </c>
      <c r="AG132" s="3" t="n">
        <f aca="false">23+23/60</f>
        <v>23.3833333333333</v>
      </c>
      <c r="AH132" s="3" t="n">
        <f aca="false">26+58/60</f>
        <v>26.9666666666667</v>
      </c>
      <c r="AI132" s="3" t="n">
        <f aca="false">27+5/60</f>
        <v>27.0833333333333</v>
      </c>
      <c r="AJ132" s="3" t="n">
        <f aca="false">60/2.2</f>
        <v>27.2727272727273</v>
      </c>
      <c r="AP132" s="0" t="n">
        <v>1</v>
      </c>
      <c r="AQ132" s="0" t="n">
        <v>0</v>
      </c>
      <c r="AR132" s="0" t="n">
        <v>0</v>
      </c>
      <c r="AS132" s="4" t="n">
        <f aca="false">60*U132-SUM(AT132:AX132)</f>
        <v>0.75</v>
      </c>
      <c r="AT132" s="3" t="n">
        <f aca="false">42+15/60</f>
        <v>42.25</v>
      </c>
      <c r="AU132" s="3" t="n">
        <f aca="false">48+32/60</f>
        <v>48.5333333333333</v>
      </c>
      <c r="AV132" s="3" t="n">
        <f aca="false">15+22/60</f>
        <v>15.3666666666667</v>
      </c>
      <c r="AW132" s="3" t="n">
        <f aca="false">2+6/60</f>
        <v>2.1</v>
      </c>
      <c r="AX132" s="3" t="n">
        <v>0</v>
      </c>
      <c r="AY132" s="0" t="s">
        <v>57</v>
      </c>
      <c r="AZ132" s="0" t="s">
        <v>58</v>
      </c>
      <c r="BA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78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98</v>
      </c>
      <c r="K133" s="2" t="n">
        <f aca="false">AVERAGE(18,21)</f>
        <v>19.5</v>
      </c>
      <c r="L133" s="2" t="n">
        <v>20</v>
      </c>
      <c r="M133" s="0" t="s">
        <v>88</v>
      </c>
      <c r="O133" s="0" t="s">
        <v>105</v>
      </c>
      <c r="P133" s="0" t="s">
        <v>95</v>
      </c>
      <c r="Q133" s="3" t="n">
        <v>4.33</v>
      </c>
      <c r="R133" s="2" t="n">
        <v>2862</v>
      </c>
      <c r="S133" s="2" t="n">
        <v>17088</v>
      </c>
      <c r="T133" s="2" t="n">
        <f aca="false">S133-R133</f>
        <v>14226</v>
      </c>
      <c r="U133" s="3" t="n">
        <f aca="false">(60+52)/60</f>
        <v>1.86666666666667</v>
      </c>
      <c r="V133" s="3" t="n">
        <f aca="false">(60+52)/60</f>
        <v>1.86666666666667</v>
      </c>
      <c r="W133" s="3" t="n">
        <f aca="false">V133-U133</f>
        <v>0</v>
      </c>
      <c r="X133" s="3" t="n">
        <f aca="false">Q133/U133</f>
        <v>2.31964285714286</v>
      </c>
      <c r="Y133" s="0" t="n">
        <v>3</v>
      </c>
      <c r="Z133" s="3" t="n">
        <f aca="false">Q133/Y133</f>
        <v>1.44333333333333</v>
      </c>
      <c r="AA133" s="3" t="n">
        <f aca="false">25+46/60</f>
        <v>25.7666666666667</v>
      </c>
      <c r="AB133" s="2" t="n">
        <v>177</v>
      </c>
      <c r="AC133" s="2" t="n">
        <v>492</v>
      </c>
      <c r="AD133" s="2" t="n">
        <v>82</v>
      </c>
      <c r="AE133" s="2" t="n">
        <v>116</v>
      </c>
      <c r="AF133" s="3" t="n">
        <f aca="false">23+45/60</f>
        <v>23.75</v>
      </c>
      <c r="AG133" s="3" t="n">
        <f aca="false">23+27/60</f>
        <v>23.45</v>
      </c>
      <c r="AH133" s="3" t="n">
        <f aca="false">25+19/60</f>
        <v>25.3166666666667</v>
      </c>
      <c r="AI133" s="3" t="n">
        <f aca="false">20+19/60</f>
        <v>20.3166666666667</v>
      </c>
      <c r="AJ133" s="3" t="n">
        <f aca="false">60/2</f>
        <v>30</v>
      </c>
      <c r="AP133" s="0" t="n">
        <v>0</v>
      </c>
      <c r="AQ133" s="0" t="n">
        <v>1</v>
      </c>
      <c r="AR133" s="0" t="n">
        <v>1</v>
      </c>
      <c r="AS133" s="4" t="n">
        <f aca="false">60*U133-SUM(AT133:AX133)</f>
        <v>32.3</v>
      </c>
      <c r="AT133" s="3" t="n">
        <f aca="false">52+17/60</f>
        <v>52.2833333333333</v>
      </c>
      <c r="AU133" s="3" t="n">
        <f aca="false">18+48/60</f>
        <v>18.8</v>
      </c>
      <c r="AV133" s="3" t="n">
        <f aca="false">8+37/60</f>
        <v>8.61666666666667</v>
      </c>
      <c r="AW133" s="3" t="n">
        <v>0</v>
      </c>
      <c r="AX133" s="3" t="n">
        <v>0</v>
      </c>
      <c r="AY133" s="0" t="s">
        <v>57</v>
      </c>
      <c r="AZ133" s="0" t="s">
        <v>58</v>
      </c>
      <c r="BA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78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98</v>
      </c>
      <c r="K134" s="2" t="n">
        <f aca="false">AVERAGE(15,13,13)</f>
        <v>13.6666666666667</v>
      </c>
      <c r="L134" s="2" t="n">
        <v>25</v>
      </c>
      <c r="M134" s="0" t="s">
        <v>88</v>
      </c>
      <c r="O134" s="0" t="s">
        <v>55</v>
      </c>
      <c r="P134" s="0" t="s">
        <v>95</v>
      </c>
      <c r="Q134" s="3" t="n">
        <v>4.88</v>
      </c>
      <c r="R134" s="2" t="n">
        <v>1252</v>
      </c>
      <c r="S134" s="2" t="n">
        <v>16054</v>
      </c>
      <c r="T134" s="2" t="n">
        <f aca="false">S134-R134</f>
        <v>14802</v>
      </c>
      <c r="U134" s="3" t="n">
        <f aca="false">(60+52)/60</f>
        <v>1.86666666666667</v>
      </c>
      <c r="V134" s="3" t="n">
        <f aca="false">(60+58)/60</f>
        <v>1.96666666666667</v>
      </c>
      <c r="W134" s="3" t="n">
        <f aca="false">V134-U134</f>
        <v>0.0999999999999999</v>
      </c>
      <c r="X134" s="3" t="n">
        <f aca="false">Q134/U134</f>
        <v>2.61428571428571</v>
      </c>
      <c r="Y134" s="0" t="n">
        <v>3</v>
      </c>
      <c r="Z134" s="3" t="n">
        <f aca="false">Q134/Y134</f>
        <v>1.62666666666667</v>
      </c>
      <c r="AA134" s="3" t="n">
        <f aca="false">22+57/60</f>
        <v>22.95</v>
      </c>
      <c r="AB134" s="2" t="n">
        <v>469</v>
      </c>
      <c r="AC134" s="2" t="n">
        <v>999</v>
      </c>
      <c r="AD134" s="2" t="n">
        <v>116</v>
      </c>
      <c r="AE134" s="2" t="n">
        <v>157</v>
      </c>
      <c r="AF134" s="3" t="n">
        <f aca="false">24+43/60</f>
        <v>24.7166666666667</v>
      </c>
      <c r="AG134" s="3" t="n">
        <f aca="false">12+6/60</f>
        <v>12.1</v>
      </c>
      <c r="AH134" s="3" t="n">
        <f aca="false">22+54/60</f>
        <v>22.9</v>
      </c>
      <c r="AI134" s="3" t="n">
        <f aca="false">60/2.8</f>
        <v>21.4285714285714</v>
      </c>
      <c r="AP134" s="0" t="n">
        <v>2</v>
      </c>
      <c r="AQ134" s="0" t="n">
        <v>1</v>
      </c>
      <c r="AR134" s="0" t="n">
        <v>0</v>
      </c>
      <c r="AS134" s="4" t="n">
        <f aca="false">60*U134-SUM(AT134:AX134)</f>
        <v>0.049999999999983</v>
      </c>
      <c r="AT134" s="3" t="n">
        <f aca="false">1+23/60</f>
        <v>1.38333333333333</v>
      </c>
      <c r="AU134" s="3" t="n">
        <f aca="false">22+44/60</f>
        <v>22.7333333333333</v>
      </c>
      <c r="AV134" s="3" t="n">
        <f aca="false">27+52/60</f>
        <v>27.8666666666667</v>
      </c>
      <c r="AW134" s="3" t="n">
        <f aca="false">57+46/60</f>
        <v>57.7666666666667</v>
      </c>
      <c r="AX134" s="3" t="n">
        <f aca="false">2+12/60</f>
        <v>2.2</v>
      </c>
      <c r="AY134" s="0" t="s">
        <v>57</v>
      </c>
      <c r="AZ134" s="0" t="s">
        <v>58</v>
      </c>
      <c r="BA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54</v>
      </c>
      <c r="G135" s="2" t="n">
        <v>92</v>
      </c>
      <c r="H135" s="2" t="n">
        <v>76</v>
      </c>
      <c r="I135" s="2" t="n">
        <v>59</v>
      </c>
      <c r="J135" s="2" t="s">
        <v>108</v>
      </c>
      <c r="K135" s="2" t="n">
        <v>10</v>
      </c>
      <c r="L135" s="2" t="n">
        <v>0</v>
      </c>
      <c r="M135" s="0" t="s">
        <v>88</v>
      </c>
      <c r="O135" s="0" t="s">
        <v>55</v>
      </c>
      <c r="P135" s="0" t="s">
        <v>95</v>
      </c>
      <c r="Q135" s="3" t="n">
        <v>2.52</v>
      </c>
      <c r="U135" s="3" t="n">
        <f aca="false">64/60</f>
        <v>1.06666666666667</v>
      </c>
      <c r="V135" s="3" t="n">
        <f aca="false">64/60</f>
        <v>1.06666666666667</v>
      </c>
      <c r="W135" s="3" t="n">
        <f aca="false">V135-U135</f>
        <v>0</v>
      </c>
      <c r="X135" s="3" t="n">
        <f aca="false">Q135/U135</f>
        <v>2.3625</v>
      </c>
      <c r="Y135" s="0" t="n">
        <v>2</v>
      </c>
      <c r="Z135" s="3" t="n">
        <f aca="false">Q135/Y135</f>
        <v>1.26</v>
      </c>
      <c r="AA135" s="3" t="n">
        <f aca="false">25+28/60</f>
        <v>25.4666666666667</v>
      </c>
      <c r="AB135" s="2" t="n">
        <v>79</v>
      </c>
      <c r="AC135" s="2" t="n">
        <v>277</v>
      </c>
      <c r="AD135" s="2" t="n">
        <v>79</v>
      </c>
      <c r="AE135" s="2" t="n">
        <v>110</v>
      </c>
      <c r="AF135" s="3" t="n">
        <f aca="false">25+18/60</f>
        <v>25.3</v>
      </c>
      <c r="AG135" s="3" t="n">
        <f aca="false">24+59/60</f>
        <v>24.9833333333333</v>
      </c>
      <c r="AH135" s="3" t="n">
        <f aca="false">60/2.4</f>
        <v>25</v>
      </c>
      <c r="AP135" s="0" t="n">
        <v>0</v>
      </c>
      <c r="AQ135" s="0" t="n">
        <v>0</v>
      </c>
      <c r="AR135" s="0" t="n">
        <v>0</v>
      </c>
      <c r="AS135" s="4" t="n">
        <f aca="false">60*U135-SUM(AT135:AX135)</f>
        <v>26.7166666666667</v>
      </c>
      <c r="AT135" s="3" t="n">
        <f aca="false">13+23/60</f>
        <v>13.3833333333333</v>
      </c>
      <c r="AU135" s="3" t="n">
        <f aca="false">23+15/60</f>
        <v>23.25</v>
      </c>
      <c r="AV135" s="3" t="n">
        <f aca="false">39/60</f>
        <v>0.65</v>
      </c>
      <c r="AW135" s="3" t="n">
        <v>0</v>
      </c>
      <c r="AX135" s="3" t="n">
        <v>0</v>
      </c>
      <c r="AY135" s="0" t="s">
        <v>57</v>
      </c>
      <c r="AZ135" s="0" t="s">
        <v>58</v>
      </c>
      <c r="BA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59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100</v>
      </c>
      <c r="K136" s="2" t="n">
        <v>3</v>
      </c>
      <c r="L136" s="2" t="n">
        <v>0</v>
      </c>
      <c r="M136" s="0" t="s">
        <v>88</v>
      </c>
      <c r="O136" s="0" t="s">
        <v>105</v>
      </c>
      <c r="P136" s="0" t="s">
        <v>106</v>
      </c>
      <c r="Q136" s="3" t="n">
        <v>5.08</v>
      </c>
      <c r="R136" s="2" t="n">
        <v>995</v>
      </c>
      <c r="S136" s="2" t="n">
        <v>16402</v>
      </c>
      <c r="T136" s="2" t="n">
        <f aca="false">S136-R136</f>
        <v>15407</v>
      </c>
      <c r="U136" s="3" t="n">
        <f aca="false">122/60</f>
        <v>2.03333333333333</v>
      </c>
      <c r="V136" s="3" t="n">
        <f aca="false">122/60</f>
        <v>2.03333333333333</v>
      </c>
      <c r="W136" s="3" t="n">
        <f aca="false">V136-U136</f>
        <v>0</v>
      </c>
      <c r="X136" s="3" t="n">
        <f aca="false">Q136/U136</f>
        <v>2.4983606557377</v>
      </c>
      <c r="Y136" s="0" t="n">
        <v>4</v>
      </c>
      <c r="Z136" s="3" t="n">
        <f aca="false">Q136/Y136</f>
        <v>1.27</v>
      </c>
      <c r="AA136" s="3" t="n">
        <f aca="false">24+2/60</f>
        <v>24.0333333333333</v>
      </c>
      <c r="AB136" s="2" t="n">
        <v>62</v>
      </c>
      <c r="AC136" s="2" t="n">
        <v>709</v>
      </c>
      <c r="AD136" s="2" t="n">
        <v>97</v>
      </c>
      <c r="AE136" s="2" t="n">
        <v>129</v>
      </c>
      <c r="AF136" s="3" t="n">
        <f aca="false">23+25/60</f>
        <v>23.4166666666667</v>
      </c>
      <c r="AG136" s="3" t="n">
        <f aca="false">22+45/60</f>
        <v>22.75</v>
      </c>
      <c r="AH136" s="3" t="n">
        <f aca="false">28+21/60</f>
        <v>28.35</v>
      </c>
      <c r="AI136" s="3" t="n">
        <f aca="false">25+59/60</f>
        <v>25.9833333333333</v>
      </c>
      <c r="AJ136" s="3" t="n">
        <f aca="false">19+52/60</f>
        <v>19.8666666666667</v>
      </c>
      <c r="AK136" s="3" t="n">
        <f aca="false">60/2.8</f>
        <v>21.4285714285714</v>
      </c>
      <c r="AP136" s="0" t="n">
        <v>0</v>
      </c>
      <c r="AQ136" s="0" t="n">
        <v>0</v>
      </c>
      <c r="AR136" s="0" t="n">
        <v>0</v>
      </c>
      <c r="AS136" s="4" t="n">
        <f aca="false">60*U136-SUM(AT136:AX136)</f>
        <v>38.9833333333333</v>
      </c>
      <c r="AT136" s="3" t="n">
        <f aca="false">16+9/60</f>
        <v>16.15</v>
      </c>
      <c r="AU136" s="3" t="n">
        <f aca="false">39+14/60</f>
        <v>39.2333333333333</v>
      </c>
      <c r="AV136" s="3" t="n">
        <f aca="false">27+38/60</f>
        <v>27.6333333333333</v>
      </c>
      <c r="AW136" s="3" t="n">
        <v>0</v>
      </c>
      <c r="AX136" s="3" t="n">
        <v>0</v>
      </c>
      <c r="AY136" s="0" t="s">
        <v>57</v>
      </c>
      <c r="AZ136" s="0" t="s">
        <v>58</v>
      </c>
      <c r="BA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59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98</v>
      </c>
      <c r="K137" s="2" t="n">
        <f aca="false">AVERAGE(5,6)</f>
        <v>5.5</v>
      </c>
      <c r="L137" s="2" t="n">
        <v>0</v>
      </c>
      <c r="M137" s="0" t="s">
        <v>88</v>
      </c>
      <c r="O137" s="0" t="s">
        <v>55</v>
      </c>
      <c r="P137" s="0" t="s">
        <v>95</v>
      </c>
      <c r="Q137" s="3" t="n">
        <v>3.36</v>
      </c>
      <c r="R137" s="2" t="n">
        <v>349</v>
      </c>
      <c r="S137" s="2" t="n">
        <v>12124</v>
      </c>
      <c r="T137" s="2" t="n">
        <f aca="false">S137-R137</f>
        <v>11775</v>
      </c>
      <c r="U137" s="3" t="n">
        <f aca="false">(60+27)/60</f>
        <v>1.45</v>
      </c>
      <c r="V137" s="3" t="n">
        <f aca="false">(60+27)/60</f>
        <v>1.45</v>
      </c>
      <c r="W137" s="3" t="n">
        <f aca="false">V137-U137</f>
        <v>0</v>
      </c>
      <c r="X137" s="3" t="n">
        <f aca="false">Q137/U137</f>
        <v>2.31724137931034</v>
      </c>
      <c r="Y137" s="0" t="n">
        <v>3</v>
      </c>
      <c r="Z137" s="3" t="n">
        <f aca="false">Q137/Y137</f>
        <v>1.12</v>
      </c>
      <c r="AA137" s="3" t="n">
        <f aca="false">25+52/60</f>
        <v>25.8666666666667</v>
      </c>
      <c r="AB137" s="2" t="n">
        <v>46</v>
      </c>
      <c r="AC137" s="2" t="n">
        <v>996</v>
      </c>
      <c r="AD137" s="2" t="n">
        <v>129</v>
      </c>
      <c r="AE137" s="2" t="n">
        <v>149</v>
      </c>
      <c r="AF137" s="3" t="n">
        <f aca="false">24+44/60</f>
        <v>24.7333333333333</v>
      </c>
      <c r="AG137" s="3" t="n">
        <f aca="false">25+48/60</f>
        <v>25.8</v>
      </c>
      <c r="AH137" s="3" t="n">
        <f aca="false">25+59/60</f>
        <v>25.9833333333333</v>
      </c>
      <c r="AI137" s="3" t="n">
        <f aca="false">60/2.1</f>
        <v>28.5714285714286</v>
      </c>
      <c r="AP137" s="0" t="n">
        <v>0</v>
      </c>
      <c r="AQ137" s="0" t="n">
        <v>1</v>
      </c>
      <c r="AS137" s="4" t="n">
        <f aca="false">60*U137-SUM(AT137:AX137)</f>
        <v>0.216666666666669</v>
      </c>
      <c r="AT137" s="3" t="n">
        <f aca="false">2/60</f>
        <v>0.0333333333333333</v>
      </c>
      <c r="AU137" s="3" t="n">
        <f aca="false">2</f>
        <v>2</v>
      </c>
      <c r="AV137" s="3" t="n">
        <f aca="false">8+43/60</f>
        <v>8.71666666666667</v>
      </c>
      <c r="AW137" s="3" t="n">
        <f aca="false">51+31/60</f>
        <v>51.5166666666667</v>
      </c>
      <c r="AX137" s="3" t="n">
        <f aca="false">24+31/60</f>
        <v>24.5166666666667</v>
      </c>
      <c r="AY137" s="0" t="s">
        <v>57</v>
      </c>
      <c r="AZ137" s="0" t="s">
        <v>58</v>
      </c>
      <c r="BA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59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103</v>
      </c>
      <c r="K138" s="2" t="n">
        <v>5</v>
      </c>
      <c r="L138" s="2" t="n">
        <v>0</v>
      </c>
      <c r="M138" s="0" t="s">
        <v>88</v>
      </c>
      <c r="O138" s="0" t="s">
        <v>105</v>
      </c>
      <c r="P138" s="0" t="s">
        <v>106</v>
      </c>
      <c r="Q138" s="3" t="n">
        <v>5.08</v>
      </c>
      <c r="R138" s="2" t="n">
        <v>1593</v>
      </c>
      <c r="S138" s="2" t="n">
        <v>18923</v>
      </c>
      <c r="T138" s="2" t="n">
        <f aca="false">S138-R138</f>
        <v>17330</v>
      </c>
      <c r="U138" s="3" t="n">
        <f aca="false">(120+9)/60</f>
        <v>2.15</v>
      </c>
      <c r="V138" s="3" t="n">
        <f aca="false">(120+10)/60</f>
        <v>2.16666666666667</v>
      </c>
      <c r="W138" s="3" t="n">
        <f aca="false">V138-U138</f>
        <v>0.0166666666666666</v>
      </c>
      <c r="X138" s="3" t="n">
        <f aca="false">Q138/U138</f>
        <v>2.36279069767442</v>
      </c>
      <c r="Y138" s="0" t="n">
        <v>4</v>
      </c>
      <c r="Z138" s="3" t="n">
        <f aca="false">Q138/Y138</f>
        <v>1.27</v>
      </c>
      <c r="AA138" s="3" t="n">
        <f aca="false">25+25/60</f>
        <v>25.4166666666667</v>
      </c>
      <c r="AB138" s="2" t="n">
        <v>79</v>
      </c>
      <c r="AC138" s="2" t="n">
        <v>680</v>
      </c>
      <c r="AD138" s="2" t="n">
        <v>97</v>
      </c>
      <c r="AE138" s="2" t="n">
        <v>132</v>
      </c>
      <c r="AF138" s="3" t="n">
        <f aca="false">25+50/60</f>
        <v>25.8333333333333</v>
      </c>
      <c r="AG138" s="3" t="n">
        <f aca="false">28+40/60</f>
        <v>28.6666666666667</v>
      </c>
      <c r="AH138" s="3" t="n">
        <f aca="false">24+18/60</f>
        <v>24.3</v>
      </c>
      <c r="AI138" s="3" t="n">
        <f aca="false">23+41/60</f>
        <v>23.6833333333333</v>
      </c>
      <c r="AJ138" s="3" t="n">
        <f aca="false">24+48/60</f>
        <v>24.8</v>
      </c>
      <c r="AK138" s="3" t="n">
        <f aca="false">60/2.6</f>
        <v>23.0769230769231</v>
      </c>
      <c r="AP138" s="0" t="n">
        <v>0</v>
      </c>
      <c r="AQ138" s="0" t="n">
        <v>0</v>
      </c>
      <c r="AR138" s="0" t="n">
        <v>0</v>
      </c>
      <c r="AS138" s="4" t="n">
        <f aca="false">60*U138-SUM(AT138:AX138)</f>
        <v>6</v>
      </c>
      <c r="AT138" s="3" t="n">
        <f aca="false">38+56/60</f>
        <v>38.9333333333333</v>
      </c>
      <c r="AU138" s="3" t="n">
        <f aca="false">46+46/60</f>
        <v>46.7666666666667</v>
      </c>
      <c r="AV138" s="3" t="n">
        <f aca="false">18+40/60</f>
        <v>18.6666666666667</v>
      </c>
      <c r="AW138" s="3" t="n">
        <f aca="false">18+38/60</f>
        <v>18.6333333333333</v>
      </c>
      <c r="AX138" s="3" t="n">
        <v>0</v>
      </c>
      <c r="AY138" s="0" t="s">
        <v>57</v>
      </c>
      <c r="AZ138" s="0" t="s">
        <v>58</v>
      </c>
      <c r="BA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78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101</v>
      </c>
      <c r="K139" s="2" t="n">
        <v>0</v>
      </c>
      <c r="L139" s="2" t="n">
        <v>0</v>
      </c>
      <c r="M139" s="0" t="s">
        <v>88</v>
      </c>
      <c r="O139" s="0" t="s">
        <v>55</v>
      </c>
      <c r="P139" s="0" t="s">
        <v>106</v>
      </c>
      <c r="Q139" s="3" t="n">
        <v>5.16</v>
      </c>
      <c r="R139" s="2" t="n">
        <v>904</v>
      </c>
      <c r="S139" s="2" t="n">
        <v>16075</v>
      </c>
      <c r="T139" s="2" t="n">
        <f aca="false">S139-R139</f>
        <v>15171</v>
      </c>
      <c r="U139" s="3" t="n">
        <f aca="false">(120+1)/60</f>
        <v>2.01666666666667</v>
      </c>
      <c r="V139" s="3" t="n">
        <f aca="false">(120+2)/60</f>
        <v>2.03333333333333</v>
      </c>
      <c r="W139" s="3" t="n">
        <f aca="false">V139-U139</f>
        <v>0.0166666666666666</v>
      </c>
      <c r="X139" s="3" t="n">
        <f aca="false">Q139/U139</f>
        <v>2.55867768595041</v>
      </c>
      <c r="Y139" s="0" t="n">
        <v>4</v>
      </c>
      <c r="Z139" s="3" t="n">
        <f aca="false">Q139/Y139</f>
        <v>1.29</v>
      </c>
      <c r="AA139" s="3" t="n">
        <f aca="false">23+28/60</f>
        <v>23.4666666666667</v>
      </c>
      <c r="AB139" s="2" t="n">
        <v>121</v>
      </c>
      <c r="AC139" s="2" t="n">
        <v>611</v>
      </c>
      <c r="AD139" s="2" t="n">
        <v>88</v>
      </c>
      <c r="AE139" s="2" t="n">
        <v>133</v>
      </c>
      <c r="AF139" s="3" t="n">
        <f aca="false">21+5/60</f>
        <v>21.0833333333333</v>
      </c>
      <c r="AG139" s="3" t="n">
        <f aca="false">25+37/60</f>
        <v>25.6166666666667</v>
      </c>
      <c r="AH139" s="3" t="n">
        <f aca="false">22+29/60</f>
        <v>22.4833333333333</v>
      </c>
      <c r="AI139" s="3" t="n">
        <f aca="false">23+14/60</f>
        <v>23.2333333333333</v>
      </c>
      <c r="AJ139" s="3" t="n">
        <f aca="false">24+49/60</f>
        <v>24.8166666666667</v>
      </c>
      <c r="AK139" s="3" t="n">
        <f aca="false">60/2.5</f>
        <v>24</v>
      </c>
      <c r="AP139" s="0" t="n">
        <v>1</v>
      </c>
      <c r="AQ139" s="0" t="n">
        <v>3</v>
      </c>
      <c r="AR139" s="0" t="n">
        <v>0</v>
      </c>
      <c r="AS139" s="4" t="n">
        <f aca="false">60*U139-SUM(AT139:AX139)</f>
        <v>6.95</v>
      </c>
      <c r="AT139" s="3" t="n">
        <f aca="false">68+50/60</f>
        <v>68.8333333333333</v>
      </c>
      <c r="AU139" s="3" t="n">
        <f aca="false">29+24/60</f>
        <v>29.4</v>
      </c>
      <c r="AV139" s="3" t="n">
        <f aca="false">11</f>
        <v>11</v>
      </c>
      <c r="AW139" s="3" t="n">
        <f aca="false">4+49/60</f>
        <v>4.81666666666667</v>
      </c>
      <c r="AX139" s="3" t="n">
        <v>0</v>
      </c>
      <c r="AY139" s="0" t="s">
        <v>57</v>
      </c>
      <c r="AZ139" s="0" t="s">
        <v>58</v>
      </c>
      <c r="BA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78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101</v>
      </c>
      <c r="K140" s="2" t="n">
        <v>0</v>
      </c>
      <c r="L140" s="2" t="n">
        <v>0</v>
      </c>
      <c r="M140" s="0" t="s">
        <v>88</v>
      </c>
      <c r="O140" s="0" t="s">
        <v>105</v>
      </c>
      <c r="P140" s="0" t="s">
        <v>106</v>
      </c>
      <c r="Q140" s="3" t="n">
        <v>5.16</v>
      </c>
      <c r="R140" s="2" t="n">
        <v>904</v>
      </c>
      <c r="S140" s="2" t="n">
        <v>16075</v>
      </c>
      <c r="T140" s="2" t="n">
        <f aca="false">S140-R140</f>
        <v>15171</v>
      </c>
      <c r="U140" s="3" t="n">
        <f aca="false">(120+1)/60</f>
        <v>2.01666666666667</v>
      </c>
      <c r="V140" s="3" t="n">
        <f aca="false">(120+2)/60</f>
        <v>2.03333333333333</v>
      </c>
      <c r="W140" s="3" t="n">
        <f aca="false">V140-U140</f>
        <v>0.0166666666666666</v>
      </c>
      <c r="X140" s="3" t="n">
        <f aca="false">Q140/U140</f>
        <v>2.55867768595041</v>
      </c>
      <c r="Y140" s="0" t="n">
        <v>4</v>
      </c>
      <c r="Z140" s="3" t="n">
        <f aca="false">Q140/Y140</f>
        <v>1.29</v>
      </c>
      <c r="AA140" s="3" t="n">
        <f aca="false">23+28/60</f>
        <v>23.4666666666667</v>
      </c>
      <c r="AB140" s="2" t="n">
        <v>121</v>
      </c>
      <c r="AC140" s="2" t="n">
        <v>611</v>
      </c>
      <c r="AD140" s="2" t="n">
        <v>88</v>
      </c>
      <c r="AE140" s="0" t="n">
        <v>133</v>
      </c>
      <c r="AF140" s="3" t="n">
        <f aca="false">21+5/60</f>
        <v>21.0833333333333</v>
      </c>
      <c r="AG140" s="3" t="n">
        <f aca="false">25+37/60</f>
        <v>25.6166666666667</v>
      </c>
      <c r="AH140" s="3" t="n">
        <f aca="false">22+29/60</f>
        <v>22.4833333333333</v>
      </c>
      <c r="AI140" s="3" t="n">
        <f aca="false">23+14/60</f>
        <v>23.2333333333333</v>
      </c>
      <c r="AJ140" s="3" t="n">
        <f aca="false">24+49/60</f>
        <v>24.8166666666667</v>
      </c>
      <c r="AK140" s="3" t="n">
        <f aca="false">60/2.5</f>
        <v>24</v>
      </c>
      <c r="AP140" s="0" t="n">
        <v>1</v>
      </c>
      <c r="AQ140" s="0" t="n">
        <v>3</v>
      </c>
      <c r="AR140" s="0" t="n">
        <v>1</v>
      </c>
      <c r="AS140" s="4" t="n">
        <f aca="false">60*U140-SUM(AT140:AX140)</f>
        <v>6.95</v>
      </c>
      <c r="AT140" s="3" t="n">
        <f aca="false">68+50/60</f>
        <v>68.8333333333333</v>
      </c>
      <c r="AU140" s="3" t="n">
        <f aca="false">29+24/60</f>
        <v>29.4</v>
      </c>
      <c r="AV140" s="3" t="n">
        <f aca="false">11</f>
        <v>11</v>
      </c>
      <c r="AW140" s="3" t="n">
        <f aca="false">4+49/60</f>
        <v>4.81666666666667</v>
      </c>
      <c r="AX140" s="3" t="n">
        <v>0</v>
      </c>
      <c r="AY140" s="0" t="s">
        <v>57</v>
      </c>
      <c r="AZ140" s="0" t="s">
        <v>58</v>
      </c>
      <c r="BA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109</v>
      </c>
      <c r="F141" s="0" t="s">
        <v>54</v>
      </c>
      <c r="G141" s="2" t="n">
        <v>79</v>
      </c>
      <c r="H141" s="2" t="n">
        <v>75</v>
      </c>
      <c r="I141" s="2" t="n">
        <v>88</v>
      </c>
      <c r="J141" s="2" t="s">
        <v>101</v>
      </c>
      <c r="K141" s="2" t="n">
        <v>10</v>
      </c>
      <c r="L141" s="2" t="n">
        <v>0</v>
      </c>
      <c r="M141" s="0" t="s">
        <v>88</v>
      </c>
      <c r="P141" s="0" t="s">
        <v>95</v>
      </c>
      <c r="AY141" s="0" t="s">
        <v>57</v>
      </c>
      <c r="AZ141" s="0" t="s">
        <v>58</v>
      </c>
      <c r="BA141" s="0" t="n">
        <v>1</v>
      </c>
      <c r="BB141" s="0" t="s">
        <v>80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78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100</v>
      </c>
      <c r="K142" s="2" t="n">
        <v>15</v>
      </c>
      <c r="L142" s="2" t="n">
        <v>0</v>
      </c>
      <c r="M142" s="0" t="s">
        <v>88</v>
      </c>
      <c r="O142" s="0" t="s">
        <v>105</v>
      </c>
      <c r="P142" s="0" t="s">
        <v>106</v>
      </c>
      <c r="Q142" s="3" t="n">
        <v>4.88</v>
      </c>
      <c r="R142" s="2" t="n">
        <v>3071</v>
      </c>
      <c r="S142" s="2" t="n">
        <v>18579</v>
      </c>
      <c r="T142" s="2" t="n">
        <f aca="false">S142-R142</f>
        <v>15508</v>
      </c>
      <c r="U142" s="3" t="n">
        <f aca="false">(60+59)/60</f>
        <v>1.98333333333333</v>
      </c>
      <c r="V142" s="3" t="n">
        <v>2</v>
      </c>
      <c r="W142" s="3" t="n">
        <f aca="false">V142-U142</f>
        <v>0.0166666666666666</v>
      </c>
      <c r="X142" s="3" t="n">
        <f aca="false">Q142/U142</f>
        <v>2.46050420168067</v>
      </c>
      <c r="Y142" s="0" t="n">
        <v>4</v>
      </c>
      <c r="Z142" s="3" t="n">
        <f aca="false">Q142/Y142</f>
        <v>1.22</v>
      </c>
      <c r="AA142" s="3" t="n">
        <f aca="false">24+27/60</f>
        <v>24.45</v>
      </c>
      <c r="AB142" s="2" t="n">
        <v>69</v>
      </c>
      <c r="AC142" s="2" t="n">
        <v>557</v>
      </c>
      <c r="AD142" s="2" t="n">
        <v>82</v>
      </c>
      <c r="AE142" s="2" t="n">
        <v>121</v>
      </c>
      <c r="AF142" s="3" t="n">
        <f aca="false">24+13/60</f>
        <v>24.2166666666667</v>
      </c>
      <c r="AG142" s="3" t="n">
        <f aca="false">23+45/60</f>
        <v>23.75</v>
      </c>
      <c r="AH142" s="3" t="n">
        <f aca="false">24+34/60</f>
        <v>24.5666666666667</v>
      </c>
      <c r="AI142" s="3" t="n">
        <f aca="false">25+41/60</f>
        <v>25.6833333333333</v>
      </c>
      <c r="AJ142" s="3" t="n">
        <f aca="false">60/2.3</f>
        <v>26.0869565217391</v>
      </c>
      <c r="AP142" s="0" t="n">
        <v>0</v>
      </c>
      <c r="AQ142" s="0" t="n">
        <v>0</v>
      </c>
      <c r="AR142" s="0" t="n">
        <v>0</v>
      </c>
      <c r="AS142" s="4" t="n">
        <f aca="false">60*U142-SUM(AT142:AX142)</f>
        <v>30.3333333333333</v>
      </c>
      <c r="AT142" s="3" t="n">
        <f aca="false">60+41/60</f>
        <v>60.6833333333333</v>
      </c>
      <c r="AU142" s="3" t="n">
        <f aca="false">22+43/60</f>
        <v>22.7166666666667</v>
      </c>
      <c r="AV142" s="3" t="n">
        <f aca="false">5</f>
        <v>5</v>
      </c>
      <c r="AW142" s="3" t="n">
        <v>0.266666666666667</v>
      </c>
      <c r="AX142" s="3" t="n">
        <v>0</v>
      </c>
      <c r="AY142" s="0" t="s">
        <v>57</v>
      </c>
      <c r="AZ142" s="0" t="s">
        <v>58</v>
      </c>
      <c r="BA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59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98</v>
      </c>
      <c r="K143" s="2" t="n">
        <f aca="false">AVERAGE(14,13,9)</f>
        <v>12</v>
      </c>
      <c r="L143" s="2" t="n">
        <v>24</v>
      </c>
      <c r="M143" s="0" t="s">
        <v>88</v>
      </c>
      <c r="O143" s="0" t="s">
        <v>55</v>
      </c>
      <c r="P143" s="0" t="s">
        <v>106</v>
      </c>
      <c r="Q143" s="3" t="n">
        <v>4.99</v>
      </c>
      <c r="R143" s="2" t="n">
        <v>1331</v>
      </c>
      <c r="S143" s="2" t="n">
        <v>17122</v>
      </c>
      <c r="T143" s="2" t="n">
        <f aca="false">S143-R143</f>
        <v>15791</v>
      </c>
      <c r="U143" s="3" t="n">
        <v>2</v>
      </c>
      <c r="V143" s="3" t="n">
        <f aca="false">122/60</f>
        <v>2.03333333333333</v>
      </c>
      <c r="W143" s="3" t="n">
        <f aca="false">V143-U143</f>
        <v>0.0333333333333332</v>
      </c>
      <c r="X143" s="3" t="n">
        <f aca="false">Q143/U143</f>
        <v>2.495</v>
      </c>
      <c r="Y143" s="0" t="n">
        <v>4</v>
      </c>
      <c r="Z143" s="3" t="n">
        <f aca="false">Q143/Y143</f>
        <v>1.2475</v>
      </c>
      <c r="AA143" s="3" t="n">
        <f aca="false">24+1/60</f>
        <v>24.0166666666667</v>
      </c>
      <c r="AB143" s="2" t="n">
        <v>33</v>
      </c>
      <c r="AC143" s="2" t="n">
        <v>612</v>
      </c>
      <c r="AD143" s="2" t="n">
        <v>90</v>
      </c>
      <c r="AE143" s="2" t="n">
        <v>136</v>
      </c>
      <c r="AF143" s="3" t="n">
        <f aca="false">24+20/60</f>
        <v>24.3333333333333</v>
      </c>
      <c r="AG143" s="3" t="n">
        <f aca="false">21+53/60</f>
        <v>21.8833333333333</v>
      </c>
      <c r="AH143" s="3" t="n">
        <f aca="false">22+59/60</f>
        <v>22.9833333333333</v>
      </c>
      <c r="AI143" s="3" t="n">
        <f aca="false">24+6/60</f>
        <v>24.1</v>
      </c>
      <c r="AJ143" s="3" t="n">
        <f aca="false">60/2.2</f>
        <v>27.2727272727273</v>
      </c>
      <c r="AP143" s="0" t="n">
        <v>1</v>
      </c>
      <c r="AQ143" s="0" t="n">
        <v>0</v>
      </c>
      <c r="AR143" s="0" t="n">
        <v>0</v>
      </c>
      <c r="AS143" s="4" t="n">
        <f aca="false">60*U143-SUM(AT143:AX143)</f>
        <v>5.06666666666666</v>
      </c>
      <c r="AT143" s="3" t="n">
        <f aca="false">60+47/60</f>
        <v>60.7833333333333</v>
      </c>
      <c r="AU143" s="3" t="n">
        <f aca="false">37+38/60</f>
        <v>37.6333333333333</v>
      </c>
      <c r="AV143" s="3" t="n">
        <f aca="false">11+6/60</f>
        <v>11.1</v>
      </c>
      <c r="AW143" s="3" t="n">
        <f aca="false">5+11/60</f>
        <v>5.18333333333333</v>
      </c>
      <c r="AX143" s="3" t="n">
        <f aca="false">14/60</f>
        <v>0.233333333333333</v>
      </c>
      <c r="AY143" s="0" t="s">
        <v>57</v>
      </c>
      <c r="AZ143" s="0" t="s">
        <v>58</v>
      </c>
      <c r="BA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79</v>
      </c>
      <c r="G144" s="2" t="n">
        <v>91</v>
      </c>
      <c r="H144" s="2" t="n">
        <v>76</v>
      </c>
      <c r="I144" s="2" t="n">
        <f aca="false">(65+59)/2</f>
        <v>62</v>
      </c>
      <c r="J144" s="9" t="s">
        <v>110</v>
      </c>
      <c r="K144" s="2" t="n">
        <v>8</v>
      </c>
      <c r="L144" s="2" t="n">
        <v>0</v>
      </c>
      <c r="M144" s="0" t="s">
        <v>88</v>
      </c>
      <c r="O144" s="0" t="s">
        <v>105</v>
      </c>
      <c r="P144" s="0" t="s">
        <v>95</v>
      </c>
      <c r="Q144" s="3" t="n">
        <v>3.4</v>
      </c>
      <c r="U144" s="3" t="n">
        <f aca="false">91/60</f>
        <v>1.51666666666667</v>
      </c>
      <c r="V144" s="3" t="n">
        <f aca="false">91/60</f>
        <v>1.51666666666667</v>
      </c>
      <c r="W144" s="3" t="n">
        <f aca="false">V144-U144</f>
        <v>0</v>
      </c>
      <c r="X144" s="3" t="n">
        <f aca="false">Q144/U144</f>
        <v>2.24175824175824</v>
      </c>
      <c r="Y144" s="0" t="n">
        <v>3</v>
      </c>
      <c r="Z144" s="3" t="n">
        <f aca="false">Q144/Y144</f>
        <v>1.13333333333333</v>
      </c>
      <c r="AA144" s="3" t="n">
        <f aca="false">26+43/60</f>
        <v>26.7166666666667</v>
      </c>
      <c r="AB144" s="2" t="n">
        <f aca="false">Y144*23*9/12</f>
        <v>51.75</v>
      </c>
      <c r="AC144" s="2" t="n">
        <v>434</v>
      </c>
      <c r="AD144" s="2" t="n">
        <v>93</v>
      </c>
      <c r="AE144" s="0" t="n">
        <v>121</v>
      </c>
      <c r="AF144" s="3" t="n">
        <f aca="false">25+3/60</f>
        <v>25.05</v>
      </c>
      <c r="AG144" s="3" t="n">
        <f aca="false">25+49/60</f>
        <v>25.8166666666667</v>
      </c>
      <c r="AH144" s="3" t="n">
        <f aca="false">28+23/60</f>
        <v>28.3833333333333</v>
      </c>
      <c r="AI144" s="3" t="n">
        <f aca="false">60/2.3</f>
        <v>26.0869565217391</v>
      </c>
      <c r="AP144" s="0" t="n">
        <v>0</v>
      </c>
      <c r="AQ144" s="0" t="n">
        <v>0</v>
      </c>
      <c r="AR144" s="0" t="n">
        <v>0</v>
      </c>
      <c r="AS144" s="4" t="n">
        <f aca="false">60*U144-SUM(AT144:AX144)</f>
        <v>1.86666666666667</v>
      </c>
      <c r="AT144" s="3" t="n">
        <f aca="false">23+6/60</f>
        <v>23.1</v>
      </c>
      <c r="AU144" s="3" t="n">
        <f aca="false">57+40/60</f>
        <v>57.6666666666667</v>
      </c>
      <c r="AV144" s="3" t="n">
        <f aca="false">8+22/60</f>
        <v>8.36666666666667</v>
      </c>
      <c r="AW144" s="3" t="n">
        <v>0</v>
      </c>
      <c r="AX144" s="3" t="n">
        <v>0</v>
      </c>
      <c r="AY144" s="0" t="s">
        <v>57</v>
      </c>
      <c r="AZ144" s="0" t="s">
        <v>58</v>
      </c>
      <c r="BA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59</v>
      </c>
      <c r="G145" s="2" t="n">
        <v>94</v>
      </c>
      <c r="H145" s="2" t="n">
        <v>78</v>
      </c>
      <c r="I145" s="2" t="n">
        <f aca="false">(68+72)/2</f>
        <v>70</v>
      </c>
      <c r="J145" s="2" t="s">
        <v>111</v>
      </c>
      <c r="K145" s="2" t="n">
        <f aca="false">(7+13)/2</f>
        <v>10</v>
      </c>
      <c r="L145" s="2" t="n">
        <v>0</v>
      </c>
      <c r="M145" s="0" t="s">
        <v>88</v>
      </c>
      <c r="O145" s="0" t="s">
        <v>55</v>
      </c>
      <c r="P145" s="0" t="s">
        <v>106</v>
      </c>
      <c r="Q145" s="3" t="n">
        <v>5.06</v>
      </c>
      <c r="U145" s="3" t="n">
        <f aca="false">129/60</f>
        <v>2.15</v>
      </c>
      <c r="V145" s="3" t="n">
        <f aca="false">133/60</f>
        <v>2.21666666666667</v>
      </c>
      <c r="W145" s="3" t="n">
        <f aca="false">V145-U145</f>
        <v>0.0666666666666669</v>
      </c>
      <c r="X145" s="3" t="n">
        <f aca="false">Q145/U145</f>
        <v>2.35348837209302</v>
      </c>
      <c r="Y145" s="0" t="n">
        <v>4</v>
      </c>
      <c r="Z145" s="3" t="n">
        <f aca="false">Q145/Y145</f>
        <v>1.265</v>
      </c>
      <c r="AA145" s="3" t="n">
        <f aca="false">25+36/60</f>
        <v>25.6</v>
      </c>
      <c r="AB145" s="2" t="n">
        <f aca="false">Y145*23*9/12</f>
        <v>69</v>
      </c>
      <c r="AC145" s="2" t="n">
        <v>842</v>
      </c>
      <c r="AD145" s="2" t="n">
        <v>106</v>
      </c>
      <c r="AE145" s="0" t="n">
        <v>139</v>
      </c>
      <c r="AF145" s="3" t="n">
        <f aca="false">25+54/60</f>
        <v>25.9</v>
      </c>
      <c r="AG145" s="3" t="n">
        <f aca="false">23+49/60</f>
        <v>23.8166666666667</v>
      </c>
      <c r="AH145" s="3" t="n">
        <f aca="false">25+26/60</f>
        <v>25.4333333333333</v>
      </c>
      <c r="AI145" s="3" t="n">
        <f aca="false">26+58/60</f>
        <v>26.9666666666667</v>
      </c>
      <c r="AJ145" s="3" t="n">
        <f aca="false">25+51/60</f>
        <v>25.85</v>
      </c>
      <c r="AK145" s="3" t="n">
        <f aca="false">60/2.3</f>
        <v>26.0869565217391</v>
      </c>
      <c r="AP145" s="0" t="n">
        <v>1</v>
      </c>
      <c r="AQ145" s="0" t="n">
        <v>0</v>
      </c>
      <c r="AR145" s="0" t="n">
        <v>0</v>
      </c>
      <c r="AS145" s="4" t="n">
        <v>0</v>
      </c>
      <c r="AT145" s="3" t="n">
        <f aca="false">2+43/60</f>
        <v>2.71666666666667</v>
      </c>
      <c r="AU145" s="3" t="n">
        <f aca="false">58+40/60</f>
        <v>58.6666666666667</v>
      </c>
      <c r="AV145" s="3" t="n">
        <f aca="false">39+58/60</f>
        <v>39.9666666666667</v>
      </c>
      <c r="AW145" s="3" t="n">
        <f aca="false">27+33/70</f>
        <v>27.4714285714286</v>
      </c>
      <c r="AX145" s="3" t="n">
        <f aca="false">28/60</f>
        <v>0.466666666666667</v>
      </c>
      <c r="AY145" s="0" t="s">
        <v>57</v>
      </c>
      <c r="AZ145" s="0" t="s">
        <v>58</v>
      </c>
      <c r="BA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79</v>
      </c>
      <c r="G146" s="2" t="n">
        <v>96</v>
      </c>
      <c r="H146" s="2" t="n">
        <v>71</v>
      </c>
      <c r="I146" s="2" t="n">
        <v>42</v>
      </c>
      <c r="J146" s="2" t="s">
        <v>112</v>
      </c>
      <c r="K146" s="2" t="n">
        <v>13</v>
      </c>
      <c r="L146" s="2" t="n">
        <v>17</v>
      </c>
      <c r="M146" s="0" t="s">
        <v>88</v>
      </c>
      <c r="O146" s="0" t="s">
        <v>105</v>
      </c>
      <c r="P146" s="0" t="s">
        <v>95</v>
      </c>
      <c r="Q146" s="3" t="n">
        <v>4.06</v>
      </c>
      <c r="U146" s="3" t="n">
        <f aca="false">95/60</f>
        <v>1.58333333333333</v>
      </c>
      <c r="V146" s="3" t="n">
        <f aca="false">96/60</f>
        <v>1.6</v>
      </c>
      <c r="W146" s="3" t="n">
        <f aca="false">V146-U146</f>
        <v>0.0166666666666668</v>
      </c>
      <c r="X146" s="3" t="n">
        <f aca="false">Q146/U146</f>
        <v>2.56421052631579</v>
      </c>
      <c r="Y146" s="0" t="n">
        <v>3</v>
      </c>
      <c r="Z146" s="3" t="n">
        <f aca="false">Q146/3</f>
        <v>1.35333333333333</v>
      </c>
      <c r="AA146" s="3" t="n">
        <f aca="false">23+32/60</f>
        <v>23.5333333333333</v>
      </c>
      <c r="AB146" s="2" t="n">
        <f aca="false">Y146*23*9/12</f>
        <v>51.75</v>
      </c>
      <c r="AC146" s="2" t="n">
        <f aca="false">934</f>
        <v>934</v>
      </c>
      <c r="AD146" s="2" t="n">
        <v>121</v>
      </c>
      <c r="AE146" s="0" t="n">
        <v>145</v>
      </c>
      <c r="AF146" s="3" t="n">
        <f aca="false">21+51/60</f>
        <v>21.85</v>
      </c>
      <c r="AG146" s="3" t="n">
        <f aca="false">22+36/60</f>
        <v>22.6</v>
      </c>
      <c r="AH146" s="3" t="n">
        <f aca="false">24+13/60</f>
        <v>24.2166666666667</v>
      </c>
      <c r="AI146" s="3" t="n">
        <f aca="false">26+4/60</f>
        <v>26.0666666666667</v>
      </c>
      <c r="AJ146" s="3" t="n">
        <f aca="false">60/4.7</f>
        <v>12.7659574468085</v>
      </c>
      <c r="AP146" s="0" t="n">
        <v>0</v>
      </c>
      <c r="AQ146" s="0" t="n">
        <v>0</v>
      </c>
      <c r="AR146" s="0" t="n">
        <v>0</v>
      </c>
      <c r="AS146" s="4" t="n">
        <v>0</v>
      </c>
      <c r="AT146" s="3" t="n">
        <v>0</v>
      </c>
      <c r="AU146" s="3" t="n">
        <f aca="false">5+42/60</f>
        <v>5.7</v>
      </c>
      <c r="AV146" s="3" t="n">
        <f aca="false">12+38/60</f>
        <v>12.6333333333333</v>
      </c>
      <c r="AW146" s="3" t="n">
        <f aca="false">76+36/60</f>
        <v>76.6</v>
      </c>
      <c r="AX146" s="3" t="n">
        <f aca="false">33/60</f>
        <v>0.55</v>
      </c>
      <c r="AY146" s="0" t="s">
        <v>57</v>
      </c>
      <c r="AZ146" s="0" t="s">
        <v>58</v>
      </c>
      <c r="BA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79</v>
      </c>
      <c r="G147" s="2" t="n">
        <f aca="false">(96+99)/2</f>
        <v>97.5</v>
      </c>
      <c r="H147" s="2" t="n">
        <v>73</v>
      </c>
      <c r="I147" s="2" t="n">
        <v>42</v>
      </c>
      <c r="J147" s="2" t="s">
        <v>98</v>
      </c>
      <c r="K147" s="2" t="n">
        <v>15</v>
      </c>
      <c r="L147" s="2" t="n">
        <v>25</v>
      </c>
      <c r="M147" s="0" t="s">
        <v>88</v>
      </c>
      <c r="O147" s="0" t="s">
        <v>55</v>
      </c>
      <c r="P147" s="0" t="s">
        <v>106</v>
      </c>
      <c r="Q147" s="3" t="n">
        <v>5.44</v>
      </c>
      <c r="U147" s="3" t="n">
        <f aca="false">131/60</f>
        <v>2.18333333333333</v>
      </c>
      <c r="V147" s="3" t="n">
        <f aca="false">135/60</f>
        <v>2.25</v>
      </c>
      <c r="W147" s="3" t="n">
        <f aca="false">V147-U147</f>
        <v>0.0666666666666669</v>
      </c>
      <c r="X147" s="3" t="n">
        <f aca="false">Q147/U147</f>
        <v>2.49160305343511</v>
      </c>
      <c r="Y147" s="0" t="n">
        <v>4</v>
      </c>
      <c r="Z147" s="3" t="n">
        <f aca="false">Q147/Y147</f>
        <v>1.36</v>
      </c>
      <c r="AA147" s="3" t="n">
        <f aca="false">24+14/60</f>
        <v>24.2333333333333</v>
      </c>
      <c r="AB147" s="2" t="n">
        <f aca="false">Y147*23*9/12</f>
        <v>69</v>
      </c>
      <c r="AC147" s="2" t="n">
        <v>981</v>
      </c>
      <c r="AD147" s="2" t="n">
        <v>108</v>
      </c>
      <c r="AE147" s="0" t="n">
        <v>135</v>
      </c>
      <c r="AF147" s="3" t="n">
        <f aca="false">22+42/60</f>
        <v>22.7</v>
      </c>
      <c r="AG147" s="3" t="n">
        <f aca="false">23+22/60</f>
        <v>23.3666666666667</v>
      </c>
      <c r="AH147" s="3" t="n">
        <f aca="false">24+31/60</f>
        <v>24.5166666666667</v>
      </c>
      <c r="AI147" s="3" t="n">
        <f aca="false">25+36/60</f>
        <v>25.6</v>
      </c>
      <c r="AJ147" s="3" t="n">
        <f aca="false">25+51/60</f>
        <v>25.85</v>
      </c>
      <c r="AK147" s="3" t="n">
        <f aca="false">70/2.7</f>
        <v>25.9259259259259</v>
      </c>
      <c r="AP147" s="0" t="n">
        <v>1</v>
      </c>
      <c r="AQ147" s="0" t="n">
        <v>0</v>
      </c>
      <c r="AR147" s="0" t="n">
        <v>0</v>
      </c>
      <c r="AS147" s="4" t="n">
        <v>0</v>
      </c>
      <c r="AT147" s="3" t="n">
        <f aca="false">18+8/60</f>
        <v>18.1333333333333</v>
      </c>
      <c r="AU147" s="3" t="n">
        <f aca="false">25+21/60</f>
        <v>25.35</v>
      </c>
      <c r="AV147" s="3" t="n">
        <f aca="false">50+58/60</f>
        <v>50.9666666666667</v>
      </c>
      <c r="AW147" s="3" t="n">
        <f aca="false">36+49/60</f>
        <v>36.8166666666667</v>
      </c>
      <c r="AX147" s="3" t="n">
        <f aca="false">7/60</f>
        <v>0.116666666666667</v>
      </c>
      <c r="AY147" s="0" t="s">
        <v>57</v>
      </c>
      <c r="AZ147" s="0" t="s">
        <v>58</v>
      </c>
      <c r="BA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79</v>
      </c>
      <c r="G148" s="2" t="n">
        <v>94</v>
      </c>
      <c r="H148" s="2" t="n">
        <v>72</v>
      </c>
      <c r="I148" s="2" t="n">
        <v>50</v>
      </c>
      <c r="J148" s="2" t="s">
        <v>98</v>
      </c>
      <c r="K148" s="2" t="n">
        <v>16</v>
      </c>
      <c r="L148" s="2" t="n">
        <v>0</v>
      </c>
      <c r="M148" s="0" t="s">
        <v>88</v>
      </c>
      <c r="O148" s="0" t="s">
        <v>105</v>
      </c>
      <c r="P148" s="0" t="s">
        <v>106</v>
      </c>
      <c r="Q148" s="3" t="n">
        <v>6.6</v>
      </c>
      <c r="U148" s="3" t="n">
        <f aca="false">134/60</f>
        <v>2.23333333333333</v>
      </c>
      <c r="V148" s="3" t="n">
        <f aca="false">137/60</f>
        <v>2.28333333333333</v>
      </c>
      <c r="W148" s="3" t="n">
        <f aca="false">V148-U148</f>
        <v>0.0499999999999998</v>
      </c>
      <c r="X148" s="3" t="n">
        <f aca="false">Q148/U148</f>
        <v>2.95522388059701</v>
      </c>
      <c r="Y148" s="0" t="n">
        <v>4</v>
      </c>
      <c r="Z148" s="3" t="n">
        <f aca="false">Q148/Y148</f>
        <v>1.65</v>
      </c>
      <c r="AA148" s="3" t="n">
        <f aca="false">20+15/60</f>
        <v>20.25</v>
      </c>
      <c r="AB148" s="2" t="n">
        <f aca="false">Y148*23*9/12</f>
        <v>69</v>
      </c>
      <c r="AC148" s="2" t="n">
        <v>658</v>
      </c>
      <c r="AD148" s="2" t="n">
        <v>93</v>
      </c>
      <c r="AE148" s="0" t="n">
        <v>147</v>
      </c>
      <c r="AF148" s="3" t="n">
        <f aca="false">23+20/60</f>
        <v>23.3333333333333</v>
      </c>
      <c r="AG148" s="3" t="n">
        <f aca="false">23+43/60</f>
        <v>23.7166666666667</v>
      </c>
      <c r="AH148" s="3" t="n">
        <f aca="false">21+30/60</f>
        <v>21.5</v>
      </c>
      <c r="AI148" s="3" t="n">
        <f aca="false">18+39/60</f>
        <v>18.65</v>
      </c>
      <c r="AJ148" s="3" t="n">
        <f aca="false">18+4/60</f>
        <v>18.0666666666667</v>
      </c>
      <c r="AK148" s="3" t="n">
        <f aca="false">17+42/60</f>
        <v>17.7</v>
      </c>
      <c r="AL148" s="3" t="n">
        <f aca="false">60/3.4</f>
        <v>17.6470588235294</v>
      </c>
      <c r="AP148" s="0" t="n">
        <v>1</v>
      </c>
      <c r="AQ148" s="0" t="n">
        <v>0</v>
      </c>
      <c r="AR148" s="0" t="n">
        <v>0</v>
      </c>
      <c r="AS148" s="4" t="n">
        <f aca="false">60*U148-SUM(AT148:AX148)</f>
        <v>4.38333333333333</v>
      </c>
      <c r="AT148" s="3" t="n">
        <f aca="false">47+44/60</f>
        <v>47.7333333333333</v>
      </c>
      <c r="AU148" s="3" t="n">
        <f aca="false">58+55/60</f>
        <v>58.9166666666667</v>
      </c>
      <c r="AV148" s="3" t="n">
        <f aca="false">20+58/60</f>
        <v>20.9666666666667</v>
      </c>
      <c r="AW148" s="3" t="n">
        <f aca="false">1+46/60</f>
        <v>1.76666666666667</v>
      </c>
      <c r="AX148" s="3" t="n">
        <f aca="false">14/60</f>
        <v>0.233333333333333</v>
      </c>
      <c r="AY148" s="0" t="s">
        <v>57</v>
      </c>
      <c r="AZ148" s="0" t="s">
        <v>58</v>
      </c>
      <c r="BA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78</v>
      </c>
      <c r="G149" s="2" t="n">
        <v>92</v>
      </c>
      <c r="H149" s="2" t="n">
        <v>71</v>
      </c>
      <c r="I149" s="2" t="n">
        <v>52</v>
      </c>
      <c r="J149" s="2" t="s">
        <v>98</v>
      </c>
      <c r="K149" s="2" t="n">
        <v>16</v>
      </c>
      <c r="L149" s="2" t="n">
        <v>0</v>
      </c>
      <c r="M149" s="0" t="s">
        <v>88</v>
      </c>
      <c r="O149" s="0" t="s">
        <v>55</v>
      </c>
      <c r="P149" s="0" t="s">
        <v>106</v>
      </c>
      <c r="Q149" s="3" t="n">
        <v>5.37</v>
      </c>
      <c r="U149" s="3" t="n">
        <f aca="false">138/60</f>
        <v>2.3</v>
      </c>
      <c r="V149" s="3" t="n">
        <f aca="false">145/60</f>
        <v>2.41666666666667</v>
      </c>
      <c r="W149" s="3" t="n">
        <f aca="false">V149-U149</f>
        <v>0.116666666666667</v>
      </c>
      <c r="X149" s="3" t="n">
        <f aca="false">Q149/U149</f>
        <v>2.33478260869565</v>
      </c>
      <c r="Y149" s="0" t="n">
        <v>4</v>
      </c>
      <c r="Z149" s="3" t="n">
        <f aca="false">Q149/Y149</f>
        <v>1.3425</v>
      </c>
      <c r="AA149" s="3" t="n">
        <f aca="false">25+42/60</f>
        <v>25.7</v>
      </c>
      <c r="AB149" s="2" t="n">
        <f aca="false">Y149*23*9/12</f>
        <v>69</v>
      </c>
      <c r="AC149" s="2" t="n">
        <v>709</v>
      </c>
      <c r="AD149" s="2" t="n">
        <v>93</v>
      </c>
      <c r="AE149" s="0" t="n">
        <v>121</v>
      </c>
      <c r="AF149" s="3" t="n">
        <f aca="false">24+29/60</f>
        <v>24.4833333333333</v>
      </c>
      <c r="AG149" s="3" t="n">
        <f aca="false">27+24/60</f>
        <v>27.4</v>
      </c>
      <c r="AH149" s="3" t="n">
        <f aca="false">24+44/60</f>
        <v>24.7333333333333</v>
      </c>
      <c r="AI149" s="3" t="n">
        <f aca="false">25+43/60</f>
        <v>25.7166666666667</v>
      </c>
      <c r="AJ149" s="3" t="n">
        <f aca="false">26+32/60</f>
        <v>26.5333333333333</v>
      </c>
      <c r="AK149" s="3" t="n">
        <f aca="false">60/2.3</f>
        <v>26.0869565217391</v>
      </c>
      <c r="AP149" s="0" t="n">
        <v>1</v>
      </c>
      <c r="AQ149" s="0" t="n">
        <v>0</v>
      </c>
      <c r="AR149" s="0" t="n">
        <v>0</v>
      </c>
      <c r="AS149" s="4" t="n">
        <f aca="false">60*U149-SUM(AT149:AX149)</f>
        <v>25.7</v>
      </c>
      <c r="AT149" s="3" t="n">
        <f aca="false">25+30/60</f>
        <v>25.5</v>
      </c>
      <c r="AU149" s="3" t="n">
        <f aca="false">44+51/60</f>
        <v>44.85</v>
      </c>
      <c r="AV149" s="3" t="n">
        <f aca="false">41+15/60</f>
        <v>41.25</v>
      </c>
      <c r="AW149" s="3" t="n">
        <f aca="false">42/60</f>
        <v>0.7</v>
      </c>
      <c r="AX149" s="3" t="n">
        <v>0</v>
      </c>
      <c r="AY149" s="0" t="s">
        <v>57</v>
      </c>
      <c r="AZ149" s="0" t="s">
        <v>58</v>
      </c>
      <c r="BA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59</v>
      </c>
      <c r="G150" s="2" t="n">
        <v>94</v>
      </c>
      <c r="H150" s="2" t="n">
        <v>73</v>
      </c>
      <c r="I150" s="2" t="n">
        <f aca="false">(52+49)/2</f>
        <v>50.5</v>
      </c>
      <c r="J150" s="2" t="s">
        <v>98</v>
      </c>
      <c r="K150" s="2" t="n">
        <f aca="false">AVERAGE(9+6)/2</f>
        <v>7.5</v>
      </c>
      <c r="L150" s="2" t="n">
        <v>27</v>
      </c>
      <c r="M150" s="0" t="s">
        <v>88</v>
      </c>
      <c r="O150" s="0" t="s">
        <v>105</v>
      </c>
      <c r="P150" s="0" t="s">
        <v>106</v>
      </c>
      <c r="Q150" s="3" t="n">
        <v>4.92</v>
      </c>
      <c r="U150" s="3" t="n">
        <f aca="false">127/60</f>
        <v>2.11666666666667</v>
      </c>
      <c r="V150" s="3" t="n">
        <f aca="false">132/60</f>
        <v>2.2</v>
      </c>
      <c r="W150" s="3" t="n">
        <f aca="false">V150-U150</f>
        <v>0.0833333333333335</v>
      </c>
      <c r="X150" s="3" t="n">
        <f aca="false">Q150/U150</f>
        <v>2.3244094488189</v>
      </c>
      <c r="Y150" s="0" t="n">
        <v>4</v>
      </c>
      <c r="Z150" s="3" t="n">
        <f aca="false">Q150/Y150</f>
        <v>1.23</v>
      </c>
      <c r="AA150" s="3" t="n">
        <f aca="false">25+55/60</f>
        <v>25.9166666666667</v>
      </c>
      <c r="AB150" s="2" t="n">
        <f aca="false">Y150*23*9/12</f>
        <v>69</v>
      </c>
      <c r="AC150" s="2" t="n">
        <v>743</v>
      </c>
      <c r="AD150" s="2" t="n">
        <v>99</v>
      </c>
      <c r="AE150" s="0" t="n">
        <v>151</v>
      </c>
      <c r="AF150" s="3" t="n">
        <f aca="false">23+58/60</f>
        <v>23.9666666666667</v>
      </c>
      <c r="AG150" s="3" t="n">
        <f aca="false">26+48/60</f>
        <v>26.8</v>
      </c>
      <c r="AH150" s="3" t="n">
        <f aca="false">27+16/60</f>
        <v>27.2666666666667</v>
      </c>
      <c r="AI150" s="3" t="n">
        <f aca="false">25+37/60</f>
        <v>25.6166666666667</v>
      </c>
      <c r="AJ150" s="3" t="n">
        <f aca="false">60/2.3</f>
        <v>26.0869565217391</v>
      </c>
      <c r="AP150" s="0" t="n">
        <v>1</v>
      </c>
      <c r="AQ150" s="0" t="n">
        <v>0</v>
      </c>
      <c r="AR150" s="0" t="n">
        <v>0</v>
      </c>
      <c r="AS150" s="4" t="n">
        <f aca="false">60*U150-SUM(AT150:AX150)</f>
        <v>20.3333333333333</v>
      </c>
      <c r="AT150" s="3" t="n">
        <f aca="false">17+55/60</f>
        <v>17.9166666666667</v>
      </c>
      <c r="AU150" s="3" t="n">
        <f aca="false">30+46/60</f>
        <v>30.7666666666667</v>
      </c>
      <c r="AV150" s="3" t="n">
        <f aca="false">37+47/60</f>
        <v>37.7833333333333</v>
      </c>
      <c r="AW150" s="3" t="n">
        <f aca="false">18+33/60</f>
        <v>18.55</v>
      </c>
      <c r="AX150" s="3" t="n">
        <f aca="false">1+39/60</f>
        <v>1.65</v>
      </c>
      <c r="AY150" s="0" t="s">
        <v>57</v>
      </c>
      <c r="AZ150" s="0" t="s">
        <v>58</v>
      </c>
      <c r="BA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79</v>
      </c>
      <c r="G151" s="2" t="n">
        <v>95</v>
      </c>
      <c r="H151" s="2" t="n">
        <v>74</v>
      </c>
      <c r="I151" s="2" t="n">
        <f aca="false">(52+49)/2</f>
        <v>50.5</v>
      </c>
      <c r="J151" s="2" t="s">
        <v>104</v>
      </c>
      <c r="K151" s="2" t="n">
        <v>8</v>
      </c>
      <c r="L151" s="2" t="n">
        <v>0</v>
      </c>
      <c r="M151" s="0" t="s">
        <v>88</v>
      </c>
      <c r="O151" s="0" t="s">
        <v>55</v>
      </c>
      <c r="P151" s="0" t="s">
        <v>106</v>
      </c>
      <c r="Q151" s="3" t="n">
        <v>5.18</v>
      </c>
      <c r="U151" s="3" t="n">
        <f aca="false">140/60</f>
        <v>2.33333333333333</v>
      </c>
      <c r="V151" s="3" t="n">
        <f aca="false">148/60</f>
        <v>2.46666666666667</v>
      </c>
      <c r="W151" s="3" t="n">
        <f aca="false">V151-U151</f>
        <v>0.133333333333333</v>
      </c>
      <c r="X151" s="3" t="n">
        <f aca="false">Q151/U151</f>
        <v>2.22</v>
      </c>
      <c r="Y151" s="0" t="n">
        <v>4</v>
      </c>
      <c r="Z151" s="3" t="n">
        <f aca="false">Q151/Y151</f>
        <v>1.295</v>
      </c>
      <c r="AA151" s="3" t="n">
        <f aca="false">27+6/60</f>
        <v>27.1</v>
      </c>
      <c r="AB151" s="2" t="n">
        <f aca="false">Y151*23*9/12</f>
        <v>69</v>
      </c>
      <c r="AC151" s="2" t="n">
        <v>666</v>
      </c>
      <c r="AD151" s="2" t="n">
        <v>93</v>
      </c>
      <c r="AE151" s="0" t="n">
        <v>121</v>
      </c>
      <c r="AF151" s="3" t="n">
        <f aca="false">23+37/60</f>
        <v>23.6166666666667</v>
      </c>
      <c r="AG151" s="3" t="n">
        <f aca="false">26+32/60</f>
        <v>26.5333333333333</v>
      </c>
      <c r="AH151" s="3" t="n">
        <f aca="false">28+20/60</f>
        <v>28.3333333333333</v>
      </c>
      <c r="AI151" s="3" t="n">
        <f aca="false">30+5/60</f>
        <v>30.0833333333333</v>
      </c>
      <c r="AJ151" s="3" t="n">
        <f aca="false">26+53/60</f>
        <v>26.8833333333333</v>
      </c>
      <c r="AK151" s="3" t="n">
        <f aca="false">60/2.2</f>
        <v>27.2727272727273</v>
      </c>
      <c r="AP151" s="0" t="n">
        <v>1</v>
      </c>
      <c r="AQ151" s="0" t="n">
        <v>0</v>
      </c>
      <c r="AR151" s="0" t="n">
        <v>0</v>
      </c>
      <c r="AS151" s="4" t="n">
        <f aca="false">60*U151-SUM(AT151:AX151)</f>
        <v>20.5</v>
      </c>
      <c r="AT151" s="3" t="n">
        <f aca="false">29+5/60</f>
        <v>29.0833333333333</v>
      </c>
      <c r="AU151" s="3" t="n">
        <f aca="false">53+23/60</f>
        <v>53.3833333333333</v>
      </c>
      <c r="AV151" s="3" t="n">
        <f aca="false">36+51/60</f>
        <v>36.85</v>
      </c>
      <c r="AW151" s="3" t="n">
        <f aca="false">11/60</f>
        <v>0.183333333333333</v>
      </c>
      <c r="AX151" s="3" t="n">
        <v>0</v>
      </c>
      <c r="AY151" s="0" t="s">
        <v>57</v>
      </c>
      <c r="AZ151" s="0" t="s">
        <v>58</v>
      </c>
      <c r="BA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59</v>
      </c>
      <c r="G152" s="2" t="n">
        <v>90</v>
      </c>
      <c r="H152" s="2" t="n">
        <v>53</v>
      </c>
      <c r="I152" s="2" t="n">
        <f aca="false">(59+53)/2</f>
        <v>56</v>
      </c>
      <c r="J152" s="2" t="s">
        <v>98</v>
      </c>
      <c r="K152" s="2" t="n">
        <v>9</v>
      </c>
      <c r="L152" s="2" t="n">
        <v>20</v>
      </c>
      <c r="M152" s="0" t="s">
        <v>88</v>
      </c>
      <c r="O152" s="0" t="s">
        <v>105</v>
      </c>
      <c r="P152" s="0" t="s">
        <v>95</v>
      </c>
      <c r="Q152" s="3" t="n">
        <v>3.91</v>
      </c>
      <c r="U152" s="3" t="n">
        <f aca="false">107/60</f>
        <v>1.78333333333333</v>
      </c>
      <c r="V152" s="3" t="n">
        <f aca="false">108/60</f>
        <v>1.8</v>
      </c>
      <c r="W152" s="3" t="n">
        <f aca="false">V152-U152</f>
        <v>0.0166666666666666</v>
      </c>
      <c r="X152" s="3" t="n">
        <f aca="false">Q152/U152</f>
        <v>2.19252336448598</v>
      </c>
      <c r="Y152" s="0" t="n">
        <v>3</v>
      </c>
      <c r="Z152" s="3" t="n">
        <f aca="false">Q152/Y152</f>
        <v>1.30333333333333</v>
      </c>
      <c r="AA152" s="3" t="n">
        <f aca="false">27+22/60</f>
        <v>27.3666666666667</v>
      </c>
      <c r="AB152" s="2" t="n">
        <f aca="false">Y152*23*9/12</f>
        <v>51.75</v>
      </c>
      <c r="AC152" s="2" t="n">
        <v>440</v>
      </c>
      <c r="AD152" s="2" t="n">
        <v>77</v>
      </c>
      <c r="AE152" s="0" t="n">
        <v>104</v>
      </c>
      <c r="AF152" s="3" t="n">
        <v>27</v>
      </c>
      <c r="AG152" s="3" t="n">
        <f aca="false">27+50/60</f>
        <v>27.8333333333333</v>
      </c>
      <c r="AH152" s="3" t="n">
        <f aca="false">27+5/60</f>
        <v>27.0833333333333</v>
      </c>
      <c r="AI152" s="3" t="n">
        <f aca="false">60/2.2</f>
        <v>27.2727272727273</v>
      </c>
      <c r="AP152" s="0" t="n">
        <v>0</v>
      </c>
      <c r="AQ152" s="0" t="n">
        <v>1</v>
      </c>
      <c r="AR152" s="0" t="n">
        <v>0</v>
      </c>
      <c r="AS152" s="4" t="n">
        <f aca="false">60*U152-SUM(AT152:AX152)</f>
        <v>46.9166666666667</v>
      </c>
      <c r="AT152" s="3" t="n">
        <f aca="false">48+35/60</f>
        <v>48.5833333333333</v>
      </c>
      <c r="AU152" s="3" t="n">
        <f aca="false">11+28/60</f>
        <v>11.4666666666667</v>
      </c>
      <c r="AV152" s="3" t="n">
        <f aca="false">2/60</f>
        <v>0.0333333333333333</v>
      </c>
      <c r="AW152" s="3" t="n">
        <v>0</v>
      </c>
      <c r="AX152" s="3" t="n">
        <v>0</v>
      </c>
      <c r="AY152" s="0" t="s">
        <v>57</v>
      </c>
      <c r="AZ152" s="0" t="s">
        <v>58</v>
      </c>
      <c r="BA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79</v>
      </c>
      <c r="G153" s="2" t="n">
        <v>91</v>
      </c>
      <c r="H153" s="2" t="n">
        <v>71</v>
      </c>
      <c r="I153" s="2" t="n">
        <v>51</v>
      </c>
      <c r="J153" s="2" t="s">
        <v>98</v>
      </c>
      <c r="K153" s="2" t="n">
        <v>9</v>
      </c>
      <c r="L153" s="2" t="n">
        <v>16</v>
      </c>
      <c r="M153" s="0" t="s">
        <v>88</v>
      </c>
      <c r="O153" s="0" t="s">
        <v>55</v>
      </c>
      <c r="P153" s="0" t="s">
        <v>95</v>
      </c>
      <c r="Q153" s="3" t="n">
        <v>4.09</v>
      </c>
      <c r="U153" s="3" t="n">
        <f aca="false">105/60</f>
        <v>1.75</v>
      </c>
      <c r="V153" s="3" t="n">
        <f aca="false">(60+46)/60</f>
        <v>1.76666666666667</v>
      </c>
      <c r="W153" s="3" t="n">
        <f aca="false">V153-U153</f>
        <v>0.0166666666666666</v>
      </c>
      <c r="X153" s="3" t="n">
        <f aca="false">Q153/U153</f>
        <v>2.33714285714286</v>
      </c>
      <c r="Y153" s="0" t="n">
        <v>3</v>
      </c>
      <c r="Z153" s="3" t="n">
        <f aca="false">Q153/Y153</f>
        <v>1.36333333333333</v>
      </c>
      <c r="AA153" s="3" t="n">
        <f aca="false">25+37/60</f>
        <v>25.6166666666667</v>
      </c>
      <c r="AB153" s="2" t="n">
        <f aca="false">Y153*23*9/12</f>
        <v>51.75</v>
      </c>
      <c r="AC153" s="2" t="n">
        <v>451</v>
      </c>
      <c r="AD153" s="2" t="n">
        <v>82</v>
      </c>
      <c r="AE153" s="0" t="n">
        <v>108</v>
      </c>
      <c r="AF153" s="3" t="n">
        <f aca="false">23+15/60</f>
        <v>23.25</v>
      </c>
      <c r="AG153" s="3" t="n">
        <f aca="false">26+3/60</f>
        <v>26.05</v>
      </c>
      <c r="AH153" s="3" t="n">
        <f aca="false">26+27/60</f>
        <v>26.45</v>
      </c>
      <c r="AI153" s="3" t="n">
        <f aca="false">27+40/60</f>
        <v>27.6666666666667</v>
      </c>
      <c r="AJ153" s="3" t="n">
        <f aca="false">60/3.7</f>
        <v>16.2162162162162</v>
      </c>
      <c r="AP153" s="0" t="n">
        <v>0</v>
      </c>
      <c r="AQ153" s="0" t="n">
        <v>0</v>
      </c>
      <c r="AR153" s="0" t="n">
        <v>0</v>
      </c>
      <c r="AS153" s="4" t="n">
        <f aca="false">60*U153-SUM(AT153:AX153)</f>
        <v>26.0166666666667</v>
      </c>
      <c r="AT153" s="3" t="n">
        <f aca="false">54+54/60</f>
        <v>54.9</v>
      </c>
      <c r="AU153" s="3" t="n">
        <f aca="false">23+9/60</f>
        <v>23.15</v>
      </c>
      <c r="AV153" s="3" t="n">
        <f aca="false">56/60</f>
        <v>0.933333333333333</v>
      </c>
      <c r="AW153" s="3" t="n">
        <v>0</v>
      </c>
      <c r="AX153" s="3" t="n">
        <v>0</v>
      </c>
      <c r="AY153" s="0" t="s">
        <v>57</v>
      </c>
      <c r="AZ153" s="0" t="s">
        <v>58</v>
      </c>
      <c r="BA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79</v>
      </c>
      <c r="G154" s="2" t="n">
        <v>92</v>
      </c>
      <c r="H154" s="2" t="n">
        <v>72</v>
      </c>
      <c r="I154" s="2" t="n">
        <v>53</v>
      </c>
      <c r="J154" s="2" t="s">
        <v>98</v>
      </c>
      <c r="K154" s="2" t="n">
        <v>7</v>
      </c>
      <c r="L154" s="2" t="n">
        <v>0</v>
      </c>
      <c r="M154" s="0" t="s">
        <v>88</v>
      </c>
      <c r="O154" s="0" t="s">
        <v>105</v>
      </c>
      <c r="P154" s="0" t="s">
        <v>106</v>
      </c>
      <c r="Q154" s="3" t="n">
        <v>5.35</v>
      </c>
      <c r="U154" s="3" t="n">
        <f aca="false">(120+19)/60</f>
        <v>2.31666666666667</v>
      </c>
      <c r="V154" s="3" t="n">
        <f aca="false">(120+25)/60</f>
        <v>2.41666666666667</v>
      </c>
      <c r="W154" s="3" t="n">
        <f aca="false">V154-U154</f>
        <v>0.0999999999999996</v>
      </c>
      <c r="X154" s="3" t="n">
        <f aca="false">Q154/U154</f>
        <v>2.30935251798561</v>
      </c>
      <c r="Y154" s="0" t="n">
        <v>4</v>
      </c>
      <c r="Z154" s="3" t="n">
        <f aca="false">Q154/Y154</f>
        <v>1.3375</v>
      </c>
      <c r="AA154" s="3" t="n">
        <f aca="false">AVERAGE(AF154:AK154)</f>
        <v>25.9506038647343</v>
      </c>
      <c r="AB154" s="2" t="n">
        <f aca="false">Y154*23*9/12</f>
        <v>69</v>
      </c>
      <c r="AC154" s="2" t="n">
        <v>634</v>
      </c>
      <c r="AD154" s="2" t="n">
        <v>90</v>
      </c>
      <c r="AE154" s="0" t="n">
        <v>113</v>
      </c>
      <c r="AF154" s="3" t="n">
        <f aca="false">24+28/60</f>
        <v>24.4666666666667</v>
      </c>
      <c r="AG154" s="3" t="n">
        <f aca="false">24+50/60</f>
        <v>24.8333333333333</v>
      </c>
      <c r="AH154" s="3" t="n">
        <f aca="false">27+12/60</f>
        <v>27.2</v>
      </c>
      <c r="AI154" s="3" t="n">
        <f aca="false">27+16/60</f>
        <v>27.2666666666667</v>
      </c>
      <c r="AJ154" s="3" t="n">
        <f aca="false">25+51/60</f>
        <v>25.85</v>
      </c>
      <c r="AK154" s="3" t="n">
        <f aca="false">60/2.3</f>
        <v>26.0869565217391</v>
      </c>
      <c r="AP154" s="0" t="n">
        <v>1</v>
      </c>
      <c r="AQ154" s="0" t="n">
        <v>0</v>
      </c>
      <c r="AR154" s="0" t="n">
        <v>0</v>
      </c>
      <c r="AS154" s="4" t="n">
        <f aca="false">60*U154-SUM(AT154:AX154)</f>
        <v>9.83333333333331</v>
      </c>
      <c r="AT154" s="3" t="n">
        <f aca="false">43+3/60</f>
        <v>43.05</v>
      </c>
      <c r="AU154" s="3" t="n">
        <f aca="false">78+29/60</f>
        <v>78.4833333333333</v>
      </c>
      <c r="AV154" s="3" t="n">
        <f aca="false">7++38/60</f>
        <v>7.63333333333333</v>
      </c>
      <c r="AW154" s="3" t="n">
        <v>0</v>
      </c>
      <c r="AX154" s="3" t="n">
        <v>0</v>
      </c>
      <c r="AY154" s="0" t="s">
        <v>57</v>
      </c>
      <c r="AZ154" s="0" t="s">
        <v>58</v>
      </c>
      <c r="BA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78</v>
      </c>
      <c r="G155" s="2" t="n">
        <v>87</v>
      </c>
      <c r="H155" s="2" t="n">
        <v>73</v>
      </c>
      <c r="I155" s="2" t="n">
        <f aca="false">(72+65)/2</f>
        <v>68.5</v>
      </c>
      <c r="J155" s="2" t="s">
        <v>101</v>
      </c>
      <c r="K155" s="2" t="n">
        <v>7</v>
      </c>
      <c r="L155" s="2" t="n">
        <v>0</v>
      </c>
      <c r="M155" s="0" t="s">
        <v>88</v>
      </c>
      <c r="O155" s="0" t="s">
        <v>55</v>
      </c>
      <c r="P155" s="0" t="s">
        <v>106</v>
      </c>
      <c r="Q155" s="3" t="n">
        <v>5.12</v>
      </c>
      <c r="U155" s="3" t="n">
        <f aca="false">(120+14)/60</f>
        <v>2.23333333333333</v>
      </c>
      <c r="V155" s="3" t="n">
        <f aca="false">(120+21)/60</f>
        <v>2.35</v>
      </c>
      <c r="W155" s="3" t="n">
        <f aca="false">V155-U155</f>
        <v>0.116666666666667</v>
      </c>
      <c r="X155" s="3" t="n">
        <f aca="false">Q155/U155</f>
        <v>2.29253731343284</v>
      </c>
      <c r="Y155" s="0" t="n">
        <v>4</v>
      </c>
      <c r="Z155" s="3" t="n">
        <f aca="false">Q155/Y155</f>
        <v>1.28</v>
      </c>
      <c r="AA155" s="3" t="n">
        <f aca="false">26+12/60</f>
        <v>26.2</v>
      </c>
      <c r="AB155" s="2" t="n">
        <f aca="false">Y155*23*9/12</f>
        <v>69</v>
      </c>
      <c r="AC155" s="2" t="n">
        <v>725</v>
      </c>
      <c r="AD155" s="2" t="n">
        <v>99</v>
      </c>
      <c r="AE155" s="0" t="n">
        <v>127</v>
      </c>
      <c r="AF155" s="3" t="n">
        <f aca="false">24+49/60</f>
        <v>24.8166666666667</v>
      </c>
      <c r="AG155" s="3" t="n">
        <f aca="false">27+55/60</f>
        <v>27.9166666666667</v>
      </c>
      <c r="AH155" s="3" t="n">
        <f aca="false">27+24/60</f>
        <v>27.4</v>
      </c>
      <c r="AI155" s="3" t="n">
        <f aca="false">25+32/60</f>
        <v>25.5333333333333</v>
      </c>
      <c r="AJ155" s="3" t="n">
        <f aca="false">25+18/60</f>
        <v>25.3</v>
      </c>
      <c r="AK155" s="3" t="n">
        <f aca="false">60/2.3</f>
        <v>26.0869565217391</v>
      </c>
      <c r="AP155" s="0" t="n">
        <v>1</v>
      </c>
      <c r="AQ155" s="0" t="n">
        <v>0</v>
      </c>
      <c r="AR155" s="0" t="n">
        <v>0</v>
      </c>
      <c r="AS155" s="4" t="n">
        <f aca="false">60*U155-SUM(AT155:AX155)</f>
        <v>0.650000000000006</v>
      </c>
      <c r="AT155" s="3" t="n">
        <f aca="false">15+29/60</f>
        <v>15.4833333333333</v>
      </c>
      <c r="AU155" s="3" t="n">
        <f aca="false">79+10/60</f>
        <v>79.1666666666667</v>
      </c>
      <c r="AV155" s="3" t="n">
        <f aca="false">31+52/60</f>
        <v>31.8666666666667</v>
      </c>
      <c r="AW155" s="3" t="n">
        <f aca="false">6+50/60</f>
        <v>6.83333333333333</v>
      </c>
      <c r="AX155" s="3" t="n">
        <v>0</v>
      </c>
      <c r="AY155" s="0" t="s">
        <v>57</v>
      </c>
      <c r="AZ155" s="0" t="s">
        <v>58</v>
      </c>
      <c r="BA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0" t="s">
        <v>113</v>
      </c>
      <c r="F156" s="0" t="s">
        <v>79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9" t="s">
        <v>114</v>
      </c>
      <c r="K156" s="2" t="n">
        <v>7</v>
      </c>
      <c r="L156" s="2" t="n">
        <v>0</v>
      </c>
      <c r="M156" s="0" t="s">
        <v>88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115</v>
      </c>
      <c r="F157" s="0" t="s">
        <v>78</v>
      </c>
      <c r="G157" s="2" t="n">
        <v>92</v>
      </c>
      <c r="H157" s="2" t="n">
        <v>75</v>
      </c>
      <c r="I157" s="2" t="n">
        <v>57</v>
      </c>
      <c r="J157" s="2" t="s">
        <v>100</v>
      </c>
      <c r="K157" s="2" t="n">
        <v>6</v>
      </c>
      <c r="L157" s="2" t="n">
        <v>0</v>
      </c>
      <c r="M157" s="0" t="s">
        <v>88</v>
      </c>
    </row>
    <row r="158" customFormat="false" ht="12.8" hidden="false" customHeight="false" outlineLevel="0" collapsed="false">
      <c r="A158" s="10" t="n">
        <f aca="false">A157+1</f>
        <v>690</v>
      </c>
      <c r="B158" s="1" t="n">
        <v>44036.4951388889</v>
      </c>
      <c r="C158" s="0" t="n">
        <v>0</v>
      </c>
      <c r="D158" s="10" t="s">
        <v>115</v>
      </c>
      <c r="F158" s="0" t="s">
        <v>78</v>
      </c>
      <c r="G158" s="2" t="n">
        <v>93</v>
      </c>
      <c r="H158" s="2" t="n">
        <v>72</v>
      </c>
      <c r="I158" s="2" t="n">
        <v>53</v>
      </c>
      <c r="J158" s="2" t="s">
        <v>103</v>
      </c>
      <c r="K158" s="2" t="n">
        <v>7</v>
      </c>
      <c r="L158" s="2" t="n">
        <v>0</v>
      </c>
      <c r="M158" s="0" t="s">
        <v>88</v>
      </c>
    </row>
    <row r="159" customFormat="false" ht="12.8" hidden="false" customHeight="false" outlineLevel="0" collapsed="false">
      <c r="A159" s="10" t="n">
        <f aca="false">A158+1</f>
        <v>691</v>
      </c>
      <c r="B159" s="1" t="n">
        <v>44037.4951388889</v>
      </c>
      <c r="C159" s="0" t="n">
        <v>0</v>
      </c>
      <c r="D159" s="10" t="s">
        <v>115</v>
      </c>
      <c r="F159" s="11" t="s">
        <v>116</v>
      </c>
      <c r="G159" s="2" t="n">
        <v>96</v>
      </c>
      <c r="H159" s="2" t="n">
        <v>72</v>
      </c>
      <c r="I159" s="2" t="n">
        <v>63</v>
      </c>
      <c r="J159" s="11" t="s">
        <v>117</v>
      </c>
      <c r="K159" s="2" t="n">
        <v>9</v>
      </c>
      <c r="L159" s="2" t="n">
        <v>0</v>
      </c>
      <c r="M159" s="0" t="s">
        <v>88</v>
      </c>
    </row>
    <row r="160" customFormat="false" ht="12.8" hidden="false" customHeight="false" outlineLevel="0" collapsed="false">
      <c r="A160" s="10" t="n">
        <f aca="false">A159+1</f>
        <v>692</v>
      </c>
      <c r="B160" s="1" t="n">
        <v>44038.4951388889</v>
      </c>
      <c r="C160" s="0" t="n">
        <v>0</v>
      </c>
      <c r="D160" s="10" t="s">
        <v>115</v>
      </c>
      <c r="F160" s="11" t="s">
        <v>116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101</v>
      </c>
      <c r="K160" s="2" t="n">
        <v>6</v>
      </c>
      <c r="L160" s="2" t="n">
        <v>0</v>
      </c>
      <c r="M160" s="0" t="s">
        <v>88</v>
      </c>
    </row>
    <row r="161" customFormat="false" ht="12.8" hidden="false" customHeight="false" outlineLevel="0" collapsed="false">
      <c r="A161" s="10" t="n">
        <f aca="false">A160+1</f>
        <v>693</v>
      </c>
      <c r="B161" s="1" t="n">
        <v>44039.4951388889</v>
      </c>
      <c r="C161" s="0" t="n">
        <v>0</v>
      </c>
      <c r="D161" s="10" t="s">
        <v>115</v>
      </c>
      <c r="F161" s="11" t="s">
        <v>116</v>
      </c>
      <c r="G161" s="2" t="n">
        <v>84</v>
      </c>
      <c r="H161" s="2" t="n">
        <v>72</v>
      </c>
      <c r="I161" s="2" t="n">
        <v>72</v>
      </c>
      <c r="J161" s="2" t="s">
        <v>100</v>
      </c>
      <c r="K161" s="2" t="n">
        <f aca="false">(7+7+3)/3</f>
        <v>5.66666666666667</v>
      </c>
      <c r="L161" s="2" t="n">
        <v>0</v>
      </c>
      <c r="M161" s="0" t="s">
        <v>88</v>
      </c>
    </row>
    <row r="162" customFormat="false" ht="12.8" hidden="false" customHeight="false" outlineLevel="0" collapsed="false">
      <c r="A162" s="10" t="n">
        <f aca="false">A161+1</f>
        <v>694</v>
      </c>
      <c r="B162" s="1" t="n">
        <v>44040.5034722222</v>
      </c>
      <c r="C162" s="0" t="n">
        <v>1</v>
      </c>
      <c r="F162" s="11" t="s">
        <v>118</v>
      </c>
      <c r="G162" s="2" t="n">
        <v>76</v>
      </c>
      <c r="H162" s="2" t="n">
        <v>76</v>
      </c>
      <c r="I162" s="2" t="n">
        <v>100</v>
      </c>
      <c r="J162" s="2" t="s">
        <v>100</v>
      </c>
      <c r="K162" s="2" t="n">
        <f aca="false">AVERAGE(6,9,10)</f>
        <v>8.33333333333333</v>
      </c>
      <c r="L162" s="2" t="n">
        <v>0</v>
      </c>
      <c r="M162" s="0" t="s">
        <v>88</v>
      </c>
      <c r="N162" s="0" t="n">
        <v>0</v>
      </c>
      <c r="O162" s="0" t="s">
        <v>105</v>
      </c>
      <c r="P162" s="0" t="s">
        <v>95</v>
      </c>
      <c r="Q162" s="3" t="n">
        <v>1.35</v>
      </c>
      <c r="U162" s="3" t="n">
        <f aca="false">(U163+U164)/5</f>
        <v>0.546666666666667</v>
      </c>
      <c r="V162" s="3" t="n">
        <f aca="false">U162</f>
        <v>0.546666666666667</v>
      </c>
      <c r="W162" s="3" t="n">
        <f aca="false">V162-U162</f>
        <v>0</v>
      </c>
      <c r="X162" s="3" t="n">
        <f aca="false">Q162/V162</f>
        <v>2.46951219512195</v>
      </c>
      <c r="Y162" s="0" t="n">
        <v>1</v>
      </c>
      <c r="Z162" s="3" t="n">
        <f aca="false">Q162/1</f>
        <v>1.35</v>
      </c>
      <c r="AA162" s="3" t="n">
        <f aca="false">AVERAGE(AA164,AA163)</f>
        <v>24.8666666666667</v>
      </c>
      <c r="AB162" s="2" t="n">
        <f aca="false">Y162*23*9/12</f>
        <v>17.25</v>
      </c>
      <c r="AC162" s="2" t="n">
        <f aca="false">(AC163+AC164)/5</f>
        <v>145</v>
      </c>
      <c r="AP162" s="0" t="n">
        <v>0</v>
      </c>
      <c r="AQ162" s="0" t="n">
        <v>0</v>
      </c>
      <c r="AR162" s="0" t="n">
        <v>0</v>
      </c>
      <c r="AZ162" s="0" t="s">
        <v>58</v>
      </c>
      <c r="BA162" s="0" t="n">
        <v>0</v>
      </c>
    </row>
    <row r="163" customFormat="false" ht="12.8" hidden="false" customHeight="false" outlineLevel="0" collapsed="false">
      <c r="A163" s="10" t="n">
        <f aca="false">A162+1</f>
        <v>695</v>
      </c>
      <c r="B163" s="1" t="n">
        <v>44041.50625</v>
      </c>
      <c r="C163" s="0" t="n">
        <v>1</v>
      </c>
      <c r="F163" s="0" t="s">
        <v>54</v>
      </c>
      <c r="G163" s="2" t="n">
        <v>85</v>
      </c>
      <c r="H163" s="2" t="n">
        <v>74</v>
      </c>
      <c r="I163" s="2" t="n">
        <v>69</v>
      </c>
      <c r="J163" s="2" t="s">
        <v>98</v>
      </c>
      <c r="K163" s="2" t="n">
        <v>12</v>
      </c>
      <c r="L163" s="2" t="n">
        <v>0</v>
      </c>
      <c r="M163" s="0" t="s">
        <v>88</v>
      </c>
      <c r="N163" s="0" t="n">
        <v>0</v>
      </c>
      <c r="O163" s="0" t="s">
        <v>105</v>
      </c>
      <c r="P163" s="0" t="s">
        <v>95</v>
      </c>
      <c r="Q163" s="3" t="n">
        <v>2.66</v>
      </c>
      <c r="R163" s="2" t="n">
        <v>787</v>
      </c>
      <c r="S163" s="2" t="n">
        <v>9629</v>
      </c>
      <c r="T163" s="2" t="n">
        <f aca="false">S163-R163</f>
        <v>8842</v>
      </c>
      <c r="U163" s="3" t="n">
        <f aca="false">65/60</f>
        <v>1.08333333333333</v>
      </c>
      <c r="V163" s="3" t="n">
        <f aca="false">67/60</f>
        <v>1.11666666666667</v>
      </c>
      <c r="W163" s="3" t="n">
        <f aca="false">V163-U163</f>
        <v>0.0333333333333334</v>
      </c>
      <c r="X163" s="3" t="n">
        <f aca="false">Q163/U163</f>
        <v>2.45538461538462</v>
      </c>
      <c r="Y163" s="0" t="n">
        <v>2</v>
      </c>
      <c r="Z163" s="3" t="n">
        <f aca="false">Q163/Y163</f>
        <v>1.33</v>
      </c>
      <c r="AA163" s="3" t="n">
        <f aca="false">24+30/60</f>
        <v>24.5</v>
      </c>
      <c r="AB163" s="2" t="n">
        <f aca="false">2*9*32/12</f>
        <v>48</v>
      </c>
      <c r="AC163" s="2" t="n">
        <v>307</v>
      </c>
      <c r="AD163" s="2" t="n">
        <v>86</v>
      </c>
      <c r="AE163" s="0" t="n">
        <v>108</v>
      </c>
      <c r="AF163" s="3" t="n">
        <f aca="false">25+46/60</f>
        <v>25.7666666666667</v>
      </c>
      <c r="AG163" s="3" t="n">
        <f aca="false">23+28/60</f>
        <v>23.4666666666667</v>
      </c>
      <c r="AH163" s="3" t="n">
        <f aca="false">60/2.5</f>
        <v>24</v>
      </c>
      <c r="AP163" s="0" t="n">
        <v>1</v>
      </c>
      <c r="AQ163" s="0" t="n">
        <v>1</v>
      </c>
      <c r="AR163" s="0" t="n">
        <v>0</v>
      </c>
      <c r="AS163" s="4" t="n">
        <f aca="false">60*U163-SUM(AT163:AX163)</f>
        <v>3.9</v>
      </c>
      <c r="AT163" s="3" t="n">
        <f aca="false">38+43/60</f>
        <v>38.7166666666667</v>
      </c>
      <c r="AU163" s="3" t="n">
        <f aca="false">21+45/60</f>
        <v>21.75</v>
      </c>
      <c r="AV163" s="3" t="n">
        <f aca="false">38/60</f>
        <v>0.633333333333333</v>
      </c>
      <c r="AW163" s="3" t="n">
        <v>0</v>
      </c>
      <c r="AX163" s="3" t="n">
        <v>0</v>
      </c>
      <c r="AY163" s="0" t="s">
        <v>57</v>
      </c>
      <c r="AZ163" s="0" t="s">
        <v>58</v>
      </c>
      <c r="BA163" s="0" t="n">
        <v>0</v>
      </c>
    </row>
    <row r="164" customFormat="false" ht="12.8" hidden="false" customHeight="false" outlineLevel="0" collapsed="false">
      <c r="A164" s="10" t="n">
        <f aca="false">A163+1</f>
        <v>696</v>
      </c>
      <c r="B164" s="1" t="n">
        <v>44042.5451388889</v>
      </c>
      <c r="C164" s="0" t="n">
        <v>1</v>
      </c>
      <c r="F164" s="0" t="s">
        <v>59</v>
      </c>
      <c r="G164" s="2" t="n">
        <v>90</v>
      </c>
      <c r="H164" s="2" t="n">
        <v>71</v>
      </c>
      <c r="I164" s="2" t="n">
        <v>54</v>
      </c>
      <c r="J164" s="2" t="s">
        <v>98</v>
      </c>
      <c r="K164" s="2" t="n">
        <v>15</v>
      </c>
      <c r="L164" s="2" t="n">
        <v>0</v>
      </c>
      <c r="M164" s="0" t="s">
        <v>88</v>
      </c>
      <c r="N164" s="0" t="n">
        <v>0</v>
      </c>
      <c r="O164" s="0" t="s">
        <v>105</v>
      </c>
      <c r="P164" s="0" t="s">
        <v>95</v>
      </c>
      <c r="Q164" s="3" t="n">
        <v>3.92</v>
      </c>
      <c r="R164" s="2" t="n">
        <v>705</v>
      </c>
      <c r="S164" s="2" t="n">
        <v>13336</v>
      </c>
      <c r="T164" s="2" t="n">
        <f aca="false">S164-R164</f>
        <v>12631</v>
      </c>
      <c r="U164" s="3" t="n">
        <f aca="false">99/60</f>
        <v>1.65</v>
      </c>
      <c r="V164" s="3" t="n">
        <f aca="false">100/60</f>
        <v>1.66666666666667</v>
      </c>
      <c r="W164" s="3" t="n">
        <f aca="false">V164-U164</f>
        <v>0.0166666666666668</v>
      </c>
      <c r="X164" s="3" t="n">
        <f aca="false">Q164/U164</f>
        <v>2.37575757575758</v>
      </c>
      <c r="Y164" s="0" t="n">
        <v>3</v>
      </c>
      <c r="Z164" s="3" t="n">
        <f aca="false">Q164/Y164</f>
        <v>1.30666666666667</v>
      </c>
      <c r="AA164" s="3" t="n">
        <f aca="false">25+14/60</f>
        <v>25.2333333333333</v>
      </c>
      <c r="AB164" s="2" t="n">
        <f aca="false">Y164*23*9/12</f>
        <v>51.75</v>
      </c>
      <c r="AC164" s="2" t="n">
        <v>418</v>
      </c>
      <c r="AD164" s="2" t="n">
        <v>78</v>
      </c>
      <c r="AE164" s="0" t="n">
        <v>115</v>
      </c>
      <c r="AF164" s="3" t="n">
        <f aca="false">24+47/60</f>
        <v>24.7833333333333</v>
      </c>
      <c r="AG164" s="3" t="n">
        <f aca="false">24+23/60</f>
        <v>24.3833333333333</v>
      </c>
      <c r="AH164" s="3" t="n">
        <f aca="false">23+57/60</f>
        <v>23.95</v>
      </c>
      <c r="AI164" s="3" t="n">
        <f aca="false">60/2.1</f>
        <v>28.5714285714286</v>
      </c>
      <c r="AP164" s="0" t="n">
        <v>0</v>
      </c>
      <c r="AQ164" s="0" t="n">
        <v>0</v>
      </c>
      <c r="AR164" s="0" t="n">
        <v>0</v>
      </c>
      <c r="AS164" s="4" t="n">
        <f aca="false">60*U164-SUM(AT164:AX164)</f>
        <v>35.6166666666667</v>
      </c>
      <c r="AT164" s="3" t="n">
        <f aca="false">52+26/60</f>
        <v>52.4333333333333</v>
      </c>
      <c r="AU164" s="3" t="n">
        <f aca="false">8+49/60</f>
        <v>8.81666666666667</v>
      </c>
      <c r="AV164" s="3" t="n">
        <f aca="false">2+8/60</f>
        <v>2.13333333333333</v>
      </c>
      <c r="AW164" s="3" t="n">
        <v>0</v>
      </c>
      <c r="AX164" s="3" t="n">
        <v>0</v>
      </c>
      <c r="AY164" s="0" t="s">
        <v>57</v>
      </c>
      <c r="AZ164" s="0" t="s">
        <v>58</v>
      </c>
      <c r="BA164" s="0" t="n">
        <v>0</v>
      </c>
    </row>
    <row r="165" customFormat="false" ht="12.8" hidden="false" customHeight="false" outlineLevel="0" collapsed="false">
      <c r="A165" s="10" t="n">
        <f aca="false">A164+1</f>
        <v>697</v>
      </c>
      <c r="B165" s="1" t="n">
        <v>44043.5208333333</v>
      </c>
      <c r="C165" s="0" t="n">
        <v>1</v>
      </c>
      <c r="F165" s="11" t="s">
        <v>119</v>
      </c>
      <c r="G165" s="2" t="n">
        <v>86</v>
      </c>
      <c r="H165" s="2" t="n">
        <v>50</v>
      </c>
      <c r="I165" s="2" t="n">
        <v>59</v>
      </c>
      <c r="J165" s="11" t="s">
        <v>120</v>
      </c>
      <c r="K165" s="2" t="n">
        <v>10</v>
      </c>
      <c r="L165" s="2" t="n">
        <v>22</v>
      </c>
      <c r="M165" s="0" t="s">
        <v>88</v>
      </c>
      <c r="N165" s="0" t="n">
        <v>0</v>
      </c>
      <c r="O165" s="0" t="s">
        <v>105</v>
      </c>
      <c r="P165" s="0" t="s">
        <v>95</v>
      </c>
      <c r="Q165" s="3" t="n">
        <v>4.35</v>
      </c>
      <c r="R165" s="2" t="n">
        <v>1103</v>
      </c>
      <c r="S165" s="2" t="n">
        <v>13887</v>
      </c>
      <c r="T165" s="2" t="n">
        <f aca="false">S165-R165</f>
        <v>12784</v>
      </c>
      <c r="U165" s="3" t="n">
        <f aca="false">(60+41)/60</f>
        <v>1.68333333333333</v>
      </c>
      <c r="V165" s="3" t="n">
        <f aca="false">(60+48)/60</f>
        <v>1.8</v>
      </c>
      <c r="W165" s="3" t="n">
        <f aca="false">V165-U165</f>
        <v>0.116666666666667</v>
      </c>
      <c r="X165" s="3" t="n">
        <f aca="false">Q165/U165</f>
        <v>2.58415841584158</v>
      </c>
      <c r="Y165" s="0" t="n">
        <v>3</v>
      </c>
      <c r="Z165" s="3" t="n">
        <f aca="false">Q165/Y165</f>
        <v>1.45</v>
      </c>
      <c r="AA165" s="3" t="n">
        <f aca="false">23+12/60</f>
        <v>23.2</v>
      </c>
      <c r="AB165" s="2" t="n">
        <f aca="false">Y165*23*9/12</f>
        <v>51.75</v>
      </c>
      <c r="AC165" s="2" t="n">
        <v>521</v>
      </c>
      <c r="AD165" s="2" t="n">
        <v>92</v>
      </c>
      <c r="AE165" s="0" t="n">
        <v>124</v>
      </c>
      <c r="AF165" s="3" t="n">
        <f aca="false">21+55/60</f>
        <v>21.9166666666667</v>
      </c>
      <c r="AG165" s="3" t="n">
        <f aca="false">21+56/60</f>
        <v>21.9333333333333</v>
      </c>
      <c r="AH165" s="3" t="n">
        <f aca="false">25+51/60</f>
        <v>25.85</v>
      </c>
      <c r="AI165" s="3" t="n">
        <f aca="false">23+4/60</f>
        <v>23.0666666666667</v>
      </c>
      <c r="AJ165" s="3" t="n">
        <f aca="false">60/2.6</f>
        <v>23.0769230769231</v>
      </c>
      <c r="AP165" s="0" t="n">
        <v>0</v>
      </c>
      <c r="AQ165" s="0" t="n">
        <v>1</v>
      </c>
      <c r="AR165" s="0" t="n">
        <v>0</v>
      </c>
      <c r="AS165" s="4" t="n">
        <f aca="false">60*U165-SUM(AT165:AX165)</f>
        <v>41.88</v>
      </c>
      <c r="AT165" s="3" t="n">
        <f aca="false">28+52/60</f>
        <v>28.8666666666667</v>
      </c>
      <c r="AU165" s="3" t="n">
        <f aca="false">28+46/50</f>
        <v>28.92</v>
      </c>
      <c r="AV165" s="3" t="n">
        <f aca="false">1+20/60</f>
        <v>1.33333333333333</v>
      </c>
      <c r="AW165" s="3" t="n">
        <v>0</v>
      </c>
      <c r="AX165" s="3" t="n">
        <v>0</v>
      </c>
      <c r="AY165" s="0" t="s">
        <v>57</v>
      </c>
      <c r="AZ165" s="0" t="s">
        <v>58</v>
      </c>
      <c r="BA165" s="0" t="n">
        <v>0</v>
      </c>
    </row>
    <row r="166" customFormat="false" ht="12.8" hidden="false" customHeight="false" outlineLevel="0" collapsed="false">
      <c r="A166" s="10" t="n">
        <f aca="false">A165+1</f>
        <v>698</v>
      </c>
      <c r="B166" s="1" t="n">
        <v>44044.5020833333</v>
      </c>
      <c r="C166" s="0" t="n">
        <v>1</v>
      </c>
      <c r="F166" s="11" t="s">
        <v>116</v>
      </c>
      <c r="G166" s="2" t="n">
        <v>85</v>
      </c>
      <c r="H166" s="2" t="n">
        <v>66</v>
      </c>
      <c r="I166" s="2" t="n">
        <v>53</v>
      </c>
      <c r="J166" s="2" t="s">
        <v>97</v>
      </c>
      <c r="K166" s="2" t="n">
        <v>6</v>
      </c>
      <c r="L166" s="2" t="n">
        <v>0</v>
      </c>
      <c r="M166" s="0" t="s">
        <v>88</v>
      </c>
      <c r="N166" s="0" t="n">
        <v>0</v>
      </c>
      <c r="O166" s="0" t="s">
        <v>105</v>
      </c>
      <c r="P166" s="0" t="s">
        <v>95</v>
      </c>
      <c r="Q166" s="3" t="n">
        <v>4.35</v>
      </c>
      <c r="R166" s="2" t="n">
        <v>1160</v>
      </c>
      <c r="S166" s="2" t="n">
        <v>13166</v>
      </c>
      <c r="T166" s="2" t="n">
        <f aca="false">S166-R166</f>
        <v>12006</v>
      </c>
      <c r="U166" s="3" t="n">
        <f aca="false">(60+51)/60</f>
        <v>1.85</v>
      </c>
      <c r="V166" s="3" t="n">
        <f aca="false">(60+58)/60</f>
        <v>1.96666666666667</v>
      </c>
      <c r="W166" s="3" t="n">
        <f aca="false">V166-U166</f>
        <v>0.116666666666666</v>
      </c>
      <c r="X166" s="3" t="n">
        <f aca="false">Q166/U166</f>
        <v>2.35135135135135</v>
      </c>
      <c r="Y166" s="0" t="n">
        <v>3</v>
      </c>
      <c r="Z166" s="3" t="n">
        <f aca="false">Q166/Y166</f>
        <v>1.45</v>
      </c>
      <c r="AA166" s="3" t="n">
        <f aca="false">25+31/60</f>
        <v>25.5166666666667</v>
      </c>
      <c r="AB166" s="2" t="n">
        <f aca="false">Y166*23*9/12</f>
        <v>51.75</v>
      </c>
      <c r="AC166" s="2" t="n">
        <v>459</v>
      </c>
      <c r="AD166" s="2" t="n">
        <v>84</v>
      </c>
      <c r="AE166" s="0" t="n">
        <v>115</v>
      </c>
      <c r="AF166" s="3" t="n">
        <f aca="false">23+43/60</f>
        <v>23.7166666666667</v>
      </c>
      <c r="AG166" s="3" t="n">
        <f aca="false">25+3/60</f>
        <v>25.05</v>
      </c>
      <c r="AH166" s="3" t="n">
        <f aca="false">24+57/60</f>
        <v>24.95</v>
      </c>
      <c r="AI166" s="3" t="n">
        <f aca="false">60/2.2</f>
        <v>27.2727272727273</v>
      </c>
      <c r="AP166" s="0" t="n">
        <v>2</v>
      </c>
      <c r="AQ166" s="0" t="n">
        <v>0</v>
      </c>
      <c r="AR166" s="0" t="n">
        <v>0</v>
      </c>
      <c r="AS166" s="4" t="n">
        <f aca="false">60*U166-SUM(AT166:AX166)</f>
        <v>8.7</v>
      </c>
      <c r="AT166" s="3" t="n">
        <f aca="false">73+17/60</f>
        <v>73.2833333333333</v>
      </c>
      <c r="AU166" s="3" t="n">
        <f aca="false">27+40/60</f>
        <v>27.6666666666667</v>
      </c>
      <c r="AV166" s="3" t="n">
        <f aca="false">1+21/60</f>
        <v>1.35</v>
      </c>
      <c r="AW166" s="3" t="n">
        <v>0</v>
      </c>
      <c r="AX166" s="3" t="n">
        <v>0</v>
      </c>
      <c r="AY166" s="0" t="s">
        <v>57</v>
      </c>
      <c r="AZ166" s="0" t="s">
        <v>58</v>
      </c>
      <c r="BA166" s="0" t="n">
        <v>0</v>
      </c>
    </row>
    <row r="167" customFormat="false" ht="12.8" hidden="false" customHeight="false" outlineLevel="0" collapsed="false">
      <c r="A167" s="10" t="n">
        <f aca="false">A166+1</f>
        <v>699</v>
      </c>
      <c r="B167" s="1" t="n">
        <v>44045.6055555556</v>
      </c>
      <c r="C167" s="0" t="n">
        <v>1</v>
      </c>
      <c r="F167" s="0" t="s">
        <v>59</v>
      </c>
      <c r="G167" s="2" t="n">
        <v>94</v>
      </c>
      <c r="H167" s="2" t="n">
        <v>60</v>
      </c>
      <c r="I167" s="2" t="n">
        <v>32</v>
      </c>
      <c r="J167" s="11" t="s">
        <v>97</v>
      </c>
      <c r="K167" s="2" t="n">
        <v>6</v>
      </c>
      <c r="L167" s="2" t="n">
        <v>0</v>
      </c>
      <c r="M167" s="0" t="s">
        <v>89</v>
      </c>
      <c r="N167" s="0" t="n">
        <v>0</v>
      </c>
      <c r="O167" s="0" t="s">
        <v>105</v>
      </c>
      <c r="P167" s="0" t="s">
        <v>95</v>
      </c>
      <c r="Q167" s="3" t="n">
        <v>4.27</v>
      </c>
      <c r="R167" s="2" t="n">
        <v>1405</v>
      </c>
      <c r="S167" s="2" t="n">
        <v>14959</v>
      </c>
      <c r="T167" s="2" t="n">
        <f aca="false">S167-R167</f>
        <v>13554</v>
      </c>
      <c r="U167" s="3" t="n">
        <f aca="false">(60+50)/60</f>
        <v>1.83333333333333</v>
      </c>
      <c r="V167" s="3" t="n">
        <f aca="false">(60+54)/60</f>
        <v>1.9</v>
      </c>
      <c r="W167" s="3" t="n">
        <f aca="false">V167-U167</f>
        <v>0.0666666666666667</v>
      </c>
      <c r="X167" s="3" t="n">
        <f aca="false">Q167/U167</f>
        <v>2.32909090909091</v>
      </c>
      <c r="Y167" s="0" t="n">
        <v>3</v>
      </c>
      <c r="Z167" s="3" t="n">
        <f aca="false">Q167/Y167</f>
        <v>1.42333333333333</v>
      </c>
      <c r="AA167" s="3" t="n">
        <f aca="false">25+47/60</f>
        <v>25.7833333333333</v>
      </c>
      <c r="AB167" s="2" t="n">
        <f aca="false">Y167*23*9/12</f>
        <v>51.75</v>
      </c>
      <c r="AC167" s="2" t="n">
        <v>597</v>
      </c>
      <c r="AD167" s="2" t="n">
        <v>101</v>
      </c>
      <c r="AE167" s="0" t="n">
        <v>143</v>
      </c>
      <c r="AF167" s="3" t="n">
        <f aca="false">24+18/60</f>
        <v>24.3</v>
      </c>
      <c r="AG167" s="3" t="n">
        <f aca="false">26+1/60</f>
        <v>26.0166666666667</v>
      </c>
      <c r="AH167" s="3" t="n">
        <f aca="false">24+28/60</f>
        <v>24.4666666666667</v>
      </c>
      <c r="AI167" s="3" t="n">
        <f aca="false">28+40/60</f>
        <v>28.6666666666667</v>
      </c>
      <c r="AJ167" s="3" t="n">
        <f aca="false">60/2.4</f>
        <v>25</v>
      </c>
      <c r="AP167" s="0" t="n">
        <v>1</v>
      </c>
      <c r="AQ167" s="0" t="n">
        <v>0</v>
      </c>
      <c r="AR167" s="0" t="n">
        <v>0</v>
      </c>
      <c r="AS167" s="4" t="n">
        <v>0</v>
      </c>
      <c r="AT167" s="3" t="n">
        <f aca="false">9+6/60</f>
        <v>9.1</v>
      </c>
      <c r="AU167" s="3" t="n">
        <f aca="false">56+18/60</f>
        <v>56.3</v>
      </c>
      <c r="AV167" s="3" t="n">
        <f aca="false">42+30/60</f>
        <v>42.5</v>
      </c>
      <c r="AW167" s="3" t="n">
        <f aca="false">1+52/60</f>
        <v>1.86666666666667</v>
      </c>
      <c r="AX167" s="3" t="n">
        <f aca="false">22/60</f>
        <v>0.366666666666667</v>
      </c>
      <c r="AY167" s="0" t="s">
        <v>57</v>
      </c>
      <c r="AZ167" s="0" t="s">
        <v>58</v>
      </c>
      <c r="BA167" s="0" t="n">
        <v>0</v>
      </c>
    </row>
    <row r="168" customFormat="false" ht="12.8" hidden="false" customHeight="false" outlineLevel="0" collapsed="false">
      <c r="A168" s="10" t="n">
        <f aca="false">A167+1</f>
        <v>700</v>
      </c>
      <c r="B168" s="1" t="n">
        <v>44046.575</v>
      </c>
      <c r="C168" s="0" t="n">
        <v>1</v>
      </c>
      <c r="F168" s="0" t="s">
        <v>59</v>
      </c>
      <c r="G168" s="2" t="n">
        <v>92</v>
      </c>
      <c r="H168" s="2" t="n">
        <v>63</v>
      </c>
      <c r="I168" s="2" t="n">
        <v>39</v>
      </c>
      <c r="J168" s="2" t="s">
        <v>103</v>
      </c>
      <c r="K168" s="2" t="n">
        <v>10</v>
      </c>
      <c r="L168" s="2" t="n">
        <v>17</v>
      </c>
      <c r="M168" s="0" t="s">
        <v>89</v>
      </c>
      <c r="N168" s="0" t="n">
        <v>0</v>
      </c>
      <c r="O168" s="0" t="s">
        <v>105</v>
      </c>
      <c r="P168" s="0" t="s">
        <v>106</v>
      </c>
      <c r="Q168" s="3" t="n">
        <v>5.68</v>
      </c>
      <c r="R168" s="2" t="n">
        <v>786</v>
      </c>
      <c r="S168" s="2" t="n">
        <v>17755</v>
      </c>
      <c r="T168" s="2" t="n">
        <f aca="false">S168-R168</f>
        <v>16969</v>
      </c>
      <c r="U168" s="3" t="n">
        <f aca="false">(120+16)/60</f>
        <v>2.26666666666667</v>
      </c>
      <c r="V168" s="3" t="n">
        <f aca="false">(120+25)/60</f>
        <v>2.41666666666667</v>
      </c>
      <c r="W168" s="3" t="n">
        <f aca="false">V168-U168</f>
        <v>0.15</v>
      </c>
      <c r="X168" s="3" t="n">
        <f aca="false">Q168/U168</f>
        <v>2.50588235294118</v>
      </c>
      <c r="Y168" s="0" t="n">
        <v>4</v>
      </c>
      <c r="Z168" s="3" t="n">
        <f aca="false">Q168/Y168</f>
        <v>1.42</v>
      </c>
      <c r="AA168" s="3" t="n">
        <f aca="false">23+59/60</f>
        <v>23.9833333333333</v>
      </c>
      <c r="AB168" s="2" t="n">
        <f aca="false">Y168*23*9/12</f>
        <v>69</v>
      </c>
      <c r="AC168" s="2" t="n">
        <v>736</v>
      </c>
      <c r="AD168" s="2" t="n">
        <v>103</v>
      </c>
      <c r="AE168" s="0" t="n">
        <v>121</v>
      </c>
      <c r="AF168" s="3" t="n">
        <f aca="false">23+31/60</f>
        <v>23.5166666666667</v>
      </c>
      <c r="AG168" s="3" t="n">
        <f aca="false">25+50/60</f>
        <v>25.8333333333333</v>
      </c>
      <c r="AH168" s="3" t="n">
        <f aca="false">22+43/60</f>
        <v>22.7166666666667</v>
      </c>
      <c r="AI168" s="3" t="n">
        <f aca="false">23+55/60</f>
        <v>23.9166666666667</v>
      </c>
      <c r="AJ168" s="3" t="n">
        <f aca="false">24+16/60</f>
        <v>24.2666666666667</v>
      </c>
      <c r="AK168" s="3" t="n">
        <f aca="false">60/2.5</f>
        <v>24</v>
      </c>
      <c r="AP168" s="0" t="n">
        <v>3</v>
      </c>
      <c r="AQ168" s="0" t="n">
        <v>0</v>
      </c>
      <c r="AR168" s="0" t="n">
        <v>0</v>
      </c>
      <c r="AS168" s="4" t="n">
        <v>0</v>
      </c>
      <c r="AT168" s="3" t="n">
        <f aca="false">4+51/60</f>
        <v>4.85</v>
      </c>
      <c r="AU168" s="3" t="n">
        <f aca="false">64+1/60</f>
        <v>64.0166666666667</v>
      </c>
      <c r="AV168" s="3" t="n">
        <f aca="false">67+16/60</f>
        <v>67.2666666666667</v>
      </c>
      <c r="AW168" s="3" t="n">
        <f aca="false">7/60</f>
        <v>0.116666666666667</v>
      </c>
      <c r="AX168" s="3" t="n">
        <v>0</v>
      </c>
      <c r="AY168" s="0" t="s">
        <v>57</v>
      </c>
      <c r="AZ168" s="0" t="s">
        <v>58</v>
      </c>
      <c r="BA168" s="0" t="n">
        <v>0</v>
      </c>
    </row>
    <row r="169" customFormat="false" ht="12.8" hidden="false" customHeight="false" outlineLevel="0" collapsed="false">
      <c r="A169" s="10" t="n">
        <f aca="false">A168+1</f>
        <v>701</v>
      </c>
      <c r="B169" s="1" t="n">
        <v>44047.5284722222</v>
      </c>
      <c r="C169" s="0" t="n">
        <v>1</v>
      </c>
      <c r="F169" s="0" t="s">
        <v>59</v>
      </c>
      <c r="G169" s="2" t="n">
        <v>87</v>
      </c>
      <c r="H169" s="2" t="n">
        <v>60</v>
      </c>
      <c r="I169" s="2" t="n">
        <v>40</v>
      </c>
      <c r="J169" s="2" t="s">
        <v>104</v>
      </c>
      <c r="K169" s="2" t="n">
        <v>5</v>
      </c>
      <c r="L169" s="2" t="n">
        <v>0</v>
      </c>
      <c r="M169" s="0" t="s">
        <v>89</v>
      </c>
      <c r="N169" s="0" t="n">
        <v>0</v>
      </c>
      <c r="O169" s="0" t="s">
        <v>105</v>
      </c>
      <c r="P169" s="0" t="s">
        <v>106</v>
      </c>
      <c r="Q169" s="3" t="n">
        <v>5.38</v>
      </c>
      <c r="R169" s="2" t="n">
        <v>1036</v>
      </c>
      <c r="S169" s="2" t="n">
        <v>18605</v>
      </c>
      <c r="T169" s="2" t="n">
        <f aca="false">S169-R169</f>
        <v>17569</v>
      </c>
      <c r="U169" s="3" t="n">
        <f aca="false">(120+25)/60</f>
        <v>2.41666666666667</v>
      </c>
      <c r="V169" s="3" t="n">
        <f aca="false">(120+26)/60</f>
        <v>2.43333333333333</v>
      </c>
      <c r="W169" s="3" t="n">
        <f aca="false">V169-U169</f>
        <v>0.0166666666666666</v>
      </c>
      <c r="X169" s="3" t="n">
        <f aca="false">Q169/U169</f>
        <v>2.22620689655172</v>
      </c>
      <c r="Y169" s="0" t="n">
        <v>4</v>
      </c>
      <c r="Z169" s="3" t="n">
        <f aca="false">Q169/Y169</f>
        <v>1.345</v>
      </c>
      <c r="AA169" s="3" t="n">
        <f aca="false">26+56/60</f>
        <v>26.9333333333333</v>
      </c>
      <c r="AB169" s="2" t="n">
        <f aca="false">Y169*23*9/12</f>
        <v>69</v>
      </c>
      <c r="AC169" s="2" t="n">
        <v>794</v>
      </c>
      <c r="AD169" s="2" t="n">
        <v>103</v>
      </c>
      <c r="AE169" s="0" t="n">
        <v>131</v>
      </c>
      <c r="AF169" s="3" t="n">
        <f aca="false">24+15/60</f>
        <v>24.25</v>
      </c>
      <c r="AG169" s="3" t="n">
        <f aca="false">28+46/60</f>
        <v>28.7666666666667</v>
      </c>
      <c r="AH169" s="3" t="n">
        <f aca="false">24+28/60</f>
        <v>24.4666666666667</v>
      </c>
      <c r="AI169" s="3" t="n">
        <f aca="false">29+45/60</f>
        <v>29.75</v>
      </c>
      <c r="AJ169" s="3" t="n">
        <f aca="false">27+10/60</f>
        <v>27.1666666666667</v>
      </c>
      <c r="AK169" s="3" t="n">
        <f aca="false">60/2.2</f>
        <v>27.2727272727273</v>
      </c>
      <c r="AP169" s="0" t="n">
        <v>2</v>
      </c>
      <c r="AQ169" s="0" t="n">
        <v>1</v>
      </c>
      <c r="AR169" s="0" t="n">
        <v>1</v>
      </c>
      <c r="AS169" s="4" t="n">
        <f aca="false">60*U169-SUM(AT169:AX169)</f>
        <v>10.05</v>
      </c>
      <c r="AT169" s="3" t="n">
        <f aca="false">1+49/60</f>
        <v>1.81666666666667</v>
      </c>
      <c r="AU169" s="3" t="n">
        <f aca="false">81+43/60</f>
        <v>81.7166666666667</v>
      </c>
      <c r="AV169" s="3" t="n">
        <f aca="false">48+30/60</f>
        <v>48.5</v>
      </c>
      <c r="AW169" s="3" t="n">
        <f aca="false">2+55/60</f>
        <v>2.91666666666667</v>
      </c>
      <c r="AX169" s="3" t="n">
        <v>0</v>
      </c>
      <c r="AY169" s="0" t="s">
        <v>57</v>
      </c>
      <c r="AZ169" s="0" t="s">
        <v>58</v>
      </c>
      <c r="BA169" s="0" t="n">
        <v>0</v>
      </c>
    </row>
    <row r="170" customFormat="false" ht="12.8" hidden="false" customHeight="false" outlineLevel="0" collapsed="false">
      <c r="A170" s="10" t="n">
        <f aca="false">A169+1</f>
        <v>702</v>
      </c>
      <c r="B170" s="1" t="n">
        <v>44048.5236111111</v>
      </c>
      <c r="C170" s="0" t="n">
        <v>1</v>
      </c>
      <c r="F170" s="11" t="s">
        <v>116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101</v>
      </c>
      <c r="K170" s="2" t="n">
        <f aca="false">(13+8)/2</f>
        <v>10.5</v>
      </c>
      <c r="L170" s="2" t="n">
        <v>0</v>
      </c>
      <c r="M170" s="0" t="s">
        <v>89</v>
      </c>
      <c r="N170" s="0" t="n">
        <v>0</v>
      </c>
      <c r="O170" s="0" t="s">
        <v>105</v>
      </c>
      <c r="P170" s="0" t="s">
        <v>95</v>
      </c>
      <c r="Q170" s="3" t="n">
        <v>5.05</v>
      </c>
      <c r="R170" s="2" t="n">
        <v>950</v>
      </c>
      <c r="S170" s="2" t="n">
        <v>14188</v>
      </c>
      <c r="T170" s="2" t="n">
        <f aca="false">S170-R170</f>
        <v>13238</v>
      </c>
      <c r="U170" s="3" t="n">
        <f aca="false">(60+48)/60</f>
        <v>1.8</v>
      </c>
      <c r="V170" s="3" t="n">
        <f aca="false">(60+48)/60</f>
        <v>1.8</v>
      </c>
      <c r="W170" s="3" t="n">
        <f aca="false">V170-U170</f>
        <v>0</v>
      </c>
      <c r="X170" s="3" t="n">
        <f aca="false">Q170/U170</f>
        <v>2.80555555555556</v>
      </c>
      <c r="Y170" s="0" t="n">
        <v>3</v>
      </c>
      <c r="Z170" s="3" t="n">
        <f aca="false">Q170/Y170</f>
        <v>1.68333333333333</v>
      </c>
      <c r="AA170" s="3" t="n">
        <f aca="false">21+24/60</f>
        <v>21.4</v>
      </c>
      <c r="AB170" s="2" t="n">
        <f aca="false">Y170*23*9/12</f>
        <v>51.75</v>
      </c>
      <c r="AC170" s="2" t="n">
        <v>478</v>
      </c>
      <c r="AD170" s="2" t="n">
        <v>88</v>
      </c>
      <c r="AE170" s="0" t="n">
        <v>125</v>
      </c>
      <c r="AF170" s="3" t="n">
        <f aca="false">19+49/60</f>
        <v>19.8166666666667</v>
      </c>
      <c r="AG170" s="3" t="n">
        <f aca="false">23+30/60</f>
        <v>23.5</v>
      </c>
      <c r="AH170" s="3" t="n">
        <f aca="false">23+26/60</f>
        <v>23.4333333333333</v>
      </c>
      <c r="AI170" s="3" t="n">
        <f aca="false">20+31/60</f>
        <v>20.5166666666667</v>
      </c>
      <c r="AJ170" s="3" t="n">
        <f aca="false">19+46/60</f>
        <v>19.7666666666667</v>
      </c>
      <c r="AK170" s="3" t="n">
        <f aca="false">60/2.8</f>
        <v>21.4285714285714</v>
      </c>
      <c r="AP170" s="0" t="n">
        <v>1</v>
      </c>
      <c r="AQ170" s="0" t="n">
        <v>0</v>
      </c>
      <c r="AR170" s="0" t="n">
        <v>0</v>
      </c>
      <c r="AS170" s="4" t="n">
        <f aca="false">60*U170-SUM(AT170:AX170)</f>
        <v>8.13333333333334</v>
      </c>
      <c r="AT170" s="3" t="n">
        <f aca="false">57+40/60</f>
        <v>57.6666666666667</v>
      </c>
      <c r="AU170" s="3" t="n">
        <f aca="false">25+35/60</f>
        <v>25.5833333333333</v>
      </c>
      <c r="AV170" s="3" t="n">
        <f aca="false">15+51/60</f>
        <v>15.85</v>
      </c>
      <c r="AW170" s="3" t="n">
        <f aca="false">46/60</f>
        <v>0.766666666666667</v>
      </c>
      <c r="AX170" s="3" t="n">
        <v>0</v>
      </c>
      <c r="AY170" s="0" t="s">
        <v>57</v>
      </c>
      <c r="AZ170" s="0" t="s">
        <v>58</v>
      </c>
      <c r="BA170" s="0" t="n">
        <v>0</v>
      </c>
    </row>
    <row r="171" customFormat="false" ht="12.8" hidden="false" customHeight="false" outlineLevel="0" collapsed="false">
      <c r="A171" s="10" t="n">
        <f aca="false">A170+1</f>
        <v>703</v>
      </c>
      <c r="B171" s="1" t="n">
        <v>44049.5125</v>
      </c>
      <c r="C171" s="0" t="n">
        <v>1</v>
      </c>
      <c r="F171" s="0" t="s">
        <v>59</v>
      </c>
      <c r="G171" s="2" t="n">
        <f aca="false">(88+92)/2</f>
        <v>90</v>
      </c>
      <c r="H171" s="2" t="n">
        <f aca="false">AVERAGE(74+70)/2</f>
        <v>72</v>
      </c>
      <c r="I171" s="2" t="n">
        <f aca="false">(59+45)/2</f>
        <v>52</v>
      </c>
      <c r="J171" s="2" t="s">
        <v>100</v>
      </c>
      <c r="K171" s="2" t="n">
        <v>6</v>
      </c>
      <c r="L171" s="2" t="n">
        <v>0</v>
      </c>
      <c r="M171" s="0" t="s">
        <v>88</v>
      </c>
      <c r="N171" s="0" t="n">
        <v>0</v>
      </c>
      <c r="O171" s="0" t="s">
        <v>105</v>
      </c>
      <c r="P171" s="0" t="s">
        <v>95</v>
      </c>
      <c r="Q171" s="3" t="n">
        <v>4.48</v>
      </c>
      <c r="R171" s="2" t="n">
        <v>798</v>
      </c>
      <c r="S171" s="2" t="n">
        <v>14368</v>
      </c>
      <c r="T171" s="2" t="n">
        <f aca="false">S171-R171</f>
        <v>13570</v>
      </c>
      <c r="U171" s="3" t="n">
        <f aca="false">(60+49)/60</f>
        <v>1.81666666666667</v>
      </c>
      <c r="V171" s="3" t="n">
        <f aca="false">(60+49)/60</f>
        <v>1.81666666666667</v>
      </c>
      <c r="W171" s="3" t="n">
        <f aca="false">V171-U171</f>
        <v>0</v>
      </c>
      <c r="X171" s="3" t="n">
        <f aca="false">Q171/U171</f>
        <v>2.46605504587156</v>
      </c>
      <c r="Y171" s="0" t="n">
        <v>3</v>
      </c>
      <c r="Z171" s="3" t="n">
        <f aca="false">Q171/Y171</f>
        <v>1.49333333333333</v>
      </c>
      <c r="AA171" s="3" t="n">
        <f aca="false">24+20/60</f>
        <v>24.3333333333333</v>
      </c>
      <c r="AB171" s="2" t="n">
        <f aca="false">Y171*23*9/12</f>
        <v>51.75</v>
      </c>
      <c r="AC171" s="2" t="n">
        <v>370</v>
      </c>
      <c r="AD171" s="2" t="n">
        <v>69</v>
      </c>
      <c r="AE171" s="0" t="n">
        <v>108</v>
      </c>
      <c r="AF171" s="3" t="n">
        <f aca="false">21+47/60</f>
        <v>21.7833333333333</v>
      </c>
      <c r="AG171" s="3" t="n">
        <f aca="false">22+25/60</f>
        <v>22.4166666666667</v>
      </c>
      <c r="AH171" s="3" t="n">
        <f aca="false">28+49/60</f>
        <v>28.8166666666667</v>
      </c>
      <c r="AI171" s="3" t="n">
        <f aca="false">24+20/60</f>
        <v>24.3333333333333</v>
      </c>
      <c r="AJ171" s="3" t="n">
        <f aca="false">60/2.5</f>
        <v>24</v>
      </c>
      <c r="AP171" s="0" t="n">
        <v>0</v>
      </c>
      <c r="AQ171" s="0" t="n">
        <v>0</v>
      </c>
      <c r="AR171" s="0" t="n">
        <v>0</v>
      </c>
      <c r="AS171" s="5" t="n">
        <f aca="false">60*U171-SUM(AT171:AX171)</f>
        <v>82.0333333333333</v>
      </c>
      <c r="AT171" s="3" t="n">
        <f aca="false">19+29/60</f>
        <v>19.4833333333333</v>
      </c>
      <c r="AU171" s="3" t="n">
        <f aca="false">6+46/60</f>
        <v>6.76666666666667</v>
      </c>
      <c r="AV171" s="3" t="n">
        <f aca="false">43/60</f>
        <v>0.716666666666667</v>
      </c>
      <c r="AW171" s="3" t="n">
        <v>0</v>
      </c>
      <c r="AX171" s="3" t="n">
        <v>0</v>
      </c>
      <c r="AY171" s="0" t="s">
        <v>57</v>
      </c>
      <c r="AZ171" s="0" t="s">
        <v>58</v>
      </c>
      <c r="BA171" s="0" t="n">
        <v>0</v>
      </c>
    </row>
    <row r="172" customFormat="false" ht="12.8" hidden="false" customHeight="false" outlineLevel="0" collapsed="false">
      <c r="A172" s="10" t="n">
        <f aca="false">A171+1</f>
        <v>704</v>
      </c>
      <c r="B172" s="1" t="n">
        <v>44050.4770833333</v>
      </c>
      <c r="C172" s="0" t="n">
        <v>1</v>
      </c>
      <c r="F172" s="11" t="s">
        <v>119</v>
      </c>
      <c r="G172" s="2" t="n">
        <v>91</v>
      </c>
      <c r="H172" s="2" t="n">
        <v>69</v>
      </c>
      <c r="I172" s="2" t="n">
        <v>50</v>
      </c>
      <c r="J172" s="2" t="s">
        <v>100</v>
      </c>
      <c r="K172" s="2" t="n">
        <f aca="false">(15+12)/2</f>
        <v>13.5</v>
      </c>
      <c r="L172" s="2" t="n">
        <v>0</v>
      </c>
      <c r="M172" s="0" t="s">
        <v>88</v>
      </c>
      <c r="N172" s="0" t="n">
        <v>0</v>
      </c>
      <c r="O172" s="0" t="s">
        <v>105</v>
      </c>
      <c r="P172" s="0" t="s">
        <v>95</v>
      </c>
      <c r="Q172" s="3" t="n">
        <v>4.5</v>
      </c>
      <c r="R172" s="2" t="n">
        <v>712</v>
      </c>
      <c r="S172" s="2" t="n">
        <v>14680</v>
      </c>
      <c r="T172" s="2" t="n">
        <f aca="false">S172-R172</f>
        <v>13968</v>
      </c>
      <c r="U172" s="3" t="n">
        <f aca="false">(60+50)/60</f>
        <v>1.83333333333333</v>
      </c>
      <c r="V172" s="3" t="n">
        <f aca="false">(60+50)/60</f>
        <v>1.83333333333333</v>
      </c>
      <c r="W172" s="3" t="n">
        <f aca="false">V172-U172</f>
        <v>0</v>
      </c>
      <c r="X172" s="3" t="n">
        <f aca="false">Q172/U172</f>
        <v>2.45454545454545</v>
      </c>
      <c r="Y172" s="0" t="n">
        <v>3</v>
      </c>
      <c r="Z172" s="3" t="n">
        <f aca="false">Q172/Y172</f>
        <v>1.5</v>
      </c>
      <c r="AA172" s="3" t="n">
        <f aca="false">24+27/60</f>
        <v>24.45</v>
      </c>
      <c r="AB172" s="2" t="n">
        <f aca="false">Y172*23*9/12</f>
        <v>51.75</v>
      </c>
      <c r="AC172" s="2" t="n">
        <v>665</v>
      </c>
      <c r="AD172" s="2" t="n">
        <v>92</v>
      </c>
      <c r="AE172" s="0" t="n">
        <v>118</v>
      </c>
      <c r="AF172" s="3" t="n">
        <f aca="false">23+48/60</f>
        <v>23.8</v>
      </c>
      <c r="AG172" s="3" t="n">
        <f aca="false">23+7/60</f>
        <v>23.1166666666667</v>
      </c>
      <c r="AH172" s="3" t="n">
        <f aca="false">22+32/60</f>
        <v>22.5333333333333</v>
      </c>
      <c r="AI172" s="3" t="n">
        <f aca="false">28+11/60</f>
        <v>28.1833333333333</v>
      </c>
      <c r="AJ172" s="3" t="n">
        <f aca="false">60/2.5</f>
        <v>24</v>
      </c>
      <c r="AP172" s="0" t="n">
        <v>0</v>
      </c>
      <c r="AQ172" s="0" t="n">
        <v>0</v>
      </c>
      <c r="AR172" s="0" t="n">
        <v>0</v>
      </c>
      <c r="AS172" s="4" t="n">
        <f aca="false">60*U172-SUM(AT172:AX172)</f>
        <v>14.55</v>
      </c>
      <c r="AT172" s="3" t="n">
        <f aca="false">18+40/60</f>
        <v>18.6666666666667</v>
      </c>
      <c r="AU172" s="3" t="n">
        <f aca="false">66+7/10</f>
        <v>66.7</v>
      </c>
      <c r="AV172" s="3" t="n">
        <f aca="false">10+5/60</f>
        <v>10.0833333333333</v>
      </c>
      <c r="AW172" s="3" t="n">
        <v>0</v>
      </c>
      <c r="AX172" s="3" t="n">
        <v>0</v>
      </c>
    </row>
    <row r="173" customFormat="false" ht="12.8" hidden="false" customHeight="false" outlineLevel="0" collapsed="false">
      <c r="A173" s="10" t="n">
        <f aca="false">A172+1</f>
        <v>705</v>
      </c>
      <c r="B173" s="1" t="n">
        <v>44051.5</v>
      </c>
      <c r="C173" s="0" t="n">
        <v>0</v>
      </c>
      <c r="D173" s="0" t="s">
        <v>94</v>
      </c>
      <c r="F173" s="11" t="s">
        <v>121</v>
      </c>
      <c r="G173" s="2" t="n">
        <v>92</v>
      </c>
      <c r="H173" s="2" t="n">
        <v>68</v>
      </c>
      <c r="I173" s="2" t="n">
        <f aca="false">(48+42)/2</f>
        <v>45</v>
      </c>
      <c r="J173" s="2" t="s">
        <v>100</v>
      </c>
      <c r="K173" s="2" t="n">
        <v>15</v>
      </c>
      <c r="L173" s="2" t="n">
        <v>24</v>
      </c>
      <c r="M173" s="0" t="s">
        <v>88</v>
      </c>
    </row>
    <row r="174" customFormat="false" ht="12.8" hidden="false" customHeight="false" outlineLevel="0" collapsed="false">
      <c r="A174" s="10" t="n">
        <f aca="false">A173+1</f>
        <v>706</v>
      </c>
      <c r="B174" s="1" t="n">
        <v>44052.5215277778</v>
      </c>
      <c r="C174" s="0" t="n">
        <v>1</v>
      </c>
      <c r="F174" s="0" t="s">
        <v>59</v>
      </c>
      <c r="G174" s="2" t="n">
        <f aca="false">(91+94)/2</f>
        <v>92.5</v>
      </c>
      <c r="H174" s="2" t="n">
        <v>72</v>
      </c>
      <c r="I174" s="2" t="n">
        <f aca="false">(53+47)/2</f>
        <v>50</v>
      </c>
      <c r="J174" s="2" t="s">
        <v>112</v>
      </c>
      <c r="K174" s="2" t="n">
        <f aca="false">(15+10)/2</f>
        <v>12.5</v>
      </c>
      <c r="L174" s="2" t="n">
        <v>0</v>
      </c>
      <c r="M174" s="0" t="s">
        <v>88</v>
      </c>
      <c r="N174" s="0" t="n">
        <v>0</v>
      </c>
      <c r="O174" s="0" t="s">
        <v>105</v>
      </c>
      <c r="P174" s="0" t="s">
        <v>95</v>
      </c>
      <c r="Q174" s="3" t="n">
        <v>4.5</v>
      </c>
      <c r="R174" s="2" t="n">
        <v>798</v>
      </c>
      <c r="S174" s="2" t="n">
        <v>14368</v>
      </c>
      <c r="T174" s="2" t="n">
        <f aca="false">S174-R174</f>
        <v>13570</v>
      </c>
      <c r="U174" s="3" t="n">
        <f aca="false">(60+52)/60</f>
        <v>1.86666666666667</v>
      </c>
      <c r="V174" s="3" t="n">
        <f aca="false">(60+53)/60</f>
        <v>1.88333333333333</v>
      </c>
      <c r="W174" s="3" t="n">
        <f aca="false">V174-U174</f>
        <v>0.0166666666666666</v>
      </c>
      <c r="X174" s="3" t="n">
        <f aca="false">Q174/U174</f>
        <v>2.41071428571429</v>
      </c>
      <c r="Y174" s="0" t="n">
        <v>3</v>
      </c>
      <c r="Z174" s="3" t="n">
        <f aca="false">Q174/Y174</f>
        <v>1.5</v>
      </c>
      <c r="AA174" s="3" t="n">
        <f aca="false">24+52/60</f>
        <v>24.8666666666667</v>
      </c>
      <c r="AB174" s="2" t="n">
        <f aca="false">Y174*23*9/12</f>
        <v>51.75</v>
      </c>
      <c r="AC174" s="2" t="n">
        <v>570</v>
      </c>
      <c r="AD174" s="2" t="n">
        <v>98</v>
      </c>
      <c r="AE174" s="0" t="n">
        <v>124</v>
      </c>
      <c r="AF174" s="3" t="n">
        <f aca="false">24+41/60</f>
        <v>24.6833333333333</v>
      </c>
      <c r="AG174" s="3" t="n">
        <f aca="false">26+46/60</f>
        <v>26.7666666666667</v>
      </c>
      <c r="AH174" s="3" t="n">
        <f aca="false">24+50/60</f>
        <v>24.8333333333333</v>
      </c>
      <c r="AI174" s="3" t="n">
        <f aca="false">23+47/60</f>
        <v>23.7833333333333</v>
      </c>
      <c r="AJ174" s="3" t="n">
        <f aca="false">60/2.4</f>
        <v>25</v>
      </c>
      <c r="AP174" s="0" t="n">
        <v>0</v>
      </c>
      <c r="AQ174" s="0" t="n">
        <v>0</v>
      </c>
      <c r="AR174" s="0" t="n">
        <v>0</v>
      </c>
      <c r="AS174" s="4" t="n">
        <f aca="false">60*U174-SUM(AT174:AX174)</f>
        <v>0.0333333333333314</v>
      </c>
      <c r="AT174" s="3" t="n">
        <v>4</v>
      </c>
      <c r="AU174" s="3" t="n">
        <f aca="false">60+29.5</f>
        <v>89.5</v>
      </c>
      <c r="AV174" s="3" t="n">
        <f aca="false">17+13/60</f>
        <v>17.2166666666667</v>
      </c>
      <c r="AW174" s="3" t="n">
        <f aca="false">1+15/60</f>
        <v>1.25</v>
      </c>
      <c r="AX174" s="3" t="n">
        <v>0</v>
      </c>
      <c r="AY174" s="0" t="s">
        <v>57</v>
      </c>
      <c r="AZ174" s="0" t="s">
        <v>58</v>
      </c>
      <c r="BA174" s="0" t="n">
        <v>0</v>
      </c>
    </row>
    <row r="175" customFormat="false" ht="12.8" hidden="false" customHeight="false" outlineLevel="0" collapsed="false">
      <c r="A175" s="0" t="n">
        <f aca="false">A174+1</f>
        <v>707</v>
      </c>
      <c r="B175" s="1" t="n">
        <v>44053.5361111111</v>
      </c>
      <c r="C175" s="0" t="n">
        <v>1</v>
      </c>
      <c r="F175" s="0" t="s">
        <v>59</v>
      </c>
      <c r="G175" s="2" t="n">
        <f aca="false">(94+95)/2</f>
        <v>94.5</v>
      </c>
      <c r="H175" s="2" t="n">
        <f aca="false">(72+70)/2</f>
        <v>71</v>
      </c>
      <c r="I175" s="2" t="n">
        <f aca="false">(46+44)/2</f>
        <v>45</v>
      </c>
      <c r="J175" s="2" t="s">
        <v>108</v>
      </c>
      <c r="K175" s="2" t="n">
        <v>16</v>
      </c>
      <c r="L175" s="2" t="n">
        <v>0</v>
      </c>
      <c r="M175" s="0" t="s">
        <v>88</v>
      </c>
      <c r="N175" s="0" t="n">
        <v>0</v>
      </c>
      <c r="O175" s="0" t="s">
        <v>105</v>
      </c>
      <c r="P175" s="0" t="s">
        <v>95</v>
      </c>
      <c r="Q175" s="3" t="n">
        <v>3.39</v>
      </c>
      <c r="R175" s="2" t="n">
        <v>798</v>
      </c>
      <c r="S175" s="2" t="n">
        <v>11794</v>
      </c>
      <c r="T175" s="2" t="n">
        <f aca="false">S175-R175</f>
        <v>10996</v>
      </c>
      <c r="U175" s="3" t="n">
        <f aca="false">80/60</f>
        <v>1.33333333333333</v>
      </c>
      <c r="V175" s="3" t="n">
        <f aca="false">92/60</f>
        <v>1.53333333333333</v>
      </c>
      <c r="W175" s="3" t="n">
        <f aca="false">V175-U175</f>
        <v>0.2</v>
      </c>
      <c r="X175" s="3" t="n">
        <f aca="false">Q175/U175</f>
        <v>2.5425</v>
      </c>
      <c r="Y175" s="0" t="n">
        <v>2</v>
      </c>
      <c r="Z175" s="3" t="n">
        <f aca="false">Q175/Y175</f>
        <v>1.695</v>
      </c>
      <c r="AA175" s="3" t="n">
        <f aca="false">23+28/60</f>
        <v>23.4666666666667</v>
      </c>
      <c r="AB175" s="2" t="n">
        <f aca="false">Y175*23*9/12</f>
        <v>34.5</v>
      </c>
      <c r="AC175" s="2" t="n">
        <v>476</v>
      </c>
      <c r="AD175" s="2" t="n">
        <v>89</v>
      </c>
      <c r="AE175" s="0" t="n">
        <v>122</v>
      </c>
      <c r="AF175" s="3" t="n">
        <f aca="false">25+39/60</f>
        <v>25.65</v>
      </c>
      <c r="AG175" s="3" t="n">
        <f aca="false">23+3/60</f>
        <v>23.05</v>
      </c>
      <c r="AH175" s="3" t="n">
        <f aca="false">22+4/60</f>
        <v>22.0666666666667</v>
      </c>
      <c r="AI175" s="3" t="n">
        <f aca="false">60/2.7</f>
        <v>22.2222222222222</v>
      </c>
      <c r="AP175" s="0" t="n">
        <v>2</v>
      </c>
      <c r="AQ175" s="0" t="n">
        <v>0</v>
      </c>
      <c r="AR175" s="0" t="n">
        <v>0</v>
      </c>
      <c r="AS175" s="4" t="n">
        <f aca="false">60*U175-SUM(AT175:AX175)</f>
        <v>6.71666666666667</v>
      </c>
      <c r="AT175" s="0" t="n">
        <f aca="false">37+54/60</f>
        <v>37.9</v>
      </c>
      <c r="AU175" s="3" t="n">
        <f aca="false">24+20/60</f>
        <v>24.3333333333333</v>
      </c>
      <c r="AV175" s="3" t="n">
        <f aca="false">10+47/60</f>
        <v>10.7833333333333</v>
      </c>
      <c r="AW175" s="3" t="n">
        <f aca="false">16/60</f>
        <v>0.266666666666667</v>
      </c>
      <c r="AX175" s="3" t="n">
        <v>0</v>
      </c>
      <c r="AY175" s="0" t="s">
        <v>57</v>
      </c>
      <c r="AZ175" s="0" t="s">
        <v>58</v>
      </c>
      <c r="BA175" s="0" t="n">
        <v>0</v>
      </c>
    </row>
    <row r="176" customFormat="false" ht="12.8" hidden="false" customHeight="false" outlineLevel="0" collapsed="false">
      <c r="A176" s="0" t="n">
        <f aca="false">A175+1</f>
        <v>708</v>
      </c>
      <c r="B176" s="1" t="n">
        <v>44054.4951388889</v>
      </c>
      <c r="C176" s="0" t="n">
        <v>1</v>
      </c>
      <c r="F176" s="11" t="s">
        <v>119</v>
      </c>
      <c r="G176" s="2" t="n">
        <f aca="false">(91+94)/2</f>
        <v>92.5</v>
      </c>
      <c r="H176" s="2" t="n">
        <v>75</v>
      </c>
      <c r="I176" s="2" t="n">
        <f aca="false">AVERAGE(59+52)/2</f>
        <v>55.5</v>
      </c>
      <c r="J176" s="11" t="s">
        <v>122</v>
      </c>
      <c r="K176" s="2" t="n">
        <v>15</v>
      </c>
      <c r="L176" s="2" t="n">
        <v>22</v>
      </c>
      <c r="M176" s="0" t="s">
        <v>88</v>
      </c>
      <c r="N176" s="0" t="n">
        <v>0</v>
      </c>
      <c r="O176" s="0" t="s">
        <v>105</v>
      </c>
      <c r="P176" s="0" t="s">
        <v>95</v>
      </c>
      <c r="Q176" s="3" t="n">
        <v>3.27</v>
      </c>
      <c r="R176" s="2" t="n">
        <v>798</v>
      </c>
      <c r="S176" s="2" t="n">
        <v>11661</v>
      </c>
      <c r="T176" s="2" t="n">
        <f aca="false">S176-R176</f>
        <v>10863</v>
      </c>
      <c r="U176" s="3" t="n">
        <f aca="false">(60+24)/60</f>
        <v>1.4</v>
      </c>
      <c r="V176" s="3" t="n">
        <f aca="false">(60+27)/60</f>
        <v>1.45</v>
      </c>
      <c r="W176" s="3" t="n">
        <f aca="false">V176-U176</f>
        <v>0.05</v>
      </c>
      <c r="X176" s="3" t="n">
        <f aca="false">Q176/U176</f>
        <v>2.33571428571429</v>
      </c>
      <c r="Y176" s="0" t="n">
        <v>2</v>
      </c>
      <c r="Z176" s="3" t="n">
        <f aca="false">Q176/Y176</f>
        <v>1.635</v>
      </c>
      <c r="AA176" s="3" t="n">
        <f aca="false">25+40/60</f>
        <v>25.6666666666667</v>
      </c>
      <c r="AB176" s="2" t="n">
        <f aca="false">Y176*23*9/12</f>
        <v>34.5</v>
      </c>
      <c r="AC176" s="2" t="n">
        <v>529</v>
      </c>
      <c r="AD176" s="2" t="n">
        <v>106</v>
      </c>
      <c r="AE176" s="0" t="n">
        <v>132</v>
      </c>
      <c r="AF176" s="3" t="n">
        <f aca="false">23+42/60</f>
        <v>23.7</v>
      </c>
      <c r="AG176" s="3" t="n">
        <f aca="false">22+55/60</f>
        <v>22.9166666666667</v>
      </c>
      <c r="AH176" s="3" t="n">
        <f aca="false">29+15/60</f>
        <v>29.25</v>
      </c>
      <c r="AI176" s="3" t="n">
        <f aca="false">60/2</f>
        <v>30</v>
      </c>
      <c r="AP176" s="0" t="n">
        <v>1</v>
      </c>
      <c r="AQ176" s="0" t="n">
        <v>0</v>
      </c>
      <c r="AR176" s="0" t="n">
        <v>0</v>
      </c>
      <c r="AS176" s="4" t="n">
        <f aca="false">60*U176-SUM(AT176:AX176)</f>
        <v>0.233333333333334</v>
      </c>
      <c r="AT176" s="3" t="n">
        <f aca="false">2.25</f>
        <v>2.25</v>
      </c>
      <c r="AU176" s="3" t="n">
        <f aca="false">37+26/60</f>
        <v>37.4333333333333</v>
      </c>
      <c r="AV176" s="3" t="n">
        <f aca="false">31+15/60</f>
        <v>31.25</v>
      </c>
      <c r="AW176" s="3" t="n">
        <f aca="false">12+50/60</f>
        <v>12.8333333333333</v>
      </c>
      <c r="AX176" s="3" t="n">
        <v>0</v>
      </c>
      <c r="AY176" s="0" t="s">
        <v>57</v>
      </c>
      <c r="AZ176" s="0" t="s">
        <v>58</v>
      </c>
      <c r="BA176" s="0" t="n">
        <v>0</v>
      </c>
    </row>
    <row r="177" customFormat="false" ht="12.8" hidden="false" customHeight="false" outlineLevel="0" collapsed="false">
      <c r="A177" s="0" t="n">
        <f aca="false">A176+1</f>
        <v>709</v>
      </c>
      <c r="B177" s="1" t="n">
        <v>44055.5215277778</v>
      </c>
      <c r="C177" s="0" t="n">
        <v>1</v>
      </c>
      <c r="F177" s="11" t="s">
        <v>119</v>
      </c>
      <c r="G177" s="2" t="n">
        <v>97</v>
      </c>
      <c r="H177" s="2" t="n">
        <v>73</v>
      </c>
      <c r="I177" s="2" t="n">
        <v>47</v>
      </c>
      <c r="J177" s="2" t="s">
        <v>98</v>
      </c>
      <c r="K177" s="2" t="n">
        <v>9</v>
      </c>
      <c r="L177" s="2" t="n">
        <v>0</v>
      </c>
      <c r="M177" s="0" t="s">
        <v>88</v>
      </c>
      <c r="N177" s="0" t="n">
        <v>0</v>
      </c>
      <c r="O177" s="0" t="s">
        <v>105</v>
      </c>
      <c r="P177" s="0" t="s">
        <v>95</v>
      </c>
      <c r="Q177" s="3" t="n">
        <v>2.74</v>
      </c>
      <c r="R177" s="2" t="n">
        <v>1331</v>
      </c>
      <c r="S177" s="2" t="n">
        <v>12332</v>
      </c>
      <c r="T177" s="2" t="n">
        <f aca="false">S177-R177</f>
        <v>11001</v>
      </c>
      <c r="U177" s="3" t="n">
        <f aca="false">(60+27)/60</f>
        <v>1.45</v>
      </c>
      <c r="V177" s="3" t="n">
        <f aca="false">(60+31)/60</f>
        <v>1.51666666666667</v>
      </c>
      <c r="W177" s="3" t="n">
        <f aca="false">V177-U177</f>
        <v>0.0666666666666667</v>
      </c>
      <c r="X177" s="3" t="n">
        <f aca="false">Q177/U177</f>
        <v>1.88965517241379</v>
      </c>
      <c r="Y177" s="0" t="n">
        <v>1</v>
      </c>
      <c r="Z177" s="3" t="n">
        <f aca="false">Q177/Y177</f>
        <v>2.74</v>
      </c>
      <c r="AA177" s="3" t="n">
        <f aca="false">31+51/60</f>
        <v>31.85</v>
      </c>
      <c r="AB177" s="2" t="n">
        <f aca="false">AB174/3</f>
        <v>17.25</v>
      </c>
      <c r="AC177" s="2" t="n">
        <v>328</v>
      </c>
      <c r="AD177" s="2" t="n">
        <v>80</v>
      </c>
      <c r="AE177" s="0" t="n">
        <v>114</v>
      </c>
      <c r="AF177" s="3" t="n">
        <f aca="false">29+33/60</f>
        <v>29.55</v>
      </c>
      <c r="AG177" s="3" t="n">
        <f aca="false">37+17/60</f>
        <v>37.2833333333333</v>
      </c>
      <c r="AH177" s="3" t="n">
        <f aca="false">60/2.1</f>
        <v>28.5714285714286</v>
      </c>
      <c r="AP177" s="0" t="n">
        <v>2</v>
      </c>
      <c r="AQ177" s="0" t="n">
        <v>0</v>
      </c>
      <c r="AR177" s="0" t="n">
        <v>0</v>
      </c>
      <c r="AS177" s="4" t="n">
        <f aca="false">60*U177-SUM(AT177:AX177)</f>
        <v>28.8166666666667</v>
      </c>
      <c r="AT177" s="3" t="n">
        <f aca="false">46+31/60</f>
        <v>46.5166666666667</v>
      </c>
      <c r="AU177" s="3" t="n">
        <f aca="false">7+6/60</f>
        <v>7.1</v>
      </c>
      <c r="AV177" s="3" t="n">
        <f aca="false">4+34/60</f>
        <v>4.56666666666667</v>
      </c>
      <c r="AW177" s="3" t="n">
        <v>0</v>
      </c>
      <c r="AX177" s="3" t="n">
        <v>0</v>
      </c>
      <c r="AY177" s="0" t="s">
        <v>57</v>
      </c>
      <c r="AZ177" s="0" t="s">
        <v>58</v>
      </c>
      <c r="BA177" s="0" t="n">
        <v>0</v>
      </c>
    </row>
    <row r="178" customFormat="false" ht="12.8" hidden="false" customHeight="false" outlineLevel="0" collapsed="false">
      <c r="A178" s="0" t="n">
        <f aca="false">A177+1</f>
        <v>710</v>
      </c>
      <c r="B178" s="1" t="n">
        <v>44056.4673611111</v>
      </c>
      <c r="C178" s="0" t="n">
        <v>1</v>
      </c>
      <c r="F178" s="0" t="s">
        <v>59</v>
      </c>
      <c r="G178" s="2" t="n">
        <f aca="false">(94+97)/2</f>
        <v>95.5</v>
      </c>
      <c r="H178" s="2" t="n">
        <v>75</v>
      </c>
      <c r="I178" s="2" t="n">
        <f aca="false">(54+47)/2</f>
        <v>50.5</v>
      </c>
      <c r="J178" s="2" t="s">
        <v>98</v>
      </c>
      <c r="K178" s="2" t="n">
        <f aca="false">(10+14)/2</f>
        <v>12</v>
      </c>
      <c r="L178" s="2" t="n">
        <v>21</v>
      </c>
      <c r="M178" s="0" t="s">
        <v>88</v>
      </c>
      <c r="N178" s="0" t="n">
        <v>0</v>
      </c>
      <c r="O178" s="0" t="s">
        <v>105</v>
      </c>
      <c r="P178" s="0" t="s">
        <v>95</v>
      </c>
      <c r="Q178" s="3" t="n">
        <v>4.55</v>
      </c>
      <c r="R178" s="2" t="n">
        <v>680</v>
      </c>
      <c r="S178" s="2" t="n">
        <v>17880</v>
      </c>
      <c r="T178" s="2" t="n">
        <f aca="false">S178-R178</f>
        <v>17200</v>
      </c>
      <c r="U178" s="3" t="n">
        <f aca="false">(60+52)/60</f>
        <v>1.86666666666667</v>
      </c>
      <c r="V178" s="3" t="n">
        <f aca="false">(60+55)/60</f>
        <v>1.91666666666667</v>
      </c>
      <c r="W178" s="3" t="n">
        <f aca="false">V178-U178</f>
        <v>0.05</v>
      </c>
      <c r="X178" s="3" t="n">
        <f aca="false">Q178/U178</f>
        <v>2.4375</v>
      </c>
      <c r="Y178" s="0" t="n">
        <v>3</v>
      </c>
      <c r="Z178" s="3" t="n">
        <f aca="false">Q178/Y178</f>
        <v>1.51666666666667</v>
      </c>
      <c r="AA178" s="3" t="n">
        <f aca="false">24+39/60</f>
        <v>24.65</v>
      </c>
      <c r="AB178" s="2" t="n">
        <f aca="false">Y178*23*9/12</f>
        <v>51.75</v>
      </c>
      <c r="AC178" s="2" t="n">
        <v>491</v>
      </c>
      <c r="AD178" s="2" t="n">
        <v>80</v>
      </c>
      <c r="AE178" s="0" t="n">
        <v>112</v>
      </c>
      <c r="AF178" s="3" t="n">
        <f aca="false">24+59/60</f>
        <v>24.9833333333333</v>
      </c>
      <c r="AG178" s="3" t="n">
        <f aca="false">25+38/60</f>
        <v>25.6333333333333</v>
      </c>
      <c r="AH178" s="3" t="n">
        <f aca="false">24+51/60</f>
        <v>24.85</v>
      </c>
      <c r="AI178" s="3" t="n">
        <f aca="false">24+32/60</f>
        <v>24.5333333333333</v>
      </c>
      <c r="AJ178" s="3" t="n">
        <f aca="false">60/2.7</f>
        <v>22.2222222222222</v>
      </c>
      <c r="AP178" s="0" t="n">
        <v>1</v>
      </c>
      <c r="AQ178" s="0" t="n">
        <v>0</v>
      </c>
      <c r="AR178" s="0" t="n">
        <v>0</v>
      </c>
      <c r="AS178" s="4" t="n">
        <f aca="false">60*U178-SUM(AT178:AX178)</f>
        <v>34.1666666666667</v>
      </c>
      <c r="AT178" s="3" t="n">
        <f aca="false">55+55/60</f>
        <v>55.9166666666667</v>
      </c>
      <c r="AU178" s="3" t="n">
        <f aca="false">18+6/60</f>
        <v>18.1</v>
      </c>
      <c r="AV178" s="3" t="n">
        <f aca="false">3+49/60</f>
        <v>3.81666666666667</v>
      </c>
      <c r="AW178" s="3" t="n">
        <v>0</v>
      </c>
      <c r="AX178" s="3" t="n">
        <v>0</v>
      </c>
      <c r="AY178" s="0" t="s">
        <v>57</v>
      </c>
      <c r="AZ178" s="0" t="s">
        <v>58</v>
      </c>
      <c r="BA178" s="0" t="n">
        <v>0</v>
      </c>
    </row>
    <row r="179" customFormat="false" ht="12.8" hidden="false" customHeight="false" outlineLevel="0" collapsed="false">
      <c r="A179" s="0" t="n">
        <f aca="false">A178+1</f>
        <v>711</v>
      </c>
      <c r="B179" s="1" t="n">
        <v>44057.4826388889</v>
      </c>
      <c r="C179" s="0" t="n">
        <v>1</v>
      </c>
      <c r="F179" s="11" t="s">
        <v>119</v>
      </c>
      <c r="G179" s="2" t="n">
        <f aca="false">(95+98)/2</f>
        <v>96.5</v>
      </c>
      <c r="H179" s="2" t="n">
        <v>71</v>
      </c>
      <c r="I179" s="2" t="n">
        <v>43</v>
      </c>
      <c r="J179" s="2" t="s">
        <v>98</v>
      </c>
      <c r="K179" s="2" t="n">
        <v>13</v>
      </c>
      <c r="L179" s="2" t="n">
        <v>21</v>
      </c>
      <c r="M179" s="0" t="s">
        <v>88</v>
      </c>
      <c r="N179" s="0" t="n">
        <v>0</v>
      </c>
      <c r="O179" s="0" t="s">
        <v>105</v>
      </c>
      <c r="P179" s="0" t="s">
        <v>95</v>
      </c>
      <c r="Q179" s="3" t="n">
        <v>4.55</v>
      </c>
      <c r="R179" s="2" t="n">
        <v>724</v>
      </c>
      <c r="S179" s="2" t="n">
        <v>15182</v>
      </c>
      <c r="T179" s="2" t="n">
        <f aca="false">S179-R179</f>
        <v>14458</v>
      </c>
      <c r="U179" s="3" t="n">
        <f aca="false">(60+51)/60</f>
        <v>1.85</v>
      </c>
      <c r="V179" s="3" t="n">
        <f aca="false">(60+57)/60</f>
        <v>1.95</v>
      </c>
      <c r="W179" s="3" t="n">
        <f aca="false">V179-U179</f>
        <v>0.0999999999999999</v>
      </c>
      <c r="X179" s="3" t="n">
        <f aca="false">Q179/U179</f>
        <v>2.45945945945946</v>
      </c>
      <c r="Y179" s="0" t="n">
        <v>3</v>
      </c>
      <c r="Z179" s="3" t="n">
        <f aca="false">Q179/Y179</f>
        <v>1.51666666666667</v>
      </c>
      <c r="AA179" s="3" t="n">
        <f aca="false">24+24/60</f>
        <v>24.4</v>
      </c>
      <c r="AB179" s="2" t="n">
        <v>69</v>
      </c>
      <c r="AC179" s="2" t="n">
        <v>476</v>
      </c>
      <c r="AD179" s="2" t="n">
        <v>82</v>
      </c>
      <c r="AE179" s="0" t="n">
        <v>105</v>
      </c>
      <c r="AF179" s="3" t="n">
        <f aca="false">20+56/60</f>
        <v>20.9333333333333</v>
      </c>
      <c r="AG179" s="3" t="n">
        <f aca="false">23+45/60</f>
        <v>23.75</v>
      </c>
      <c r="AH179" s="3" t="n">
        <f aca="false">27</f>
        <v>27</v>
      </c>
      <c r="AI179" s="3" t="n">
        <f aca="false">24+41/60</f>
        <v>24.6833333333333</v>
      </c>
      <c r="AJ179" s="3" t="n">
        <f aca="false">60/2.3</f>
        <v>26.0869565217391</v>
      </c>
      <c r="AP179" s="0" t="n">
        <v>1</v>
      </c>
      <c r="AQ179" s="0" t="n">
        <v>0</v>
      </c>
      <c r="AR179" s="0" t="n">
        <v>0</v>
      </c>
      <c r="AS179" s="4" t="n">
        <f aca="false">60*U179-SUM(AT179:AX179)</f>
        <v>14.3666666666667</v>
      </c>
      <c r="AT179" s="3" t="n">
        <f aca="false">78+31/60</f>
        <v>78.5166666666667</v>
      </c>
      <c r="AU179" s="3" t="n">
        <f aca="false">17+34/60</f>
        <v>17.5666666666667</v>
      </c>
      <c r="AV179" s="3" t="n">
        <f aca="false">33/60</f>
        <v>0.55</v>
      </c>
      <c r="AW179" s="3" t="n">
        <v>0</v>
      </c>
      <c r="AX179" s="3" t="n">
        <v>0</v>
      </c>
      <c r="AY179" s="0" t="s">
        <v>57</v>
      </c>
      <c r="AZ179" s="0" t="s">
        <v>58</v>
      </c>
      <c r="BA179" s="0" t="n">
        <v>0</v>
      </c>
    </row>
    <row r="180" customFormat="false" ht="12.8" hidden="false" customHeight="false" outlineLevel="0" collapsed="false">
      <c r="A180" s="0" t="n">
        <f aca="false">A179+1</f>
        <v>712</v>
      </c>
      <c r="B180" s="1" t="n">
        <v>44058.4097222222</v>
      </c>
      <c r="C180" s="0" t="n">
        <v>1</v>
      </c>
      <c r="F180" s="11" t="s">
        <v>119</v>
      </c>
      <c r="G180" s="2" t="n">
        <f aca="false">(86+89)/2</f>
        <v>87.5</v>
      </c>
      <c r="H180" s="2" t="n">
        <v>72</v>
      </c>
      <c r="I180" s="2" t="n">
        <f aca="false">(63+57)/2</f>
        <v>60</v>
      </c>
      <c r="J180" s="2" t="s">
        <v>98</v>
      </c>
      <c r="K180" s="2" t="n">
        <v>8</v>
      </c>
      <c r="L180" s="2" t="n">
        <v>0</v>
      </c>
      <c r="M180" s="0" t="s">
        <v>88</v>
      </c>
      <c r="N180" s="0" t="n">
        <v>0</v>
      </c>
      <c r="O180" s="0" t="s">
        <v>105</v>
      </c>
      <c r="P180" s="0" t="s">
        <v>95</v>
      </c>
      <c r="Q180" s="3" t="n">
        <v>4.87</v>
      </c>
      <c r="R180" s="2" t="n">
        <v>556</v>
      </c>
      <c r="S180" s="2" t="n">
        <v>16499</v>
      </c>
      <c r="T180" s="2" t="n">
        <f aca="false">S180-R180</f>
        <v>15943</v>
      </c>
      <c r="U180" s="3" t="n">
        <f aca="false">(120+3)/60</f>
        <v>2.05</v>
      </c>
      <c r="V180" s="3" t="n">
        <f aca="false">(120+8)/60</f>
        <v>2.13333333333333</v>
      </c>
      <c r="W180" s="3" t="n">
        <f aca="false">V180-U180</f>
        <v>0.0833333333333335</v>
      </c>
      <c r="X180" s="3" t="n">
        <f aca="false">Q180/U180</f>
        <v>2.37560975609756</v>
      </c>
      <c r="Y180" s="0" t="n">
        <v>3</v>
      </c>
      <c r="Z180" s="3" t="n">
        <f aca="false">Q180/Y180</f>
        <v>1.62333333333333</v>
      </c>
      <c r="AA180" s="3" t="n">
        <f aca="false">25+13/60</f>
        <v>25.2166666666667</v>
      </c>
      <c r="AB180" s="2" t="n">
        <v>49</v>
      </c>
      <c r="AC180" s="2" t="n">
        <v>534</v>
      </c>
      <c r="AD180" s="2" t="n">
        <v>85</v>
      </c>
      <c r="AE180" s="0" t="n">
        <v>122</v>
      </c>
      <c r="AF180" s="3" t="n">
        <f aca="false">23+59/60</f>
        <v>23.9833333333333</v>
      </c>
      <c r="AG180" s="3" t="n">
        <f aca="false">27+2/60</f>
        <v>27.0333333333333</v>
      </c>
      <c r="AH180" s="3" t="n">
        <f aca="false">26+15/60</f>
        <v>26.25</v>
      </c>
      <c r="AI180" s="3" t="n">
        <f aca="false">24+23/60</f>
        <v>24.3833333333333</v>
      </c>
      <c r="AJ180" s="3" t="n">
        <f aca="false">60/2.5</f>
        <v>24</v>
      </c>
      <c r="AP180" s="0" t="n">
        <v>1</v>
      </c>
      <c r="AQ180" s="0" t="n">
        <v>0</v>
      </c>
      <c r="AR180" s="0" t="n">
        <v>0</v>
      </c>
      <c r="AS180" s="4" t="n">
        <f aca="false">60*U180-SUM(AT180:AX180)</f>
        <v>18.1166666666667</v>
      </c>
      <c r="AT180" s="3" t="n">
        <f aca="false">67+58/60</f>
        <v>67.9666666666667</v>
      </c>
      <c r="AU180" s="3" t="n">
        <f aca="false">33+2/60</f>
        <v>33.0333333333333</v>
      </c>
      <c r="AV180" s="3" t="n">
        <f aca="false">3+53/60</f>
        <v>3.88333333333333</v>
      </c>
      <c r="AW180" s="3" t="n">
        <v>0</v>
      </c>
      <c r="AX180" s="3" t="n">
        <v>0</v>
      </c>
      <c r="AY180" s="0" t="s">
        <v>57</v>
      </c>
      <c r="AZ180" s="0" t="s">
        <v>58</v>
      </c>
      <c r="BA180" s="0" t="n">
        <v>0</v>
      </c>
    </row>
    <row r="181" customFormat="false" ht="12.8" hidden="false" customHeight="false" outlineLevel="0" collapsed="false">
      <c r="A181" s="0" t="n">
        <f aca="false">A180+1</f>
        <v>713</v>
      </c>
      <c r="B181" s="1" t="n">
        <v>44059.5090277778</v>
      </c>
      <c r="C181" s="0" t="n">
        <v>1</v>
      </c>
      <c r="F181" s="11" t="s">
        <v>116</v>
      </c>
      <c r="G181" s="2" t="n">
        <f aca="false">(94+97)/2</f>
        <v>95.5</v>
      </c>
      <c r="H181" s="2" t="n">
        <f aca="false">(71+69)/2</f>
        <v>70</v>
      </c>
      <c r="I181" s="2" t="n">
        <f aca="false">(43+37)/2</f>
        <v>40</v>
      </c>
      <c r="J181" s="2" t="s">
        <v>123</v>
      </c>
      <c r="K181" s="2" t="n">
        <f aca="false">5/2</f>
        <v>2.5</v>
      </c>
      <c r="L181" s="2" t="n">
        <v>0</v>
      </c>
      <c r="M181" s="0" t="s">
        <v>88</v>
      </c>
      <c r="N181" s="0" t="n">
        <v>0</v>
      </c>
      <c r="O181" s="0" t="s">
        <v>105</v>
      </c>
      <c r="P181" s="0" t="s">
        <v>95</v>
      </c>
      <c r="Q181" s="3" t="n">
        <v>4.18</v>
      </c>
      <c r="R181" s="2" t="n">
        <v>776</v>
      </c>
      <c r="S181" s="2" t="n">
        <v>17266</v>
      </c>
      <c r="T181" s="2" t="n">
        <f aca="false">S181-R181</f>
        <v>16490</v>
      </c>
      <c r="U181" s="3" t="n">
        <f aca="false">(120+15)/60</f>
        <v>2.25</v>
      </c>
      <c r="V181" s="3" t="n">
        <f aca="false">(120+18)/60</f>
        <v>2.3</v>
      </c>
      <c r="W181" s="3" t="n">
        <f aca="false">V181-U181</f>
        <v>0.0499999999999998</v>
      </c>
      <c r="X181" s="3" t="n">
        <f aca="false">Q181/U181</f>
        <v>1.85777777777778</v>
      </c>
      <c r="Y181" s="0" t="n">
        <v>3</v>
      </c>
      <c r="Z181" s="3" t="n">
        <f aca="false">Q181/Y181</f>
        <v>1.39333333333333</v>
      </c>
      <c r="AA181" s="3" t="n">
        <f aca="false">32+17/60</f>
        <v>32.2833333333333</v>
      </c>
      <c r="AB181" s="2" t="n">
        <v>62</v>
      </c>
      <c r="AC181" s="2" t="n">
        <v>744</v>
      </c>
      <c r="AD181" s="2" t="n">
        <v>106</v>
      </c>
      <c r="AE181" s="0" t="n">
        <v>133</v>
      </c>
      <c r="AF181" s="3" t="n">
        <f aca="false">28+48/60</f>
        <v>28.8</v>
      </c>
      <c r="AG181" s="3" t="n">
        <f aca="false">31+37/60</f>
        <v>31.6166666666667</v>
      </c>
      <c r="AH181" s="3" t="n">
        <f aca="false">32+35/60</f>
        <v>32.5833333333333</v>
      </c>
      <c r="AI181" s="3" t="n">
        <f aca="false">36+35/60</f>
        <v>36.5833333333333</v>
      </c>
      <c r="AJ181" s="3" t="n">
        <f aca="false">60/2</f>
        <v>30</v>
      </c>
      <c r="AP181" s="0" t="n">
        <v>0</v>
      </c>
      <c r="AQ181" s="0" t="n">
        <v>0</v>
      </c>
      <c r="AR181" s="0" t="n">
        <v>0</v>
      </c>
      <c r="AS181" s="4" t="n">
        <f aca="false">60*U181-SUM(AT181:AX181)</f>
        <v>0.0333333333333314</v>
      </c>
      <c r="AT181" s="3" t="n">
        <f aca="false">32/60</f>
        <v>0.533333333333333</v>
      </c>
      <c r="AU181" s="3" t="n">
        <f aca="false">55+17/60</f>
        <v>55.2833333333333</v>
      </c>
      <c r="AV181" s="3" t="n">
        <f aca="false">67+51/60</f>
        <v>67.85</v>
      </c>
      <c r="AW181" s="3" t="n">
        <f aca="false">11+18/60</f>
        <v>11.3</v>
      </c>
      <c r="AX181" s="3" t="n">
        <v>0</v>
      </c>
      <c r="AY181" s="0" t="s">
        <v>57</v>
      </c>
      <c r="AZ181" s="0" t="s">
        <v>58</v>
      </c>
      <c r="BA181" s="0" t="n">
        <v>1</v>
      </c>
      <c r="BB181" s="0" t="s">
        <v>80</v>
      </c>
    </row>
    <row r="182" customFormat="false" ht="12.8" hidden="false" customHeight="false" outlineLevel="0" collapsed="false">
      <c r="A182" s="0" t="n">
        <f aca="false">A181+1</f>
        <v>714</v>
      </c>
      <c r="B182" s="1" t="n">
        <v>44060.5</v>
      </c>
      <c r="C182" s="0" t="n">
        <v>1</v>
      </c>
      <c r="F182" s="11" t="s">
        <v>116</v>
      </c>
      <c r="G182" s="2" t="n">
        <v>87</v>
      </c>
      <c r="H182" s="2" t="n">
        <f aca="false">(67+70)/2</f>
        <v>68.5</v>
      </c>
      <c r="I182" s="2" t="n">
        <v>54</v>
      </c>
      <c r="J182" s="2" t="s">
        <v>124</v>
      </c>
      <c r="K182" s="2" t="n">
        <v>0</v>
      </c>
      <c r="L182" s="2" t="n">
        <v>0</v>
      </c>
      <c r="M182" s="0" t="s">
        <v>89</v>
      </c>
      <c r="N182" s="0" t="n">
        <v>1</v>
      </c>
      <c r="O182" s="0" t="s">
        <v>105</v>
      </c>
      <c r="P182" s="0" t="s">
        <v>95</v>
      </c>
      <c r="Q182" s="3" t="n">
        <f aca="false">AVERAGE(Q163:Q181)</f>
        <v>4.26055555555556</v>
      </c>
      <c r="T182" s="2" t="n">
        <f aca="false">AVERAGE(T174:T181)</f>
        <v>13815.125</v>
      </c>
      <c r="U182" s="3" t="n">
        <f aca="false">AVERAGE(U174:U181)</f>
        <v>1.75833333333333</v>
      </c>
      <c r="V182" s="3" t="n">
        <f aca="false">AVERAGE(V174:V181)</f>
        <v>1.83541666666667</v>
      </c>
      <c r="W182" s="3" t="n">
        <f aca="false">V182-U182</f>
        <v>0.0770833333333334</v>
      </c>
      <c r="X182" s="3" t="n">
        <f aca="false">Q182/U182</f>
        <v>2.42306477093207</v>
      </c>
      <c r="Y182" s="0" t="n">
        <v>3</v>
      </c>
      <c r="Z182" s="3" t="n">
        <f aca="false">Q182/Y182</f>
        <v>1.42018518518519</v>
      </c>
      <c r="AA182" s="3" t="n">
        <f aca="false">60/X182</f>
        <v>24.7620289477116</v>
      </c>
      <c r="AB182" s="2" t="n">
        <f aca="false">AVERAGE(AB174:AB181)</f>
        <v>46.21875</v>
      </c>
      <c r="AC182" s="2" t="n">
        <f aca="false">AVERAGE(AC174:AC181)</f>
        <v>518.5</v>
      </c>
      <c r="AD182" s="2" t="n">
        <f aca="false">AVERAGE(AD174:AD181)</f>
        <v>90.75</v>
      </c>
      <c r="AE182" s="0" t="n">
        <f aca="false">AVERAGE(AE175:AE181)</f>
        <v>120</v>
      </c>
      <c r="AF182" s="3" t="n">
        <f aca="false">AA182</f>
        <v>24.7620289477116</v>
      </c>
      <c r="AG182" s="3" t="n">
        <f aca="false">AA182</f>
        <v>24.7620289477116</v>
      </c>
      <c r="AH182" s="3" t="n">
        <f aca="false">AB182</f>
        <v>46.21875</v>
      </c>
      <c r="AI182" s="3" t="n">
        <f aca="false">AC182</f>
        <v>518.5</v>
      </c>
      <c r="AJ182" s="3" t="n">
        <f aca="false">AD182</f>
        <v>90.75</v>
      </c>
      <c r="AP182" s="0" t="n">
        <v>0</v>
      </c>
      <c r="AQ182" s="0" t="n">
        <v>0</v>
      </c>
      <c r="AR182" s="0" t="n">
        <v>0</v>
      </c>
      <c r="AS182" s="4" t="n">
        <f aca="false">60*U182-SUM(AT182:AX182)</f>
        <v>12.8104166666667</v>
      </c>
      <c r="AT182" s="3" t="n">
        <f aca="false">AVERAGE(AT174:AT181)</f>
        <v>36.7</v>
      </c>
      <c r="AU182" s="3" t="n">
        <f aca="false">AVERAGE(AU174:AU181)</f>
        <v>35.29375</v>
      </c>
      <c r="AV182" s="3" t="n">
        <f aca="false">AVERAGE(AV174:AV181)</f>
        <v>17.4895833333333</v>
      </c>
      <c r="AW182" s="3" t="n">
        <f aca="false">AVERAGE(AW174:AW181)</f>
        <v>3.20625</v>
      </c>
      <c r="AX182" s="3" t="n">
        <v>0</v>
      </c>
      <c r="AY182" s="0" t="s">
        <v>57</v>
      </c>
      <c r="AZ182" s="0" t="s">
        <v>58</v>
      </c>
      <c r="BA182" s="0" t="n">
        <v>0</v>
      </c>
    </row>
    <row r="183" customFormat="false" ht="12.8" hidden="false" customHeight="false" outlineLevel="0" collapsed="false">
      <c r="A183" s="0" t="n">
        <v>715</v>
      </c>
      <c r="B183" s="1" t="n">
        <v>44061.5</v>
      </c>
      <c r="C183" s="0" t="n">
        <v>0</v>
      </c>
      <c r="D183" s="0" t="s">
        <v>125</v>
      </c>
      <c r="F183" s="0" t="s">
        <v>59</v>
      </c>
      <c r="G183" s="2" t="n">
        <v>91</v>
      </c>
      <c r="H183" s="2" t="n">
        <v>68</v>
      </c>
      <c r="I183" s="2" t="n">
        <v>41</v>
      </c>
      <c r="J183" s="2" t="s">
        <v>97</v>
      </c>
      <c r="K183" s="2" t="n">
        <v>15</v>
      </c>
      <c r="L183" s="2" t="n">
        <v>25</v>
      </c>
      <c r="M183" s="0" t="s">
        <v>88</v>
      </c>
    </row>
    <row r="184" customFormat="false" ht="12.8" hidden="false" customHeight="false" outlineLevel="0" collapsed="false">
      <c r="A184" s="0" t="n">
        <f aca="false">A183+1</f>
        <v>716</v>
      </c>
      <c r="B184" s="1" t="n">
        <v>44062.5041666667</v>
      </c>
      <c r="C184" s="0" t="n">
        <v>1</v>
      </c>
      <c r="F184" s="11" t="s">
        <v>119</v>
      </c>
      <c r="G184" s="2" t="n">
        <v>87</v>
      </c>
      <c r="H184" s="2" t="n">
        <v>58</v>
      </c>
      <c r="I184" s="2" t="n">
        <v>37</v>
      </c>
      <c r="J184" s="2" t="s">
        <v>120</v>
      </c>
      <c r="K184" s="2" t="n">
        <v>8</v>
      </c>
      <c r="L184" s="2" t="n">
        <v>0</v>
      </c>
      <c r="M184" s="0" t="s">
        <v>89</v>
      </c>
      <c r="N184" s="0" t="n">
        <v>0</v>
      </c>
      <c r="O184" s="0" t="s">
        <v>105</v>
      </c>
      <c r="P184" s="0" t="s">
        <v>95</v>
      </c>
      <c r="Q184" s="3" t="n">
        <v>4.7</v>
      </c>
      <c r="R184" s="2" t="n">
        <v>1267</v>
      </c>
      <c r="S184" s="2" t="n">
        <v>17122</v>
      </c>
      <c r="T184" s="2" t="n">
        <f aca="false">S184-R184</f>
        <v>15855</v>
      </c>
      <c r="U184" s="3" t="n">
        <f aca="false">(120+7)/60</f>
        <v>2.11666666666667</v>
      </c>
      <c r="V184" s="3" t="n">
        <f aca="false">(120+16)/60</f>
        <v>2.26666666666667</v>
      </c>
      <c r="W184" s="3" t="n">
        <f aca="false">V184-U184</f>
        <v>0.15</v>
      </c>
      <c r="X184" s="3" t="n">
        <f aca="false">Q184/U184</f>
        <v>2.22047244094488</v>
      </c>
      <c r="Y184" s="0" t="n">
        <v>3</v>
      </c>
      <c r="Z184" s="3" t="n">
        <f aca="false">Q184/Y184</f>
        <v>1.56666666666667</v>
      </c>
      <c r="AA184" s="3" t="n">
        <f aca="false">26+57/60</f>
        <v>26.95</v>
      </c>
      <c r="AB184" s="2" t="n">
        <v>59</v>
      </c>
      <c r="AC184" s="2" t="n">
        <v>602</v>
      </c>
      <c r="AD184" s="2" t="n">
        <v>86</v>
      </c>
      <c r="AE184" s="0" t="n">
        <v>124</v>
      </c>
      <c r="AF184" s="3" t="n">
        <f aca="false">25+26/60</f>
        <v>25.4333333333333</v>
      </c>
      <c r="AG184" s="3" t="n">
        <f aca="false">30+7/60</f>
        <v>30.1166666666667</v>
      </c>
      <c r="AH184" s="3" t="n">
        <f aca="false">26+36/60</f>
        <v>26.6</v>
      </c>
      <c r="AI184" s="3" t="n">
        <f aca="false">26+25/60</f>
        <v>26.4166666666667</v>
      </c>
      <c r="AJ184" s="3" t="n">
        <f aca="false">60/2.3</f>
        <v>26.0869565217391</v>
      </c>
      <c r="AP184" s="0" t="n">
        <v>3</v>
      </c>
      <c r="AQ184" s="0" t="n">
        <v>0</v>
      </c>
      <c r="AR184" s="0" t="n">
        <v>0</v>
      </c>
      <c r="AS184" s="4" t="n">
        <f aca="false">60*U184-SUM(AT184:AX184)</f>
        <v>17.1666666666667</v>
      </c>
      <c r="AT184" s="3" t="n">
        <f aca="false">70+35/60</f>
        <v>70.5833333333333</v>
      </c>
      <c r="AU184" s="3" t="n">
        <f aca="false">26+19/60</f>
        <v>26.3166666666667</v>
      </c>
      <c r="AV184" s="3" t="n">
        <f aca="false">12+7/60</f>
        <v>12.1166666666667</v>
      </c>
      <c r="AW184" s="3" t="n">
        <f aca="false">49/60</f>
        <v>0.816666666666667</v>
      </c>
      <c r="AX184" s="3" t="n">
        <v>0</v>
      </c>
      <c r="AY184" s="0" t="s">
        <v>57</v>
      </c>
      <c r="AZ184" s="0" t="s">
        <v>58</v>
      </c>
      <c r="BA184" s="0" t="n">
        <v>0</v>
      </c>
    </row>
    <row r="185" customFormat="false" ht="12.8" hidden="false" customHeight="false" outlineLevel="0" collapsed="false">
      <c r="A185" s="0" t="n">
        <f aca="false">A184+1</f>
        <v>717</v>
      </c>
      <c r="B185" s="1" t="n">
        <v>44063.3291666667</v>
      </c>
      <c r="C185" s="0" t="n">
        <v>1</v>
      </c>
      <c r="F185" s="11" t="s">
        <v>121</v>
      </c>
      <c r="G185" s="2" t="n">
        <v>73</v>
      </c>
      <c r="H185" s="2" t="n">
        <v>54</v>
      </c>
      <c r="I185" s="2" t="n">
        <v>48</v>
      </c>
      <c r="J185" s="11" t="s">
        <v>126</v>
      </c>
      <c r="K185" s="2" t="n">
        <v>0</v>
      </c>
      <c r="L185" s="2" t="n">
        <v>0</v>
      </c>
      <c r="M185" s="0" t="s">
        <v>89</v>
      </c>
      <c r="N185" s="0" t="n">
        <v>0</v>
      </c>
      <c r="O185" s="0" t="s">
        <v>105</v>
      </c>
      <c r="P185" s="0" t="s">
        <v>127</v>
      </c>
      <c r="Q185" s="3" t="n">
        <v>4.08</v>
      </c>
      <c r="R185" s="2" t="n">
        <v>813</v>
      </c>
      <c r="S185" s="2" t="n">
        <v>9135</v>
      </c>
      <c r="T185" s="2" t="n">
        <f aca="false">S185-R185</f>
        <v>8322</v>
      </c>
      <c r="U185" s="3" t="n">
        <f aca="false">65/60</f>
        <v>1.08333333333333</v>
      </c>
      <c r="V185" s="3" t="n">
        <f aca="false">66/60</f>
        <v>1.1</v>
      </c>
      <c r="W185" s="3" t="n">
        <f aca="false">V185-U185</f>
        <v>0.0166666666666668</v>
      </c>
      <c r="X185" s="3" t="n">
        <f aca="false">Q185/U185</f>
        <v>3.76615384615385</v>
      </c>
      <c r="Y185" s="0" t="n">
        <v>1</v>
      </c>
      <c r="Z185" s="3" t="n">
        <f aca="false">Q185/Y185</f>
        <v>4.08</v>
      </c>
      <c r="AA185" s="3" t="n">
        <f aca="false">15+59/60</f>
        <v>15.9833333333333</v>
      </c>
      <c r="AB185" s="2" t="n">
        <v>105</v>
      </c>
      <c r="AC185" s="2" t="n">
        <v>525</v>
      </c>
      <c r="AD185" s="2" t="n">
        <v>113</v>
      </c>
      <c r="AE185" s="0" t="n">
        <v>151</v>
      </c>
      <c r="AF185" s="3" t="n">
        <f aca="false">15+33/60</f>
        <v>15.55</v>
      </c>
      <c r="AG185" s="3" t="n">
        <f aca="false">16+11/60</f>
        <v>16.1833333333333</v>
      </c>
      <c r="AH185" s="3" t="n">
        <f aca="false">16+24/60</f>
        <v>16.4</v>
      </c>
      <c r="AI185" s="3" t="n">
        <f aca="false">15+49/60</f>
        <v>15.8166666666667</v>
      </c>
      <c r="AJ185" s="3" t="n">
        <f aca="false">60/3.7</f>
        <v>16.2162162162162</v>
      </c>
      <c r="AP185" s="0" t="n">
        <v>0</v>
      </c>
      <c r="AQ185" s="0" t="n">
        <v>0</v>
      </c>
      <c r="AR185" s="0" t="n">
        <v>0</v>
      </c>
      <c r="AS185" s="4" t="n">
        <v>0</v>
      </c>
      <c r="AT185" s="3" t="n">
        <f aca="false">4+54/60</f>
        <v>4.9</v>
      </c>
      <c r="AU185" s="3" t="n">
        <f aca="false">28+9/60</f>
        <v>28.15</v>
      </c>
      <c r="AV185" s="3" t="n">
        <f aca="false">5+51/60</f>
        <v>5.85</v>
      </c>
      <c r="AW185" s="3" t="n">
        <f aca="false">7+3/60</f>
        <v>7.05</v>
      </c>
      <c r="AX185" s="3" t="n">
        <f aca="false">19+18/60</f>
        <v>19.3</v>
      </c>
      <c r="AY185" s="0" t="s">
        <v>57</v>
      </c>
      <c r="AZ185" s="0" t="s">
        <v>58</v>
      </c>
      <c r="BA185" s="0" t="n">
        <v>1</v>
      </c>
      <c r="BB185" s="0" t="s">
        <v>80</v>
      </c>
    </row>
    <row r="186" customFormat="false" ht="12.8" hidden="false" customHeight="false" outlineLevel="0" collapsed="false">
      <c r="A186" s="0" t="n">
        <f aca="false">A185+1</f>
        <v>718</v>
      </c>
      <c r="B186" s="1" t="n">
        <v>44064.5680555556</v>
      </c>
      <c r="C186" s="0" t="n">
        <v>1</v>
      </c>
      <c r="F186" s="11" t="s">
        <v>121</v>
      </c>
      <c r="G186" s="11" t="n">
        <v>93</v>
      </c>
      <c r="H186" s="2" t="n">
        <v>62</v>
      </c>
      <c r="I186" s="2" t="n">
        <v>37</v>
      </c>
      <c r="J186" s="2" t="s">
        <v>128</v>
      </c>
      <c r="K186" s="2" t="n">
        <v>3</v>
      </c>
      <c r="L186" s="2" t="n">
        <v>0</v>
      </c>
      <c r="M186" s="0" t="s">
        <v>88</v>
      </c>
      <c r="N186" s="0" t="n">
        <v>0</v>
      </c>
      <c r="O186" s="0" t="s">
        <v>105</v>
      </c>
      <c r="P186" s="0" t="s">
        <v>95</v>
      </c>
      <c r="Q186" s="3" t="n">
        <f aca="false">AVERAGE(Q178:Q182,Q184:Q185)*2/3</f>
        <v>2.9705291005291</v>
      </c>
      <c r="T186" s="2" t="n">
        <f aca="false">AVERAGE(T178:T182,T184)</f>
        <v>15626.8541666667</v>
      </c>
      <c r="U186" s="3" t="n">
        <f aca="false">(60+11)/60</f>
        <v>1.18333333333333</v>
      </c>
      <c r="V186" s="3" t="n">
        <f aca="false">(60+16)/60</f>
        <v>1.26666666666667</v>
      </c>
      <c r="W186" s="3" t="n">
        <f aca="false">V186-U186</f>
        <v>0.0833333333333333</v>
      </c>
      <c r="X186" s="3" t="n">
        <f aca="false">Q186/U186</f>
        <v>2.51030628213727</v>
      </c>
      <c r="Y186" s="0" t="n">
        <v>2</v>
      </c>
      <c r="Z186" s="3" t="n">
        <f aca="false">Q186/Y186</f>
        <v>1.48526455026455</v>
      </c>
      <c r="AA186" s="3" t="n">
        <f aca="false">60/X186</f>
        <v>23.9014658995779</v>
      </c>
      <c r="AB186" s="2" t="n">
        <v>56</v>
      </c>
      <c r="AC186" s="2" t="n">
        <v>454</v>
      </c>
      <c r="AD186" s="2" t="n">
        <v>98</v>
      </c>
      <c r="AE186" s="0" t="n">
        <v>131</v>
      </c>
      <c r="AF186" s="3" t="n">
        <f aca="false">AA186</f>
        <v>23.9014658995779</v>
      </c>
      <c r="AG186" s="3" t="n">
        <f aca="false">AF186</f>
        <v>23.9014658995779</v>
      </c>
      <c r="AH186" s="3" t="n">
        <f aca="false">AG186</f>
        <v>23.9014658995779</v>
      </c>
      <c r="AI186" s="3" t="n">
        <f aca="false">AH186</f>
        <v>23.9014658995779</v>
      </c>
      <c r="AP186" s="0" t="n">
        <v>3</v>
      </c>
      <c r="AQ186" s="0" t="n">
        <v>1</v>
      </c>
      <c r="AR186" s="0" t="n">
        <v>0</v>
      </c>
      <c r="AS186" s="4" t="n">
        <v>0</v>
      </c>
      <c r="AT186" s="3" t="n">
        <f aca="false">20+59/60</f>
        <v>20.9833333333333</v>
      </c>
      <c r="AU186" s="3" t="n">
        <f aca="false">26+52/60</f>
        <v>26.8666666666667</v>
      </c>
      <c r="AV186" s="3" t="n">
        <f aca="false">20+52/60</f>
        <v>20.8666666666667</v>
      </c>
      <c r="AW186" s="3" t="n">
        <f aca="false">10+36/60</f>
        <v>10.6</v>
      </c>
      <c r="AX186" s="3" t="n">
        <v>0</v>
      </c>
      <c r="AY186" s="0" t="s">
        <v>57</v>
      </c>
      <c r="AZ186" s="0" t="s">
        <v>58</v>
      </c>
      <c r="BA186" s="0" t="n">
        <v>0</v>
      </c>
    </row>
    <row r="187" customFormat="false" ht="12.8" hidden="false" customHeight="false" outlineLevel="0" collapsed="false">
      <c r="A187" s="0" t="n">
        <f aca="false">A186+1</f>
        <v>719</v>
      </c>
      <c r="B187" s="1" t="n">
        <v>44065.5138888889</v>
      </c>
      <c r="C187" s="0" t="n">
        <v>1</v>
      </c>
      <c r="F187" s="11" t="s">
        <v>119</v>
      </c>
      <c r="G187" s="2" t="n">
        <f aca="false">(90+93)/2</f>
        <v>91.5</v>
      </c>
      <c r="H187" s="2" t="n">
        <f aca="false">(65+62)/2</f>
        <v>63.5</v>
      </c>
      <c r="I187" s="2" t="n">
        <f aca="false">(35+28)/2</f>
        <v>31.5</v>
      </c>
      <c r="J187" s="2" t="s">
        <v>129</v>
      </c>
      <c r="K187" s="2" t="n">
        <f aca="false">(7+12)/2</f>
        <v>9.5</v>
      </c>
      <c r="L187" s="2" t="n">
        <v>0</v>
      </c>
      <c r="M187" s="0" t="s">
        <v>88</v>
      </c>
      <c r="N187" s="0" t="n">
        <v>0</v>
      </c>
      <c r="O187" s="0" t="s">
        <v>105</v>
      </c>
      <c r="P187" s="0" t="s">
        <v>130</v>
      </c>
      <c r="Q187" s="3" t="n">
        <v>2.3</v>
      </c>
      <c r="R187" s="2" t="n">
        <v>901</v>
      </c>
      <c r="S187" s="2" t="n">
        <v>6585</v>
      </c>
      <c r="T187" s="2" t="n">
        <f aca="false">S187-R187</f>
        <v>5684</v>
      </c>
      <c r="U187" s="3" t="n">
        <f aca="false">48/60</f>
        <v>0.8</v>
      </c>
      <c r="V187" s="3" t="n">
        <f aca="false">56/60</f>
        <v>0.933333333333333</v>
      </c>
      <c r="W187" s="3" t="n">
        <f aca="false">V187-U187</f>
        <v>0.133333333333333</v>
      </c>
      <c r="X187" s="3" t="n">
        <f aca="false">Q187/U187</f>
        <v>2.875</v>
      </c>
      <c r="Y187" s="0" t="n">
        <v>1</v>
      </c>
      <c r="Z187" s="3" t="n">
        <f aca="false">Q187/Y187</f>
        <v>2.3</v>
      </c>
      <c r="AA187" s="3" t="n">
        <f aca="false">21+3/60</f>
        <v>21.05</v>
      </c>
      <c r="AB187" s="2" t="n">
        <v>269</v>
      </c>
      <c r="AC187" s="2" t="n">
        <v>435</v>
      </c>
      <c r="AD187" s="2" t="n">
        <v>124</v>
      </c>
      <c r="AE187" s="0" t="n">
        <v>152</v>
      </c>
      <c r="AF187" s="3" t="n">
        <f aca="false">20+20/60</f>
        <v>20.3333333333333</v>
      </c>
      <c r="AG187" s="3" t="n">
        <f aca="false">21+58/60</f>
        <v>21.9666666666667</v>
      </c>
      <c r="AH187" s="3" t="n">
        <f aca="false">60/2.9</f>
        <v>20.6896551724138</v>
      </c>
      <c r="AP187" s="0" t="n">
        <v>1</v>
      </c>
      <c r="AQ187" s="0" t="n">
        <v>1</v>
      </c>
      <c r="AR187" s="0" t="n">
        <v>0</v>
      </c>
      <c r="AS187" s="4" t="n">
        <v>0</v>
      </c>
      <c r="AT187" s="3" t="n">
        <v>0</v>
      </c>
      <c r="AU187" s="3" t="n">
        <f aca="false">6</f>
        <v>6</v>
      </c>
      <c r="AV187" s="3" t="n">
        <f aca="false">7+19/60</f>
        <v>7.31666666666667</v>
      </c>
      <c r="AW187" s="3" t="n">
        <f aca="false">21+30/60</f>
        <v>21.5</v>
      </c>
      <c r="AX187" s="3" t="n">
        <f aca="false">13+41/60</f>
        <v>13.6833333333333</v>
      </c>
      <c r="AY187" s="0" t="s">
        <v>57</v>
      </c>
      <c r="AZ187" s="0" t="s">
        <v>58</v>
      </c>
      <c r="BA187" s="0" t="n">
        <v>0</v>
      </c>
    </row>
    <row r="188" customFormat="false" ht="12.8" hidden="false" customHeight="false" outlineLevel="0" collapsed="false">
      <c r="A188" s="0" t="n">
        <f aca="false">A187+1</f>
        <v>720</v>
      </c>
      <c r="B188" s="1" t="n">
        <v>44066.4951388889</v>
      </c>
      <c r="C188" s="0" t="n">
        <v>0</v>
      </c>
      <c r="D188" s="0" t="s">
        <v>68</v>
      </c>
      <c r="F188" s="11" t="s">
        <v>121</v>
      </c>
      <c r="G188" s="2" t="n">
        <v>91</v>
      </c>
      <c r="H188" s="2" t="n">
        <v>63</v>
      </c>
      <c r="I188" s="2" t="n">
        <v>38</v>
      </c>
      <c r="J188" s="2" t="s">
        <v>100</v>
      </c>
      <c r="K188" s="2" t="n">
        <v>3</v>
      </c>
      <c r="L188" s="2" t="n">
        <v>0</v>
      </c>
      <c r="M188" s="0" t="s">
        <v>88</v>
      </c>
    </row>
    <row r="189" customFormat="false" ht="12.8" hidden="false" customHeight="false" outlineLevel="0" collapsed="false">
      <c r="A189" s="0" t="n">
        <f aca="false">A188+1</f>
        <v>721</v>
      </c>
      <c r="B189" s="1" t="n">
        <v>44067.4951388889</v>
      </c>
      <c r="C189" s="0" t="n">
        <v>0</v>
      </c>
      <c r="D189" s="0" t="s">
        <v>131</v>
      </c>
      <c r="F189" s="11" t="s">
        <v>121</v>
      </c>
      <c r="G189" s="2" t="n">
        <v>94</v>
      </c>
      <c r="H189" s="2" t="n">
        <v>65</v>
      </c>
      <c r="I189" s="2" t="n">
        <v>38</v>
      </c>
      <c r="J189" s="2" t="s">
        <v>132</v>
      </c>
      <c r="K189" s="2" t="n">
        <v>9</v>
      </c>
      <c r="L189" s="2" t="n">
        <v>0</v>
      </c>
      <c r="M189" s="0" t="s">
        <v>88</v>
      </c>
    </row>
    <row r="190" customFormat="false" ht="12.8" hidden="false" customHeight="false" outlineLevel="0" collapsed="false">
      <c r="A190" s="0" t="n">
        <f aca="false">A189+1</f>
        <v>722</v>
      </c>
      <c r="B190" s="1" t="n">
        <v>44068.4805555556</v>
      </c>
      <c r="C190" s="0" t="n">
        <v>1</v>
      </c>
      <c r="F190" s="11" t="s">
        <v>119</v>
      </c>
      <c r="G190" s="2" t="n">
        <f aca="false">(91+94)/2</f>
        <v>92.5</v>
      </c>
      <c r="H190" s="2" t="n">
        <v>67</v>
      </c>
      <c r="I190" s="2" t="n">
        <f aca="false">(47+41)/2</f>
        <v>44</v>
      </c>
      <c r="J190" s="2" t="s">
        <v>133</v>
      </c>
      <c r="K190" s="2" t="n">
        <v>0</v>
      </c>
      <c r="L190" s="2" t="n">
        <v>0</v>
      </c>
      <c r="M190" s="0" t="s">
        <v>88</v>
      </c>
      <c r="N190" s="0" t="n">
        <v>0</v>
      </c>
      <c r="O190" s="0" t="s">
        <v>105</v>
      </c>
      <c r="P190" s="0" t="s">
        <v>95</v>
      </c>
      <c r="Q190" s="3" t="n">
        <v>4.85</v>
      </c>
      <c r="R190" s="2" t="n">
        <v>541</v>
      </c>
      <c r="S190" s="2" t="n">
        <v>16204</v>
      </c>
      <c r="T190" s="2" t="n">
        <f aca="false">S190-R190</f>
        <v>15663</v>
      </c>
      <c r="U190" s="3" t="n">
        <f aca="false">(123)/60</f>
        <v>2.05</v>
      </c>
      <c r="V190" s="3" t="n">
        <f aca="false">126/60</f>
        <v>2.1</v>
      </c>
      <c r="W190" s="3" t="n">
        <f aca="false">V190-U190</f>
        <v>0.0500000000000003</v>
      </c>
      <c r="X190" s="3" t="n">
        <f aca="false">Q190/U190</f>
        <v>2.36585365853659</v>
      </c>
      <c r="Y190" s="0" t="n">
        <v>3</v>
      </c>
      <c r="Z190" s="3" t="n">
        <f aca="false">Q190/Y190</f>
        <v>1.61666666666667</v>
      </c>
      <c r="AA190" s="3" t="n">
        <f aca="false">25+17/60</f>
        <v>25.2833333333333</v>
      </c>
      <c r="AB190" s="2" t="n">
        <v>79</v>
      </c>
      <c r="AC190" s="2" t="n">
        <v>508</v>
      </c>
      <c r="AD190" s="2" t="n">
        <v>87</v>
      </c>
      <c r="AE190" s="0" t="n">
        <v>113</v>
      </c>
      <c r="AF190" s="3" t="n">
        <f aca="false">23+46/60</f>
        <v>23.7666666666667</v>
      </c>
      <c r="AG190" s="3" t="n">
        <f aca="false">25+32/60</f>
        <v>25.5333333333333</v>
      </c>
      <c r="AH190" s="3" t="n">
        <f aca="false">24+65/60</f>
        <v>25.0833333333333</v>
      </c>
      <c r="AI190" s="3" t="n">
        <f aca="false">25+52/60</f>
        <v>25.8666666666667</v>
      </c>
      <c r="AJ190" s="3" t="n">
        <f aca="false">60/2.4</f>
        <v>25</v>
      </c>
      <c r="AP190" s="0" t="n">
        <v>1</v>
      </c>
      <c r="AQ190" s="0" t="n">
        <v>1</v>
      </c>
      <c r="AR190" s="0" t="n">
        <v>0</v>
      </c>
      <c r="AS190" s="4" t="n">
        <f aca="false">60*U190-SUM(AT190:AX190)</f>
        <v>7.55</v>
      </c>
      <c r="AT190" s="3" t="n">
        <f aca="false">67+3/60</f>
        <v>67.05</v>
      </c>
      <c r="AU190" s="3" t="n">
        <f aca="false">44+55/60</f>
        <v>44.9166666666667</v>
      </c>
      <c r="AV190" s="3" t="n">
        <f aca="false">3+29/60</f>
        <v>3.48333333333333</v>
      </c>
      <c r="AW190" s="3" t="n">
        <v>0</v>
      </c>
      <c r="AX190" s="3" t="n">
        <v>0</v>
      </c>
      <c r="AY190" s="0" t="s">
        <v>57</v>
      </c>
      <c r="AZ190" s="0" t="s">
        <v>58</v>
      </c>
      <c r="BA190" s="0" t="n">
        <v>0</v>
      </c>
    </row>
    <row r="191" customFormat="false" ht="12.8" hidden="false" customHeight="false" outlineLevel="0" collapsed="false">
      <c r="A191" s="0" t="n">
        <f aca="false">A190+1</f>
        <v>723</v>
      </c>
      <c r="B191" s="1" t="n">
        <v>44069.4180555556</v>
      </c>
      <c r="C191" s="0" t="n">
        <v>1</v>
      </c>
      <c r="F191" s="11" t="s">
        <v>116</v>
      </c>
      <c r="G191" s="2" t="n">
        <v>86</v>
      </c>
      <c r="H191" s="2" t="n">
        <v>86</v>
      </c>
      <c r="I191" s="2" t="n">
        <v>73</v>
      </c>
      <c r="J191" s="2" t="s">
        <v>128</v>
      </c>
      <c r="K191" s="2" t="n">
        <f aca="false">(5+8)/2</f>
        <v>6.5</v>
      </c>
      <c r="L191" s="2" t="n">
        <v>0</v>
      </c>
      <c r="M191" s="0" t="s">
        <v>88</v>
      </c>
      <c r="N191" s="0" t="n">
        <v>0</v>
      </c>
      <c r="O191" s="0" t="s">
        <v>105</v>
      </c>
      <c r="P191" s="0" t="s">
        <v>71</v>
      </c>
      <c r="Q191" s="3" t="n">
        <v>4.68</v>
      </c>
      <c r="S191" s="2" t="n">
        <v>10418</v>
      </c>
      <c r="U191" s="3" t="n">
        <f aca="false">81/60</f>
        <v>1.35</v>
      </c>
      <c r="V191" s="3" t="n">
        <f aca="false">99/60</f>
        <v>1.65</v>
      </c>
      <c r="W191" s="3" t="n">
        <f aca="false">V191-U191</f>
        <v>0.3</v>
      </c>
      <c r="X191" s="3" t="n">
        <f aca="false">Q191/U191</f>
        <v>3.46666666666667</v>
      </c>
      <c r="Y191" s="0" t="n">
        <v>1</v>
      </c>
      <c r="Z191" s="3" t="n">
        <f aca="false">Q191/Y191</f>
        <v>4.68</v>
      </c>
      <c r="AA191" s="3" t="n">
        <f aca="false">17+19/60</f>
        <v>17.3166666666667</v>
      </c>
      <c r="AB191" s="2" t="n">
        <v>397</v>
      </c>
      <c r="AC191" s="2" t="n">
        <v>768</v>
      </c>
      <c r="AD191" s="2" t="n">
        <v>122</v>
      </c>
      <c r="AE191" s="0" t="n">
        <v>168</v>
      </c>
      <c r="AF191" s="3" t="n">
        <f aca="false">16+20/60</f>
        <v>16.3333333333333</v>
      </c>
      <c r="AG191" s="3" t="n">
        <f aca="false">16+35/60</f>
        <v>16.5833333333333</v>
      </c>
      <c r="AH191" s="3" t="n">
        <f aca="false">16+41/60</f>
        <v>16.6833333333333</v>
      </c>
      <c r="AI191" s="3" t="n">
        <f aca="false">18+6/60</f>
        <v>18.1</v>
      </c>
      <c r="AJ191" s="3" t="n">
        <f aca="false">60/2</f>
        <v>30</v>
      </c>
      <c r="AP191" s="0" t="n">
        <v>3</v>
      </c>
      <c r="AQ191" s="0" t="n">
        <v>0</v>
      </c>
      <c r="AR191" s="0" t="n">
        <v>0</v>
      </c>
      <c r="AS191" s="4" t="n">
        <f aca="false">60*U191-SUM(AT191:AX191)</f>
        <v>6.8</v>
      </c>
      <c r="AT191" s="3" t="n">
        <f aca="false">11/60</f>
        <v>0.183333333333333</v>
      </c>
      <c r="AU191" s="3" t="n">
        <f aca="false">17+29/60</f>
        <v>17.4833333333333</v>
      </c>
      <c r="AV191" s="3" t="n">
        <f aca="false">8+41/60</f>
        <v>8.68333333333333</v>
      </c>
      <c r="AW191" s="3" t="n">
        <f aca="false">5+27/60</f>
        <v>5.45</v>
      </c>
      <c r="AX191" s="3" t="n">
        <f aca="false">42+24/60</f>
        <v>42.4</v>
      </c>
      <c r="AY191" s="0" t="s">
        <v>57</v>
      </c>
      <c r="AZ191" s="0" t="s">
        <v>58</v>
      </c>
      <c r="BA191" s="0" t="n">
        <v>1</v>
      </c>
      <c r="BB191" s="0" t="s">
        <v>134</v>
      </c>
    </row>
    <row r="192" customFormat="false" ht="12.8" hidden="false" customHeight="false" outlineLevel="0" collapsed="false">
      <c r="A192" s="0" t="n">
        <f aca="false">A191+1</f>
        <v>724</v>
      </c>
      <c r="B192" s="1" t="n">
        <v>44070.4486111111</v>
      </c>
      <c r="C192" s="0" t="n">
        <v>1</v>
      </c>
      <c r="F192" s="11" t="s">
        <v>119</v>
      </c>
      <c r="G192" s="2" t="n">
        <f aca="false">(81+90)/2</f>
        <v>85.5</v>
      </c>
      <c r="H192" s="2" t="n">
        <v>71</v>
      </c>
      <c r="I192" s="2" t="n">
        <f aca="false">AVERAGE(59,52)</f>
        <v>55.5</v>
      </c>
      <c r="J192" s="2" t="s">
        <v>97</v>
      </c>
      <c r="K192" s="2" t="n">
        <f aca="false">AVERAGE(6,3)</f>
        <v>4.5</v>
      </c>
      <c r="L192" s="2" t="n">
        <v>0</v>
      </c>
      <c r="M192" s="0" t="s">
        <v>88</v>
      </c>
      <c r="N192" s="0" t="n">
        <v>0</v>
      </c>
      <c r="O192" s="0" t="s">
        <v>105</v>
      </c>
      <c r="P192" s="0" t="s">
        <v>95</v>
      </c>
      <c r="Q192" s="3" t="n">
        <v>3.8</v>
      </c>
      <c r="U192" s="3" t="n">
        <f aca="false">96/60</f>
        <v>1.6</v>
      </c>
      <c r="V192" s="3" t="n">
        <f aca="false">99/60</f>
        <v>1.65</v>
      </c>
      <c r="W192" s="3" t="n">
        <f aca="false">V192-U192</f>
        <v>0.0499999999999998</v>
      </c>
      <c r="X192" s="3" t="n">
        <f aca="false">Q192/U192</f>
        <v>2.375</v>
      </c>
      <c r="Y192" s="0" t="n">
        <v>2</v>
      </c>
      <c r="Z192" s="3" t="n">
        <f aca="false">Q192/Y192</f>
        <v>1.9</v>
      </c>
      <c r="AA192" s="3" t="n">
        <f aca="false">25+10/60</f>
        <v>25.1666666666667</v>
      </c>
      <c r="AB192" s="2" t="n">
        <v>43</v>
      </c>
      <c r="AC192" s="2" t="n">
        <v>408</v>
      </c>
      <c r="AD192" s="2" t="n">
        <v>84</v>
      </c>
      <c r="AE192" s="0" t="n">
        <v>125</v>
      </c>
      <c r="AF192" s="3" t="n">
        <f aca="false">19+26/60</f>
        <v>19.4333333333333</v>
      </c>
      <c r="AG192" s="3" t="n">
        <f aca="false">25+46/60</f>
        <v>25.7666666666667</v>
      </c>
      <c r="AH192" s="3" t="n">
        <f aca="false">29+21/60</f>
        <v>29.35</v>
      </c>
      <c r="AI192" s="3" t="n">
        <f aca="false">60/2.3</f>
        <v>26.0869565217391</v>
      </c>
      <c r="AP192" s="0" t="n">
        <v>0</v>
      </c>
      <c r="AQ192" s="0" t="n">
        <v>0</v>
      </c>
      <c r="AR192" s="0" t="n">
        <v>0</v>
      </c>
      <c r="AS192" s="4" t="n">
        <f aca="false">38+58/60</f>
        <v>38.9666666666667</v>
      </c>
      <c r="AT192" s="3" t="n">
        <f aca="false">34+127/60</f>
        <v>36.1166666666667</v>
      </c>
      <c r="AU192" s="3" t="n">
        <f aca="false">1+51/60</f>
        <v>1.85</v>
      </c>
      <c r="AV192" s="3" t="n">
        <f aca="false">20/60</f>
        <v>0.333333333333333</v>
      </c>
      <c r="AW192" s="3" t="n">
        <v>0</v>
      </c>
      <c r="AX192" s="3" t="n">
        <v>0</v>
      </c>
      <c r="AY192" s="0" t="s">
        <v>57</v>
      </c>
      <c r="AZ192" s="0" t="s">
        <v>58</v>
      </c>
      <c r="BA192" s="0" t="n">
        <v>0</v>
      </c>
    </row>
    <row r="193" customFormat="false" ht="12.8" hidden="false" customHeight="false" outlineLevel="0" collapsed="false">
      <c r="A193" s="0" t="n">
        <f aca="false">A192+1</f>
        <v>725</v>
      </c>
      <c r="B193" s="1" t="n">
        <v>44071.4854166667</v>
      </c>
      <c r="C193" s="0" t="n">
        <v>1</v>
      </c>
      <c r="F193" s="11" t="s">
        <v>121</v>
      </c>
      <c r="G193" s="2" t="n">
        <f aca="false">(93+97)/2</f>
        <v>95</v>
      </c>
      <c r="H193" s="2" t="n">
        <v>73</v>
      </c>
      <c r="I193" s="2" t="n">
        <f aca="false">(46+43)/2</f>
        <v>44.5</v>
      </c>
      <c r="J193" s="2" t="s">
        <v>98</v>
      </c>
      <c r="K193" s="2" t="n">
        <v>5</v>
      </c>
      <c r="L193" s="2" t="n">
        <v>0</v>
      </c>
      <c r="M193" s="0" t="s">
        <v>88</v>
      </c>
      <c r="N193" s="0" t="n">
        <v>0</v>
      </c>
      <c r="O193" s="0" t="s">
        <v>105</v>
      </c>
      <c r="P193" s="0" t="s">
        <v>56</v>
      </c>
      <c r="Q193" s="3" t="n">
        <v>3.54</v>
      </c>
      <c r="U193" s="3" t="n">
        <f aca="false">95/60</f>
        <v>1.58333333333333</v>
      </c>
      <c r="V193" s="3" t="n">
        <f aca="false">99/60</f>
        <v>1.65</v>
      </c>
      <c r="W193" s="3" t="n">
        <f aca="false">V193-U193</f>
        <v>0.0666666666666667</v>
      </c>
      <c r="X193" s="3" t="n">
        <f aca="false">Q192/U193</f>
        <v>2.4</v>
      </c>
      <c r="Y193" s="0" t="n">
        <v>3</v>
      </c>
      <c r="Z193" s="3" t="n">
        <f aca="false">Q192/Y193</f>
        <v>1.26666666666667</v>
      </c>
      <c r="AA193" s="3" t="n">
        <f aca="false">25+10/60</f>
        <v>25.1666666666667</v>
      </c>
      <c r="AB193" s="2" t="n">
        <v>43</v>
      </c>
      <c r="AC193" s="2" t="n">
        <v>408</v>
      </c>
      <c r="AD193" s="2" t="n">
        <v>122</v>
      </c>
      <c r="AE193" s="0" t="n">
        <v>145</v>
      </c>
      <c r="AF193" s="3" t="n">
        <f aca="false">18+44/60</f>
        <v>18.7333333333333</v>
      </c>
      <c r="AG193" s="3" t="n">
        <f aca="false">19+46/60</f>
        <v>19.7666666666667</v>
      </c>
      <c r="AH193" s="3" t="n">
        <f aca="false">22+45/60</f>
        <v>22.75</v>
      </c>
      <c r="AI193" s="3" t="n">
        <f aca="false">60/2.9</f>
        <v>20.6896551724138</v>
      </c>
      <c r="AP193" s="0" t="n">
        <v>0</v>
      </c>
      <c r="AQ193" s="0" t="n">
        <v>0</v>
      </c>
      <c r="AR193" s="0" t="n">
        <v>0</v>
      </c>
      <c r="AS193" s="4" t="n">
        <f aca="false">60*U193-SUM(AT193:AX193)</f>
        <v>29.4566666666667</v>
      </c>
      <c r="AT193" s="3" t="n">
        <f aca="false">38+51/60</f>
        <v>38.85</v>
      </c>
      <c r="AU193" s="3" t="n">
        <f aca="false">24+17/50</f>
        <v>24.34</v>
      </c>
      <c r="AV193" s="3" t="n">
        <f aca="false">1+51/50</f>
        <v>2.02</v>
      </c>
      <c r="AW193" s="3" t="n">
        <f aca="false">20/60</f>
        <v>0.333333333333333</v>
      </c>
      <c r="AX193" s="3" t="n">
        <v>0</v>
      </c>
      <c r="AY193" s="0" t="s">
        <v>57</v>
      </c>
      <c r="AZ193" s="0" t="s">
        <v>58</v>
      </c>
      <c r="BA193" s="0" t="n">
        <v>0</v>
      </c>
    </row>
    <row r="194" customFormat="false" ht="12.8" hidden="false" customHeight="false" outlineLevel="0" collapsed="false">
      <c r="A194" s="0" t="n">
        <f aca="false">A193+1</f>
        <v>726</v>
      </c>
      <c r="B194" s="1" t="n">
        <v>44072.4569444444</v>
      </c>
      <c r="C194" s="0" t="n">
        <v>1</v>
      </c>
      <c r="F194" s="11" t="s">
        <v>121</v>
      </c>
      <c r="G194" s="2" t="n">
        <f aca="false">(90+94)/2</f>
        <v>92</v>
      </c>
      <c r="H194" s="2" t="n">
        <v>75</v>
      </c>
      <c r="I194" s="2" t="n">
        <f aca="false">(63+54)/2</f>
        <v>58.5</v>
      </c>
      <c r="J194" s="11" t="s">
        <v>122</v>
      </c>
      <c r="K194" s="2" t="n">
        <f aca="false">(16+13)/2</f>
        <v>14.5</v>
      </c>
      <c r="L194" s="2" t="n">
        <v>0</v>
      </c>
      <c r="M194" s="0" t="s">
        <v>88</v>
      </c>
      <c r="N194" s="0" t="n">
        <v>0</v>
      </c>
      <c r="O194" s="0" t="s">
        <v>105</v>
      </c>
      <c r="P194" s="0" t="s">
        <v>95</v>
      </c>
      <c r="Q194" s="3" t="n">
        <v>3.31</v>
      </c>
      <c r="R194" s="2" t="n">
        <v>1277</v>
      </c>
      <c r="S194" s="2" t="n">
        <v>11928</v>
      </c>
      <c r="T194" s="2" t="n">
        <f aca="false">S194-R194</f>
        <v>10651</v>
      </c>
      <c r="U194" s="3" t="n">
        <f aca="false">85/60</f>
        <v>1.41666666666667</v>
      </c>
      <c r="V194" s="3" t="n">
        <f aca="false">85/60</f>
        <v>1.41666666666667</v>
      </c>
      <c r="W194" s="3" t="n">
        <f aca="false">V194-U194</f>
        <v>0</v>
      </c>
      <c r="X194" s="3" t="n">
        <f aca="false">Q193/U194</f>
        <v>2.49882352941176</v>
      </c>
      <c r="Y194" s="0" t="n">
        <v>2</v>
      </c>
      <c r="Z194" s="3" t="n">
        <f aca="false">Q194/Y194</f>
        <v>1.655</v>
      </c>
      <c r="AA194" s="3" t="n">
        <f aca="false">25+34/60</f>
        <v>25.5666666666667</v>
      </c>
      <c r="AB194" s="2" t="n">
        <v>39</v>
      </c>
      <c r="AC194" s="2" t="n">
        <v>347</v>
      </c>
      <c r="AD194" s="2" t="n">
        <v>80</v>
      </c>
      <c r="AE194" s="0" t="n">
        <v>111</v>
      </c>
      <c r="AF194" s="3" t="n">
        <f aca="false">21+31/60</f>
        <v>21.5166666666667</v>
      </c>
      <c r="AG194" s="3" t="n">
        <f aca="false">27+9/60</f>
        <v>27.15</v>
      </c>
      <c r="AH194" s="3" t="n">
        <f aca="false">28+35/60</f>
        <v>28.5833333333333</v>
      </c>
      <c r="AI194" s="3" t="n">
        <f aca="false">60/2.5</f>
        <v>24</v>
      </c>
      <c r="AP194" s="0" t="n">
        <v>0</v>
      </c>
      <c r="AQ194" s="0" t="n">
        <v>0</v>
      </c>
      <c r="AR194" s="0" t="n">
        <v>0</v>
      </c>
      <c r="AS194" s="4" t="n">
        <f aca="false">60*U194-SUM(AT194:AX194)</f>
        <v>35.4166666666667</v>
      </c>
      <c r="AT194" s="4" t="n">
        <f aca="false">26+33/60</f>
        <v>26.55</v>
      </c>
      <c r="AU194" s="3" t="n">
        <f aca="false">20+15/60</f>
        <v>20.25</v>
      </c>
      <c r="AV194" s="3" t="n">
        <f aca="false">2+47/60</f>
        <v>2.78333333333333</v>
      </c>
      <c r="AW194" s="3" t="n">
        <v>0</v>
      </c>
      <c r="AX194" s="3" t="n">
        <v>0</v>
      </c>
      <c r="AY194" s="0" t="s">
        <v>57</v>
      </c>
      <c r="AZ194" s="0" t="s">
        <v>58</v>
      </c>
      <c r="BA19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1643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2020-08-29T13:01:15Z</dcterms:modified>
  <cp:revision>66</cp:revision>
  <dc:subject/>
  <dc:title/>
</cp:coreProperties>
</file>