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<sst xmlns="http://schemas.openxmlformats.org/spreadsheetml/2006/main" count="1688" uniqueCount="148">
  <si>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</si>
  <si>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</si>
  <si>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</si>
  <si>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</si>
  <si>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</si>
  <si>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</si>
  <si>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</si>
  <si>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</si>
  <si>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</si>
  <si>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</si>
  <si>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</si>
  <si>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</si>
  <si>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</si>
  <si>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</si>
  <si>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</si>
  <si>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</si>
  <si>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</si>
  <si>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</si>
  <si>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</si>
  <si>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</si>
  <si>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</si>
  <si>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</si>
  <si>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</si>
  <si>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</si>
  <si>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</si>
  <si>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</si>
  <si>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</si>
  <si>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</si>
  <si>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</si>
  <si>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</si>
  <si>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</si>
  <si>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</si>
  <si>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</si>
  <si>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</si>
  <si>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</si>
  <si>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</si>
  <si>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</si>
  <si>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</si>
  <si>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</si>
  <si>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</si>
  <si>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</si>
  <si>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</si>
  <si>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</si>
  <si>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</si>
  <si>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</si>
  <si>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</si>
  <si>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</si>
  <si>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</si>
  <si>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</si>
  <si>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</si>
  <si>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</si>
  <si>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</si>
  <si>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</si>
  <si>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</si>
  <si>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</si>
  <si>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</si>
  <si>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</si>
  <si>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</si>
  <si>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</si>
  <si>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</si>
  <si>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</si>
  <si>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</si>
  <si>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</si>
  <si>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</si>
  <si>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</si>
  <si>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</si>
  <si>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</si>
  <si>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</si>
  <si>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</si>
  <si>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</si>
  <si>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Mostly Cloudy </t>
  </si>
  <si>
    <t xml:space="preserve">SSW </t>
  </si>
  <si>
    <t xml:space="preserve">Good</t>
  </si>
  <si>
    <t xml:space="preserve">Cloudy </t>
  </si>
  <si>
    <t xml:space="preserve">WSW 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</si>
  <si>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</si>
  <si>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</si>
  <si>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</si>
  <si>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</si>
  <si>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</si>
  <si>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</si>
  <si>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</si>
  <si>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</si>
  <si>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</si>
  <si>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</si>
  <si>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</si>
  <si>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</si>
  <si>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</si>
  <si>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</si>
  <si>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</si>
  <si>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</si>
  <si>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</si>
  <si>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</si>
  <si>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</si>
  <si>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S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</si>
  <si>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</si>
  <si>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</si>
  <si>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</si>
  <si>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</si>
  <si>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SW</t>
  </si>
  <si>
    <t xml:space="preserve">Sick</t>
  </si>
  <si>
    <t xml:space="preserve">Partly Cloudy </t>
  </si>
  <si>
    <t xml:space="preserve">ENE </t>
  </si>
  <si>
    <t xml:space="preserve">CALM </t>
  </si>
  <si>
    <t xml:space="preserve">VAR </t>
  </si>
  <si>
    <t xml:space="preserve">Parks Mall - 3 laps</t>
  </si>
  <si>
    <t xml:space="preserve">NW</t>
  </si>
  <si>
    <t xml:space="preserve">N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</si>
  <si>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</si>
  <si>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</si>
  <si>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</si>
  <si>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</si>
  <si>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</si>
  <si>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</si>
  <si>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</si>
  <si>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</si>
  <si>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</si>
  <si>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</si>
  <si>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</si>
  <si>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</si>
  <si>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</si>
  <si>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SSE </t>
  </si>
  <si>
    <t xml:space="preserve">Surgical recovery</t>
  </si>
  <si>
    <t xml:space="preserve">ESE </t>
  </si>
  <si>
    <t xml:space="preserve">Light Rain </t>
  </si>
  <si>
    <t xml:space="preserve">NNW </t>
  </si>
  <si>
    <t xml:space="preserve">Fair </t>
  </si>
  <si>
    <t xml:space="preserve">Var</t>
  </si>
  <si>
    <t xml:space="preserve">CALM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</si>
  <si>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</si>
  <si>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</si>
  <si>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</si>
  <si>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</si>
  <si>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</si>
  <si>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</si>
  <si>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</si>
  <si>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</si>
  <si>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</si>
  <si>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</si>
  <si>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</si>
  <si>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</si>
  <si>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</si>
  <si>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Wet</t>
  </si>
  <si>
    <t xml:space="preserve">SP2 food bank</t>
  </si>
  <si>
    <t xml:space="preserve">Parks Mall – 2 laps</t>
  </si>
  <si>
    <t xml:space="preserve">River Legacy Park West</t>
  </si>
  <si>
    <t xml:space="preserve">NW </t>
  </si>
  <si>
    <t xml:space="preserve">Sciatica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</si>
</sst>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1" activePane="bottomLeft" state="frozen"/>
      <selection pane="topLeft" activeCell="A1" activeCellId="0" sqref="A1"/>
      <selection pane="bottomLeft" activeCell="G267" activeCellId="0" sqref="G267"/>
    </sheetView>
  </sheetViews>
  <sheetFormatPr defaultColWidth="13.56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  <c r="F11" s="6" t="s">
        <v>70</v>
      </c>
      <c r="G11" s="2" t="n">
        <v>73</v>
      </c>
      <c r="H11" s="2" t="n">
        <v>56</v>
      </c>
      <c r="I11" s="2" t="n">
        <v>55</v>
      </c>
      <c r="J11" s="6" t="s">
        <v>71</v>
      </c>
      <c r="K11" s="2" t="n">
        <v>20</v>
      </c>
      <c r="L11" s="2" t="n">
        <v>0</v>
      </c>
      <c r="M11" s="0" t="s">
        <v>72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  <c r="F12" s="6" t="s">
        <v>73</v>
      </c>
      <c r="G12" s="2" t="n">
        <v>70</v>
      </c>
      <c r="H12" s="2" t="n">
        <v>57</v>
      </c>
      <c r="I12" s="2" t="n">
        <v>63</v>
      </c>
      <c r="J12" s="6" t="s">
        <v>74</v>
      </c>
      <c r="K12" s="2" t="n">
        <v>9</v>
      </c>
      <c r="L12" s="2" t="n">
        <v>0</v>
      </c>
      <c r="M12" s="0" t="s">
        <v>72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75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7" t="s">
        <v>76</v>
      </c>
      <c r="G14" s="2" t="n">
        <v>57</v>
      </c>
      <c r="J14" s="6"/>
      <c r="K14" s="6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77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78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79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80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81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76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82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7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7" t="s">
        <v>83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7" t="s">
        <v>84</v>
      </c>
      <c r="G29" s="2" t="n">
        <v>66</v>
      </c>
      <c r="I29" s="2" t="n">
        <v>64</v>
      </c>
      <c r="BB29" s="0" t="n">
        <v>1</v>
      </c>
      <c r="BC29" s="0" t="s">
        <v>85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7" t="s">
        <v>83</v>
      </c>
      <c r="G30" s="2" t="n">
        <v>51</v>
      </c>
      <c r="I30" s="2" t="n">
        <v>68</v>
      </c>
      <c r="O30" s="0" t="s">
        <v>56</v>
      </c>
      <c r="P30" s="0" t="s">
        <v>77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78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79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7" t="s">
        <v>55</v>
      </c>
      <c r="G33" s="2" t="n">
        <v>68</v>
      </c>
      <c r="I33" s="2" t="n">
        <v>81</v>
      </c>
      <c r="O33" s="0" t="s">
        <v>56</v>
      </c>
      <c r="P33" s="0" t="s">
        <v>82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83</v>
      </c>
      <c r="G37" s="2" t="n">
        <v>83</v>
      </c>
      <c r="I37" s="2" t="n">
        <v>56</v>
      </c>
      <c r="O37" s="0" t="s">
        <v>56</v>
      </c>
      <c r="P37" s="0" t="s">
        <v>77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86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7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87</v>
      </c>
      <c r="F40" s="7" t="s">
        <v>88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81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77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87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87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87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78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79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89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90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77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91</v>
      </c>
      <c r="F53" s="0" t="s">
        <v>83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92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83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89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86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83</v>
      </c>
      <c r="G60" s="2" t="n">
        <v>78</v>
      </c>
      <c r="I60" s="2" t="n">
        <v>61</v>
      </c>
      <c r="O60" s="0" t="s">
        <v>56</v>
      </c>
      <c r="P60" s="0" t="s">
        <v>82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83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85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93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87</v>
      </c>
      <c r="F64" s="0" t="s">
        <v>55</v>
      </c>
      <c r="G64" s="2" t="n">
        <v>69</v>
      </c>
      <c r="H64" s="2" t="n">
        <v>68</v>
      </c>
      <c r="I64" s="2" t="n">
        <v>96</v>
      </c>
      <c r="J64" s="2" t="s">
        <v>94</v>
      </c>
      <c r="K64" s="2" t="n">
        <v>12</v>
      </c>
      <c r="L64" s="2" t="n">
        <v>0</v>
      </c>
      <c r="M64" s="0" t="s">
        <v>93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72</v>
      </c>
      <c r="O65" s="0" t="s">
        <v>56</v>
      </c>
      <c r="P65" s="0" t="s">
        <v>86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72</v>
      </c>
      <c r="O66" s="0" t="s">
        <v>65</v>
      </c>
      <c r="P66" s="0" t="s">
        <v>92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72</v>
      </c>
      <c r="O67" s="0" t="s">
        <v>56</v>
      </c>
      <c r="P67" s="0" t="s">
        <v>81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72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72</v>
      </c>
      <c r="P69" s="0" t="s">
        <v>79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84</v>
      </c>
      <c r="G70" s="2" t="n">
        <v>84</v>
      </c>
      <c r="I70" s="2" t="n">
        <v>61</v>
      </c>
      <c r="M70" s="0" t="s">
        <v>72</v>
      </c>
      <c r="O70" s="0" t="s">
        <v>65</v>
      </c>
      <c r="P70" s="0" t="s">
        <v>78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72</v>
      </c>
      <c r="O71" s="0" t="s">
        <v>56</v>
      </c>
      <c r="P71" s="0" t="s">
        <v>77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72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72</v>
      </c>
      <c r="O73" s="0" t="s">
        <v>65</v>
      </c>
      <c r="P73" s="0" t="s">
        <v>86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84</v>
      </c>
      <c r="G74" s="2" t="n">
        <v>72</v>
      </c>
      <c r="I74" s="2" t="n">
        <v>71</v>
      </c>
      <c r="M74" s="0" t="s">
        <v>72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72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72</v>
      </c>
      <c r="O76" s="0" t="s">
        <v>65</v>
      </c>
      <c r="P76" s="0" t="s">
        <v>81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83</v>
      </c>
      <c r="G77" s="2" t="n">
        <v>76</v>
      </c>
      <c r="I77" s="2" t="n">
        <v>53</v>
      </c>
      <c r="M77" s="0" t="s">
        <v>72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72</v>
      </c>
      <c r="O78" s="0" t="s">
        <v>65</v>
      </c>
      <c r="P78" s="0" t="s">
        <v>90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83</v>
      </c>
      <c r="G79" s="2" t="n">
        <v>81</v>
      </c>
      <c r="I79" s="2" t="n">
        <v>38</v>
      </c>
      <c r="M79" s="0" t="s">
        <v>72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72</v>
      </c>
      <c r="O80" s="0" t="s">
        <v>56</v>
      </c>
      <c r="P80" s="0" t="s">
        <v>77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72</v>
      </c>
      <c r="O81" s="0" t="s">
        <v>65</v>
      </c>
      <c r="P81" s="0" t="s">
        <v>95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72</v>
      </c>
      <c r="O82" s="0" t="s">
        <v>65</v>
      </c>
      <c r="P82" s="0" t="s">
        <v>81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72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87</v>
      </c>
      <c r="F84" s="0" t="s">
        <v>76</v>
      </c>
      <c r="G84" s="2" t="n">
        <v>70</v>
      </c>
      <c r="I84" s="2" t="n">
        <v>100</v>
      </c>
      <c r="M84" s="0" t="s">
        <v>93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93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96</v>
      </c>
      <c r="G86" s="2" t="n">
        <v>85</v>
      </c>
      <c r="I86" s="2" t="n">
        <v>55</v>
      </c>
      <c r="M86" s="0" t="s">
        <v>72</v>
      </c>
      <c r="O86" s="0" t="s">
        <v>65</v>
      </c>
      <c r="P86" s="0" t="s">
        <v>86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93</v>
      </c>
      <c r="O87" s="0" t="s">
        <v>56</v>
      </c>
      <c r="P87" s="0" t="s">
        <v>81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87</v>
      </c>
      <c r="F88" s="0" t="s">
        <v>55</v>
      </c>
      <c r="G88" s="2" t="n">
        <v>68</v>
      </c>
      <c r="I88" s="2" t="n">
        <v>87</v>
      </c>
      <c r="M88" s="0" t="s">
        <v>93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72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72</v>
      </c>
      <c r="O90" s="0" t="s">
        <v>56</v>
      </c>
      <c r="P90" s="0" t="s">
        <v>95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72</v>
      </c>
      <c r="O91" s="0" t="s">
        <v>65</v>
      </c>
      <c r="P91" s="0" t="s">
        <v>86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72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72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72</v>
      </c>
      <c r="O94" s="0" t="s">
        <v>65</v>
      </c>
      <c r="P94" s="0" t="s">
        <v>81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72</v>
      </c>
      <c r="O95" s="0" t="s">
        <v>56</v>
      </c>
      <c r="P95" s="0" t="s">
        <v>97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72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72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98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72</v>
      </c>
      <c r="O100" s="0" t="s">
        <v>65</v>
      </c>
      <c r="P100" s="0" t="s">
        <v>95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98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72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84</v>
      </c>
      <c r="G102" s="2" t="n">
        <f aca="false">AVERAGE(86,88)</f>
        <v>87</v>
      </c>
      <c r="I102" s="2" t="n">
        <f aca="false">AVERAGE(38,35)</f>
        <v>36.5</v>
      </c>
      <c r="M102" s="0" t="s">
        <v>72</v>
      </c>
      <c r="O102" s="0" t="s">
        <v>65</v>
      </c>
      <c r="P102" s="0" t="s">
        <v>81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83</v>
      </c>
      <c r="G103" s="2" t="n">
        <v>73</v>
      </c>
      <c r="I103" s="2" t="n">
        <f aca="false">AVERAGE(90,79)</f>
        <v>84.5</v>
      </c>
      <c r="M103" s="0" t="s">
        <v>93</v>
      </c>
      <c r="O103" s="0" t="s">
        <v>65</v>
      </c>
      <c r="P103" s="0" t="s">
        <v>97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83</v>
      </c>
      <c r="G104" s="2" t="n">
        <v>86</v>
      </c>
      <c r="I104" s="2" t="n">
        <v>53</v>
      </c>
      <c r="M104" s="0" t="s">
        <v>72</v>
      </c>
      <c r="O104" s="0" t="s">
        <v>65</v>
      </c>
      <c r="P104" s="0" t="s">
        <v>95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91</v>
      </c>
      <c r="H105" s="2" t="n">
        <v>64</v>
      </c>
      <c r="I105" s="2" t="n">
        <v>41</v>
      </c>
      <c r="J105" s="2" t="s">
        <v>94</v>
      </c>
      <c r="K105" s="2" t="n">
        <v>10</v>
      </c>
      <c r="L105" s="2" t="n">
        <v>0</v>
      </c>
      <c r="M105" s="0" t="s">
        <v>93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v>86</v>
      </c>
      <c r="H106" s="2" t="n">
        <v>74</v>
      </c>
      <c r="I106" s="2" t="n">
        <v>66</v>
      </c>
      <c r="J106" s="2" t="s">
        <v>99</v>
      </c>
      <c r="K106" s="2" t="n">
        <v>10</v>
      </c>
      <c r="L106" s="2" t="n">
        <v>0</v>
      </c>
      <c r="M106" s="0" t="s">
        <v>93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100</v>
      </c>
      <c r="F107" s="6" t="s">
        <v>101</v>
      </c>
      <c r="G107" s="2" t="n">
        <v>93</v>
      </c>
      <c r="H107" s="2" t="n">
        <v>74</v>
      </c>
      <c r="I107" s="2" t="n">
        <v>54</v>
      </c>
      <c r="J107" s="2" t="s">
        <v>94</v>
      </c>
      <c r="K107" s="2" t="n">
        <v>10</v>
      </c>
      <c r="L107" s="2" t="n">
        <v>0</v>
      </c>
      <c r="M107" s="0" t="s">
        <v>93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H108" s="2" t="n">
        <v>70</v>
      </c>
      <c r="I108" s="2" t="n">
        <f aca="false">AVERAGE(50,48)</f>
        <v>49</v>
      </c>
      <c r="J108" s="6" t="s">
        <v>102</v>
      </c>
      <c r="K108" s="2" t="n">
        <v>7</v>
      </c>
      <c r="L108" s="2" t="n">
        <v>0</v>
      </c>
      <c r="M108" s="0" t="s">
        <v>93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6" t="s">
        <v>101</v>
      </c>
      <c r="G109" s="2" t="n">
        <v>91</v>
      </c>
      <c r="H109" s="2" t="n">
        <v>69</v>
      </c>
      <c r="I109" s="2" t="n">
        <v>48</v>
      </c>
      <c r="J109" s="6" t="s">
        <v>103</v>
      </c>
      <c r="K109" s="2" t="n">
        <v>0</v>
      </c>
      <c r="L109" s="2" t="n">
        <v>0</v>
      </c>
      <c r="M109" s="0" t="s">
        <v>93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94</v>
      </c>
      <c r="H110" s="2" t="n">
        <v>71</v>
      </c>
      <c r="I110" s="2" t="n">
        <v>47</v>
      </c>
      <c r="J110" s="6" t="s">
        <v>104</v>
      </c>
      <c r="K110" s="2" t="n">
        <v>5</v>
      </c>
      <c r="L110" s="2" t="n">
        <v>0</v>
      </c>
      <c r="M110" s="0" t="s">
        <v>93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93</v>
      </c>
      <c r="H111" s="2" t="n">
        <v>67</v>
      </c>
      <c r="I111" s="2" t="n">
        <v>42</v>
      </c>
      <c r="J111" s="6" t="s">
        <v>71</v>
      </c>
      <c r="K111" s="2" t="n">
        <v>24</v>
      </c>
      <c r="L111" s="2" t="n">
        <v>35</v>
      </c>
      <c r="M111" s="0" t="s">
        <v>93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6" t="s">
        <v>74</v>
      </c>
      <c r="K112" s="2" t="n">
        <v>16</v>
      </c>
      <c r="L112" s="2" t="n">
        <v>27</v>
      </c>
      <c r="M112" s="0" t="s">
        <v>93</v>
      </c>
      <c r="O112" s="0" t="s">
        <v>65</v>
      </c>
      <c r="P112" s="0" t="s">
        <v>105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106</v>
      </c>
      <c r="K113" s="2" t="n">
        <v>12</v>
      </c>
      <c r="L113" s="2" t="n">
        <v>25</v>
      </c>
      <c r="M113" s="0" t="s">
        <v>72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107</v>
      </c>
      <c r="K114" s="2" t="n">
        <v>7</v>
      </c>
      <c r="L114" s="2" t="n">
        <v>0</v>
      </c>
      <c r="M114" s="0" t="s">
        <v>72</v>
      </c>
      <c r="O114" s="0" t="s">
        <v>56</v>
      </c>
      <c r="P114" s="0" t="s">
        <v>95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94</v>
      </c>
      <c r="K115" s="2" t="n">
        <v>15</v>
      </c>
      <c r="L115" s="2" t="n">
        <v>29</v>
      </c>
      <c r="M115" s="0" t="s">
        <v>72</v>
      </c>
      <c r="O115" s="0" t="s">
        <v>65</v>
      </c>
      <c r="P115" s="0" t="s">
        <v>81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94</v>
      </c>
      <c r="K116" s="2" t="n">
        <v>13</v>
      </c>
      <c r="L116" s="2" t="n">
        <v>22</v>
      </c>
      <c r="M116" s="0" t="s">
        <v>72</v>
      </c>
      <c r="O116" s="0" t="s">
        <v>56</v>
      </c>
      <c r="P116" s="0" t="s">
        <v>105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108</v>
      </c>
      <c r="K117" s="2" t="n">
        <v>13</v>
      </c>
      <c r="L117" s="2" t="n">
        <v>18</v>
      </c>
      <c r="M117" s="0" t="s">
        <v>72</v>
      </c>
      <c r="O117" s="0" t="s">
        <v>65</v>
      </c>
      <c r="P117" s="0" t="s">
        <v>105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94</v>
      </c>
      <c r="K118" s="2" t="n">
        <v>7</v>
      </c>
      <c r="L118" s="2" t="n">
        <v>0</v>
      </c>
      <c r="M118" s="0" t="s">
        <v>72</v>
      </c>
      <c r="O118" s="0" t="s">
        <v>56</v>
      </c>
      <c r="P118" s="0" t="s">
        <v>105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109</v>
      </c>
      <c r="K119" s="2" t="n">
        <v>11</v>
      </c>
      <c r="L119" s="2" t="n">
        <v>0</v>
      </c>
      <c r="M119" s="0" t="s">
        <v>72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109</v>
      </c>
      <c r="K120" s="2" t="n">
        <v>17</v>
      </c>
      <c r="L120" s="2" t="n">
        <v>28</v>
      </c>
      <c r="M120" s="0" t="s">
        <v>72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94</v>
      </c>
      <c r="K121" s="2" t="n">
        <v>14</v>
      </c>
      <c r="L121" s="2" t="n">
        <v>23</v>
      </c>
      <c r="M121" s="0" t="s">
        <v>72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110</v>
      </c>
      <c r="K122" s="2" t="n">
        <v>16</v>
      </c>
      <c r="L122" s="2" t="n">
        <v>0</v>
      </c>
      <c r="M122" s="0" t="s">
        <v>93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94</v>
      </c>
      <c r="K123" s="2" t="n">
        <f aca="false">AVERAGE(9,6)</f>
        <v>7.5</v>
      </c>
      <c r="L123" s="2" t="n">
        <v>0</v>
      </c>
      <c r="M123" s="0" t="s">
        <v>72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111</v>
      </c>
      <c r="K124" s="2" t="n">
        <v>9</v>
      </c>
      <c r="L124" s="2" t="n">
        <v>0</v>
      </c>
      <c r="M124" s="0" t="s">
        <v>93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94</v>
      </c>
      <c r="K125" s="2" t="n">
        <f aca="false">AVERAGE(16,0,19)</f>
        <v>11.6666666666667</v>
      </c>
      <c r="L125" s="2" t="n">
        <f aca="false">AVERAGE(24,0,0)</f>
        <v>8</v>
      </c>
      <c r="M125" s="0" t="s">
        <v>93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83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111</v>
      </c>
      <c r="K126" s="2" t="n">
        <v>5</v>
      </c>
      <c r="L126" s="2" t="n">
        <v>0</v>
      </c>
      <c r="M126" s="0" t="s">
        <v>93</v>
      </c>
      <c r="O126" s="0" t="s">
        <v>56</v>
      </c>
      <c r="P126" s="0" t="s">
        <v>105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112</v>
      </c>
      <c r="K127" s="2" t="n">
        <f aca="false">AVERAGE(12,9)</f>
        <v>10.5</v>
      </c>
      <c r="L127" s="2" t="n">
        <v>0</v>
      </c>
      <c r="M127" s="0" t="s">
        <v>93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113</v>
      </c>
      <c r="K128" s="2" t="n">
        <v>9</v>
      </c>
      <c r="L128" s="2" t="n">
        <v>0</v>
      </c>
      <c r="M128" s="0" t="s">
        <v>93</v>
      </c>
      <c r="O128" s="0" t="s">
        <v>56</v>
      </c>
      <c r="P128" s="0" t="s">
        <v>105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94</v>
      </c>
      <c r="K129" s="2" t="n">
        <v>15</v>
      </c>
      <c r="L129" s="2" t="n">
        <v>23</v>
      </c>
      <c r="M129" s="0" t="s">
        <v>93</v>
      </c>
      <c r="O129" s="0" t="s">
        <v>114</v>
      </c>
      <c r="P129" s="0" t="s">
        <v>115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116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94</v>
      </c>
      <c r="K130" s="2" t="n">
        <v>14</v>
      </c>
      <c r="L130" s="2" t="n">
        <v>26</v>
      </c>
      <c r="M130" s="0" t="s">
        <v>93</v>
      </c>
      <c r="O130" s="0" t="s">
        <v>56</v>
      </c>
      <c r="P130" s="0" t="s">
        <v>105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83</v>
      </c>
      <c r="G131" s="2" t="n">
        <v>88</v>
      </c>
      <c r="H131" s="2" t="n">
        <v>72</v>
      </c>
      <c r="I131" s="2" t="n">
        <v>58</v>
      </c>
      <c r="J131" s="2" t="s">
        <v>94</v>
      </c>
      <c r="K131" s="2" t="n">
        <v>15</v>
      </c>
      <c r="L131" s="2" t="n">
        <v>33</v>
      </c>
      <c r="M131" s="0" t="s">
        <v>93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94</v>
      </c>
      <c r="K132" s="2" t="n">
        <f aca="false">AVERAGE(16,17)</f>
        <v>16.5</v>
      </c>
      <c r="L132" s="2" t="n">
        <f aca="false">AVERAGE(29,30)</f>
        <v>29.5</v>
      </c>
      <c r="M132" s="0" t="s">
        <v>93</v>
      </c>
      <c r="O132" s="0" t="s">
        <v>114</v>
      </c>
      <c r="P132" s="0" t="s">
        <v>105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83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94</v>
      </c>
      <c r="K133" s="2" t="n">
        <f aca="false">AVERAGE(18,21)</f>
        <v>19.5</v>
      </c>
      <c r="L133" s="2" t="n">
        <v>20</v>
      </c>
      <c r="M133" s="0" t="s">
        <v>93</v>
      </c>
      <c r="O133" s="0" t="s">
        <v>114</v>
      </c>
      <c r="P133" s="0" t="s">
        <v>105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83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94</v>
      </c>
      <c r="K134" s="2" t="n">
        <f aca="false">AVERAGE(15,13,13)</f>
        <v>13.6666666666667</v>
      </c>
      <c r="L134" s="2" t="n">
        <v>25</v>
      </c>
      <c r="M134" s="0" t="s">
        <v>93</v>
      </c>
      <c r="O134" s="0" t="s">
        <v>56</v>
      </c>
      <c r="P134" s="0" t="s">
        <v>105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117</v>
      </c>
      <c r="K135" s="2" t="n">
        <v>10</v>
      </c>
      <c r="L135" s="2" t="n">
        <v>0</v>
      </c>
      <c r="M135" s="0" t="s">
        <v>93</v>
      </c>
      <c r="O135" s="0" t="s">
        <v>56</v>
      </c>
      <c r="P135" s="0" t="s">
        <v>105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109</v>
      </c>
      <c r="K136" s="2" t="n">
        <v>3</v>
      </c>
      <c r="L136" s="2" t="n">
        <v>0</v>
      </c>
      <c r="M136" s="0" t="s">
        <v>93</v>
      </c>
      <c r="O136" s="0" t="s">
        <v>114</v>
      </c>
      <c r="P136" s="0" t="s">
        <v>115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94</v>
      </c>
      <c r="K137" s="2" t="n">
        <f aca="false">AVERAGE(5,6)</f>
        <v>5.5</v>
      </c>
      <c r="L137" s="2" t="n">
        <v>0</v>
      </c>
      <c r="M137" s="0" t="s">
        <v>93</v>
      </c>
      <c r="O137" s="0" t="s">
        <v>56</v>
      </c>
      <c r="P137" s="0" t="s">
        <v>105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112</v>
      </c>
      <c r="K138" s="2" t="n">
        <v>5</v>
      </c>
      <c r="L138" s="2" t="n">
        <v>0</v>
      </c>
      <c r="M138" s="0" t="s">
        <v>93</v>
      </c>
      <c r="O138" s="0" t="s">
        <v>114</v>
      </c>
      <c r="P138" s="0" t="s">
        <v>115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83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110</v>
      </c>
      <c r="K139" s="2" t="n">
        <v>0</v>
      </c>
      <c r="L139" s="2" t="n">
        <v>0</v>
      </c>
      <c r="M139" s="0" t="s">
        <v>93</v>
      </c>
      <c r="O139" s="0" t="s">
        <v>56</v>
      </c>
      <c r="P139" s="0" t="s">
        <v>115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83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110</v>
      </c>
      <c r="K140" s="2" t="n">
        <v>0</v>
      </c>
      <c r="L140" s="2" t="n">
        <v>0</v>
      </c>
      <c r="M140" s="0" t="s">
        <v>93</v>
      </c>
      <c r="O140" s="0" t="s">
        <v>114</v>
      </c>
      <c r="P140" s="0" t="s">
        <v>115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118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110</v>
      </c>
      <c r="K141" s="2" t="n">
        <v>10</v>
      </c>
      <c r="L141" s="2" t="n">
        <v>0</v>
      </c>
      <c r="M141" s="0" t="s">
        <v>93</v>
      </c>
      <c r="P141" s="0" t="s">
        <v>105</v>
      </c>
      <c r="AZ141" s="0" t="s">
        <v>58</v>
      </c>
      <c r="BA141" s="0" t="s">
        <v>59</v>
      </c>
      <c r="BB141" s="0" t="n">
        <v>1</v>
      </c>
      <c r="BC141" s="0" t="s">
        <v>85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83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109</v>
      </c>
      <c r="K142" s="2" t="n">
        <v>15</v>
      </c>
      <c r="L142" s="2" t="n">
        <v>0</v>
      </c>
      <c r="M142" s="0" t="s">
        <v>93</v>
      </c>
      <c r="O142" s="0" t="s">
        <v>114</v>
      </c>
      <c r="P142" s="0" t="s">
        <v>115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94</v>
      </c>
      <c r="K143" s="2" t="n">
        <f aca="false">AVERAGE(14,13,9)</f>
        <v>12</v>
      </c>
      <c r="L143" s="2" t="n">
        <v>24</v>
      </c>
      <c r="M143" s="0" t="s">
        <v>93</v>
      </c>
      <c r="O143" s="0" t="s">
        <v>56</v>
      </c>
      <c r="P143" s="0" t="s">
        <v>115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84</v>
      </c>
      <c r="G144" s="2" t="n">
        <v>91</v>
      </c>
      <c r="H144" s="2" t="n">
        <v>76</v>
      </c>
      <c r="I144" s="2" t="n">
        <f aca="false">(65+59)/2</f>
        <v>62</v>
      </c>
      <c r="J144" s="10" t="s">
        <v>119</v>
      </c>
      <c r="K144" s="2" t="n">
        <v>8</v>
      </c>
      <c r="L144" s="2" t="n">
        <v>0</v>
      </c>
      <c r="M144" s="0" t="s">
        <v>93</v>
      </c>
      <c r="O144" s="0" t="s">
        <v>114</v>
      </c>
      <c r="P144" s="0" t="s">
        <v>105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120</v>
      </c>
      <c r="K145" s="2" t="n">
        <f aca="false">(7+13)/2</f>
        <v>10</v>
      </c>
      <c r="L145" s="2" t="n">
        <v>0</v>
      </c>
      <c r="M145" s="0" t="s">
        <v>93</v>
      </c>
      <c r="O145" s="0" t="s">
        <v>56</v>
      </c>
      <c r="P145" s="0" t="s">
        <v>115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84</v>
      </c>
      <c r="G146" s="2" t="n">
        <v>96</v>
      </c>
      <c r="H146" s="2" t="n">
        <v>71</v>
      </c>
      <c r="I146" s="2" t="n">
        <v>42</v>
      </c>
      <c r="J146" s="2" t="s">
        <v>99</v>
      </c>
      <c r="K146" s="2" t="n">
        <v>13</v>
      </c>
      <c r="L146" s="2" t="n">
        <v>17</v>
      </c>
      <c r="M146" s="0" t="s">
        <v>93</v>
      </c>
      <c r="O146" s="0" t="s">
        <v>114</v>
      </c>
      <c r="P146" s="0" t="s">
        <v>105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84</v>
      </c>
      <c r="G147" s="2" t="n">
        <f aca="false">(96+99)/2</f>
        <v>97.5</v>
      </c>
      <c r="H147" s="2" t="n">
        <v>73</v>
      </c>
      <c r="I147" s="2" t="n">
        <v>42</v>
      </c>
      <c r="J147" s="2" t="s">
        <v>94</v>
      </c>
      <c r="K147" s="2" t="n">
        <v>15</v>
      </c>
      <c r="L147" s="2" t="n">
        <v>25</v>
      </c>
      <c r="M147" s="0" t="s">
        <v>93</v>
      </c>
      <c r="O147" s="0" t="s">
        <v>56</v>
      </c>
      <c r="P147" s="0" t="s">
        <v>115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84</v>
      </c>
      <c r="G148" s="2" t="n">
        <v>94</v>
      </c>
      <c r="H148" s="2" t="n">
        <v>72</v>
      </c>
      <c r="I148" s="2" t="n">
        <v>50</v>
      </c>
      <c r="J148" s="2" t="s">
        <v>94</v>
      </c>
      <c r="K148" s="2" t="n">
        <v>16</v>
      </c>
      <c r="L148" s="2" t="n">
        <v>0</v>
      </c>
      <c r="M148" s="0" t="s">
        <v>93</v>
      </c>
      <c r="O148" s="0" t="s">
        <v>114</v>
      </c>
      <c r="P148" s="0" t="s">
        <v>115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83</v>
      </c>
      <c r="G149" s="2" t="n">
        <v>92</v>
      </c>
      <c r="H149" s="2" t="n">
        <v>71</v>
      </c>
      <c r="I149" s="2" t="n">
        <v>52</v>
      </c>
      <c r="J149" s="2" t="s">
        <v>94</v>
      </c>
      <c r="K149" s="2" t="n">
        <v>16</v>
      </c>
      <c r="L149" s="2" t="n">
        <v>0</v>
      </c>
      <c r="M149" s="0" t="s">
        <v>93</v>
      </c>
      <c r="O149" s="0" t="s">
        <v>56</v>
      </c>
      <c r="P149" s="0" t="s">
        <v>115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94</v>
      </c>
      <c r="K150" s="2" t="n">
        <f aca="false">AVERAGE(9+6)/2</f>
        <v>7.5</v>
      </c>
      <c r="L150" s="2" t="n">
        <v>27</v>
      </c>
      <c r="M150" s="0" t="s">
        <v>93</v>
      </c>
      <c r="O150" s="0" t="s">
        <v>114</v>
      </c>
      <c r="P150" s="0" t="s">
        <v>115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84</v>
      </c>
      <c r="G151" s="2" t="n">
        <v>95</v>
      </c>
      <c r="H151" s="2" t="n">
        <v>74</v>
      </c>
      <c r="I151" s="2" t="n">
        <f aca="false">(52+49)/2</f>
        <v>50.5</v>
      </c>
      <c r="J151" s="2" t="s">
        <v>113</v>
      </c>
      <c r="K151" s="2" t="n">
        <v>8</v>
      </c>
      <c r="L151" s="2" t="n">
        <v>0</v>
      </c>
      <c r="M151" s="0" t="s">
        <v>93</v>
      </c>
      <c r="O151" s="0" t="s">
        <v>56</v>
      </c>
      <c r="P151" s="0" t="s">
        <v>115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94</v>
      </c>
      <c r="K152" s="2" t="n">
        <v>9</v>
      </c>
      <c r="L152" s="2" t="n">
        <v>20</v>
      </c>
      <c r="M152" s="0" t="s">
        <v>93</v>
      </c>
      <c r="O152" s="0" t="s">
        <v>114</v>
      </c>
      <c r="P152" s="0" t="s">
        <v>105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84</v>
      </c>
      <c r="G153" s="2" t="n">
        <v>91</v>
      </c>
      <c r="H153" s="2" t="n">
        <v>71</v>
      </c>
      <c r="I153" s="2" t="n">
        <v>51</v>
      </c>
      <c r="J153" s="2" t="s">
        <v>94</v>
      </c>
      <c r="K153" s="2" t="n">
        <v>9</v>
      </c>
      <c r="L153" s="2" t="n">
        <v>16</v>
      </c>
      <c r="M153" s="0" t="s">
        <v>93</v>
      </c>
      <c r="O153" s="0" t="s">
        <v>56</v>
      </c>
      <c r="P153" s="0" t="s">
        <v>105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84</v>
      </c>
      <c r="G154" s="2" t="n">
        <v>92</v>
      </c>
      <c r="H154" s="2" t="n">
        <v>72</v>
      </c>
      <c r="I154" s="2" t="n">
        <v>53</v>
      </c>
      <c r="J154" s="2" t="s">
        <v>94</v>
      </c>
      <c r="K154" s="2" t="n">
        <v>7</v>
      </c>
      <c r="L154" s="2" t="n">
        <v>0</v>
      </c>
      <c r="M154" s="0" t="s">
        <v>93</v>
      </c>
      <c r="O154" s="0" t="s">
        <v>114</v>
      </c>
      <c r="P154" s="0" t="s">
        <v>115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83</v>
      </c>
      <c r="G155" s="2" t="n">
        <v>87</v>
      </c>
      <c r="H155" s="2" t="n">
        <v>73</v>
      </c>
      <c r="I155" s="2" t="n">
        <f aca="false">(72+65)/2</f>
        <v>68.5</v>
      </c>
      <c r="J155" s="2" t="s">
        <v>110</v>
      </c>
      <c r="K155" s="2" t="n">
        <v>7</v>
      </c>
      <c r="L155" s="2" t="n">
        <v>0</v>
      </c>
      <c r="M155" s="0" t="s">
        <v>93</v>
      </c>
      <c r="O155" s="0" t="s">
        <v>56</v>
      </c>
      <c r="P155" s="0" t="s">
        <v>115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75</v>
      </c>
      <c r="F156" s="0" t="s">
        <v>84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121</v>
      </c>
      <c r="K156" s="2" t="n">
        <v>7</v>
      </c>
      <c r="L156" s="2" t="n">
        <v>0</v>
      </c>
      <c r="M156" s="0" t="s">
        <v>93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122</v>
      </c>
      <c r="F157" s="0" t="s">
        <v>83</v>
      </c>
      <c r="G157" s="2" t="n">
        <v>92</v>
      </c>
      <c r="H157" s="2" t="n">
        <v>75</v>
      </c>
      <c r="I157" s="2" t="n">
        <v>57</v>
      </c>
      <c r="J157" s="2" t="s">
        <v>109</v>
      </c>
      <c r="K157" s="2" t="n">
        <v>6</v>
      </c>
      <c r="L157" s="2" t="n">
        <v>0</v>
      </c>
      <c r="M157" s="0" t="s">
        <v>93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122</v>
      </c>
      <c r="F158" s="0" t="s">
        <v>83</v>
      </c>
      <c r="G158" s="2" t="n">
        <v>93</v>
      </c>
      <c r="H158" s="2" t="n">
        <v>72</v>
      </c>
      <c r="I158" s="2" t="n">
        <v>53</v>
      </c>
      <c r="J158" s="2" t="s">
        <v>112</v>
      </c>
      <c r="K158" s="2" t="n">
        <v>7</v>
      </c>
      <c r="L158" s="2" t="n">
        <v>0</v>
      </c>
      <c r="M158" s="0" t="s">
        <v>93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122</v>
      </c>
      <c r="F159" s="6" t="s">
        <v>70</v>
      </c>
      <c r="G159" s="2" t="n">
        <v>96</v>
      </c>
      <c r="H159" s="2" t="n">
        <v>72</v>
      </c>
      <c r="I159" s="2" t="n">
        <v>63</v>
      </c>
      <c r="J159" s="6" t="s">
        <v>123</v>
      </c>
      <c r="K159" s="2" t="n">
        <v>9</v>
      </c>
      <c r="L159" s="2" t="n">
        <v>0</v>
      </c>
      <c r="M159" s="0" t="s">
        <v>93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122</v>
      </c>
      <c r="F160" s="6" t="s">
        <v>70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110</v>
      </c>
      <c r="K160" s="2" t="n">
        <v>6</v>
      </c>
      <c r="L160" s="2" t="n">
        <v>0</v>
      </c>
      <c r="M160" s="0" t="s">
        <v>93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122</v>
      </c>
      <c r="F161" s="6" t="s">
        <v>70</v>
      </c>
      <c r="G161" s="2" t="n">
        <v>84</v>
      </c>
      <c r="H161" s="2" t="n">
        <v>72</v>
      </c>
      <c r="I161" s="2" t="n">
        <v>72</v>
      </c>
      <c r="J161" s="2" t="s">
        <v>109</v>
      </c>
      <c r="K161" s="2" t="n">
        <f aca="false">(7+7+3)/3</f>
        <v>5.66666666666667</v>
      </c>
      <c r="L161" s="2" t="n">
        <v>0</v>
      </c>
      <c r="M161" s="0" t="s">
        <v>93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6" t="s">
        <v>124</v>
      </c>
      <c r="G162" s="2" t="n">
        <v>76</v>
      </c>
      <c r="H162" s="2" t="n">
        <v>76</v>
      </c>
      <c r="I162" s="2" t="n">
        <v>100</v>
      </c>
      <c r="J162" s="2" t="s">
        <v>109</v>
      </c>
      <c r="K162" s="2" t="n">
        <f aca="false">AVERAGE(6,9,10)</f>
        <v>8.33333333333333</v>
      </c>
      <c r="L162" s="2" t="n">
        <v>0</v>
      </c>
      <c r="M162" s="0" t="s">
        <v>93</v>
      </c>
      <c r="N162" s="0" t="n">
        <v>0</v>
      </c>
      <c r="O162" s="0" t="s">
        <v>114</v>
      </c>
      <c r="P162" s="0" t="s">
        <v>105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94</v>
      </c>
      <c r="K163" s="2" t="n">
        <v>12</v>
      </c>
      <c r="L163" s="2" t="n">
        <v>0</v>
      </c>
      <c r="M163" s="0" t="s">
        <v>93</v>
      </c>
      <c r="N163" s="0" t="n">
        <v>0</v>
      </c>
      <c r="O163" s="0" t="s">
        <v>114</v>
      </c>
      <c r="P163" s="0" t="s">
        <v>105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94</v>
      </c>
      <c r="K164" s="2" t="n">
        <v>15</v>
      </c>
      <c r="L164" s="2" t="n">
        <v>0</v>
      </c>
      <c r="M164" s="0" t="s">
        <v>93</v>
      </c>
      <c r="N164" s="0" t="n">
        <v>0</v>
      </c>
      <c r="O164" s="0" t="s">
        <v>114</v>
      </c>
      <c r="P164" s="0" t="s">
        <v>105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6" t="s">
        <v>101</v>
      </c>
      <c r="G165" s="2" t="n">
        <v>86</v>
      </c>
      <c r="H165" s="2" t="n">
        <v>50</v>
      </c>
      <c r="I165" s="2" t="n">
        <v>59</v>
      </c>
      <c r="J165" s="6" t="s">
        <v>125</v>
      </c>
      <c r="K165" s="2" t="n">
        <v>10</v>
      </c>
      <c r="L165" s="2" t="n">
        <v>22</v>
      </c>
      <c r="M165" s="0" t="s">
        <v>93</v>
      </c>
      <c r="N165" s="0" t="n">
        <v>0</v>
      </c>
      <c r="O165" s="0" t="s">
        <v>114</v>
      </c>
      <c r="P165" s="0" t="s">
        <v>105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6" t="s">
        <v>70</v>
      </c>
      <c r="G166" s="2" t="n">
        <v>85</v>
      </c>
      <c r="H166" s="2" t="n">
        <v>66</v>
      </c>
      <c r="I166" s="2" t="n">
        <v>53</v>
      </c>
      <c r="J166" s="2" t="s">
        <v>107</v>
      </c>
      <c r="K166" s="2" t="n">
        <v>6</v>
      </c>
      <c r="L166" s="2" t="n">
        <v>0</v>
      </c>
      <c r="M166" s="0" t="s">
        <v>93</v>
      </c>
      <c r="N166" s="0" t="n">
        <v>0</v>
      </c>
      <c r="O166" s="0" t="s">
        <v>114</v>
      </c>
      <c r="P166" s="0" t="s">
        <v>105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6" t="s">
        <v>107</v>
      </c>
      <c r="K167" s="2" t="n">
        <v>6</v>
      </c>
      <c r="L167" s="2" t="n">
        <v>0</v>
      </c>
      <c r="M167" s="0" t="s">
        <v>72</v>
      </c>
      <c r="N167" s="0" t="n">
        <v>0</v>
      </c>
      <c r="O167" s="0" t="s">
        <v>114</v>
      </c>
      <c r="P167" s="0" t="s">
        <v>105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112</v>
      </c>
      <c r="K168" s="2" t="n">
        <v>10</v>
      </c>
      <c r="L168" s="2" t="n">
        <v>17</v>
      </c>
      <c r="M168" s="0" t="s">
        <v>72</v>
      </c>
      <c r="N168" s="0" t="n">
        <v>0</v>
      </c>
      <c r="O168" s="0" t="s">
        <v>114</v>
      </c>
      <c r="P168" s="0" t="s">
        <v>115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113</v>
      </c>
      <c r="K169" s="2" t="n">
        <v>5</v>
      </c>
      <c r="L169" s="2" t="n">
        <v>0</v>
      </c>
      <c r="M169" s="0" t="s">
        <v>72</v>
      </c>
      <c r="N169" s="0" t="n">
        <v>0</v>
      </c>
      <c r="O169" s="0" t="s">
        <v>114</v>
      </c>
      <c r="P169" s="0" t="s">
        <v>115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6" t="s">
        <v>70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110</v>
      </c>
      <c r="K170" s="2" t="n">
        <f aca="false">(13+8)/2</f>
        <v>10.5</v>
      </c>
      <c r="L170" s="2" t="n">
        <v>0</v>
      </c>
      <c r="M170" s="0" t="s">
        <v>72</v>
      </c>
      <c r="N170" s="0" t="n">
        <v>0</v>
      </c>
      <c r="O170" s="0" t="s">
        <v>114</v>
      </c>
      <c r="P170" s="0" t="s">
        <v>105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109</v>
      </c>
      <c r="K171" s="2" t="n">
        <v>6</v>
      </c>
      <c r="L171" s="2" t="n">
        <v>0</v>
      </c>
      <c r="M171" s="0" t="s">
        <v>93</v>
      </c>
      <c r="N171" s="0" t="n">
        <v>0</v>
      </c>
      <c r="O171" s="0" t="s">
        <v>114</v>
      </c>
      <c r="P171" s="0" t="s">
        <v>105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6" t="s">
        <v>101</v>
      </c>
      <c r="G172" s="2" t="n">
        <v>91</v>
      </c>
      <c r="H172" s="2" t="n">
        <v>69</v>
      </c>
      <c r="I172" s="2" t="n">
        <v>50</v>
      </c>
      <c r="J172" s="2" t="s">
        <v>109</v>
      </c>
      <c r="K172" s="2" t="n">
        <f aca="false">(15+12)/2</f>
        <v>13.5</v>
      </c>
      <c r="L172" s="2" t="n">
        <v>0</v>
      </c>
      <c r="M172" s="0" t="s">
        <v>93</v>
      </c>
      <c r="N172" s="0" t="n">
        <v>0</v>
      </c>
      <c r="O172" s="0" t="s">
        <v>114</v>
      </c>
      <c r="P172" s="0" t="s">
        <v>105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100</v>
      </c>
      <c r="F173" s="6" t="s">
        <v>126</v>
      </c>
      <c r="G173" s="2" t="n">
        <v>92</v>
      </c>
      <c r="H173" s="2" t="n">
        <v>68</v>
      </c>
      <c r="I173" s="2" t="n">
        <f aca="false">(48+42)/2</f>
        <v>45</v>
      </c>
      <c r="J173" s="2" t="s">
        <v>109</v>
      </c>
      <c r="K173" s="2" t="n">
        <v>15</v>
      </c>
      <c r="L173" s="2" t="n">
        <v>24</v>
      </c>
      <c r="M173" s="0" t="s">
        <v>93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99</v>
      </c>
      <c r="K174" s="2" t="n">
        <f aca="false">(15+10)/2</f>
        <v>12.5</v>
      </c>
      <c r="L174" s="2" t="n">
        <v>0</v>
      </c>
      <c r="M174" s="0" t="s">
        <v>93</v>
      </c>
      <c r="N174" s="0" t="n">
        <v>0</v>
      </c>
      <c r="O174" s="0" t="s">
        <v>114</v>
      </c>
      <c r="P174" s="0" t="s">
        <v>105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117</v>
      </c>
      <c r="K175" s="2" t="n">
        <v>16</v>
      </c>
      <c r="L175" s="2" t="n">
        <v>0</v>
      </c>
      <c r="M175" s="0" t="s">
        <v>93</v>
      </c>
      <c r="N175" s="0" t="n">
        <v>0</v>
      </c>
      <c r="O175" s="0" t="s">
        <v>114</v>
      </c>
      <c r="P175" s="0" t="s">
        <v>105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6" t="s">
        <v>101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6" t="s">
        <v>71</v>
      </c>
      <c r="K176" s="2" t="n">
        <v>15</v>
      </c>
      <c r="L176" s="2" t="n">
        <v>22</v>
      </c>
      <c r="M176" s="0" t="s">
        <v>93</v>
      </c>
      <c r="N176" s="0" t="n">
        <v>0</v>
      </c>
      <c r="O176" s="0" t="s">
        <v>114</v>
      </c>
      <c r="P176" s="0" t="s">
        <v>105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6" t="s">
        <v>101</v>
      </c>
      <c r="G177" s="2" t="n">
        <v>97</v>
      </c>
      <c r="H177" s="2" t="n">
        <v>73</v>
      </c>
      <c r="I177" s="2" t="n">
        <v>47</v>
      </c>
      <c r="J177" s="2" t="s">
        <v>94</v>
      </c>
      <c r="K177" s="2" t="n">
        <v>9</v>
      </c>
      <c r="L177" s="2" t="n">
        <v>0</v>
      </c>
      <c r="M177" s="0" t="s">
        <v>93</v>
      </c>
      <c r="N177" s="0" t="n">
        <v>0</v>
      </c>
      <c r="O177" s="0" t="s">
        <v>114</v>
      </c>
      <c r="P177" s="0" t="s">
        <v>105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94</v>
      </c>
      <c r="K178" s="2" t="n">
        <f aca="false">(10+14)/2</f>
        <v>12</v>
      </c>
      <c r="L178" s="2" t="n">
        <v>21</v>
      </c>
      <c r="M178" s="0" t="s">
        <v>93</v>
      </c>
      <c r="N178" s="0" t="n">
        <v>0</v>
      </c>
      <c r="O178" s="0" t="s">
        <v>114</v>
      </c>
      <c r="P178" s="0" t="s">
        <v>105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6" t="s">
        <v>101</v>
      </c>
      <c r="G179" s="2" t="n">
        <f aca="false">(95+98)/2</f>
        <v>96.5</v>
      </c>
      <c r="H179" s="2" t="n">
        <v>71</v>
      </c>
      <c r="I179" s="2" t="n">
        <v>43</v>
      </c>
      <c r="J179" s="2" t="s">
        <v>94</v>
      </c>
      <c r="K179" s="2" t="n">
        <v>13</v>
      </c>
      <c r="L179" s="2" t="n">
        <v>21</v>
      </c>
      <c r="M179" s="0" t="s">
        <v>93</v>
      </c>
      <c r="N179" s="0" t="n">
        <v>0</v>
      </c>
      <c r="O179" s="0" t="s">
        <v>114</v>
      </c>
      <c r="P179" s="0" t="s">
        <v>105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6" t="s">
        <v>101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94</v>
      </c>
      <c r="K180" s="2" t="n">
        <v>8</v>
      </c>
      <c r="L180" s="2" t="n">
        <v>0</v>
      </c>
      <c r="M180" s="0" t="s">
        <v>93</v>
      </c>
      <c r="N180" s="0" t="n">
        <v>0</v>
      </c>
      <c r="O180" s="0" t="s">
        <v>114</v>
      </c>
      <c r="P180" s="0" t="s">
        <v>105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6" t="s">
        <v>70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127</v>
      </c>
      <c r="K181" s="2" t="n">
        <f aca="false">5/2</f>
        <v>2.5</v>
      </c>
      <c r="L181" s="2" t="n">
        <v>0</v>
      </c>
      <c r="M181" s="0" t="s">
        <v>93</v>
      </c>
      <c r="N181" s="0" t="n">
        <v>0</v>
      </c>
      <c r="O181" s="0" t="s">
        <v>114</v>
      </c>
      <c r="P181" s="0" t="s">
        <v>105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85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6" t="s">
        <v>70</v>
      </c>
      <c r="G182" s="2" t="n">
        <v>87</v>
      </c>
      <c r="H182" s="2" t="n">
        <f aca="false">(67+70)/2</f>
        <v>68.5</v>
      </c>
      <c r="I182" s="2" t="n">
        <v>54</v>
      </c>
      <c r="J182" s="2" t="s">
        <v>128</v>
      </c>
      <c r="K182" s="2" t="n">
        <v>0</v>
      </c>
      <c r="L182" s="2" t="n">
        <v>0</v>
      </c>
      <c r="M182" s="0" t="s">
        <v>72</v>
      </c>
      <c r="N182" s="0" t="n">
        <v>1</v>
      </c>
      <c r="O182" s="0" t="s">
        <v>114</v>
      </c>
      <c r="P182" s="0" t="s">
        <v>105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75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107</v>
      </c>
      <c r="K183" s="2" t="n">
        <v>15</v>
      </c>
      <c r="L183" s="2" t="n">
        <v>25</v>
      </c>
      <c r="M183" s="0" t="s">
        <v>93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6" t="s">
        <v>101</v>
      </c>
      <c r="G184" s="2" t="n">
        <v>87</v>
      </c>
      <c r="H184" s="2" t="n">
        <v>58</v>
      </c>
      <c r="I184" s="2" t="n">
        <v>37</v>
      </c>
      <c r="J184" s="2" t="s">
        <v>125</v>
      </c>
      <c r="K184" s="2" t="n">
        <v>8</v>
      </c>
      <c r="L184" s="2" t="n">
        <v>0</v>
      </c>
      <c r="M184" s="0" t="s">
        <v>72</v>
      </c>
      <c r="N184" s="0" t="n">
        <v>0</v>
      </c>
      <c r="O184" s="0" t="s">
        <v>114</v>
      </c>
      <c r="P184" s="0" t="s">
        <v>105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6" t="s">
        <v>126</v>
      </c>
      <c r="G185" s="2" t="n">
        <v>73</v>
      </c>
      <c r="H185" s="2" t="n">
        <v>54</v>
      </c>
      <c r="I185" s="2" t="n">
        <v>48</v>
      </c>
      <c r="J185" s="6" t="s">
        <v>103</v>
      </c>
      <c r="K185" s="2" t="n">
        <v>0</v>
      </c>
      <c r="L185" s="2" t="n">
        <v>0</v>
      </c>
      <c r="M185" s="0" t="s">
        <v>72</v>
      </c>
      <c r="N185" s="0" t="n">
        <v>0</v>
      </c>
      <c r="O185" s="0" t="s">
        <v>114</v>
      </c>
      <c r="P185" s="0" t="s">
        <v>129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85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6" t="s">
        <v>126</v>
      </c>
      <c r="G186" s="6" t="n">
        <v>93</v>
      </c>
      <c r="H186" s="2" t="n">
        <v>62</v>
      </c>
      <c r="I186" s="2" t="n">
        <v>37</v>
      </c>
      <c r="J186" s="2" t="s">
        <v>130</v>
      </c>
      <c r="K186" s="2" t="n">
        <v>3</v>
      </c>
      <c r="L186" s="2" t="n">
        <v>0</v>
      </c>
      <c r="M186" s="0" t="s">
        <v>93</v>
      </c>
      <c r="N186" s="0" t="n">
        <v>0</v>
      </c>
      <c r="O186" s="0" t="s">
        <v>114</v>
      </c>
      <c r="P186" s="0" t="s">
        <v>105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6" t="s">
        <v>101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131</v>
      </c>
      <c r="K187" s="2" t="n">
        <f aca="false">(7+12)/2</f>
        <v>9.5</v>
      </c>
      <c r="L187" s="2" t="n">
        <v>0</v>
      </c>
      <c r="M187" s="0" t="s">
        <v>93</v>
      </c>
      <c r="N187" s="0" t="n">
        <v>0</v>
      </c>
      <c r="O187" s="0" t="s">
        <v>114</v>
      </c>
      <c r="P187" s="0" t="s">
        <v>132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6" t="s">
        <v>126</v>
      </c>
      <c r="G188" s="2" t="n">
        <v>91</v>
      </c>
      <c r="H188" s="2" t="n">
        <v>63</v>
      </c>
      <c r="I188" s="2" t="n">
        <v>38</v>
      </c>
      <c r="J188" s="2" t="s">
        <v>109</v>
      </c>
      <c r="K188" s="2" t="n">
        <v>3</v>
      </c>
      <c r="L188" s="2" t="n">
        <v>0</v>
      </c>
      <c r="M188" s="0" t="s">
        <v>93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75</v>
      </c>
      <c r="F189" s="6" t="s">
        <v>126</v>
      </c>
      <c r="G189" s="2" t="n">
        <v>94</v>
      </c>
      <c r="H189" s="2" t="n">
        <v>65</v>
      </c>
      <c r="I189" s="2" t="n">
        <v>38</v>
      </c>
      <c r="J189" s="2" t="s">
        <v>133</v>
      </c>
      <c r="K189" s="2" t="n">
        <v>9</v>
      </c>
      <c r="L189" s="2" t="n">
        <v>0</v>
      </c>
      <c r="M189" s="0" t="s">
        <v>93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6" t="s">
        <v>101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128</v>
      </c>
      <c r="K190" s="2" t="n">
        <v>0</v>
      </c>
      <c r="L190" s="2" t="n">
        <v>0</v>
      </c>
      <c r="M190" s="0" t="s">
        <v>93</v>
      </c>
      <c r="N190" s="0" t="n">
        <v>0</v>
      </c>
      <c r="O190" s="0" t="s">
        <v>114</v>
      </c>
      <c r="P190" s="0" t="s">
        <v>105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6" t="s">
        <v>70</v>
      </c>
      <c r="G191" s="2" t="n">
        <v>86</v>
      </c>
      <c r="H191" s="2" t="n">
        <v>86</v>
      </c>
      <c r="I191" s="2" t="n">
        <v>73</v>
      </c>
      <c r="J191" s="2" t="s">
        <v>130</v>
      </c>
      <c r="K191" s="2" t="n">
        <f aca="false">(5+8)/2</f>
        <v>6.5</v>
      </c>
      <c r="L191" s="2" t="n">
        <v>0</v>
      </c>
      <c r="M191" s="0" t="s">
        <v>93</v>
      </c>
      <c r="N191" s="0" t="n">
        <v>0</v>
      </c>
      <c r="O191" s="0" t="s">
        <v>114</v>
      </c>
      <c r="P191" s="0" t="s">
        <v>77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134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6" t="s">
        <v>101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107</v>
      </c>
      <c r="K192" s="2" t="n">
        <f aca="false">AVERAGE(6,3)</f>
        <v>4.5</v>
      </c>
      <c r="L192" s="2" t="n">
        <v>0</v>
      </c>
      <c r="M192" s="0" t="s">
        <v>93</v>
      </c>
      <c r="N192" s="0" t="n">
        <v>0</v>
      </c>
      <c r="O192" s="0" t="s">
        <v>114</v>
      </c>
      <c r="P192" s="0" t="s">
        <v>105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6" t="s">
        <v>126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94</v>
      </c>
      <c r="K193" s="2" t="n">
        <v>5</v>
      </c>
      <c r="L193" s="2" t="n">
        <v>0</v>
      </c>
      <c r="M193" s="0" t="s">
        <v>93</v>
      </c>
      <c r="N193" s="0" t="n">
        <v>0</v>
      </c>
      <c r="O193" s="0" t="s">
        <v>114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6" t="s">
        <v>126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6" t="s">
        <v>71</v>
      </c>
      <c r="K194" s="2" t="n">
        <f aca="false">(16+13)/2</f>
        <v>14.5</v>
      </c>
      <c r="L194" s="2" t="n">
        <v>0</v>
      </c>
      <c r="M194" s="0" t="s">
        <v>93</v>
      </c>
      <c r="N194" s="0" t="n">
        <v>0</v>
      </c>
      <c r="O194" s="0" t="s">
        <v>114</v>
      </c>
      <c r="P194" s="0" t="s">
        <v>105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6" t="s">
        <v>70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94</v>
      </c>
      <c r="K195" s="2" t="n">
        <f aca="false">(8+4)/2</f>
        <v>6</v>
      </c>
      <c r="L195" s="2" t="n">
        <v>0</v>
      </c>
      <c r="M195" s="0" t="s">
        <v>93</v>
      </c>
      <c r="N195" s="0" t="n">
        <v>0</v>
      </c>
      <c r="O195" s="0" t="s">
        <v>114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6" t="s">
        <v>70</v>
      </c>
      <c r="G196" s="2" t="n">
        <v>90</v>
      </c>
      <c r="H196" s="2" t="n">
        <v>77</v>
      </c>
      <c r="I196" s="2" t="n">
        <v>66</v>
      </c>
      <c r="J196" s="6" t="s">
        <v>71</v>
      </c>
      <c r="K196" s="2" t="n">
        <v>12</v>
      </c>
      <c r="L196" s="2" t="n">
        <v>0</v>
      </c>
      <c r="M196" s="0" t="s">
        <v>93</v>
      </c>
      <c r="N196" s="0" t="n">
        <v>0</v>
      </c>
      <c r="O196" s="0" t="s">
        <v>114</v>
      </c>
      <c r="P196" s="0" t="s">
        <v>86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75</v>
      </c>
      <c r="F197" s="6" t="s">
        <v>83</v>
      </c>
      <c r="G197" s="2" t="n">
        <v>78</v>
      </c>
      <c r="H197" s="2" t="n">
        <v>71</v>
      </c>
      <c r="I197" s="2" t="n">
        <v>81</v>
      </c>
      <c r="J197" s="2" t="s">
        <v>133</v>
      </c>
      <c r="K197" s="2" t="n">
        <v>24</v>
      </c>
      <c r="L197" s="2" t="n">
        <v>32</v>
      </c>
      <c r="M197" s="0" t="s">
        <v>93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6" t="s">
        <v>70</v>
      </c>
      <c r="G198" s="2" t="n">
        <v>77</v>
      </c>
      <c r="H198" s="2" t="n">
        <v>73</v>
      </c>
      <c r="I198" s="2" t="n">
        <v>84</v>
      </c>
      <c r="J198" s="6" t="s">
        <v>121</v>
      </c>
      <c r="K198" s="2" t="n">
        <v>14</v>
      </c>
      <c r="L198" s="2" t="n">
        <v>24</v>
      </c>
      <c r="M198" s="0" t="s">
        <v>72</v>
      </c>
      <c r="N198" s="0" t="n">
        <v>0</v>
      </c>
      <c r="O198" s="0" t="s">
        <v>114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6" t="s">
        <v>120</v>
      </c>
      <c r="K199" s="2" t="n">
        <v>8</v>
      </c>
      <c r="L199" s="2" t="n">
        <v>0</v>
      </c>
      <c r="M199" s="0" t="s">
        <v>72</v>
      </c>
      <c r="N199" s="0" t="n">
        <v>0</v>
      </c>
      <c r="O199" s="0" t="s">
        <v>114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6" t="s">
        <v>70</v>
      </c>
      <c r="G200" s="2" t="n">
        <v>83</v>
      </c>
      <c r="H200" s="2" t="n">
        <v>72</v>
      </c>
      <c r="I200" s="2" t="n">
        <f aca="false">(76+71)/2</f>
        <v>73.5</v>
      </c>
      <c r="J200" s="6" t="s">
        <v>104</v>
      </c>
      <c r="K200" s="2" t="n">
        <v>5</v>
      </c>
      <c r="L200" s="2" t="n">
        <v>0</v>
      </c>
      <c r="M200" s="0" t="s">
        <v>93</v>
      </c>
      <c r="N200" s="0" t="n">
        <v>0</v>
      </c>
      <c r="O200" s="0" t="s">
        <v>114</v>
      </c>
      <c r="P200" s="13" t="s">
        <v>97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6" t="s">
        <v>70</v>
      </c>
      <c r="G201" s="6" t="n">
        <v>89</v>
      </c>
      <c r="H201" s="0" t="n">
        <v>70</v>
      </c>
      <c r="I201" s="0" t="n">
        <v>53</v>
      </c>
      <c r="J201" s="0" t="s">
        <v>113</v>
      </c>
      <c r="K201" s="0" t="n">
        <v>7</v>
      </c>
      <c r="L201" s="0" t="n">
        <v>0</v>
      </c>
      <c r="M201" s="0" t="s">
        <v>72</v>
      </c>
      <c r="Q201" s="0"/>
      <c r="R201" s="14"/>
      <c r="S201" s="0"/>
      <c r="T201" s="14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100</v>
      </c>
      <c r="F202" s="6" t="s">
        <v>126</v>
      </c>
      <c r="G202" s="2" t="n">
        <v>83</v>
      </c>
      <c r="H202" s="2" t="n">
        <v>75</v>
      </c>
      <c r="I202" s="2" t="n">
        <v>77</v>
      </c>
      <c r="J202" s="2" t="s">
        <v>117</v>
      </c>
      <c r="K202" s="2" t="n">
        <v>8</v>
      </c>
      <c r="L202" s="2" t="n">
        <v>0</v>
      </c>
      <c r="M202" s="0" t="s">
        <v>93</v>
      </c>
      <c r="N202" s="0" t="n">
        <v>0</v>
      </c>
      <c r="O202" s="0" t="s">
        <v>114</v>
      </c>
      <c r="P202" s="0" t="s">
        <v>82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6" t="s">
        <v>101</v>
      </c>
      <c r="G203" s="2" t="n">
        <v>92</v>
      </c>
      <c r="H203" s="2" t="n">
        <v>70</v>
      </c>
      <c r="I203" s="6" t="n">
        <v>52</v>
      </c>
      <c r="J203" s="6" t="s">
        <v>71</v>
      </c>
      <c r="K203" s="2" t="n">
        <v>12</v>
      </c>
      <c r="L203" s="2" t="n">
        <v>0</v>
      </c>
      <c r="M203" s="0" t="s">
        <v>93</v>
      </c>
      <c r="N203" s="0" t="n">
        <v>0</v>
      </c>
      <c r="O203" s="0" t="s">
        <v>114</v>
      </c>
      <c r="P203" s="0" t="s">
        <v>95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6" t="s">
        <v>70</v>
      </c>
      <c r="G204" s="2" t="n">
        <v>87</v>
      </c>
      <c r="H204" s="2" t="n">
        <v>73</v>
      </c>
      <c r="I204" s="2" t="n">
        <f aca="false">(67+61)/2</f>
        <v>64</v>
      </c>
      <c r="J204" s="2" t="s">
        <v>94</v>
      </c>
      <c r="K204" s="2" t="n">
        <v>16</v>
      </c>
      <c r="L204" s="2" t="n">
        <v>28</v>
      </c>
      <c r="M204" s="0" t="s">
        <v>72</v>
      </c>
      <c r="N204" s="0" t="n">
        <v>0</v>
      </c>
      <c r="O204" s="0" t="s">
        <v>114</v>
      </c>
      <c r="P204" s="0" t="s">
        <v>81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85</v>
      </c>
      <c r="F205" s="6" t="s">
        <v>73</v>
      </c>
      <c r="G205" s="2" t="n">
        <v>81</v>
      </c>
      <c r="H205" s="2" t="n">
        <v>74</v>
      </c>
      <c r="I205" s="2" t="n">
        <v>76</v>
      </c>
      <c r="J205" s="6" t="s">
        <v>121</v>
      </c>
      <c r="K205" s="2" t="n">
        <v>10</v>
      </c>
      <c r="L205" s="2" t="n">
        <v>0</v>
      </c>
      <c r="M205" s="0" t="s">
        <v>72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6" t="s">
        <v>70</v>
      </c>
      <c r="G206" s="2" t="n">
        <v>74</v>
      </c>
      <c r="H206" s="2" t="n">
        <v>63</v>
      </c>
      <c r="I206" s="2" t="n">
        <v>68</v>
      </c>
      <c r="J206" s="6" t="s">
        <v>135</v>
      </c>
      <c r="K206" s="2" t="n">
        <v>9</v>
      </c>
      <c r="L206" s="2" t="n">
        <v>0</v>
      </c>
      <c r="M206" s="6" t="s">
        <v>72</v>
      </c>
      <c r="N206" s="0" t="n">
        <v>0</v>
      </c>
      <c r="O206" s="0" t="s">
        <v>114</v>
      </c>
      <c r="P206" s="0" t="s">
        <v>86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6" t="s">
        <v>70</v>
      </c>
      <c r="G207" s="2" t="n">
        <v>71</v>
      </c>
      <c r="H207" s="2" t="n">
        <v>63</v>
      </c>
      <c r="I207" s="2" t="n">
        <v>68</v>
      </c>
      <c r="J207" s="6" t="s">
        <v>125</v>
      </c>
      <c r="K207" s="2" t="n">
        <v>3</v>
      </c>
      <c r="L207" s="2" t="n">
        <v>0</v>
      </c>
      <c r="M207" s="6" t="s">
        <v>72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6" t="s">
        <v>70</v>
      </c>
      <c r="G208" s="2" t="n">
        <f aca="false">79+35/60*(81-79)</f>
        <v>80.1666666666667</v>
      </c>
      <c r="H208" s="2" t="n">
        <v>68</v>
      </c>
      <c r="I208" s="2" t="n">
        <v>69</v>
      </c>
      <c r="J208" s="6" t="s">
        <v>125</v>
      </c>
      <c r="K208" s="2" t="n">
        <v>3</v>
      </c>
      <c r="L208" s="2" t="n">
        <v>0</v>
      </c>
      <c r="M208" s="6" t="s">
        <v>72</v>
      </c>
      <c r="N208" s="0" t="n">
        <v>0</v>
      </c>
      <c r="O208" s="0" t="s">
        <v>136</v>
      </c>
      <c r="P208" s="0" t="s">
        <v>132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6" t="s">
        <v>101</v>
      </c>
      <c r="G209" s="2" t="n">
        <v>69</v>
      </c>
      <c r="H209" s="2" t="n">
        <v>69</v>
      </c>
      <c r="I209" s="2" t="n">
        <f aca="false">(57+51)/2</f>
        <v>54</v>
      </c>
      <c r="J209" s="6" t="s">
        <v>125</v>
      </c>
      <c r="K209" s="2" t="n">
        <f aca="false">(14+10)/2</f>
        <v>12</v>
      </c>
      <c r="L209" s="2" t="n">
        <v>21</v>
      </c>
      <c r="M209" s="6" t="s">
        <v>72</v>
      </c>
      <c r="N209" s="0" t="n">
        <v>0</v>
      </c>
      <c r="O209" s="0" t="s">
        <v>136</v>
      </c>
      <c r="P209" s="0" t="s">
        <v>77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6" t="s">
        <v>126</v>
      </c>
      <c r="G210" s="2" t="n">
        <v>88</v>
      </c>
      <c r="H210" s="2" t="n">
        <v>66</v>
      </c>
      <c r="I210" s="2" t="n">
        <v>52</v>
      </c>
      <c r="J210" s="2" t="s">
        <v>107</v>
      </c>
      <c r="K210" s="2" t="n">
        <v>7</v>
      </c>
      <c r="L210" s="2" t="n">
        <v>0</v>
      </c>
      <c r="M210" s="0" t="s">
        <v>72</v>
      </c>
      <c r="N210" s="0" t="n">
        <v>0</v>
      </c>
      <c r="O210" s="0" t="s">
        <v>136</v>
      </c>
      <c r="P210" s="13" t="s">
        <v>97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6" t="s">
        <v>101</v>
      </c>
      <c r="G211" s="2" t="n">
        <v>85</v>
      </c>
      <c r="H211" s="2" t="n">
        <v>70</v>
      </c>
      <c r="I211" s="2" t="n">
        <f aca="false">(63+59)/2</f>
        <v>61</v>
      </c>
      <c r="J211" s="2" t="s">
        <v>107</v>
      </c>
      <c r="K211" s="2" t="n">
        <f aca="false">(3+7)/2</f>
        <v>5</v>
      </c>
      <c r="L211" s="2" t="n">
        <v>0</v>
      </c>
      <c r="M211" s="0" t="s">
        <v>93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6" t="s">
        <v>126</v>
      </c>
      <c r="G212" s="2" t="n">
        <v>89</v>
      </c>
      <c r="H212" s="2" t="n">
        <v>70</v>
      </c>
      <c r="I212" s="2" t="n">
        <f aca="false">(57+51)/2</f>
        <v>54</v>
      </c>
      <c r="J212" s="2" t="s">
        <v>107</v>
      </c>
      <c r="K212" s="2" t="n">
        <v>9</v>
      </c>
      <c r="L212" s="2" t="n">
        <v>0</v>
      </c>
      <c r="M212" s="0" t="s">
        <v>93</v>
      </c>
      <c r="N212" s="0" t="n">
        <v>0</v>
      </c>
      <c r="O212" s="0" t="s">
        <v>136</v>
      </c>
      <c r="P212" s="0" t="s">
        <v>95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6" t="s">
        <v>101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6" t="s">
        <v>125</v>
      </c>
      <c r="K213" s="2" t="n">
        <v>8</v>
      </c>
      <c r="L213" s="2" t="n">
        <v>0</v>
      </c>
      <c r="M213" s="0" t="s">
        <v>72</v>
      </c>
      <c r="N213" s="0" t="n">
        <v>0</v>
      </c>
      <c r="O213" s="0" t="s">
        <v>136</v>
      </c>
      <c r="P213" s="0" t="s">
        <v>81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6" t="s">
        <v>101</v>
      </c>
      <c r="G214" s="2" t="n">
        <v>86</v>
      </c>
      <c r="H214" s="2" t="n">
        <v>64</v>
      </c>
      <c r="I214" s="2" t="n">
        <v>49</v>
      </c>
      <c r="J214" s="2" t="s">
        <v>112</v>
      </c>
      <c r="K214" s="2" t="n">
        <v>7</v>
      </c>
      <c r="L214" s="2" t="n">
        <v>0</v>
      </c>
      <c r="M214" s="0" t="s">
        <v>72</v>
      </c>
      <c r="N214" s="0" t="n">
        <v>0</v>
      </c>
      <c r="O214" s="0" t="s">
        <v>136</v>
      </c>
      <c r="P214" s="0" t="s">
        <v>86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6" t="s">
        <v>126</v>
      </c>
      <c r="G215" s="2" t="n">
        <v>75</v>
      </c>
      <c r="H215" s="2" t="n">
        <v>59</v>
      </c>
      <c r="I215" s="2" t="n">
        <v>57</v>
      </c>
      <c r="J215" s="6" t="s">
        <v>137</v>
      </c>
      <c r="K215" s="2" t="n">
        <v>10</v>
      </c>
      <c r="L215" s="2" t="n">
        <v>0</v>
      </c>
      <c r="M215" s="0" t="s">
        <v>72</v>
      </c>
      <c r="N215" s="0" t="n">
        <v>0</v>
      </c>
      <c r="O215" s="0" t="s">
        <v>136</v>
      </c>
      <c r="P215" s="0" t="s">
        <v>95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133</v>
      </c>
      <c r="K216" s="2" t="n">
        <v>12</v>
      </c>
      <c r="L216" s="2" t="n">
        <v>20</v>
      </c>
      <c r="M216" s="0" t="s">
        <v>72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14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113</v>
      </c>
      <c r="K217" s="2" t="n">
        <v>9</v>
      </c>
      <c r="L217" s="2" t="n">
        <v>0</v>
      </c>
      <c r="M217" s="0" t="s">
        <v>72</v>
      </c>
      <c r="N217" s="0" t="n">
        <v>0</v>
      </c>
      <c r="O217" s="0" t="s">
        <v>136</v>
      </c>
      <c r="P217" s="0" t="s">
        <v>132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87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113</v>
      </c>
      <c r="K218" s="2" t="n">
        <v>8</v>
      </c>
      <c r="L218" s="2" t="n">
        <v>0</v>
      </c>
      <c r="M218" s="0" t="s">
        <v>93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6" t="s">
        <v>73</v>
      </c>
      <c r="G219" s="2" t="n">
        <v>71</v>
      </c>
      <c r="H219" s="2" t="n">
        <v>63</v>
      </c>
      <c r="I219" s="2" t="n">
        <v>75</v>
      </c>
      <c r="J219" s="2" t="s">
        <v>107</v>
      </c>
      <c r="K219" s="2" t="n">
        <v>13</v>
      </c>
      <c r="L219" s="2" t="n">
        <v>0</v>
      </c>
      <c r="M219" s="0" t="s">
        <v>72</v>
      </c>
      <c r="N219" s="0" t="n">
        <v>0</v>
      </c>
      <c r="O219" s="0" t="s">
        <v>136</v>
      </c>
      <c r="P219" s="13" t="s">
        <v>97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6" t="s">
        <v>70</v>
      </c>
      <c r="G220" s="2" t="n">
        <v>70</v>
      </c>
      <c r="H220" s="2" t="n">
        <v>61</v>
      </c>
      <c r="I220" s="2" t="n">
        <v>73</v>
      </c>
      <c r="J220" s="6" t="s">
        <v>103</v>
      </c>
      <c r="K220" s="2" t="n">
        <v>0</v>
      </c>
      <c r="L220" s="2" t="n">
        <v>0</v>
      </c>
      <c r="M220" s="0" t="s">
        <v>72</v>
      </c>
      <c r="N220" s="0" t="n">
        <v>0</v>
      </c>
      <c r="O220" s="0" t="s">
        <v>136</v>
      </c>
      <c r="P220" s="6" t="s">
        <v>80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6" t="s">
        <v>126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94</v>
      </c>
      <c r="K221" s="2" t="n">
        <v>10</v>
      </c>
      <c r="L221" s="2" t="n">
        <v>0</v>
      </c>
      <c r="M221" s="0" t="s">
        <v>72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94</v>
      </c>
      <c r="K222" s="2" t="n">
        <f aca="false">(12+16+15)/2</f>
        <v>21.5</v>
      </c>
      <c r="L222" s="2" t="n">
        <v>24</v>
      </c>
      <c r="M222" s="0" t="s">
        <v>93</v>
      </c>
      <c r="N222" s="0" t="n">
        <v>0</v>
      </c>
      <c r="O222" s="0" t="s">
        <v>136</v>
      </c>
      <c r="P222" s="0" t="s">
        <v>132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6" t="s">
        <v>83</v>
      </c>
      <c r="G223" s="2" t="n">
        <v>86</v>
      </c>
      <c r="H223" s="2" t="n">
        <v>72</v>
      </c>
      <c r="I223" s="2" t="n">
        <v>63</v>
      </c>
      <c r="J223" s="2" t="s">
        <v>94</v>
      </c>
      <c r="K223" s="2" t="n">
        <v>26</v>
      </c>
      <c r="L223" s="2" t="n">
        <v>35</v>
      </c>
      <c r="M223" s="0" t="s">
        <v>93</v>
      </c>
      <c r="N223" s="0" t="n">
        <v>0</v>
      </c>
      <c r="O223" s="0" t="s">
        <v>136</v>
      </c>
      <c r="P223" s="0" t="s">
        <v>77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6" t="s">
        <v>84</v>
      </c>
      <c r="G224" s="2" t="n">
        <v>76</v>
      </c>
      <c r="H224" s="2" t="n">
        <v>43</v>
      </c>
      <c r="I224" s="2" t="n">
        <f aca="false">(33+29)/2</f>
        <v>31</v>
      </c>
      <c r="J224" s="2" t="s">
        <v>107</v>
      </c>
      <c r="K224" s="2" t="n">
        <f aca="false">(18+21)/2</f>
        <v>19.5</v>
      </c>
      <c r="L224" s="2" t="n">
        <v>30</v>
      </c>
      <c r="M224" s="0" t="s">
        <v>72</v>
      </c>
      <c r="N224" s="0" t="n">
        <v>0</v>
      </c>
      <c r="O224" s="0" t="s">
        <v>136</v>
      </c>
      <c r="P224" s="0" t="s">
        <v>81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113</v>
      </c>
      <c r="K225" s="2" t="n">
        <v>11</v>
      </c>
      <c r="L225" s="2" t="n">
        <f aca="false">(20+32)/2</f>
        <v>26</v>
      </c>
      <c r="M225" s="0" t="s">
        <v>72</v>
      </c>
      <c r="N225" s="0" t="n">
        <v>0</v>
      </c>
      <c r="O225" s="0" t="s">
        <v>136</v>
      </c>
      <c r="P225" s="0" t="s">
        <v>86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133</v>
      </c>
      <c r="K226" s="2" t="n">
        <v>5</v>
      </c>
      <c r="L226" s="2" t="n">
        <v>0</v>
      </c>
      <c r="M226" s="0" t="s">
        <v>72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131</v>
      </c>
      <c r="K227" s="2" t="n">
        <v>14</v>
      </c>
      <c r="L227" s="2" t="n">
        <v>0</v>
      </c>
      <c r="M227" s="0" t="s">
        <v>72</v>
      </c>
      <c r="N227" s="0" t="n">
        <v>0</v>
      </c>
      <c r="O227" s="0" t="s">
        <v>136</v>
      </c>
      <c r="P227" s="0" t="s">
        <v>95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113</v>
      </c>
      <c r="K228" s="2" t="n">
        <v>9</v>
      </c>
      <c r="L228" s="2" t="n">
        <v>0</v>
      </c>
      <c r="M228" s="0" t="s">
        <v>72</v>
      </c>
      <c r="N228" s="0" t="n">
        <v>0</v>
      </c>
      <c r="O228" s="0" t="s">
        <v>136</v>
      </c>
      <c r="P228" s="13" t="s">
        <v>97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8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109</v>
      </c>
      <c r="K229" s="2" t="n">
        <v>23</v>
      </c>
      <c r="L229" s="2" t="n">
        <v>29</v>
      </c>
      <c r="M229" s="0" t="s">
        <v>72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107</v>
      </c>
      <c r="K230" s="2" t="n">
        <v>17</v>
      </c>
      <c r="L230" s="2" t="n">
        <v>24</v>
      </c>
      <c r="M230" s="0" t="s">
        <v>72</v>
      </c>
      <c r="N230" s="0" t="n">
        <v>0</v>
      </c>
      <c r="O230" s="0" t="s">
        <v>136</v>
      </c>
      <c r="P230" s="0" t="s">
        <v>77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94</v>
      </c>
      <c r="K231" s="2" t="n">
        <v>7</v>
      </c>
      <c r="L231" s="2" t="n">
        <v>0</v>
      </c>
      <c r="M231" s="0" t="s">
        <v>72</v>
      </c>
      <c r="N231" s="0" t="n">
        <v>0</v>
      </c>
      <c r="O231" s="0" t="s">
        <v>136</v>
      </c>
      <c r="P231" s="0" t="s">
        <v>81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109</v>
      </c>
      <c r="K232" s="2" t="n">
        <f aca="false">(7+10+5)/3</f>
        <v>7.33333333333333</v>
      </c>
      <c r="L232" s="2" t="n">
        <v>0</v>
      </c>
      <c r="M232" s="0" t="s">
        <v>72</v>
      </c>
      <c r="N232" s="0" t="n">
        <v>0</v>
      </c>
      <c r="O232" s="0" t="s">
        <v>136</v>
      </c>
      <c r="P232" s="0" t="s">
        <v>132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6" t="s">
        <v>121</v>
      </c>
      <c r="K233" s="2" t="n">
        <v>9</v>
      </c>
      <c r="L233" s="2" t="n">
        <v>0</v>
      </c>
      <c r="M233" s="0" t="s">
        <v>72</v>
      </c>
      <c r="N233" s="0" t="n">
        <v>0</v>
      </c>
      <c r="O233" s="0" t="s">
        <v>136</v>
      </c>
      <c r="P233" s="0" t="s">
        <v>86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109</v>
      </c>
      <c r="K234" s="2" t="n">
        <v>6</v>
      </c>
      <c r="L234" s="2" t="n">
        <v>0</v>
      </c>
      <c r="M234" s="6" t="s">
        <v>72</v>
      </c>
      <c r="N234" s="0" t="n">
        <v>0</v>
      </c>
      <c r="O234" s="0" t="s">
        <v>136</v>
      </c>
      <c r="P234" s="6" t="s">
        <v>80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2</v>
      </c>
      <c r="Z234" s="3" t="n">
        <f aca="false">Q234/Y234</f>
        <v>2.06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6" t="s">
        <v>101</v>
      </c>
      <c r="G235" s="2" t="n">
        <v>80</v>
      </c>
      <c r="H235" s="2" t="n">
        <v>69</v>
      </c>
      <c r="I235" s="2" t="n">
        <f aca="false">(69+72)/2</f>
        <v>70.5</v>
      </c>
      <c r="J235" s="2" t="s">
        <v>113</v>
      </c>
      <c r="K235" s="2" t="n">
        <f aca="false">(5+8)/2</f>
        <v>6.5</v>
      </c>
      <c r="L235" s="2" t="n">
        <v>0</v>
      </c>
      <c r="M235" s="6" t="s">
        <v>72</v>
      </c>
      <c r="N235" s="0" t="n">
        <v>0</v>
      </c>
      <c r="O235" s="0" t="s">
        <v>136</v>
      </c>
      <c r="P235" s="0" t="s">
        <v>77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6" t="s">
        <v>126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99</v>
      </c>
      <c r="K236" s="2" t="n">
        <v>3</v>
      </c>
      <c r="L236" s="2" t="n">
        <v>0</v>
      </c>
      <c r="M236" s="6" t="s">
        <v>72</v>
      </c>
      <c r="N236" s="0" t="n">
        <v>0</v>
      </c>
      <c r="O236" s="0" t="s">
        <v>136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0"/>
      <c r="Y236" s="0" t="n">
        <v>2</v>
      </c>
      <c r="Z236" s="3" t="n">
        <f aca="false">Q236/Y236</f>
        <v>2.48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769</v>
      </c>
      <c r="B237" s="1" t="n">
        <v>44115.4951388889</v>
      </c>
      <c r="C237" s="0" t="n">
        <v>0</v>
      </c>
      <c r="D237" s="0" t="s">
        <v>87</v>
      </c>
      <c r="F237" s="0" t="s">
        <v>60</v>
      </c>
      <c r="G237" s="2" t="n">
        <v>71</v>
      </c>
      <c r="H237" s="2" t="n">
        <v>61</v>
      </c>
      <c r="I237" s="2" t="n">
        <v>72</v>
      </c>
      <c r="J237" s="2" t="s">
        <v>125</v>
      </c>
      <c r="K237" s="2" t="n">
        <v>9</v>
      </c>
      <c r="L237" s="2" t="n">
        <v>0</v>
      </c>
      <c r="M237" s="0" t="s">
        <v>72</v>
      </c>
      <c r="N237" s="0" t="n">
        <v>0</v>
      </c>
    </row>
    <row r="238" customFormat="false" ht="13.8" hidden="false" customHeight="false" outlineLevel="0" collapsed="false">
      <c r="A238" s="0" t="n">
        <f aca="false">A237+1</f>
        <v>770</v>
      </c>
      <c r="B238" s="1" t="n">
        <v>44116.4597222222</v>
      </c>
      <c r="C238" s="0" t="n">
        <v>1</v>
      </c>
      <c r="F238" s="0" t="s">
        <v>60</v>
      </c>
      <c r="G238" s="2" t="n">
        <f aca="false">(75+79)/2</f>
        <v>77</v>
      </c>
      <c r="H238" s="2" t="n">
        <v>42</v>
      </c>
      <c r="I238" s="2" t="n">
        <v>28</v>
      </c>
      <c r="J238" s="2" t="s">
        <v>107</v>
      </c>
      <c r="K238" s="2" t="n">
        <v>22</v>
      </c>
      <c r="L238" s="2" t="n">
        <v>30</v>
      </c>
      <c r="M238" s="0" t="s">
        <v>72</v>
      </c>
      <c r="N238" s="0" t="n">
        <v>0</v>
      </c>
      <c r="O238" s="0" t="s">
        <v>136</v>
      </c>
      <c r="P238" s="13" t="s">
        <v>97</v>
      </c>
      <c r="Q238" s="3" t="n">
        <v>6.85</v>
      </c>
      <c r="R238" s="2" t="n">
        <v>860</v>
      </c>
      <c r="S238" s="2" t="n">
        <f aca="false">T238+R238</f>
        <v>15780</v>
      </c>
      <c r="T238" s="2" t="n">
        <v>14920</v>
      </c>
      <c r="U238" s="3" t="n">
        <f aca="false">(120+3)/60</f>
        <v>2.05</v>
      </c>
      <c r="V238" s="3" t="n">
        <f aca="false">(120+16)/60</f>
        <v>2.26666666666667</v>
      </c>
      <c r="W238" s="3" t="n">
        <f aca="false">V238-U238</f>
        <v>0.216666666666667</v>
      </c>
      <c r="X238" s="3" t="n">
        <f aca="false">Q236/U236</f>
        <v>3.54285714285714</v>
      </c>
      <c r="Y238" s="0" t="n">
        <v>1</v>
      </c>
      <c r="Z238" s="3" t="n">
        <f aca="false">Q238/Y238</f>
        <v>6.85</v>
      </c>
      <c r="AA238" s="3" t="n">
        <f aca="false">17+56/60</f>
        <v>17.9333333333333</v>
      </c>
      <c r="AB238" s="2" t="n">
        <v>292</v>
      </c>
      <c r="AC238" s="2" t="n">
        <v>555</v>
      </c>
      <c r="AD238" s="2" t="n">
        <v>69</v>
      </c>
      <c r="AE238" s="0" t="n">
        <v>110</v>
      </c>
      <c r="AF238" s="3" t="n">
        <f aca="false">16+52/60</f>
        <v>16.8666666666667</v>
      </c>
      <c r="AG238" s="3" t="n">
        <f aca="false">17+31/60</f>
        <v>17.5166666666667</v>
      </c>
      <c r="AH238" s="3" t="n">
        <f aca="false">17+54/60</f>
        <v>17.9</v>
      </c>
      <c r="AI238" s="3" t="n">
        <f aca="false">18+51/60</f>
        <v>18.85</v>
      </c>
      <c r="AJ238" s="3" t="n">
        <f aca="false">18+14/60</f>
        <v>18.2333333333333</v>
      </c>
      <c r="AK238" s="3" t="n">
        <f aca="false">17+54/60</f>
        <v>17.9</v>
      </c>
      <c r="AL238" s="3" t="n">
        <f aca="false">60/3.3</f>
        <v>18.1818181818182</v>
      </c>
      <c r="AM238" s="0"/>
      <c r="AP238" s="2" t="n">
        <v>8</v>
      </c>
      <c r="AQ238" s="0" t="n">
        <v>2</v>
      </c>
      <c r="AR238" s="0" t="n">
        <v>0</v>
      </c>
      <c r="AS238" s="0" t="n">
        <v>0</v>
      </c>
      <c r="AT238" s="4" t="n">
        <f aca="false">60*U238-SUM(AU238:AY238)</f>
        <v>116.433333333333</v>
      </c>
      <c r="AU238" s="3" t="n">
        <f aca="false">6+18/60</f>
        <v>6.3</v>
      </c>
      <c r="AV238" s="3" t="n">
        <f aca="false">16/60</f>
        <v>0.266666666666667</v>
      </c>
      <c r="AW238" s="3" t="n">
        <v>0</v>
      </c>
      <c r="AX238" s="3" t="n">
        <v>0</v>
      </c>
      <c r="AY238" s="3" t="n">
        <v>0</v>
      </c>
      <c r="AZ238" s="0" t="s">
        <v>58</v>
      </c>
      <c r="BA238" s="0" t="s">
        <v>59</v>
      </c>
      <c r="BB238" s="0" t="n">
        <v>0</v>
      </c>
    </row>
    <row r="239" customFormat="false" ht="12.8" hidden="false" customHeight="false" outlineLevel="0" collapsed="false">
      <c r="A239" s="0" t="n">
        <v>771</v>
      </c>
      <c r="B239" s="1" t="n">
        <v>44117.5930555556</v>
      </c>
      <c r="C239" s="0" t="n">
        <v>1</v>
      </c>
      <c r="F239" s="6" t="s">
        <v>101</v>
      </c>
      <c r="G239" s="2" t="n">
        <f aca="false">(77+81)/2</f>
        <v>79</v>
      </c>
      <c r="H239" s="2" t="n">
        <v>42</v>
      </c>
      <c r="I239" s="2" t="n">
        <v>26</v>
      </c>
      <c r="J239" s="2" t="s">
        <v>117</v>
      </c>
      <c r="K239" s="2" t="n">
        <v>6</v>
      </c>
      <c r="L239" s="2" t="n">
        <v>0</v>
      </c>
      <c r="M239" s="0" t="s">
        <v>72</v>
      </c>
      <c r="N239" s="0" t="n">
        <v>0</v>
      </c>
      <c r="O239" s="0" t="s">
        <v>136</v>
      </c>
      <c r="P239" s="0" t="s">
        <v>139</v>
      </c>
      <c r="Q239" s="3" t="n">
        <v>7.71</v>
      </c>
      <c r="R239" s="2" t="n">
        <v>500</v>
      </c>
      <c r="S239" s="2" t="n">
        <v>17039</v>
      </c>
      <c r="T239" s="2" t="n">
        <f aca="false">S239-R239</f>
        <v>16539</v>
      </c>
      <c r="U239" s="3" t="n">
        <f aca="false">(120+6)/60</f>
        <v>2.1</v>
      </c>
      <c r="V239" s="3" t="n">
        <f aca="false">(120+15)/60</f>
        <v>2.25</v>
      </c>
      <c r="W239" s="3" t="n">
        <f aca="false">V239-U239</f>
        <v>0.15</v>
      </c>
      <c r="X239" s="3" t="n">
        <f aca="false">Q239/U239</f>
        <v>3.67142857142857</v>
      </c>
      <c r="Y239" s="0" t="n">
        <v>1</v>
      </c>
      <c r="Z239" s="3" t="n">
        <f aca="false">Q239/Y239</f>
        <v>7.71</v>
      </c>
      <c r="AA239" s="3" t="n">
        <f aca="false">16+24/60</f>
        <v>16.4</v>
      </c>
      <c r="AB239" s="2" t="n">
        <v>1037</v>
      </c>
      <c r="AC239" s="2" t="n">
        <v>820</v>
      </c>
      <c r="AD239" s="2" t="n">
        <v>128</v>
      </c>
      <c r="AE239" s="0" t="n">
        <v>141</v>
      </c>
      <c r="AF239" s="3" t="n">
        <f aca="false">16+31/60</f>
        <v>16.5166666666667</v>
      </c>
      <c r="AG239" s="3" t="n">
        <f aca="false">15+58/60</f>
        <v>15.9666666666667</v>
      </c>
      <c r="AH239" s="3" t="n">
        <f aca="false">16+7/60</f>
        <v>16.1166666666667</v>
      </c>
      <c r="AI239" s="3" t="n">
        <f aca="false">16+38/60</f>
        <v>16.6333333333333</v>
      </c>
      <c r="AJ239" s="3" t="n">
        <f aca="false">16+26/60</f>
        <v>16.4333333333333</v>
      </c>
      <c r="AK239" s="3" t="n">
        <f aca="false">15+54/60</f>
        <v>15.9</v>
      </c>
      <c r="AL239" s="3" t="n">
        <f aca="false">60/3.7</f>
        <v>16.2162162162162</v>
      </c>
      <c r="AP239" s="2" t="n">
        <v>11</v>
      </c>
      <c r="AQ239" s="0" t="n">
        <v>2</v>
      </c>
      <c r="AR239" s="0" t="n">
        <v>0</v>
      </c>
      <c r="AS239" s="0" t="n">
        <v>0</v>
      </c>
      <c r="AT239" s="4" t="n">
        <v>0</v>
      </c>
      <c r="AU239" s="3" t="n">
        <f aca="false">4+41/60</f>
        <v>4.68333333333333</v>
      </c>
      <c r="AV239" s="3" t="n">
        <f aca="false">26+32/60</f>
        <v>26.5333333333333</v>
      </c>
      <c r="AW239" s="3" t="n">
        <f aca="false">(95+14/60)</f>
        <v>95.2333333333333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A240" s="0" t="n">
        <v>772</v>
      </c>
      <c r="B240" s="1" t="n">
        <v>44118.4534722222</v>
      </c>
      <c r="C240" s="0" t="n">
        <v>1</v>
      </c>
      <c r="F240" s="0" t="s">
        <v>60</v>
      </c>
      <c r="G240" s="2" t="n">
        <f aca="false">79+11/60*(83-79)</f>
        <v>79.7333333333333</v>
      </c>
      <c r="H240" s="2" t="n">
        <f aca="false">60+11/60*(64-60)</f>
        <v>60.7333333333333</v>
      </c>
      <c r="I240" s="2" t="n">
        <f aca="false">56+11/60+(60-63)</f>
        <v>53.1833333333333</v>
      </c>
      <c r="J240" s="2" t="s">
        <v>94</v>
      </c>
      <c r="K240" s="2" t="n">
        <v>13</v>
      </c>
      <c r="L240" s="2" t="n">
        <v>28</v>
      </c>
      <c r="M240" s="0" t="s">
        <v>72</v>
      </c>
      <c r="N240" s="0" t="n">
        <v>1</v>
      </c>
      <c r="O240" s="0" t="s">
        <v>136</v>
      </c>
      <c r="P240" s="0" t="s">
        <v>82</v>
      </c>
      <c r="Q240" s="3" t="n">
        <v>4.2</v>
      </c>
      <c r="T240" s="2" t="n">
        <v>9478</v>
      </c>
      <c r="U240" s="3" t="n">
        <v>1.11</v>
      </c>
      <c r="X240" s="3" t="n">
        <f aca="false">Q240/U240</f>
        <v>3.78378378378378</v>
      </c>
      <c r="Y240" s="0" t="n">
        <v>4</v>
      </c>
      <c r="Z240" s="3" t="n">
        <f aca="false">Q240/Y240</f>
        <v>1.05</v>
      </c>
      <c r="AA240" s="3" t="n">
        <v>15.9</v>
      </c>
      <c r="AB240" s="2" t="n">
        <v>98.5</v>
      </c>
      <c r="AC240" s="2" t="n">
        <v>552</v>
      </c>
      <c r="AP240" s="2" t="n">
        <v>0</v>
      </c>
      <c r="AQ240" s="0" t="n">
        <v>1</v>
      </c>
      <c r="AR240" s="0" t="n">
        <v>1</v>
      </c>
      <c r="AS240" s="0" t="n">
        <v>0</v>
      </c>
      <c r="AZ240" s="0" t="s">
        <v>58</v>
      </c>
      <c r="BA240" s="0" t="s">
        <v>59</v>
      </c>
      <c r="BB240" s="0" t="n">
        <v>1</v>
      </c>
      <c r="BC240" s="0" t="s">
        <v>140</v>
      </c>
    </row>
    <row r="241" customFormat="false" ht="12.8" hidden="false" customHeight="false" outlineLevel="0" collapsed="false">
      <c r="A241" s="0" t="n">
        <v>773</v>
      </c>
      <c r="B241" s="1" t="n">
        <v>44119.5958333333</v>
      </c>
      <c r="C241" s="0" t="n">
        <v>1</v>
      </c>
      <c r="F241" s="6" t="s">
        <v>73</v>
      </c>
      <c r="G241" s="2" t="n">
        <v>70</v>
      </c>
      <c r="H241" s="2" t="n">
        <v>57</v>
      </c>
      <c r="I241" s="2" t="n">
        <v>62</v>
      </c>
      <c r="J241" s="2" t="s">
        <v>133</v>
      </c>
      <c r="K241" s="2" t="n">
        <v>18</v>
      </c>
      <c r="L241" s="2" t="n">
        <v>31</v>
      </c>
      <c r="M241" s="0" t="s">
        <v>72</v>
      </c>
      <c r="N241" s="0" t="n">
        <v>0</v>
      </c>
      <c r="O241" s="0" t="s">
        <v>136</v>
      </c>
      <c r="P241" s="0" t="s">
        <v>61</v>
      </c>
      <c r="Q241" s="3" t="n">
        <v>4.9</v>
      </c>
      <c r="U241" s="3" t="n">
        <f aca="false">(60+17)/60</f>
        <v>1.28333333333333</v>
      </c>
      <c r="V241" s="3" t="n">
        <f aca="false">U241</f>
        <v>1.28333333333333</v>
      </c>
      <c r="W241" s="3" t="n">
        <f aca="false">V241-U241</f>
        <v>0</v>
      </c>
      <c r="X241" s="3" t="n">
        <f aca="false">Q241/U241</f>
        <v>3.81818181818182</v>
      </c>
      <c r="Y241" s="0" t="n">
        <v>2</v>
      </c>
      <c r="Z241" s="3" t="n">
        <f aca="false">Q241/Y241</f>
        <v>2.45</v>
      </c>
      <c r="AA241" s="3" t="n">
        <f aca="false">15+43/60</f>
        <v>15.7166666666667</v>
      </c>
      <c r="AB241" s="2" t="n">
        <v>121</v>
      </c>
      <c r="AC241" s="2" t="n">
        <v>614</v>
      </c>
      <c r="AD241" s="2" t="n">
        <v>78</v>
      </c>
      <c r="AE241" s="0" t="n">
        <v>99</v>
      </c>
      <c r="AF241" s="3" t="n">
        <f aca="false">15+31/60</f>
        <v>15.5166666666667</v>
      </c>
      <c r="AG241" s="3" t="n">
        <v>16</v>
      </c>
      <c r="AH241" s="3" t="n">
        <f aca="false">15+41/60</f>
        <v>15.6833333333333</v>
      </c>
      <c r="AI241" s="3" t="n">
        <f aca="false">15+41/60</f>
        <v>15.6833333333333</v>
      </c>
      <c r="AJ241" s="3" t="n">
        <f aca="false">60/3.8</f>
        <v>15.7894736842105</v>
      </c>
      <c r="AP241" s="2" t="n">
        <v>0</v>
      </c>
      <c r="AQ241" s="0" t="n">
        <v>0</v>
      </c>
      <c r="AR241" s="0" t="n">
        <v>0</v>
      </c>
      <c r="AS241" s="0" t="n">
        <v>0</v>
      </c>
      <c r="AT241" s="4" t="n">
        <f aca="false">60*U241-SUM(AU241:AY241)</f>
        <v>67.2833333333333</v>
      </c>
      <c r="AU241" s="3" t="n">
        <f aca="false">9+43/60</f>
        <v>9.71666666666667</v>
      </c>
      <c r="AV241" s="3" t="n">
        <v>0</v>
      </c>
      <c r="AW241" s="3" t="n">
        <v>0</v>
      </c>
      <c r="AX241" s="3" t="n">
        <v>0</v>
      </c>
      <c r="AY241" s="3" t="n">
        <v>0</v>
      </c>
      <c r="AZ241" s="0" t="s">
        <v>58</v>
      </c>
      <c r="BA241" s="0" t="s">
        <v>59</v>
      </c>
      <c r="BB241" s="0" t="n">
        <v>0</v>
      </c>
    </row>
    <row r="242" customFormat="false" ht="12.8" hidden="false" customHeight="false" outlineLevel="0" collapsed="false">
      <c r="A242" s="0" t="n">
        <v>774</v>
      </c>
      <c r="B242" s="1" t="n">
        <v>44120.6159722222</v>
      </c>
      <c r="C242" s="0" t="n">
        <v>1</v>
      </c>
      <c r="F242" s="6" t="s">
        <v>70</v>
      </c>
      <c r="G242" s="2" t="n">
        <v>71</v>
      </c>
      <c r="H242" s="2" t="n">
        <v>70</v>
      </c>
      <c r="I242" s="2" t="n">
        <v>79</v>
      </c>
      <c r="J242" s="2" t="s">
        <v>107</v>
      </c>
      <c r="K242" s="2" t="n">
        <v>6</v>
      </c>
      <c r="L242" s="2" t="n">
        <v>0</v>
      </c>
      <c r="M242" s="0" t="s">
        <v>72</v>
      </c>
      <c r="N242" s="0" t="n">
        <v>0</v>
      </c>
      <c r="O242" s="0" t="s">
        <v>136</v>
      </c>
      <c r="P242" s="0" t="s">
        <v>95</v>
      </c>
      <c r="Q242" s="3" t="n">
        <v>7.32</v>
      </c>
      <c r="R242" s="2" t="n">
        <v>500</v>
      </c>
      <c r="S242" s="2" t="n">
        <v>16244</v>
      </c>
      <c r="T242" s="2" t="n">
        <f aca="false">S242-R242</f>
        <v>15744</v>
      </c>
      <c r="U242" s="3" t="n">
        <f aca="false">(120+3)/60</f>
        <v>2.05</v>
      </c>
      <c r="V242" s="3" t="n">
        <f aca="false">(120+16)/60</f>
        <v>2.26666666666667</v>
      </c>
      <c r="W242" s="3" t="n">
        <f aca="false">V242-U242</f>
        <v>0.216666666666667</v>
      </c>
      <c r="X242" s="3" t="n">
        <f aca="false">Q242/U242</f>
        <v>3.57073170731707</v>
      </c>
      <c r="Y242" s="0" t="n">
        <v>1</v>
      </c>
      <c r="Z242" s="3" t="n">
        <f aca="false">Q242/Y242</f>
        <v>7.32</v>
      </c>
      <c r="AA242" s="3" t="n">
        <f aca="false">16+49/60</f>
        <v>16.8166666666667</v>
      </c>
      <c r="AB242" s="2" t="n">
        <v>210</v>
      </c>
      <c r="AC242" s="2" t="n">
        <v>777</v>
      </c>
      <c r="AD242" s="2" t="n">
        <v>111</v>
      </c>
      <c r="AE242" s="0" t="n">
        <v>130</v>
      </c>
      <c r="AF242" s="3" t="n">
        <f aca="false">16+11/60</f>
        <v>16.1833333333333</v>
      </c>
      <c r="AG242" s="3" t="n">
        <f aca="false">16+41/60</f>
        <v>16.6833333333333</v>
      </c>
      <c r="AH242" s="3" t="n">
        <f aca="false">17+43/60</f>
        <v>17.7166666666667</v>
      </c>
      <c r="AI242" s="3" t="n">
        <f aca="false">16+41/60</f>
        <v>16.6833333333333</v>
      </c>
      <c r="AJ242" s="3" t="n">
        <f aca="false">16+45/60</f>
        <v>16.75</v>
      </c>
      <c r="AK242" s="3" t="n">
        <f aca="false">16+21/60</f>
        <v>16.35</v>
      </c>
      <c r="AL242" s="3" t="n">
        <f aca="false">60/3.6</f>
        <v>16.6666666666667</v>
      </c>
      <c r="AP242" s="2" t="n">
        <v>0</v>
      </c>
      <c r="AQ242" s="0" t="n">
        <v>0</v>
      </c>
      <c r="AR242" s="0" t="n">
        <v>0</v>
      </c>
      <c r="AS242" s="0" t="n">
        <v>0</v>
      </c>
      <c r="AT242" s="4" t="n">
        <f aca="false">60*U242-SUM(AU242:AY242)</f>
        <v>0.633333333333326</v>
      </c>
      <c r="AU242" s="3" t="n">
        <f aca="false">29+11/60</f>
        <v>29.1833333333333</v>
      </c>
      <c r="AV242" s="3" t="n">
        <f aca="false">(60+32) +4/60</f>
        <v>92.0666666666667</v>
      </c>
      <c r="AW242" s="3" t="n">
        <f aca="false">1+7/60</f>
        <v>1.11666666666667</v>
      </c>
      <c r="AX242" s="3" t="n">
        <v>0</v>
      </c>
      <c r="AY242" s="3" t="n">
        <v>0</v>
      </c>
      <c r="AZ242" s="0" t="s">
        <v>58</v>
      </c>
      <c r="BA242" s="0" t="s">
        <v>59</v>
      </c>
      <c r="BB242" s="0" t="n">
        <v>0</v>
      </c>
    </row>
    <row r="243" customFormat="false" ht="12.8" hidden="false" customHeight="false" outlineLevel="0" collapsed="false">
      <c r="A243" s="0" t="n">
        <v>775</v>
      </c>
      <c r="B243" s="1" t="n">
        <v>44121.5291666667</v>
      </c>
      <c r="C243" s="0" t="n">
        <v>1</v>
      </c>
      <c r="F243" s="6" t="s">
        <v>73</v>
      </c>
      <c r="G243" s="2" t="n">
        <v>69</v>
      </c>
      <c r="H243" s="2" t="n">
        <v>55</v>
      </c>
      <c r="I243" s="2" t="n">
        <v>61</v>
      </c>
      <c r="J243" s="2" t="s">
        <v>94</v>
      </c>
      <c r="K243" s="2" t="n">
        <v>15</v>
      </c>
      <c r="L243" s="2" t="n">
        <v>29</v>
      </c>
      <c r="M243" s="0" t="s">
        <v>72</v>
      </c>
      <c r="N243" s="0" t="n">
        <v>0</v>
      </c>
      <c r="O243" s="0" t="s">
        <v>136</v>
      </c>
      <c r="P243" s="0" t="s">
        <v>81</v>
      </c>
      <c r="Q243" s="3" t="n">
        <v>8.35</v>
      </c>
      <c r="R243" s="2" t="n">
        <v>779</v>
      </c>
      <c r="S243" s="2" t="n">
        <v>17975</v>
      </c>
      <c r="T243" s="2" t="n">
        <f aca="false">S243-R243</f>
        <v>17196</v>
      </c>
      <c r="U243" s="3" t="n">
        <f aca="false">(120+8)/60</f>
        <v>2.13333333333333</v>
      </c>
      <c r="V243" s="3" t="n">
        <f aca="false">(120+15)/60</f>
        <v>2.25</v>
      </c>
      <c r="W243" s="3" t="n">
        <f aca="false">V243-U243</f>
        <v>0.116666666666667</v>
      </c>
      <c r="X243" s="3" t="n">
        <f aca="false">Q243/U243</f>
        <v>3.9140625</v>
      </c>
      <c r="Y243" s="0" t="n">
        <v>1</v>
      </c>
      <c r="Z243" s="3" t="n">
        <f aca="false">Q243/Y243</f>
        <v>8.35</v>
      </c>
      <c r="AA243" s="3" t="n">
        <f aca="false">15+21/50</f>
        <v>15.42</v>
      </c>
      <c r="AB243" s="2" t="n">
        <v>856</v>
      </c>
      <c r="AC243" s="2" t="n">
        <v>698</v>
      </c>
      <c r="AD243" s="2" t="n">
        <v>76</v>
      </c>
      <c r="AE243" s="0" t="n">
        <v>112</v>
      </c>
      <c r="AF243" s="3" t="n">
        <f aca="false">15+13/60</f>
        <v>15.2166666666667</v>
      </c>
      <c r="AG243" s="3" t="n">
        <f aca="false">15+11/60</f>
        <v>15.1833333333333</v>
      </c>
      <c r="AH243" s="3" t="n">
        <f aca="false">15+8/60</f>
        <v>15.1333333333333</v>
      </c>
      <c r="AI243" s="3" t="n">
        <f aca="false">16+4/60</f>
        <v>16.0666666666667</v>
      </c>
      <c r="AJ243" s="3" t="n">
        <f aca="false">15+3/60</f>
        <v>15.05</v>
      </c>
      <c r="AK243" s="3" t="n">
        <f aca="false">15+8/60</f>
        <v>15.1333333333333</v>
      </c>
      <c r="AL243" s="3" t="n">
        <f aca="false">15+24/60</f>
        <v>15.4</v>
      </c>
      <c r="AM243" s="3" t="n">
        <f aca="false">15+30/60</f>
        <v>15.5</v>
      </c>
      <c r="AN243" s="3" t="n">
        <f aca="false">60/3.8</f>
        <v>15.7894736842105</v>
      </c>
      <c r="AP243" s="2" t="n">
        <v>1</v>
      </c>
      <c r="AQ243" s="0" t="n">
        <v>2</v>
      </c>
      <c r="AR243" s="0" t="n">
        <v>0</v>
      </c>
      <c r="AS243" s="0" t="n">
        <v>0</v>
      </c>
      <c r="AT243" s="4" t="n">
        <f aca="false">60*U243-SUM(AU243:AY243)</f>
        <v>113.933333333333</v>
      </c>
      <c r="AU243" s="3" t="n">
        <f aca="false">13+20/60</f>
        <v>13.3333333333333</v>
      </c>
      <c r="AV243" s="3" t="n">
        <f aca="false">44/60</f>
        <v>0.733333333333333</v>
      </c>
      <c r="AW243" s="3" t="n">
        <v>0</v>
      </c>
      <c r="AX243" s="3" t="n">
        <v>0</v>
      </c>
      <c r="AY243" s="3" t="n">
        <v>0</v>
      </c>
      <c r="AZ243" s="0" t="s">
        <v>58</v>
      </c>
      <c r="BA243" s="0" t="s">
        <v>59</v>
      </c>
      <c r="BB243" s="0" t="n">
        <v>0</v>
      </c>
    </row>
    <row r="244" customFormat="false" ht="12.8" hidden="false" customHeight="false" outlineLevel="0" collapsed="false">
      <c r="A244" s="0" t="n">
        <v>776</v>
      </c>
      <c r="B244" s="1" t="n">
        <v>44122.5194444444</v>
      </c>
      <c r="C244" s="0" t="n">
        <v>1</v>
      </c>
      <c r="F244" s="6" t="s">
        <v>70</v>
      </c>
      <c r="G244" s="2" t="n">
        <v>82</v>
      </c>
      <c r="H244" s="2" t="n">
        <v>68</v>
      </c>
      <c r="I244" s="2" t="n">
        <f aca="false">(58+55)/2</f>
        <v>56.5</v>
      </c>
      <c r="J244" s="2" t="s">
        <v>94</v>
      </c>
      <c r="K244" s="2" t="n">
        <f aca="false">(18+21)/2</f>
        <v>19.5</v>
      </c>
      <c r="L244" s="2" t="n">
        <v>30</v>
      </c>
      <c r="M244" s="0" t="s">
        <v>72</v>
      </c>
      <c r="N244" s="0" t="n">
        <v>0</v>
      </c>
      <c r="O244" s="0" t="s">
        <v>136</v>
      </c>
      <c r="P244" s="0" t="s">
        <v>132</v>
      </c>
      <c r="Q244" s="3" t="n">
        <v>5.07</v>
      </c>
      <c r="U244" s="3" t="n">
        <f aca="false">(60+43)/60</f>
        <v>1.71666666666667</v>
      </c>
      <c r="V244" s="3" t="n">
        <f aca="false">(60+56)/60</f>
        <v>1.93333333333333</v>
      </c>
      <c r="W244" s="3" t="n">
        <f aca="false">V244-U244</f>
        <v>0.216666666666667</v>
      </c>
      <c r="X244" s="3" t="n">
        <f aca="false">Q244/U244</f>
        <v>2.95339805825243</v>
      </c>
      <c r="Y244" s="0" t="n">
        <v>1</v>
      </c>
      <c r="Z244" s="3" t="n">
        <f aca="false">Q244/Y244</f>
        <v>5.07</v>
      </c>
      <c r="AA244" s="3" t="n">
        <f aca="false">20+14/60</f>
        <v>20.2333333333333</v>
      </c>
      <c r="AB244" s="2" t="n">
        <v>715</v>
      </c>
      <c r="AC244" s="2" t="n">
        <v>563</v>
      </c>
      <c r="AD244" s="2" t="n">
        <v>122</v>
      </c>
      <c r="AE244" s="0" t="n">
        <v>150</v>
      </c>
      <c r="AF244" s="3" t="n">
        <f aca="false">17+14/60</f>
        <v>17.2333333333333</v>
      </c>
      <c r="AG244" s="3" t="n">
        <f aca="false">17+35/60</f>
        <v>17.5833333333333</v>
      </c>
      <c r="AH244" s="3" t="n">
        <f aca="false">23+3/60</f>
        <v>23.05</v>
      </c>
      <c r="AI244" s="3" t="n">
        <f aca="false">24+11/60</f>
        <v>24.1833333333333</v>
      </c>
      <c r="AJ244" s="3" t="n">
        <f aca="false">19+8/60</f>
        <v>19.1333333333333</v>
      </c>
      <c r="AK244" s="3" t="n">
        <f aca="false">60/2.9</f>
        <v>20.6896551724138</v>
      </c>
      <c r="AP244" s="2" t="n">
        <v>4</v>
      </c>
      <c r="AQ244" s="0" t="n">
        <v>2</v>
      </c>
      <c r="AR244" s="0" t="n">
        <v>0</v>
      </c>
      <c r="AS244" s="0" t="n">
        <v>0</v>
      </c>
      <c r="AT244" s="4" t="n">
        <f aca="false">60*U244-SUM(AU244:AY244)</f>
        <v>0.48333333333332</v>
      </c>
      <c r="AU244" s="3" t="n">
        <f aca="false">1+9/60</f>
        <v>1.15</v>
      </c>
      <c r="AV244" s="3" t="n">
        <f aca="false">68+46/60</f>
        <v>68.7666666666667</v>
      </c>
      <c r="AW244" s="3" t="n">
        <f aca="false">32+19/60</f>
        <v>32.3166666666667</v>
      </c>
      <c r="AX244" s="3" t="n">
        <f aca="false">17/60</f>
        <v>0.283333333333333</v>
      </c>
      <c r="AY244" s="3" t="n">
        <v>0</v>
      </c>
      <c r="AZ244" s="0" t="s">
        <v>58</v>
      </c>
      <c r="BA244" s="0" t="s">
        <v>59</v>
      </c>
      <c r="BB244" s="0" t="n">
        <v>0</v>
      </c>
    </row>
    <row r="245" customFormat="false" ht="12.8" hidden="false" customHeight="false" outlineLevel="0" collapsed="false">
      <c r="A245" s="0" t="n">
        <v>777</v>
      </c>
      <c r="B245" s="1" t="n">
        <v>44123.4583333333</v>
      </c>
      <c r="C245" s="0" t="n">
        <v>0</v>
      </c>
      <c r="D245" s="6" t="s">
        <v>87</v>
      </c>
      <c r="F245" s="6" t="s">
        <v>141</v>
      </c>
      <c r="G245" s="2" t="n">
        <v>56</v>
      </c>
      <c r="H245" s="2" t="n">
        <v>52</v>
      </c>
      <c r="I245" s="2" t="n">
        <v>87</v>
      </c>
      <c r="J245" s="6" t="s">
        <v>125</v>
      </c>
      <c r="K245" s="2" t="n">
        <v>70</v>
      </c>
      <c r="L245" s="2" t="n">
        <v>0</v>
      </c>
      <c r="M245" s="0" t="s">
        <v>142</v>
      </c>
    </row>
    <row r="246" customFormat="false" ht="12.8" hidden="false" customHeight="false" outlineLevel="0" collapsed="false">
      <c r="A246" s="0" t="n">
        <v>778</v>
      </c>
      <c r="B246" s="1" t="n">
        <v>44124.5625</v>
      </c>
      <c r="C246" s="0" t="n">
        <v>1</v>
      </c>
      <c r="F246" s="6" t="s">
        <v>84</v>
      </c>
      <c r="G246" s="2" t="n">
        <v>77</v>
      </c>
      <c r="H246" s="2" t="n">
        <v>62</v>
      </c>
      <c r="I246" s="2" t="n">
        <v>60</v>
      </c>
      <c r="J246" s="6" t="s">
        <v>71</v>
      </c>
      <c r="K246" s="2" t="n">
        <v>20</v>
      </c>
      <c r="L246" s="2" t="n">
        <v>0</v>
      </c>
      <c r="M246" s="0" t="s">
        <v>72</v>
      </c>
      <c r="N246" s="0" t="n">
        <v>0</v>
      </c>
      <c r="O246" s="0" t="s">
        <v>136</v>
      </c>
      <c r="P246" s="0" t="s">
        <v>86</v>
      </c>
      <c r="Q246" s="3" t="n">
        <v>6.31</v>
      </c>
      <c r="R246" s="2" t="n">
        <v>643</v>
      </c>
      <c r="S246" s="2" t="n">
        <v>14684</v>
      </c>
      <c r="T246" s="2" t="n">
        <f aca="false">S246-R246</f>
        <v>14041</v>
      </c>
      <c r="U246" s="3" t="n">
        <f aca="false">(60+42)/60</f>
        <v>1.7</v>
      </c>
      <c r="V246" s="3" t="n">
        <f aca="false">(60+53)/60</f>
        <v>1.88333333333333</v>
      </c>
      <c r="W246" s="3" t="n">
        <f aca="false">V246-U246</f>
        <v>0.183333333333333</v>
      </c>
      <c r="X246" s="3" t="n">
        <f aca="false">Q246/U246</f>
        <v>3.71176470588235</v>
      </c>
      <c r="Y246" s="0" t="n">
        <v>1</v>
      </c>
      <c r="Z246" s="3" t="n">
        <f aca="false">Q246/Y246</f>
        <v>6.31</v>
      </c>
      <c r="AA246" s="3" t="n">
        <f aca="false">16+14/60</f>
        <v>16.2333333333333</v>
      </c>
      <c r="AB246" s="2" t="n">
        <v>233</v>
      </c>
      <c r="AC246" s="2" t="n">
        <v>673</v>
      </c>
      <c r="AD246" s="2" t="n">
        <v>136</v>
      </c>
      <c r="AE246" s="0" t="n">
        <v>140</v>
      </c>
      <c r="AF246" s="3" t="n">
        <f aca="false">16+8/60</f>
        <v>16.1333333333333</v>
      </c>
      <c r="AG246" s="3" t="n">
        <f aca="false">16+27/60</f>
        <v>16.45</v>
      </c>
      <c r="AH246" s="3" t="n">
        <f aca="false">15+58/60</f>
        <v>15.9666666666667</v>
      </c>
      <c r="AI246" s="3" t="n">
        <f aca="false">16+30/60</f>
        <v>16.5</v>
      </c>
      <c r="AJ246" s="3" t="n">
        <f aca="false">16</f>
        <v>16</v>
      </c>
      <c r="AK246" s="3" t="n">
        <f aca="false">16+18/60</f>
        <v>16.3</v>
      </c>
      <c r="AL246" s="3" t="n">
        <f aca="false">60/3.7</f>
        <v>16.2162162162162</v>
      </c>
      <c r="AP246" s="2" t="n">
        <v>0</v>
      </c>
      <c r="AQ246" s="0" t="n">
        <v>2</v>
      </c>
      <c r="AR246" s="0" t="n">
        <v>1</v>
      </c>
      <c r="AS246" s="0" t="n">
        <v>0</v>
      </c>
      <c r="AT246" s="4" t="n">
        <v>0</v>
      </c>
      <c r="AU246" s="3" t="n">
        <f aca="false">53/60</f>
        <v>0.883333333333333</v>
      </c>
      <c r="AV246" s="3" t="n">
        <f aca="false">6+1/60</f>
        <v>6.01666666666667</v>
      </c>
      <c r="AW246" s="3" t="n">
        <f aca="false">81+35/60</f>
        <v>81.5833333333333</v>
      </c>
      <c r="AX246" s="3" t="n">
        <f aca="false">14+2/60</f>
        <v>14.0333333333333</v>
      </c>
      <c r="AY246" s="3" t="n">
        <v>0</v>
      </c>
      <c r="AZ246" s="0" t="s">
        <v>58</v>
      </c>
      <c r="BA246" s="0" t="s">
        <v>59</v>
      </c>
      <c r="BB246" s="0" t="n">
        <v>0</v>
      </c>
    </row>
    <row r="247" customFormat="false" ht="12.8" hidden="false" customHeight="false" outlineLevel="0" collapsed="false">
      <c r="A247" s="0" t="n">
        <v>779</v>
      </c>
      <c r="B247" s="1" t="n">
        <v>44125.5173611111</v>
      </c>
      <c r="C247" s="0" t="n">
        <v>1</v>
      </c>
      <c r="F247" s="6" t="s">
        <v>70</v>
      </c>
      <c r="G247" s="2" t="n">
        <v>79</v>
      </c>
      <c r="H247" s="2" t="n">
        <v>66</v>
      </c>
      <c r="I247" s="2" t="n">
        <v>64</v>
      </c>
      <c r="J247" s="2" t="s">
        <v>94</v>
      </c>
      <c r="K247" s="2" t="n">
        <v>17</v>
      </c>
      <c r="L247" s="2" t="n">
        <v>29</v>
      </c>
      <c r="M247" s="0" t="s">
        <v>72</v>
      </c>
      <c r="N247" s="0" t="n">
        <v>0</v>
      </c>
      <c r="O247" s="0" t="s">
        <v>136</v>
      </c>
      <c r="P247" s="6" t="s">
        <v>80</v>
      </c>
      <c r="Q247" s="3" t="n">
        <v>4.14</v>
      </c>
      <c r="R247" s="2" t="n">
        <v>878</v>
      </c>
      <c r="S247" s="2" t="n">
        <v>9876</v>
      </c>
      <c r="T247" s="2" t="n">
        <f aca="false">S247-R247</f>
        <v>8998</v>
      </c>
      <c r="U247" s="3" t="n">
        <f aca="false">71/60</f>
        <v>1.18333333333333</v>
      </c>
      <c r="V247" s="3" t="n">
        <f aca="false">75/60</f>
        <v>1.25</v>
      </c>
      <c r="W247" s="3" t="n">
        <f aca="false">V247-U247</f>
        <v>0.0666666666666667</v>
      </c>
      <c r="X247" s="3" t="n">
        <f aca="false">Q247/U247</f>
        <v>3.49859154929577</v>
      </c>
      <c r="Y247" s="0" t="n">
        <v>2</v>
      </c>
      <c r="Z247" s="3" t="n">
        <f aca="false">Q247/Y247</f>
        <v>2.07</v>
      </c>
      <c r="AA247" s="3" t="n">
        <f aca="false">17+15/60</f>
        <v>17.25</v>
      </c>
      <c r="AB247" s="2" t="n">
        <v>545</v>
      </c>
      <c r="AC247" s="2" t="n">
        <v>459</v>
      </c>
      <c r="AD247" s="2" t="n">
        <v>122</v>
      </c>
      <c r="AE247" s="0" t="n">
        <v>152</v>
      </c>
      <c r="AF247" s="3" t="n">
        <f aca="false">17+17/60</f>
        <v>17.2833333333333</v>
      </c>
      <c r="AG247" s="3" t="n">
        <f aca="false">16+17/60</f>
        <v>16.2833333333333</v>
      </c>
      <c r="AH247" s="3" t="n">
        <f aca="false">18+47.6</f>
        <v>65.6</v>
      </c>
      <c r="AI247" s="3" t="n">
        <f aca="false">16+34/60</f>
        <v>16.5666666666667</v>
      </c>
      <c r="AJ247" s="3" t="n">
        <f aca="false">60/3.5</f>
        <v>17.1428571428571</v>
      </c>
      <c r="AP247" s="2" t="n">
        <v>0</v>
      </c>
      <c r="AQ247" s="0" t="n">
        <v>2</v>
      </c>
      <c r="AR247" s="0" t="n">
        <v>0</v>
      </c>
      <c r="AS247" s="0" t="n">
        <v>0</v>
      </c>
      <c r="AT247" s="4" t="n">
        <f aca="false">60*U247-SUM(AU247:AY247)</f>
        <v>0.0033333333333303</v>
      </c>
      <c r="AU247" s="3" t="n">
        <f aca="false">11+33/60</f>
        <v>11.55</v>
      </c>
      <c r="AV247" s="3" t="n">
        <f aca="false">24+27/60</f>
        <v>24.45</v>
      </c>
      <c r="AW247" s="3" t="n">
        <f aca="false">32+43/60</f>
        <v>32.7166666666667</v>
      </c>
      <c r="AX247" s="3" t="n">
        <v>2.28</v>
      </c>
      <c r="AY247" s="3" t="n">
        <v>0</v>
      </c>
      <c r="AZ247" s="0" t="s">
        <v>58</v>
      </c>
      <c r="BA247" s="0" t="s">
        <v>59</v>
      </c>
      <c r="BB247" s="0" t="n">
        <v>0</v>
      </c>
    </row>
    <row r="248" customFormat="false" ht="13.8" hidden="false" customHeight="false" outlineLevel="0" collapsed="false">
      <c r="A248" s="0" t="n">
        <v>780</v>
      </c>
      <c r="B248" s="1" t="n">
        <v>44126.4777777778</v>
      </c>
      <c r="C248" s="0" t="n">
        <v>1</v>
      </c>
      <c r="F248" s="6" t="s">
        <v>70</v>
      </c>
      <c r="G248" s="2" t="n">
        <f aca="false">AVERAGE(82,84,84,86)</f>
        <v>84</v>
      </c>
      <c r="H248" s="2" t="n">
        <f aca="false">AVERAGE(66,66,66,67)</f>
        <v>66.25</v>
      </c>
      <c r="I248" s="2" t="n">
        <f aca="false">AVERAGE(62,59,55,55)</f>
        <v>57.75</v>
      </c>
      <c r="J248" s="2" t="s">
        <v>109</v>
      </c>
      <c r="K248" s="2" t="n">
        <f aca="false">AVERAGE(14,14,16,20)</f>
        <v>16</v>
      </c>
      <c r="L248" s="2" t="n">
        <v>29</v>
      </c>
      <c r="M248" s="0" t="s">
        <v>72</v>
      </c>
      <c r="N248" s="0" t="n">
        <v>0</v>
      </c>
      <c r="O248" s="0" t="s">
        <v>136</v>
      </c>
      <c r="P248" s="13" t="s">
        <v>97</v>
      </c>
      <c r="Q248" s="3" t="n">
        <v>6.94</v>
      </c>
      <c r="R248" s="2" t="n">
        <v>667</v>
      </c>
      <c r="S248" s="2" t="n">
        <v>15896</v>
      </c>
      <c r="T248" s="2" t="n">
        <f aca="false">S248-R248</f>
        <v>15229</v>
      </c>
      <c r="U248" s="3" t="n">
        <f aca="false">(120+2)/60</f>
        <v>2.03333333333333</v>
      </c>
      <c r="V248" s="3" t="n">
        <f aca="false">(120+14)/60</f>
        <v>2.23333333333333</v>
      </c>
      <c r="W248" s="3" t="n">
        <f aca="false">V248-U248</f>
        <v>0.2</v>
      </c>
      <c r="X248" s="3" t="n">
        <f aca="false">Q248/U248</f>
        <v>3.41311475409836</v>
      </c>
      <c r="Y248" s="0" t="n">
        <v>1</v>
      </c>
      <c r="Z248" s="3" t="n">
        <f aca="false">Q248/Y248</f>
        <v>6.94</v>
      </c>
      <c r="AA248" s="3" t="n">
        <f aca="false">17+37/60</f>
        <v>17.6166666666667</v>
      </c>
      <c r="AB248" s="2" t="n">
        <v>761</v>
      </c>
      <c r="AC248" s="2" t="n">
        <v>749</v>
      </c>
      <c r="AD248" s="2" t="n">
        <v>125</v>
      </c>
      <c r="AE248" s="0" t="n">
        <v>149</v>
      </c>
      <c r="AF248" s="3" t="n">
        <f aca="false">17+1/60</f>
        <v>17.0166666666667</v>
      </c>
      <c r="AG248" s="3" t="n">
        <f aca="false">17+17/60</f>
        <v>17.2833333333333</v>
      </c>
      <c r="AH248" s="3" t="n">
        <f aca="false">17+36/60</f>
        <v>17.6</v>
      </c>
      <c r="AI248" s="3" t="n">
        <f aca="false">18+8/60</f>
        <v>18.1333333333333</v>
      </c>
      <c r="AJ248" s="3" t="n">
        <f aca="false">17+36/60</f>
        <v>17.6</v>
      </c>
      <c r="AK248" s="3" t="n">
        <f aca="false">17+17/60</f>
        <v>17.2833333333333</v>
      </c>
      <c r="AL248" s="3" t="n">
        <f aca="false">60/3.3</f>
        <v>18.1818181818182</v>
      </c>
      <c r="AP248" s="2" t="n">
        <v>7</v>
      </c>
      <c r="AQ248" s="0" t="n">
        <v>1</v>
      </c>
      <c r="AR248" s="0" t="n">
        <v>0</v>
      </c>
      <c r="AS248" s="0" t="n">
        <v>0</v>
      </c>
      <c r="AT248" s="4" t="n">
        <f aca="false">60*U248-SUM(AU248:AY248)</f>
        <v>2.78333333333333</v>
      </c>
      <c r="AU248" s="3" t="n">
        <f aca="false">9+10/60</f>
        <v>9.16666666666667</v>
      </c>
      <c r="AV248" s="3" t="n">
        <f aca="false">29+2/60</f>
        <v>29.0333333333333</v>
      </c>
      <c r="AW248" s="3" t="n">
        <f aca="false">79+59/60</f>
        <v>79.9833333333333</v>
      </c>
      <c r="AX248" s="3" t="n">
        <f aca="false">1+2/60</f>
        <v>1.03333333333333</v>
      </c>
      <c r="AY248" s="3" t="n">
        <v>0</v>
      </c>
      <c r="AZ248" s="0" t="s">
        <v>58</v>
      </c>
      <c r="BA248" s="0" t="s">
        <v>59</v>
      </c>
      <c r="BB248" s="0" t="n">
        <v>0</v>
      </c>
    </row>
    <row r="249" customFormat="false" ht="12.8" hidden="false" customHeight="false" outlineLevel="0" collapsed="false">
      <c r="A249" s="0" t="n">
        <v>781</v>
      </c>
      <c r="B249" s="1" t="n">
        <v>44127</v>
      </c>
      <c r="C249" s="0" t="n">
        <v>1</v>
      </c>
      <c r="F249" s="6" t="s">
        <v>73</v>
      </c>
      <c r="G249" s="2" t="n">
        <v>51</v>
      </c>
      <c r="H249" s="2" t="n">
        <v>45</v>
      </c>
      <c r="I249" s="2" t="n">
        <v>83</v>
      </c>
      <c r="J249" s="2" t="s">
        <v>125</v>
      </c>
      <c r="K249" s="2" t="n">
        <v>18</v>
      </c>
      <c r="L249" s="2" t="n">
        <v>0</v>
      </c>
      <c r="M249" s="0" t="s">
        <v>72</v>
      </c>
      <c r="N249" s="0" t="n">
        <v>0</v>
      </c>
      <c r="O249" s="0" t="s">
        <v>136</v>
      </c>
      <c r="P249" s="0" t="s">
        <v>82</v>
      </c>
      <c r="Q249" s="3" t="n">
        <v>4.35</v>
      </c>
      <c r="R249" s="2" t="n">
        <v>459</v>
      </c>
      <c r="S249" s="2" t="n">
        <v>10458</v>
      </c>
      <c r="T249" s="2" t="n">
        <f aca="false">S249-R249</f>
        <v>9999</v>
      </c>
      <c r="U249" s="3" t="n">
        <f aca="false">64/60</f>
        <v>1.06666666666667</v>
      </c>
      <c r="V249" s="3" t="n">
        <f aca="false">79/60</f>
        <v>1.31666666666667</v>
      </c>
      <c r="W249" s="3" t="n">
        <f aca="false">V249-U249</f>
        <v>0.25</v>
      </c>
      <c r="X249" s="3" t="n">
        <f aca="false">Q249/U249</f>
        <v>4.07812499999999</v>
      </c>
      <c r="Y249" s="0" t="n">
        <v>4</v>
      </c>
      <c r="Z249" s="3" t="n">
        <f aca="false">Q249/Y249</f>
        <v>1.0875</v>
      </c>
      <c r="AA249" s="3" t="n">
        <f aca="false">15+37/60</f>
        <v>15.6166666666667</v>
      </c>
      <c r="AB249" s="2" t="n">
        <v>105</v>
      </c>
      <c r="AC249" s="2" t="n">
        <v>465</v>
      </c>
      <c r="AD249" s="2" t="n">
        <v>80</v>
      </c>
      <c r="AE249" s="0" t="n">
        <v>117</v>
      </c>
      <c r="AF249" s="3" t="n">
        <f aca="false">15+32/60</f>
        <v>15.5333333333333</v>
      </c>
      <c r="AG249" s="3" t="n">
        <f aca="false">15+35/60</f>
        <v>15.5833333333333</v>
      </c>
      <c r="AH249" s="3" t="n">
        <f aca="false">15+37/60</f>
        <v>15.6166666666667</v>
      </c>
      <c r="AI249" s="3" t="n">
        <f aca="false">15+39/60</f>
        <v>15.65</v>
      </c>
      <c r="AJ249" s="3" t="n">
        <f aca="false">60/3.8</f>
        <v>15.7894736842105</v>
      </c>
      <c r="AP249" s="2" t="n">
        <v>0</v>
      </c>
      <c r="AQ249" s="0" t="n">
        <v>1</v>
      </c>
      <c r="AR249" s="0" t="n">
        <v>0</v>
      </c>
      <c r="AS249" s="0" t="n">
        <v>0</v>
      </c>
      <c r="AT249" s="4" t="n">
        <f aca="false">60*U249-SUM(AU249:AY249)</f>
        <v>57</v>
      </c>
      <c r="AU249" s="3" t="n">
        <f aca="false">5+36/60</f>
        <v>5.6</v>
      </c>
      <c r="AV249" s="3" t="n">
        <f aca="false">1+24/60</f>
        <v>1.4</v>
      </c>
      <c r="AW249" s="3" t="n">
        <v>0</v>
      </c>
      <c r="AX249" s="3" t="n">
        <v>0</v>
      </c>
      <c r="AY249" s="3" t="n">
        <v>0</v>
      </c>
      <c r="AZ249" s="0" t="s">
        <v>58</v>
      </c>
      <c r="BA249" s="0" t="s">
        <v>59</v>
      </c>
      <c r="BB249" s="0" t="n">
        <v>0</v>
      </c>
    </row>
    <row r="250" customFormat="false" ht="12.8" hidden="false" customHeight="false" outlineLevel="0" collapsed="false">
      <c r="A250" s="0" t="n">
        <v>782</v>
      </c>
      <c r="B250" s="1" t="n">
        <v>44128.4951388889</v>
      </c>
      <c r="C250" s="0" t="n">
        <v>0</v>
      </c>
      <c r="D250" s="0" t="s">
        <v>143</v>
      </c>
      <c r="F250" s="6" t="s">
        <v>126</v>
      </c>
      <c r="G250" s="0" t="n">
        <v>51</v>
      </c>
      <c r="H250" s="0" t="n">
        <v>40</v>
      </c>
      <c r="I250" s="0" t="n">
        <v>61</v>
      </c>
      <c r="J250" s="0" t="s">
        <v>130</v>
      </c>
      <c r="K250" s="0" t="n">
        <v>7</v>
      </c>
      <c r="L250" s="0" t="n">
        <v>0</v>
      </c>
      <c r="M250" s="0" t="s">
        <v>72</v>
      </c>
    </row>
    <row r="251" customFormat="false" ht="12.8" hidden="false" customHeight="false" outlineLevel="0" collapsed="false">
      <c r="A251" s="0" t="n">
        <v>783</v>
      </c>
      <c r="B251" s="1" t="n">
        <v>44129.4951388889</v>
      </c>
      <c r="C251" s="0" t="n">
        <v>0</v>
      </c>
      <c r="D251" s="0" t="s">
        <v>69</v>
      </c>
      <c r="F251" s="6" t="s">
        <v>73</v>
      </c>
      <c r="G251" s="2" t="n">
        <v>59</v>
      </c>
      <c r="H251" s="2" t="n">
        <v>55</v>
      </c>
      <c r="I251" s="2" t="n">
        <v>87</v>
      </c>
      <c r="J251" s="6" t="s">
        <v>123</v>
      </c>
      <c r="K251" s="2" t="n">
        <v>12</v>
      </c>
      <c r="L251" s="2" t="n">
        <v>0</v>
      </c>
      <c r="M251" s="0" t="s">
        <v>72</v>
      </c>
    </row>
    <row r="252" customFormat="false" ht="12.8" hidden="false" customHeight="false" outlineLevel="0" collapsed="false">
      <c r="A252" s="0" t="n">
        <v>784</v>
      </c>
      <c r="B252" s="1" t="n">
        <v>44130.5777777778</v>
      </c>
      <c r="C252" s="0" t="n">
        <v>1</v>
      </c>
      <c r="F252" s="6" t="s">
        <v>55</v>
      </c>
      <c r="G252" s="2" t="n">
        <v>45</v>
      </c>
      <c r="H252" s="2" t="n">
        <v>43</v>
      </c>
      <c r="I252" s="2" t="n">
        <v>93</v>
      </c>
      <c r="J252" s="2" t="s">
        <v>107</v>
      </c>
      <c r="K252" s="2" t="n">
        <v>21</v>
      </c>
      <c r="L252" s="2" t="n">
        <v>0</v>
      </c>
      <c r="M252" s="0" t="s">
        <v>72</v>
      </c>
      <c r="N252" s="0" t="n">
        <v>0</v>
      </c>
      <c r="O252" s="0" t="s">
        <v>136</v>
      </c>
      <c r="P252" s="0" t="s">
        <v>144</v>
      </c>
      <c r="Q252" s="3" t="n">
        <v>3.52</v>
      </c>
      <c r="R252" s="2" t="n">
        <v>1140</v>
      </c>
      <c r="S252" s="2" t="n">
        <v>12443</v>
      </c>
      <c r="T252" s="2" t="n">
        <f aca="false">S252-R252</f>
        <v>11303</v>
      </c>
      <c r="U252" s="3" t="n">
        <f aca="false">89/60</f>
        <v>1.48333333333333</v>
      </c>
      <c r="V252" s="3" t="n">
        <f aca="false">89/60</f>
        <v>1.48333333333333</v>
      </c>
      <c r="W252" s="3" t="n">
        <f aca="false">V252-U252</f>
        <v>0</v>
      </c>
      <c r="X252" s="3" t="n">
        <f aca="false">Q252/U252</f>
        <v>2.37303370786517</v>
      </c>
      <c r="Y252" s="0" t="n">
        <v>2</v>
      </c>
      <c r="Z252" s="3" t="n">
        <f aca="false">Q252/Y252</f>
        <v>1.76</v>
      </c>
      <c r="AA252" s="3" t="n">
        <f aca="false">25+12/60</f>
        <v>25.2</v>
      </c>
      <c r="AB252" s="2" t="n">
        <v>39</v>
      </c>
      <c r="AC252" s="2" t="n">
        <v>327</v>
      </c>
      <c r="AD252" s="2" t="n">
        <v>81</v>
      </c>
      <c r="AE252" s="0" t="n">
        <v>111</v>
      </c>
      <c r="AF252" s="3" t="n">
        <f aca="false">24+55/60</f>
        <v>24.9166666666667</v>
      </c>
      <c r="AG252" s="3" t="n">
        <f aca="false">25+7/60</f>
        <v>25.1166666666667</v>
      </c>
      <c r="AH252" s="3" t="n">
        <f aca="false">26+32/60</f>
        <v>26.5333333333333</v>
      </c>
      <c r="AI252" s="3" t="n">
        <f aca="false">60/2.4</f>
        <v>25</v>
      </c>
      <c r="AP252" s="2" t="n">
        <v>0</v>
      </c>
      <c r="AQ252" s="0" t="n">
        <v>0</v>
      </c>
      <c r="AR252" s="0" t="n">
        <v>0</v>
      </c>
      <c r="AS252" s="0" t="n">
        <v>0</v>
      </c>
      <c r="AT252" s="4" t="n">
        <f aca="false">60*U252-SUM(AU252:AY252)</f>
        <v>76.2166666666667</v>
      </c>
      <c r="AU252" s="3" t="n">
        <f aca="false">11+56/60</f>
        <v>11.9333333333333</v>
      </c>
      <c r="AV252" s="3" t="n">
        <f aca="false">51/60</f>
        <v>0.85</v>
      </c>
      <c r="AW252" s="3" t="n">
        <v>0</v>
      </c>
      <c r="AX252" s="3" t="n">
        <v>0</v>
      </c>
      <c r="AY252" s="3" t="n">
        <v>0</v>
      </c>
      <c r="AZ252" s="0" t="s">
        <v>58</v>
      </c>
      <c r="BA252" s="0" t="s">
        <v>59</v>
      </c>
      <c r="BB252" s="0" t="n">
        <v>0</v>
      </c>
    </row>
    <row r="253" customFormat="false" ht="12.8" hidden="false" customHeight="false" outlineLevel="0" collapsed="false">
      <c r="A253" s="0" t="n">
        <v>785</v>
      </c>
      <c r="B253" s="1" t="n">
        <v>44131.4951388889</v>
      </c>
      <c r="C253" s="0" t="n">
        <v>0</v>
      </c>
      <c r="F253" s="6" t="s">
        <v>141</v>
      </c>
      <c r="G253" s="2" t="n">
        <v>39</v>
      </c>
      <c r="H253" s="2" t="n">
        <v>38</v>
      </c>
      <c r="I253" s="2" t="n">
        <v>96</v>
      </c>
      <c r="J253" s="2" t="s">
        <v>107</v>
      </c>
      <c r="K253" s="2" t="n">
        <v>14</v>
      </c>
      <c r="L253" s="2" t="n">
        <v>0</v>
      </c>
      <c r="M253" s="0" t="s">
        <v>142</v>
      </c>
    </row>
    <row r="254" customFormat="false" ht="12.8" hidden="false" customHeight="false" outlineLevel="0" collapsed="false">
      <c r="A254" s="0" t="n">
        <v>786</v>
      </c>
      <c r="B254" s="1" t="n">
        <v>44132.4770833333</v>
      </c>
      <c r="C254" s="0" t="n">
        <v>1</v>
      </c>
      <c r="F254" s="6" t="s">
        <v>124</v>
      </c>
      <c r="G254" s="2" t="n">
        <v>40</v>
      </c>
      <c r="H254" s="2" t="n">
        <v>38</v>
      </c>
      <c r="I254" s="2" t="n">
        <v>93</v>
      </c>
      <c r="J254" s="6" t="s">
        <v>135</v>
      </c>
      <c r="K254" s="2" t="n">
        <v>10</v>
      </c>
      <c r="L254" s="2" t="n">
        <v>0</v>
      </c>
      <c r="M254" s="0" t="s">
        <v>142</v>
      </c>
      <c r="N254" s="0" t="n">
        <v>0</v>
      </c>
      <c r="O254" s="0" t="s">
        <v>136</v>
      </c>
      <c r="P254" s="0" t="s">
        <v>144</v>
      </c>
      <c r="Q254" s="3" t="n">
        <v>3.86</v>
      </c>
      <c r="R254" s="2" t="n">
        <v>836</v>
      </c>
      <c r="S254" s="2" t="n">
        <v>13040</v>
      </c>
      <c r="T254" s="2" t="n">
        <f aca="false">S254-R254</f>
        <v>12204</v>
      </c>
      <c r="U254" s="3" t="n">
        <f aca="false">96/60</f>
        <v>1.6</v>
      </c>
      <c r="V254" s="3" t="n">
        <f aca="false">97/60</f>
        <v>1.61666666666667</v>
      </c>
      <c r="W254" s="3" t="n">
        <f aca="false">V254-U254</f>
        <v>0.0166666666666699</v>
      </c>
      <c r="X254" s="3" t="n">
        <f aca="false">Q254/U254</f>
        <v>2.4125</v>
      </c>
      <c r="Y254" s="0" t="n">
        <v>2</v>
      </c>
      <c r="Z254" s="3" t="n">
        <f aca="false">Q254/Y254</f>
        <v>1.93</v>
      </c>
      <c r="AA254" s="3" t="n">
        <f aca="false">24+54/60</f>
        <v>24.9</v>
      </c>
      <c r="AB254" s="2" t="n">
        <v>56</v>
      </c>
      <c r="AC254" s="2" t="n">
        <v>377</v>
      </c>
      <c r="AD254" s="2" t="n">
        <v>86</v>
      </c>
      <c r="AE254" s="0" t="n">
        <v>131</v>
      </c>
      <c r="AF254" s="3" t="n">
        <f aca="false">23+50/60</f>
        <v>23.8333333333333</v>
      </c>
      <c r="AG254" s="3" t="n">
        <f aca="false">23+34/60</f>
        <v>23.5666666666667</v>
      </c>
      <c r="AH254" s="3" t="n">
        <f aca="false">26+22/60</f>
        <v>26.3666666666667</v>
      </c>
      <c r="AI254" s="3" t="n">
        <f aca="false">60/2.3</f>
        <v>26.0869565217391</v>
      </c>
      <c r="AP254" s="2" t="n">
        <v>0</v>
      </c>
      <c r="AQ254" s="0" t="n">
        <v>0</v>
      </c>
      <c r="AR254" s="0" t="n">
        <v>0</v>
      </c>
      <c r="AS254" s="0" t="n">
        <v>0</v>
      </c>
      <c r="AT254" s="4" t="n">
        <f aca="false">60*U254-SUM(AU254:AY254)</f>
        <v>67.6533333333333</v>
      </c>
      <c r="AU254" s="3" t="n">
        <f aca="false">26+16/60</f>
        <v>26.2666666666667</v>
      </c>
      <c r="AV254" s="3" t="n">
        <f aca="false">1+54/50</f>
        <v>2.08</v>
      </c>
      <c r="AW254" s="3" t="n">
        <v>0</v>
      </c>
      <c r="AX254" s="3" t="n">
        <v>0</v>
      </c>
      <c r="AY254" s="3" t="n">
        <v>0</v>
      </c>
      <c r="AZ254" s="0" t="s">
        <v>58</v>
      </c>
      <c r="BA254" s="0" t="s">
        <v>59</v>
      </c>
      <c r="BB254" s="0" t="n">
        <v>0</v>
      </c>
    </row>
    <row r="255" customFormat="false" ht="12.8" hidden="false" customHeight="false" outlineLevel="0" collapsed="false">
      <c r="A255" s="0" t="n">
        <v>787</v>
      </c>
      <c r="B255" s="1" t="n">
        <v>44133.5270833333</v>
      </c>
      <c r="C255" s="0" t="n">
        <v>1</v>
      </c>
      <c r="F255" s="6" t="s">
        <v>73</v>
      </c>
      <c r="G255" s="2" t="n">
        <v>51</v>
      </c>
      <c r="H255" s="2" t="n">
        <v>41</v>
      </c>
      <c r="I255" s="2" t="n">
        <v>68</v>
      </c>
      <c r="J255" s="6" t="s">
        <v>125</v>
      </c>
      <c r="K255" s="2" t="n">
        <v>16</v>
      </c>
      <c r="L255" s="2" t="n">
        <v>0</v>
      </c>
      <c r="M255" s="0" t="s">
        <v>72</v>
      </c>
      <c r="N255" s="0" t="n">
        <v>0</v>
      </c>
      <c r="O255" s="0" t="s">
        <v>136</v>
      </c>
      <c r="P255" s="0" t="s">
        <v>77</v>
      </c>
      <c r="Q255" s="3" t="n">
        <v>4.5</v>
      </c>
      <c r="R255" s="2" t="n">
        <v>799</v>
      </c>
      <c r="S255" s="2" t="n">
        <v>10170</v>
      </c>
      <c r="T255" s="2" t="n">
        <f aca="false">S255-R255</f>
        <v>9371</v>
      </c>
      <c r="U255" s="3" t="n">
        <f aca="false">75/60</f>
        <v>1.25</v>
      </c>
      <c r="V255" s="3" t="n">
        <f aca="false">75/60</f>
        <v>1.25</v>
      </c>
      <c r="W255" s="3" t="n">
        <f aca="false">V255-U255</f>
        <v>0</v>
      </c>
      <c r="X255" s="3" t="n">
        <f aca="false">Q255/U255</f>
        <v>3.6</v>
      </c>
      <c r="Y255" s="0" t="n">
        <v>1</v>
      </c>
      <c r="Z255" s="3" t="n">
        <f aca="false">Q255/Y255</f>
        <v>4.5</v>
      </c>
      <c r="AA255" s="3" t="n">
        <f aca="false">16+36/60</f>
        <v>16.6</v>
      </c>
      <c r="AB255" s="2" t="n">
        <v>72</v>
      </c>
      <c r="AC255" s="2" t="n">
        <v>471</v>
      </c>
      <c r="AD255" s="2" t="n">
        <v>112</v>
      </c>
      <c r="AE255" s="0" t="n">
        <v>130</v>
      </c>
      <c r="AF255" s="3" t="n">
        <f aca="false">16+4/60</f>
        <v>16.0666666666667</v>
      </c>
      <c r="AG255" s="3" t="n">
        <f aca="false">16+38/60</f>
        <v>16.6333333333333</v>
      </c>
      <c r="AH255" s="3" t="n">
        <f aca="false">16+44/60</f>
        <v>16.7333333333333</v>
      </c>
      <c r="AI255" s="3" t="n">
        <f aca="false">16+40/60</f>
        <v>16.6666666666667</v>
      </c>
      <c r="AJ255" s="3" t="n">
        <f aca="false">60/3.5</f>
        <v>17.1428571428571</v>
      </c>
      <c r="AP255" s="2" t="n">
        <v>0</v>
      </c>
      <c r="AQ255" s="0" t="n">
        <v>0</v>
      </c>
      <c r="AR255" s="0" t="n">
        <v>1</v>
      </c>
      <c r="AS255" s="0" t="n">
        <v>0</v>
      </c>
      <c r="AT255" s="4" t="n">
        <f aca="false">60*U255-SUM(AU255:AY255)</f>
        <v>1</v>
      </c>
      <c r="AU255" s="3" t="n">
        <f aca="false">21+52/60</f>
        <v>21.8666666666667</v>
      </c>
      <c r="AV255" s="3" t="n">
        <f aca="false">50+16/60</f>
        <v>50.2666666666667</v>
      </c>
      <c r="AW255" s="3" t="n">
        <f aca="false">1+52/60</f>
        <v>1.86666666666667</v>
      </c>
      <c r="AX255" s="3" t="n">
        <v>0</v>
      </c>
      <c r="AY255" s="3" t="n">
        <v>0</v>
      </c>
      <c r="AZ255" s="0" t="s">
        <v>58</v>
      </c>
      <c r="BA255" s="0" t="s">
        <v>59</v>
      </c>
      <c r="BB255" s="0" t="n">
        <v>0</v>
      </c>
    </row>
    <row r="256" customFormat="false" ht="12.8" hidden="false" customHeight="false" outlineLevel="0" collapsed="false">
      <c r="A256" s="0" t="n">
        <v>788</v>
      </c>
      <c r="B256" s="1" t="n">
        <v>44134.5444444444</v>
      </c>
      <c r="C256" s="0" t="n">
        <v>1</v>
      </c>
      <c r="F256" s="6" t="s">
        <v>101</v>
      </c>
      <c r="G256" s="2" t="n">
        <f aca="false">(61+64)/2</f>
        <v>62.5</v>
      </c>
      <c r="H256" s="2" t="n">
        <v>36</v>
      </c>
      <c r="I256" s="2" t="n">
        <f aca="false">(39+35)/2</f>
        <v>37</v>
      </c>
      <c r="J256" s="6" t="s">
        <v>103</v>
      </c>
      <c r="K256" s="2" t="n">
        <v>0</v>
      </c>
      <c r="L256" s="2" t="n">
        <v>0</v>
      </c>
      <c r="M256" s="0" t="s">
        <v>72</v>
      </c>
      <c r="N256" s="0" t="n">
        <v>0</v>
      </c>
      <c r="O256" s="0" t="s">
        <v>136</v>
      </c>
      <c r="P256" s="0" t="s">
        <v>139</v>
      </c>
      <c r="Q256" s="3" t="n">
        <v>7.66</v>
      </c>
      <c r="R256" s="2" t="n">
        <v>506</v>
      </c>
      <c r="S256" s="2" t="n">
        <v>16909</v>
      </c>
      <c r="T256" s="2" t="n">
        <f aca="false">S256-R256</f>
        <v>16403</v>
      </c>
      <c r="U256" s="3" t="n">
        <f aca="false">128/60</f>
        <v>2.13333333333333</v>
      </c>
      <c r="V256" s="3" t="n">
        <f aca="false">(120+22)/60</f>
        <v>2.36666666666667</v>
      </c>
      <c r="W256" s="3" t="n">
        <f aca="false">V256-U256</f>
        <v>0.233333333333333</v>
      </c>
      <c r="X256" s="3" t="n">
        <f aca="false">Q256/U256</f>
        <v>3.590625</v>
      </c>
      <c r="Y256" s="0" t="n">
        <v>1</v>
      </c>
      <c r="Z256" s="3" t="n">
        <f aca="false">Q256/Y256</f>
        <v>7.66</v>
      </c>
      <c r="AA256" s="3" t="n">
        <f aca="false">16+40/60</f>
        <v>16.6666666666667</v>
      </c>
      <c r="AB256" s="2" t="n">
        <f aca="false">105</f>
        <v>105</v>
      </c>
      <c r="AC256" s="2" t="n">
        <v>813</v>
      </c>
      <c r="AD256" s="2" t="n">
        <v>77</v>
      </c>
      <c r="AE256" s="0" t="n">
        <v>125</v>
      </c>
      <c r="AF256" s="3" t="n">
        <f aca="false">16</f>
        <v>16</v>
      </c>
      <c r="AG256" s="3" t="n">
        <f aca="false">15+50/60</f>
        <v>15.8333333333333</v>
      </c>
      <c r="AH256" s="3" t="n">
        <f aca="false">16+9/60</f>
        <v>16.15</v>
      </c>
      <c r="AI256" s="3" t="n">
        <v>18</v>
      </c>
      <c r="AJ256" s="3" t="n">
        <f aca="false">16+33/60</f>
        <v>16.55</v>
      </c>
      <c r="AK256" s="3" t="n">
        <f aca="false">16.1</f>
        <v>16.1</v>
      </c>
      <c r="AL256" s="3" t="n">
        <f aca="false">17+4/60</f>
        <v>17.0666666666667</v>
      </c>
      <c r="AM256" s="3" t="n">
        <f aca="false">60/3.3</f>
        <v>18.1818181818182</v>
      </c>
      <c r="AP256" s="2" t="n">
        <v>0</v>
      </c>
      <c r="AQ256" s="0" t="n">
        <v>0</v>
      </c>
      <c r="AR256" s="0" t="n">
        <v>0</v>
      </c>
      <c r="AS256" s="0" t="n">
        <v>0</v>
      </c>
      <c r="AT256" s="4" t="n">
        <f aca="false">60*U256-SUM(AU256:AY256)</f>
        <v>110.433333333333</v>
      </c>
      <c r="AU256" s="3" t="n">
        <f aca="false">5+2/60</f>
        <v>5.03333333333333</v>
      </c>
      <c r="AV256" s="3" t="n">
        <f aca="false">12+32/60</f>
        <v>12.5333333333333</v>
      </c>
      <c r="AW256" s="3" t="n">
        <v>0</v>
      </c>
      <c r="AX256" s="3" t="n">
        <v>0</v>
      </c>
      <c r="AY256" s="3" t="n">
        <v>0</v>
      </c>
      <c r="AZ256" s="0" t="s">
        <v>58</v>
      </c>
      <c r="BA256" s="0" t="s">
        <v>59</v>
      </c>
      <c r="BB256" s="0" t="n">
        <v>0</v>
      </c>
    </row>
    <row r="257" customFormat="false" ht="12.8" hidden="false" customHeight="false" outlineLevel="0" collapsed="false">
      <c r="A257" s="0" t="n">
        <v>789</v>
      </c>
      <c r="B257" s="1" t="n">
        <v>44135.5472222222</v>
      </c>
      <c r="C257" s="0" t="n">
        <v>1</v>
      </c>
      <c r="F257" s="0" t="s">
        <v>60</v>
      </c>
      <c r="G257" s="2" t="n">
        <f aca="false">(66+68+69)/3</f>
        <v>67.6666666666667</v>
      </c>
      <c r="H257" s="2" t="n">
        <v>44</v>
      </c>
      <c r="I257" s="2" t="n">
        <f aca="false">(45+42+29)/3</f>
        <v>38.6666666666667</v>
      </c>
      <c r="J257" s="2" t="s">
        <v>94</v>
      </c>
      <c r="K257" s="2" t="n">
        <f aca="false">(12+13+9)/3</f>
        <v>11.3333333333333</v>
      </c>
      <c r="L257" s="2" t="n">
        <v>0</v>
      </c>
      <c r="M257" s="0" t="s">
        <v>72</v>
      </c>
      <c r="N257" s="0" t="n">
        <v>0</v>
      </c>
      <c r="O257" s="0" t="s">
        <v>136</v>
      </c>
      <c r="P257" s="0" t="s">
        <v>81</v>
      </c>
      <c r="Q257" s="3" t="n">
        <v>8.67</v>
      </c>
      <c r="R257" s="2" t="n">
        <v>1808</v>
      </c>
      <c r="S257" s="2" t="n">
        <v>19656</v>
      </c>
      <c r="T257" s="2" t="n">
        <f aca="false">S257-R257</f>
        <v>17848</v>
      </c>
      <c r="U257" s="3" t="n">
        <f aca="false">(120+21)/60</f>
        <v>2.35</v>
      </c>
      <c r="V257" s="3" t="n">
        <f aca="false">(120+30)/60</f>
        <v>2.5</v>
      </c>
      <c r="W257" s="3" t="n">
        <f aca="false">V257-U257</f>
        <v>0.15</v>
      </c>
      <c r="X257" s="3" t="n">
        <f aca="false">Q257/U257</f>
        <v>3.68936170212766</v>
      </c>
      <c r="Y257" s="0" t="n">
        <v>1</v>
      </c>
      <c r="Z257" s="3" t="n">
        <f aca="false">Q257/Y257</f>
        <v>8.67</v>
      </c>
      <c r="AA257" s="3" t="n">
        <f aca="false">16+14/60</f>
        <v>16.2333333333333</v>
      </c>
      <c r="AB257" s="2" t="n">
        <v>135</v>
      </c>
      <c r="AC257" s="2" t="n">
        <v>925</v>
      </c>
      <c r="AD257" s="2" t="n">
        <v>120</v>
      </c>
      <c r="AE257" s="0" t="n">
        <v>144</v>
      </c>
      <c r="AF257" s="3" t="n">
        <f aca="false">16+14/60</f>
        <v>16.2333333333333</v>
      </c>
      <c r="AG257" s="3" t="n">
        <f aca="false">15+43/60</f>
        <v>15.7166666666667</v>
      </c>
      <c r="AH257" s="3" t="n">
        <f aca="false">15+56/60</f>
        <v>15.9333333333333</v>
      </c>
      <c r="AI257" s="3" t="n">
        <f aca="false">15+48/60</f>
        <v>15.8</v>
      </c>
      <c r="AJ257" s="3" t="n">
        <f aca="false">16+16/60</f>
        <v>16.2666666666667</v>
      </c>
      <c r="AK257" s="3" t="n">
        <f aca="false">16+40/60</f>
        <v>16.6666666666667</v>
      </c>
      <c r="AL257" s="3" t="n">
        <f aca="false">16+27/60</f>
        <v>16.45</v>
      </c>
      <c r="AM257" s="3" t="n">
        <f aca="false">16+40/60</f>
        <v>16.6666666666667</v>
      </c>
      <c r="AN257" s="3" t="n">
        <f aca="false">60/3.6</f>
        <v>16.6666666666667</v>
      </c>
      <c r="AP257" s="2" t="n">
        <v>2</v>
      </c>
      <c r="AQ257" s="0" t="n">
        <v>4</v>
      </c>
      <c r="AR257" s="0" t="n">
        <v>0</v>
      </c>
      <c r="AS257" s="0" t="n">
        <v>0</v>
      </c>
      <c r="AT257" s="4" t="n">
        <f aca="false">60*U257-SUM(AU257:AY257)</f>
        <v>2.83333333333334</v>
      </c>
      <c r="AU257" s="3" t="n">
        <f aca="false">37+59/60</f>
        <v>37.9833333333333</v>
      </c>
      <c r="AV257" s="3" t="n">
        <f aca="false">25+35/60</f>
        <v>25.5833333333333</v>
      </c>
      <c r="AW257" s="3" t="n">
        <f aca="false">74+33/60</f>
        <v>74.55</v>
      </c>
      <c r="AX257" s="3" t="n">
        <f aca="false">3/60</f>
        <v>0.05</v>
      </c>
      <c r="AY257" s="3" t="n">
        <v>0</v>
      </c>
      <c r="AZ257" s="0" t="s">
        <v>58</v>
      </c>
      <c r="BA257" s="0" t="s">
        <v>59</v>
      </c>
      <c r="BB257" s="0" t="n">
        <v>0</v>
      </c>
    </row>
    <row r="258" customFormat="false" ht="12.8" hidden="false" customHeight="false" outlineLevel="0" collapsed="false">
      <c r="A258" s="0" t="n">
        <v>790</v>
      </c>
      <c r="B258" s="1" t="n">
        <v>44136.5645833333</v>
      </c>
      <c r="C258" s="0" t="n">
        <v>1</v>
      </c>
      <c r="F258" s="6" t="s">
        <v>101</v>
      </c>
      <c r="G258" s="2" t="n">
        <v>72</v>
      </c>
      <c r="H258" s="2" t="n">
        <v>37</v>
      </c>
      <c r="I258" s="2" t="n">
        <v>28</v>
      </c>
      <c r="J258" s="2" t="s">
        <v>107</v>
      </c>
      <c r="K258" s="2" t="n">
        <v>17</v>
      </c>
      <c r="L258" s="2" t="n">
        <v>29</v>
      </c>
      <c r="M258" s="0" t="s">
        <v>72</v>
      </c>
      <c r="N258" s="0" t="n">
        <v>0</v>
      </c>
      <c r="O258" s="0" t="s">
        <v>136</v>
      </c>
      <c r="Q258" s="3" t="n">
        <v>5</v>
      </c>
      <c r="R258" s="2" t="n">
        <v>1405</v>
      </c>
      <c r="S258" s="2" t="n">
        <v>12243</v>
      </c>
      <c r="T258" s="2" t="n">
        <f aca="false">S258-R258</f>
        <v>10838</v>
      </c>
      <c r="U258" s="3" t="n">
        <f aca="false">(60+23)/60</f>
        <v>1.38333333333333</v>
      </c>
      <c r="V258" s="3" t="n">
        <f aca="false">(60+27)/60</f>
        <v>1.45</v>
      </c>
      <c r="W258" s="3" t="n">
        <f aca="false">V258-U258</f>
        <v>0.0666666666666667</v>
      </c>
      <c r="X258" s="3" t="n">
        <f aca="false">Q258/U258</f>
        <v>3.6144578313253</v>
      </c>
      <c r="Y258" s="0" t="n">
        <v>1</v>
      </c>
      <c r="Z258" s="3" t="n">
        <f aca="false">Q258/Y258</f>
        <v>5</v>
      </c>
      <c r="AA258" s="3" t="n">
        <f aca="false">16+36/60</f>
        <v>16.6</v>
      </c>
      <c r="AB258" s="2" t="n">
        <v>121</v>
      </c>
      <c r="AC258" s="2" t="n">
        <v>528</v>
      </c>
      <c r="AD258" s="2" t="n">
        <v>121</v>
      </c>
      <c r="AE258" s="0" t="n">
        <v>142</v>
      </c>
      <c r="AF258" s="3" t="n">
        <f aca="false">16+7/60</f>
        <v>16.1166666666667</v>
      </c>
      <c r="AG258" s="3" t="n">
        <f aca="false">16+27/60</f>
        <v>16.45</v>
      </c>
      <c r="AH258" s="3" t="n">
        <f aca="false">16+53/60</f>
        <v>16.8833333333333</v>
      </c>
      <c r="AI258" s="3" t="n">
        <f aca="false">16+46/60</f>
        <v>16.7666666666667</v>
      </c>
      <c r="AJ258" s="3" t="n">
        <f aca="false">16+45/60</f>
        <v>16.75</v>
      </c>
      <c r="AP258" s="2" t="n">
        <v>0</v>
      </c>
      <c r="AQ258" s="0" t="n">
        <v>2</v>
      </c>
      <c r="AR258" s="0" t="n">
        <v>0</v>
      </c>
      <c r="AS258" s="0" t="n">
        <v>0</v>
      </c>
      <c r="AT258" s="4" t="n">
        <f aca="false">60*U258-SUM(AU258:AY258)</f>
        <v>4.40000000000001</v>
      </c>
      <c r="AU258" s="3" t="n">
        <f aca="false">14+40/60</f>
        <v>14.6666666666667</v>
      </c>
      <c r="AV258" s="3" t="n">
        <f aca="false">6+53/60</f>
        <v>6.88333333333333</v>
      </c>
      <c r="AW258" s="3" t="n">
        <f aca="false">57+3/60</f>
        <v>57.05</v>
      </c>
      <c r="AX258" s="3" t="n">
        <v>0</v>
      </c>
      <c r="AY258" s="3" t="n">
        <v>0</v>
      </c>
      <c r="AZ258" s="0" t="s">
        <v>58</v>
      </c>
      <c r="BA258" s="0" t="s">
        <v>59</v>
      </c>
      <c r="BB258" s="0" t="n">
        <v>0</v>
      </c>
    </row>
    <row r="259" customFormat="false" ht="12.8" hidden="false" customHeight="false" outlineLevel="0" collapsed="false">
      <c r="A259" s="0" t="n">
        <v>791</v>
      </c>
      <c r="B259" s="1" t="n">
        <v>44137.4951388889</v>
      </c>
      <c r="C259" s="0" t="n">
        <v>0</v>
      </c>
      <c r="D259" s="11" t="s">
        <v>75</v>
      </c>
      <c r="F259" s="6" t="s">
        <v>126</v>
      </c>
      <c r="G259" s="2" t="n">
        <v>63</v>
      </c>
      <c r="H259" s="2" t="n">
        <v>35</v>
      </c>
      <c r="I259" s="2" t="n">
        <v>34</v>
      </c>
      <c r="J259" s="2" t="s">
        <v>99</v>
      </c>
      <c r="K259" s="2" t="n">
        <v>8</v>
      </c>
      <c r="L259" s="2" t="n">
        <v>0</v>
      </c>
      <c r="M259" s="0" t="s">
        <v>72</v>
      </c>
      <c r="Q259" s="0"/>
      <c r="R259" s="14"/>
      <c r="S259" s="0"/>
      <c r="T259" s="14"/>
      <c r="U259" s="0"/>
      <c r="V259" s="0"/>
      <c r="W259" s="0"/>
      <c r="X259" s="0"/>
      <c r="Z259" s="0"/>
      <c r="AA259" s="0"/>
      <c r="AB259" s="0"/>
      <c r="AC259" s="0"/>
      <c r="AD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T259" s="0"/>
      <c r="AU259" s="0"/>
      <c r="AV259" s="0"/>
      <c r="AW259" s="0"/>
      <c r="AX259" s="0"/>
      <c r="AY259" s="0"/>
    </row>
    <row r="260" customFormat="false" ht="12.8" hidden="false" customHeight="false" outlineLevel="0" collapsed="false">
      <c r="A260" s="0" t="n">
        <v>792</v>
      </c>
      <c r="B260" s="1" t="n">
        <v>44138.4583333333</v>
      </c>
      <c r="C260" s="0" t="n">
        <v>1</v>
      </c>
      <c r="F260" s="0" t="s">
        <v>60</v>
      </c>
      <c r="G260" s="2" t="n">
        <f aca="false">(68+72+75)/3</f>
        <v>71.6666666666667</v>
      </c>
      <c r="H260" s="2" t="n">
        <f aca="false">(38+41+29)/3</f>
        <v>36</v>
      </c>
      <c r="I260" s="2" t="n">
        <f aca="false">(33+33+27)/3</f>
        <v>31</v>
      </c>
      <c r="J260" s="6" t="s">
        <v>71</v>
      </c>
      <c r="K260" s="2" t="n">
        <f aca="false">+(12+6)/2</f>
        <v>9</v>
      </c>
      <c r="L260" s="2" t="n">
        <v>0</v>
      </c>
      <c r="M260" s="0" t="s">
        <v>72</v>
      </c>
      <c r="N260" s="0" t="n">
        <v>0</v>
      </c>
      <c r="O260" s="0" t="s">
        <v>136</v>
      </c>
      <c r="P260" s="0" t="s">
        <v>95</v>
      </c>
      <c r="Q260" s="3" t="n">
        <v>6.32</v>
      </c>
      <c r="R260" s="2" t="n">
        <v>733</v>
      </c>
      <c r="S260" s="2" t="n">
        <v>15083</v>
      </c>
      <c r="T260" s="2" t="n">
        <f aca="false">S260-R260</f>
        <v>14350</v>
      </c>
      <c r="U260" s="3" t="n">
        <f aca="false">(60+55)/60</f>
        <v>1.91666666666667</v>
      </c>
      <c r="V260" s="3" t="n">
        <f aca="false">(120+16)/60</f>
        <v>2.26666666666667</v>
      </c>
      <c r="W260" s="3" t="n">
        <f aca="false">V260-U260</f>
        <v>0.35</v>
      </c>
      <c r="X260" s="3" t="n">
        <f aca="false">Q260/U260</f>
        <v>3.29739130434783</v>
      </c>
      <c r="Y260" s="0" t="n">
        <v>1</v>
      </c>
      <c r="Z260" s="3" t="n">
        <f aca="false">Q260/Y260</f>
        <v>6.32</v>
      </c>
      <c r="AA260" s="3" t="n">
        <f aca="false">18+10/60</f>
        <v>18.1666666666667</v>
      </c>
      <c r="AB260" s="2" t="n">
        <v>131</v>
      </c>
      <c r="AC260" s="2" t="n">
        <v>688</v>
      </c>
      <c r="AD260" s="2" t="n">
        <v>86</v>
      </c>
      <c r="AE260" s="0" t="n">
        <v>119</v>
      </c>
      <c r="AF260" s="3" t="n">
        <f aca="false">16+22/60</f>
        <v>16.3666666666667</v>
      </c>
      <c r="AG260" s="3" t="n">
        <f aca="false">17+10/60</f>
        <v>17.1666666666667</v>
      </c>
      <c r="AH260" s="3" t="n">
        <f aca="false">18+29/60</f>
        <v>18.4833333333333</v>
      </c>
      <c r="AI260" s="3" t="n">
        <f aca="false">19+34/60</f>
        <v>19.5666666666667</v>
      </c>
      <c r="AJ260" s="3" t="n">
        <f aca="false">18+58/60</f>
        <v>18.9666666666667</v>
      </c>
      <c r="AK260" s="3" t="n">
        <f aca="false">18+24/60</f>
        <v>18.4</v>
      </c>
      <c r="AL260" s="3" t="n">
        <f aca="false">60/3.3</f>
        <v>18.1818181818182</v>
      </c>
      <c r="AP260" s="2" t="n">
        <v>0</v>
      </c>
      <c r="AQ260" s="0" t="n">
        <v>7</v>
      </c>
      <c r="AR260" s="0" t="n">
        <v>0</v>
      </c>
      <c r="AS260" s="0" t="n">
        <v>0</v>
      </c>
      <c r="AT260" s="4" t="n">
        <f aca="false">60*U260-SUM(AU260:AY260)</f>
        <v>58.7333333333333</v>
      </c>
      <c r="AU260" s="3" t="n">
        <f aca="false">54+4/60</f>
        <v>54.0666666666667</v>
      </c>
      <c r="AV260" s="3" t="n">
        <f aca="false">2+12/60</f>
        <v>2.2</v>
      </c>
      <c r="AW260" s="3" t="n">
        <v>0</v>
      </c>
      <c r="AX260" s="3" t="n">
        <v>0</v>
      </c>
      <c r="AY260" s="3" t="n">
        <v>0</v>
      </c>
      <c r="AZ260" s="0" t="s">
        <v>58</v>
      </c>
      <c r="BA260" s="0" t="s">
        <v>59</v>
      </c>
      <c r="BB260" s="0" t="n">
        <v>0</v>
      </c>
    </row>
    <row r="261" customFormat="false" ht="12.8" hidden="false" customHeight="false" outlineLevel="0" collapsed="false">
      <c r="A261" s="0" t="n">
        <v>793</v>
      </c>
      <c r="B261" s="1" t="n">
        <v>44139.6125</v>
      </c>
      <c r="C261" s="0" t="n">
        <v>1</v>
      </c>
      <c r="F261" s="0" t="s">
        <v>60</v>
      </c>
      <c r="G261" s="2" t="n">
        <v>73</v>
      </c>
      <c r="H261" s="2" t="n">
        <v>44</v>
      </c>
      <c r="I261" s="2" t="n">
        <v>35</v>
      </c>
      <c r="J261" s="2" t="s">
        <v>94</v>
      </c>
      <c r="K261" s="2" t="n">
        <v>20</v>
      </c>
      <c r="L261" s="2" t="n">
        <v>25</v>
      </c>
      <c r="M261" s="0" t="s">
        <v>72</v>
      </c>
      <c r="N261" s="0" t="n">
        <v>0</v>
      </c>
      <c r="O261" s="0" t="s">
        <v>136</v>
      </c>
      <c r="P261" s="0" t="s">
        <v>82</v>
      </c>
      <c r="Q261" s="3" t="n">
        <v>4.37</v>
      </c>
      <c r="R261" s="2" t="n">
        <v>1340</v>
      </c>
      <c r="S261" s="2" t="n">
        <v>10172</v>
      </c>
      <c r="T261" s="2" t="n">
        <f aca="false">S261-R261</f>
        <v>8832</v>
      </c>
      <c r="U261" s="3" t="n">
        <f aca="false">70/60</f>
        <v>1.16666666666667</v>
      </c>
      <c r="V261" s="3" t="n">
        <f aca="false">70/60</f>
        <v>1.16666666666667</v>
      </c>
      <c r="W261" s="3" t="n">
        <f aca="false">V261-U261</f>
        <v>0</v>
      </c>
      <c r="X261" s="3" t="n">
        <f aca="false">Q261/U261</f>
        <v>3.74571428571429</v>
      </c>
      <c r="Y261" s="0" t="n">
        <v>4</v>
      </c>
      <c r="Z261" s="3" t="n">
        <f aca="false">Q261/Y261</f>
        <v>1.0925</v>
      </c>
      <c r="AA261" s="3" t="n">
        <f aca="false">15+54/60</f>
        <v>15.9</v>
      </c>
      <c r="AB261" s="2" t="n">
        <v>89</v>
      </c>
      <c r="AC261" s="2" t="n">
        <v>462</v>
      </c>
      <c r="AD261" s="2" t="n">
        <v>85</v>
      </c>
      <c r="AE261" s="0" t="n">
        <f aca="false">127</f>
        <v>127</v>
      </c>
      <c r="AF261" s="3" t="n">
        <f aca="false">15+48/60</f>
        <v>15.8</v>
      </c>
      <c r="AG261" s="3" t="n">
        <f aca="false">15+57/60</f>
        <v>15.95</v>
      </c>
      <c r="AH261" s="3" t="n">
        <f aca="false">15+58/60</f>
        <v>15.9666666666667</v>
      </c>
      <c r="AI261" s="3" t="n">
        <f aca="false">15+50/60</f>
        <v>15.8333333333333</v>
      </c>
      <c r="AJ261" s="3" t="n">
        <f aca="false">60/3.8</f>
        <v>15.7894736842105</v>
      </c>
      <c r="AP261" s="2" t="n">
        <v>0</v>
      </c>
      <c r="AQ261" s="0" t="n">
        <v>0</v>
      </c>
      <c r="AR261" s="0" t="n">
        <v>0</v>
      </c>
      <c r="AS261" s="0" t="n">
        <v>0</v>
      </c>
      <c r="AT261" s="4" t="n">
        <f aca="false">60*U261-SUM(AU261:AY261)</f>
        <v>57.1666666666667</v>
      </c>
      <c r="AU261" s="3" t="n">
        <f aca="false">10+24/60</f>
        <v>10.4</v>
      </c>
      <c r="AV261" s="3" t="n">
        <f aca="false">2+18/60</f>
        <v>2.3</v>
      </c>
      <c r="AW261" s="3" t="n">
        <f aca="false">8/60</f>
        <v>0.133333333333333</v>
      </c>
      <c r="AX261" s="3" t="n">
        <v>0</v>
      </c>
      <c r="AY261" s="3" t="n">
        <v>0</v>
      </c>
      <c r="AZ261" s="0" t="s">
        <v>58</v>
      </c>
      <c r="BA261" s="0" t="s">
        <v>59</v>
      </c>
      <c r="BB261" s="0" t="n">
        <v>0</v>
      </c>
    </row>
    <row r="262" customFormat="false" ht="12.8" hidden="false" customHeight="false" outlineLevel="0" collapsed="false">
      <c r="A262" s="0" t="n">
        <v>794</v>
      </c>
      <c r="B262" s="1" t="n">
        <v>44140.5020833333</v>
      </c>
      <c r="C262" s="0" t="n">
        <v>1</v>
      </c>
      <c r="F262" s="6" t="s">
        <v>101</v>
      </c>
      <c r="G262" s="2" t="n">
        <v>76</v>
      </c>
      <c r="H262" s="2" t="n">
        <v>60</v>
      </c>
      <c r="I262" s="2" t="n">
        <v>58</v>
      </c>
      <c r="J262" s="6" t="s">
        <v>71</v>
      </c>
      <c r="K262" s="2" t="n">
        <v>17</v>
      </c>
      <c r="L262" s="2" t="n">
        <v>22</v>
      </c>
      <c r="M262" s="0" t="s">
        <v>72</v>
      </c>
      <c r="N262" s="0" t="n">
        <v>1</v>
      </c>
      <c r="O262" s="0" t="s">
        <v>136</v>
      </c>
      <c r="P262" s="0" t="s">
        <v>86</v>
      </c>
      <c r="Q262" s="3" t="n">
        <v>6.28</v>
      </c>
      <c r="T262" s="2" t="n">
        <f aca="false">T246</f>
        <v>14041</v>
      </c>
      <c r="U262" s="3" t="n">
        <f aca="false">(60+44)/60</f>
        <v>1.73333333333333</v>
      </c>
      <c r="V262" s="3" t="n">
        <f aca="false">(60+49)/60</f>
        <v>1.81666666666667</v>
      </c>
      <c r="W262" s="3" t="n">
        <f aca="false">V262-U262</f>
        <v>0.0833333333333333</v>
      </c>
      <c r="X262" s="3" t="n">
        <f aca="false">Q262/U262</f>
        <v>3.62307692307692</v>
      </c>
      <c r="Y262" s="0" t="n">
        <v>1</v>
      </c>
      <c r="Z262" s="3" t="n">
        <f aca="false">Q262/Y262</f>
        <v>6.28</v>
      </c>
      <c r="AA262" s="3" t="n">
        <f aca="false">16+32/60</f>
        <v>16.5333333333333</v>
      </c>
      <c r="AB262" s="2" t="n">
        <v>236</v>
      </c>
      <c r="AC262" s="2" t="n">
        <v>276</v>
      </c>
      <c r="AD262" s="2" t="n">
        <v>73</v>
      </c>
      <c r="AE262" s="0" t="n">
        <v>105</v>
      </c>
      <c r="AF262" s="3" t="n">
        <f aca="false">16+32/60</f>
        <v>16.5333333333333</v>
      </c>
      <c r="AG262" s="3" t="n">
        <f aca="false">16+41/60</f>
        <v>16.6833333333333</v>
      </c>
      <c r="AH262" s="3" t="n">
        <f aca="false">16+39/60</f>
        <v>16.65</v>
      </c>
      <c r="AI262" s="3" t="n">
        <f aca="false">16+59/60</f>
        <v>16.9833333333333</v>
      </c>
      <c r="AJ262" s="3" t="n">
        <f aca="false">16+3/60</f>
        <v>16.05</v>
      </c>
      <c r="AK262" s="3" t="n">
        <f aca="false">16+12/60</f>
        <v>16.2</v>
      </c>
      <c r="AL262" s="3" t="n">
        <f aca="false">60/3.6</f>
        <v>16.6666666666667</v>
      </c>
      <c r="AP262" s="2" t="n">
        <v>0</v>
      </c>
      <c r="AQ262" s="0" t="n">
        <v>0</v>
      </c>
      <c r="AR262" s="0" t="n">
        <v>0</v>
      </c>
      <c r="AS262" s="0" t="n">
        <v>0</v>
      </c>
      <c r="AT262" s="4" t="n">
        <f aca="false">60*U262-SUM(AU262:AY262)</f>
        <v>96.4666666666667</v>
      </c>
      <c r="AU262" s="3" t="n">
        <f aca="false">7+32/60</f>
        <v>7.53333333333333</v>
      </c>
      <c r="AV262" s="3" t="n">
        <v>0</v>
      </c>
      <c r="AW262" s="3" t="n">
        <v>0</v>
      </c>
      <c r="AX262" s="3" t="n">
        <v>0</v>
      </c>
      <c r="AY262" s="3" t="n">
        <v>0</v>
      </c>
      <c r="AZ262" s="0" t="s">
        <v>58</v>
      </c>
      <c r="BA262" s="0" t="s">
        <v>59</v>
      </c>
      <c r="BB262" s="0" t="n">
        <v>0</v>
      </c>
    </row>
    <row r="263" customFormat="false" ht="12.8" hidden="false" customHeight="false" outlineLevel="0" collapsed="false">
      <c r="A263" s="0" t="n">
        <v>795</v>
      </c>
      <c r="B263" s="1" t="n">
        <v>44141.5145833333</v>
      </c>
      <c r="C263" s="0" t="n">
        <v>1</v>
      </c>
      <c r="F263" s="6" t="s">
        <v>70</v>
      </c>
      <c r="G263" s="2" t="n">
        <v>75</v>
      </c>
      <c r="H263" s="2" t="n">
        <v>59</v>
      </c>
      <c r="I263" s="2" t="n">
        <v>57</v>
      </c>
      <c r="J263" s="6" t="s">
        <v>121</v>
      </c>
      <c r="K263" s="2" t="n">
        <v>12</v>
      </c>
      <c r="L263" s="2" t="n">
        <v>0</v>
      </c>
      <c r="M263" s="0" t="s">
        <v>72</v>
      </c>
      <c r="N263" s="0" t="n">
        <v>0</v>
      </c>
      <c r="O263" s="0" t="s">
        <v>136</v>
      </c>
      <c r="P263" s="0" t="s">
        <v>132</v>
      </c>
      <c r="Q263" s="3" t="n">
        <v>5.47</v>
      </c>
      <c r="R263" s="2" t="n">
        <v>787</v>
      </c>
      <c r="S263" s="2" t="n">
        <v>13490</v>
      </c>
      <c r="T263" s="2" t="n">
        <f aca="false">S263-R263</f>
        <v>12703</v>
      </c>
      <c r="U263" s="3" t="n">
        <f aca="false">(60+47)/60</f>
        <v>1.78333333333333</v>
      </c>
      <c r="V263" s="3" t="n">
        <f aca="false">(60+58)/60</f>
        <v>1.96666666666667</v>
      </c>
      <c r="W263" s="3" t="n">
        <f aca="false">V263-U263</f>
        <v>0.183333333333333</v>
      </c>
      <c r="X263" s="3" t="n">
        <f aca="false">Q263/U263</f>
        <v>3.06728971962617</v>
      </c>
      <c r="Y263" s="0" t="n">
        <v>1</v>
      </c>
      <c r="Z263" s="3" t="n">
        <f aca="false">Q263/Y263</f>
        <v>5.47</v>
      </c>
      <c r="AA263" s="3" t="n">
        <f aca="false">19+37/60</f>
        <v>19.6166666666667</v>
      </c>
      <c r="AB263" s="2" t="n">
        <v>367</v>
      </c>
      <c r="AC263" s="2" t="n">
        <v>621</v>
      </c>
      <c r="AD263" s="2" t="n">
        <v>126</v>
      </c>
      <c r="AE263" s="0" t="n">
        <v>141</v>
      </c>
      <c r="AF263" s="3" t="n">
        <f aca="false">16+40/60</f>
        <v>16.6666666666667</v>
      </c>
      <c r="AG263" s="3" t="n">
        <f aca="false">17+17/60</f>
        <v>17.2833333333333</v>
      </c>
      <c r="AH263" s="3" t="n">
        <f aca="false">24+20/60</f>
        <v>24.3333333333333</v>
      </c>
      <c r="AI263" s="3" t="n">
        <f aca="false">22+34/60</f>
        <v>22.5666666666667</v>
      </c>
      <c r="AJ263" s="3" t="n">
        <f aca="false">17+17/60</f>
        <v>17.2833333333333</v>
      </c>
      <c r="AK263" s="3" t="n">
        <f aca="false">60/3.1</f>
        <v>19.3548387096774</v>
      </c>
      <c r="AP263" s="2" t="n">
        <v>4</v>
      </c>
      <c r="AQ263" s="0" t="n">
        <v>2</v>
      </c>
      <c r="AR263" s="0" t="n">
        <v>1</v>
      </c>
      <c r="AS263" s="0" t="n">
        <v>0</v>
      </c>
      <c r="AT263" s="4" t="n">
        <v>0</v>
      </c>
      <c r="AU263" s="3" t="n">
        <f aca="false">2+10/60</f>
        <v>2.16666666666667</v>
      </c>
      <c r="AV263" s="3" t="n">
        <f aca="false">46+47/60</f>
        <v>46.7833333333333</v>
      </c>
      <c r="AW263" s="3" t="n">
        <f aca="false">68+26/60</f>
        <v>68.4333333333333</v>
      </c>
      <c r="AX263" s="3" t="n">
        <v>0</v>
      </c>
      <c r="AY263" s="3" t="n">
        <v>0</v>
      </c>
      <c r="AZ263" s="0" t="s">
        <v>58</v>
      </c>
      <c r="BA263" s="0" t="s">
        <v>59</v>
      </c>
      <c r="BB263" s="0" t="n">
        <v>0</v>
      </c>
    </row>
    <row r="264" customFormat="false" ht="12.8" hidden="false" customHeight="false" outlineLevel="0" collapsed="false">
      <c r="A264" s="0" t="n">
        <v>796</v>
      </c>
      <c r="B264" s="1" t="n">
        <v>44142.4847222222</v>
      </c>
      <c r="C264" s="0" t="n">
        <v>1</v>
      </c>
      <c r="F264" s="0" t="s">
        <v>60</v>
      </c>
      <c r="G264" s="2" t="n">
        <v>73</v>
      </c>
      <c r="H264" s="2" t="n">
        <v>54</v>
      </c>
      <c r="I264" s="2" t="n">
        <v>50</v>
      </c>
      <c r="J264" s="2" t="s">
        <v>94</v>
      </c>
      <c r="K264" s="2" t="n">
        <f aca="false">19/2</f>
        <v>9.5</v>
      </c>
      <c r="L264" s="2" t="n">
        <v>0</v>
      </c>
      <c r="M264" s="0" t="s">
        <v>72</v>
      </c>
      <c r="N264" s="0" t="n">
        <v>0</v>
      </c>
      <c r="O264" s="0" t="s">
        <v>136</v>
      </c>
      <c r="P264" s="6" t="s">
        <v>80</v>
      </c>
      <c r="Q264" s="3" t="n">
        <v>4.06</v>
      </c>
      <c r="R264" s="2" t="n">
        <v>1005</v>
      </c>
      <c r="S264" s="2" t="n">
        <v>9998</v>
      </c>
      <c r="T264" s="2" t="n">
        <f aca="false">S264-R264</f>
        <v>8993</v>
      </c>
      <c r="U264" s="3" t="n">
        <f aca="false">73/60</f>
        <v>1.21666666666667</v>
      </c>
      <c r="V264" s="3" t="n">
        <f aca="false">78/60</f>
        <v>1.3</v>
      </c>
      <c r="W264" s="3" t="n">
        <f aca="false">V264-U264</f>
        <v>0.0833333333333335</v>
      </c>
      <c r="X264" s="3" t="n">
        <f aca="false">Q264/U264</f>
        <v>3.33698630136986</v>
      </c>
      <c r="Y264" s="0" t="n">
        <v>2</v>
      </c>
      <c r="Z264" s="3" t="n">
        <f aca="false">Q264/Y264</f>
        <v>2.03</v>
      </c>
      <c r="AA264" s="3" t="n">
        <f aca="false">17+53/60</f>
        <v>17.8833333333333</v>
      </c>
      <c r="AB264" s="2" t="n">
        <v>233</v>
      </c>
      <c r="AC264" s="2" t="n">
        <v>449</v>
      </c>
      <c r="AD264" s="2" t="n">
        <v>111</v>
      </c>
      <c r="AE264" s="0" t="n">
        <v>138</v>
      </c>
      <c r="AF264" s="3" t="n">
        <f aca="false">17+42/60</f>
        <v>17.7</v>
      </c>
      <c r="AG264" s="3" t="n">
        <f aca="false">17+12/60</f>
        <v>17.2</v>
      </c>
      <c r="AH264" s="3" t="n">
        <f aca="false">19+6/60</f>
        <v>19.1</v>
      </c>
      <c r="AI264" s="3" t="n">
        <f aca="false">17+30/60</f>
        <v>17.5</v>
      </c>
      <c r="AJ264" s="3" t="n">
        <f aca="false">60/3.4</f>
        <v>17.6470588235294</v>
      </c>
      <c r="AP264" s="2" t="n">
        <v>0</v>
      </c>
      <c r="AQ264" s="0" t="n">
        <v>2</v>
      </c>
      <c r="AR264" s="0" t="n">
        <v>0</v>
      </c>
      <c r="AS264" s="0" t="n">
        <v>0</v>
      </c>
      <c r="AT264" s="4" t="n">
        <f aca="false">60*U264-SUM(AU264:AY264)</f>
        <v>1.16666666666666</v>
      </c>
      <c r="AU264" s="3" t="n">
        <f aca="false">33+25/60</f>
        <v>33.4166666666667</v>
      </c>
      <c r="AV264" s="3" t="n">
        <f aca="false">21+48/60</f>
        <v>21.8</v>
      </c>
      <c r="AW264" s="3" t="n">
        <f aca="false">16+37/60</f>
        <v>16.6166666666667</v>
      </c>
      <c r="AX264" s="3" t="n">
        <v>0</v>
      </c>
      <c r="AY264" s="3" t="n">
        <v>0</v>
      </c>
      <c r="AZ264" s="0" t="s">
        <v>58</v>
      </c>
      <c r="BA264" s="0" t="s">
        <v>59</v>
      </c>
      <c r="BB264" s="0" t="n">
        <v>0</v>
      </c>
    </row>
    <row r="265" customFormat="false" ht="13.8" hidden="false" customHeight="false" outlineLevel="0" collapsed="false">
      <c r="A265" s="0" t="n">
        <v>797</v>
      </c>
      <c r="B265" s="1" t="n">
        <v>44143.4847222222</v>
      </c>
      <c r="C265" s="0" t="n">
        <v>1</v>
      </c>
      <c r="F265" s="6" t="s">
        <v>70</v>
      </c>
      <c r="G265" s="2" t="n">
        <v>71</v>
      </c>
      <c r="H265" s="2" t="n">
        <v>61</v>
      </c>
      <c r="I265" s="2" t="n">
        <f aca="false">(73+66)/2</f>
        <v>69.5</v>
      </c>
      <c r="J265" s="6" t="s">
        <v>121</v>
      </c>
      <c r="K265" s="2" t="n">
        <v>16</v>
      </c>
      <c r="L265" s="2" t="n">
        <v>26</v>
      </c>
      <c r="M265" s="0" t="s">
        <v>72</v>
      </c>
      <c r="N265" s="0" t="n">
        <v>0</v>
      </c>
      <c r="O265" s="0" t="s">
        <v>136</v>
      </c>
      <c r="P265" s="13" t="s">
        <v>97</v>
      </c>
      <c r="Q265" s="3" t="n">
        <v>7.27</v>
      </c>
      <c r="R265" s="2" t="n">
        <v>1659</v>
      </c>
      <c r="S265" s="2" t="n">
        <v>17508</v>
      </c>
      <c r="T265" s="2" t="n">
        <f aca="false">S265-R265</f>
        <v>15849</v>
      </c>
      <c r="U265" s="3" t="n">
        <f aca="false">(120+9)/60</f>
        <v>2.15</v>
      </c>
      <c r="V265" s="3" t="n">
        <f aca="false">(120+19)/60</f>
        <v>2.31666666666667</v>
      </c>
      <c r="W265" s="3" t="n">
        <f aca="false">V265-U265</f>
        <v>0.166666666666667</v>
      </c>
      <c r="X265" s="3" t="n">
        <f aca="false">Q265/U265</f>
        <v>3.38139534883721</v>
      </c>
      <c r="Y265" s="0" t="n">
        <v>1</v>
      </c>
      <c r="Z265" s="3" t="n">
        <f aca="false">Q265/Y265</f>
        <v>7.27</v>
      </c>
      <c r="AA265" s="3" t="n">
        <f aca="false">60/X265</f>
        <v>17.7441540577717</v>
      </c>
      <c r="AB265" s="2" t="n">
        <v>295</v>
      </c>
      <c r="AC265" s="2" t="n">
        <v>306</v>
      </c>
      <c r="AD265" s="2" t="n">
        <v>71</v>
      </c>
      <c r="AE265" s="0" t="n">
        <v>115</v>
      </c>
      <c r="AF265" s="3" t="n">
        <f aca="false">17+5/60</f>
        <v>17.0833333333333</v>
      </c>
      <c r="AG265" s="3" t="n">
        <f aca="false">17+37/60</f>
        <v>17.6166666666667</v>
      </c>
      <c r="AH265" s="3" t="n">
        <f aca="false">17+49/60</f>
        <v>17.8166666666667</v>
      </c>
      <c r="AI265" s="3" t="n">
        <f aca="false">18+26/60</f>
        <v>18.4333333333333</v>
      </c>
      <c r="AJ265" s="3" t="n">
        <f aca="false">17+42/60</f>
        <v>17.7</v>
      </c>
      <c r="AK265" s="3" t="n">
        <f aca="false">17+42/60</f>
        <v>17.7</v>
      </c>
      <c r="AL265" s="3" t="n">
        <f aca="false">18+9/60</f>
        <v>18.15</v>
      </c>
      <c r="AP265" s="2" t="n">
        <v>7</v>
      </c>
      <c r="AQ265" s="0" t="n">
        <v>1</v>
      </c>
      <c r="AR265" s="0" t="n">
        <v>1</v>
      </c>
      <c r="AS265" s="0" t="n">
        <v>0</v>
      </c>
      <c r="AT265" s="4" t="n">
        <f aca="false">60*U265-SUM(AU265:AY265)</f>
        <v>111.416666666667</v>
      </c>
      <c r="AU265" s="3" t="n">
        <f aca="false">15+44/60</f>
        <v>15.7333333333333</v>
      </c>
      <c r="AV265" s="3" t="n">
        <f aca="false">1+51/60</f>
        <v>1.85</v>
      </c>
      <c r="AW265" s="3" t="n">
        <v>0</v>
      </c>
      <c r="AX265" s="3" t="n">
        <v>0</v>
      </c>
      <c r="AY265" s="3" t="n">
        <v>0</v>
      </c>
      <c r="AZ265" s="0" t="s">
        <v>58</v>
      </c>
      <c r="BA265" s="0" t="s">
        <v>59</v>
      </c>
      <c r="BB265" s="0" t="n">
        <v>0</v>
      </c>
    </row>
    <row r="266" customFormat="false" ht="12.8" hidden="false" customHeight="false" outlineLevel="0" collapsed="false">
      <c r="A266" s="0" t="n">
        <v>798</v>
      </c>
      <c r="B266" s="1" t="n">
        <v>44144.6416666667</v>
      </c>
      <c r="C266" s="0" t="n">
        <v>1</v>
      </c>
      <c r="F266" s="0" t="s">
        <v>60</v>
      </c>
      <c r="G266" s="2" t="n">
        <v>79</v>
      </c>
      <c r="H266" s="2" t="n">
        <v>60</v>
      </c>
      <c r="I266" s="2" t="n">
        <v>52</v>
      </c>
      <c r="J266" s="6" t="s">
        <v>121</v>
      </c>
      <c r="K266" s="2" t="n">
        <v>15</v>
      </c>
      <c r="L266" s="2" t="n">
        <v>0</v>
      </c>
      <c r="M266" s="0" t="s">
        <v>72</v>
      </c>
      <c r="N266" s="0" t="n">
        <v>0</v>
      </c>
      <c r="O266" s="0" t="s">
        <v>136</v>
      </c>
      <c r="P266" s="0" t="s">
        <v>145</v>
      </c>
      <c r="Q266" s="3" t="n">
        <v>4.42</v>
      </c>
      <c r="R266" s="2" t="n">
        <v>1308</v>
      </c>
      <c r="U266" s="3" t="n">
        <f aca="false">70/60</f>
        <v>1.16666666666667</v>
      </c>
      <c r="V266" s="3" t="n">
        <f aca="false">70/60</f>
        <v>1.16666666666667</v>
      </c>
      <c r="W266" s="3" t="n">
        <f aca="false">V266-U266</f>
        <v>0</v>
      </c>
      <c r="X266" s="3" t="n">
        <f aca="false">Q266/U266</f>
        <v>3.78857142857143</v>
      </c>
      <c r="Y266" s="0" t="n">
        <v>1</v>
      </c>
      <c r="Z266" s="3" t="n">
        <f aca="false">Q266/Y266</f>
        <v>4.42</v>
      </c>
      <c r="AA266" s="3" t="n">
        <f aca="false">17+46/60</f>
        <v>17.7666666666667</v>
      </c>
      <c r="AB266" s="2" t="n">
        <v>13</v>
      </c>
      <c r="AC266" s="2" t="n">
        <v>460</v>
      </c>
      <c r="AD266" s="2" t="n">
        <v>120</v>
      </c>
      <c r="AE266" s="0" t="n">
        <v>139</v>
      </c>
      <c r="AF266" s="3" t="n">
        <f aca="false">15+54/60</f>
        <v>15.9</v>
      </c>
      <c r="AG266" s="3" t="n">
        <f aca="false">16+25/60</f>
        <v>16.4166666666667</v>
      </c>
      <c r="AH266" s="3" t="n">
        <f aca="false">16+7/60</f>
        <v>16.1166666666667</v>
      </c>
      <c r="AI266" s="3" t="n">
        <f aca="false">15+20/60</f>
        <v>15.3333333333333</v>
      </c>
      <c r="AJ266" s="3" t="n">
        <f aca="false">60/3.7</f>
        <v>16.2162162162162</v>
      </c>
      <c r="AP266" s="2" t="n">
        <v>0</v>
      </c>
      <c r="AQ266" s="0" t="n">
        <v>0</v>
      </c>
      <c r="AR266" s="0" t="n">
        <v>0</v>
      </c>
      <c r="AS266" s="0" t="n">
        <v>0</v>
      </c>
      <c r="AT266" s="4" t="n">
        <f aca="false">60*U266-SUM(AU266:AY266)</f>
        <v>-0.0033333333333303</v>
      </c>
      <c r="AU266" s="3" t="n">
        <f aca="false">8+30/60</f>
        <v>8.5</v>
      </c>
      <c r="AV266" s="3" t="n">
        <f aca="false">29+26/60</f>
        <v>29.4333333333333</v>
      </c>
      <c r="AW266" s="3" t="n">
        <f aca="false">32.07</f>
        <v>32.07</v>
      </c>
      <c r="AX266" s="3" t="n">
        <v>0</v>
      </c>
      <c r="AY266" s="3" t="n">
        <v>0</v>
      </c>
      <c r="AZ266" s="0" t="s">
        <v>58</v>
      </c>
      <c r="BA266" s="0" t="s">
        <v>59</v>
      </c>
      <c r="BB266" s="0" t="n">
        <v>0</v>
      </c>
    </row>
    <row r="267" customFormat="false" ht="12.8" hidden="false" customHeight="false" outlineLevel="0" collapsed="false">
      <c r="A267" s="0" t="n">
        <v>799</v>
      </c>
      <c r="B267" s="1" t="n">
        <v>44145.5104166667</v>
      </c>
      <c r="C267" s="0" t="n">
        <v>1</v>
      </c>
      <c r="F267" s="0" t="s">
        <v>60</v>
      </c>
      <c r="G267" s="2" t="n">
        <v>72</v>
      </c>
      <c r="H267" s="2" t="n">
        <f aca="false">(36+33)/2</f>
        <v>34.5</v>
      </c>
      <c r="I267" s="2" t="n">
        <f aca="false">(27+24)/2</f>
        <v>25.5</v>
      </c>
      <c r="J267" s="6" t="s">
        <v>146</v>
      </c>
      <c r="K267" s="2" t="n">
        <v>14</v>
      </c>
      <c r="L267" s="2" t="n">
        <v>0</v>
      </c>
      <c r="M267" s="0" t="s">
        <v>72</v>
      </c>
      <c r="N267" s="0" t="n">
        <v>0</v>
      </c>
      <c r="O267" s="0" t="s">
        <v>136</v>
      </c>
      <c r="P267" s="0" t="s">
        <v>139</v>
      </c>
      <c r="Q267" s="3" t="n">
        <v>7.46</v>
      </c>
      <c r="R267" s="2" t="n">
        <v>1334</v>
      </c>
      <c r="S267" s="2" t="n">
        <v>18065</v>
      </c>
      <c r="T267" s="2" t="n">
        <f aca="false">S267-R267</f>
        <v>16731</v>
      </c>
      <c r="U267" s="3" t="n">
        <f aca="false">126/60</f>
        <v>2.1</v>
      </c>
      <c r="V267" s="3" t="n">
        <f aca="false">(120+21)/60</f>
        <v>2.35</v>
      </c>
      <c r="W267" s="3" t="n">
        <f aca="false">V267-U267</f>
        <v>0.25</v>
      </c>
      <c r="X267" s="3" t="n">
        <f aca="false">Q267/U267</f>
        <v>3.55238095238095</v>
      </c>
      <c r="Y267" s="0" t="n">
        <v>1</v>
      </c>
      <c r="Z267" s="3" t="n">
        <f aca="false">Q267/Y267</f>
        <v>7.46</v>
      </c>
      <c r="AA267" s="3" t="n">
        <f aca="false">16+51/60</f>
        <v>16.85</v>
      </c>
      <c r="AB267" s="2" t="n">
        <v>56</v>
      </c>
      <c r="AC267" s="2" t="n">
        <v>795</v>
      </c>
      <c r="AD267" s="2" t="n">
        <v>111</v>
      </c>
      <c r="AE267" s="0" t="n">
        <v>143</v>
      </c>
      <c r="AF267" s="3" t="n">
        <f aca="false">16+39/60</f>
        <v>16.65</v>
      </c>
      <c r="AG267" s="3" t="n">
        <f aca="false">16+25/60</f>
        <v>16.4166666666667</v>
      </c>
      <c r="AH267" s="3" t="n">
        <f aca="false">16+20/60</f>
        <v>16.3333333333333</v>
      </c>
      <c r="AI267" s="3" t="n">
        <f aca="false">18+33/60</f>
        <v>18.55</v>
      </c>
      <c r="AJ267" s="3" t="n">
        <f aca="false">16+18/60</f>
        <v>16.3</v>
      </c>
      <c r="AK267" s="3" t="n">
        <f aca="false">16+2/60</f>
        <v>16.0333333333333</v>
      </c>
      <c r="AL267" s="3" t="n">
        <f aca="false">17+3/60</f>
        <v>17.05</v>
      </c>
      <c r="AM267" s="3" t="n">
        <f aca="false">60/3.3</f>
        <v>18.1818181818182</v>
      </c>
      <c r="AP267" s="2" t="n">
        <v>8</v>
      </c>
      <c r="AQ267" s="0" t="n">
        <v>2</v>
      </c>
      <c r="AR267" s="0" t="n">
        <v>1</v>
      </c>
      <c r="AS267" s="0" t="n">
        <v>0</v>
      </c>
      <c r="AT267" s="4" t="n">
        <f aca="false">60*U267-SUM(AU267:AY267)</f>
        <v>2.90000000000001</v>
      </c>
      <c r="AU267" s="3" t="n">
        <f aca="false">51+21/60</f>
        <v>51.35</v>
      </c>
      <c r="AV267" s="3" t="n">
        <f aca="false">54+2/60</f>
        <v>54.0333333333333</v>
      </c>
      <c r="AW267" s="3" t="n">
        <f aca="false">17+41/60</f>
        <v>17.6833333333333</v>
      </c>
      <c r="AX267" s="3" t="n">
        <f aca="false">2/60</f>
        <v>0.0333333333333333</v>
      </c>
      <c r="AY267" s="3" t="n">
        <v>0</v>
      </c>
      <c r="AZ267" s="0" t="s">
        <v>58</v>
      </c>
      <c r="BA267" s="0" t="s">
        <v>59</v>
      </c>
      <c r="BB267" s="0" t="n">
        <v>0</v>
      </c>
    </row>
    <row r="268" customFormat="false" ht="12.8" hidden="false" customHeight="false" outlineLevel="0" collapsed="false">
      <c r="A268" s="0" t="n">
        <v>800</v>
      </c>
      <c r="B268" s="1" t="n">
        <v>44146.5520833333</v>
      </c>
      <c r="C268" s="0" t="n">
        <v>1</v>
      </c>
      <c r="F268" s="0" t="s">
        <v>60</v>
      </c>
      <c r="G268" s="2" t="n">
        <v>68</v>
      </c>
      <c r="H268" s="2" t="n">
        <v>39</v>
      </c>
      <c r="I268" s="2" t="n">
        <v>35</v>
      </c>
      <c r="J268" s="2" t="s">
        <v>99</v>
      </c>
      <c r="K268" s="2" t="n">
        <v>5</v>
      </c>
      <c r="L268" s="2" t="n">
        <v>0</v>
      </c>
      <c r="M268" s="0" t="s">
        <v>72</v>
      </c>
      <c r="N268" s="0" t="n">
        <v>0</v>
      </c>
      <c r="O268" s="0" t="s">
        <v>136</v>
      </c>
      <c r="P268" s="0" t="s">
        <v>77</v>
      </c>
      <c r="Q268" s="3" t="n">
        <v>4.44</v>
      </c>
      <c r="R268" s="2" t="n">
        <v>1167</v>
      </c>
      <c r="S268" s="2" t="n">
        <v>10898</v>
      </c>
      <c r="T268" s="2" t="n">
        <f aca="false">S268-R268</f>
        <v>9731</v>
      </c>
      <c r="U268" s="3" t="n">
        <f aca="false">75/60</f>
        <v>1.25</v>
      </c>
      <c r="V268" s="3" t="n">
        <f aca="false">U268</f>
        <v>1.25</v>
      </c>
      <c r="W268" s="3" t="n">
        <f aca="false">V268-U268</f>
        <v>0</v>
      </c>
      <c r="X268" s="3" t="n">
        <f aca="false">Q268/U268</f>
        <v>3.552</v>
      </c>
      <c r="Y268" s="0" t="n">
        <v>1</v>
      </c>
      <c r="Z268" s="3" t="n">
        <f aca="false">Q268/Y268</f>
        <v>4.44</v>
      </c>
      <c r="AA268" s="3" t="n">
        <f aca="false">16+55/60</f>
        <v>16.9166666666667</v>
      </c>
      <c r="AB268" s="2" t="n">
        <v>69</v>
      </c>
      <c r="AC268" s="2" t="n">
        <v>464</v>
      </c>
      <c r="AD268" s="2" t="n">
        <v>111</v>
      </c>
      <c r="AE268" s="0" t="n">
        <v>130</v>
      </c>
      <c r="AF268" s="3" t="n">
        <f aca="false">16+37/60</f>
        <v>16.6166666666667</v>
      </c>
      <c r="AG268" s="3" t="n">
        <f aca="false">16+39/60</f>
        <v>16.65</v>
      </c>
      <c r="AH268" s="3" t="n">
        <f aca="false">17+13/60</f>
        <v>17.2166666666667</v>
      </c>
      <c r="AI268" s="3" t="n">
        <f aca="false">17+2/60</f>
        <v>17.0333333333333</v>
      </c>
      <c r="AJ268" s="3" t="n">
        <f aca="false">60/3.5</f>
        <v>17.1428571428571</v>
      </c>
      <c r="AP268" s="2" t="n">
        <v>0</v>
      </c>
      <c r="AQ268" s="0" t="n">
        <v>0</v>
      </c>
      <c r="AR268" s="0" t="n">
        <v>1</v>
      </c>
      <c r="AS268" s="0" t="n">
        <v>0</v>
      </c>
      <c r="AT268" s="4" t="n">
        <f aca="false">60*U268-SUM(AU268:AY268)</f>
        <v>0</v>
      </c>
      <c r="AU268" s="3" t="n">
        <f aca="false">27+14/60</f>
        <v>27.2333333333333</v>
      </c>
      <c r="AV268" s="3" t="n">
        <f aca="false">44+4/60</f>
        <v>44.0666666666667</v>
      </c>
      <c r="AW268" s="3" t="n">
        <f aca="false">3+42/60</f>
        <v>3.7</v>
      </c>
      <c r="AX268" s="3" t="n">
        <v>0</v>
      </c>
      <c r="AY268" s="3" t="n">
        <v>0</v>
      </c>
      <c r="AZ268" s="0" t="s">
        <v>58</v>
      </c>
      <c r="BA268" s="0" t="s">
        <v>59</v>
      </c>
      <c r="BB268" s="0" t="n">
        <v>0</v>
      </c>
    </row>
    <row r="269" customFormat="false" ht="12.8" hidden="false" customHeight="false" outlineLevel="0" collapsed="false">
      <c r="A269" s="0" t="n">
        <v>801</v>
      </c>
      <c r="B269" s="1" t="n">
        <v>44147.5770833333</v>
      </c>
      <c r="C269" s="0" t="n">
        <v>1</v>
      </c>
      <c r="F269" s="6" t="s">
        <v>101</v>
      </c>
      <c r="G269" s="2" t="n">
        <f aca="false">(77+80)/2</f>
        <v>78.5</v>
      </c>
      <c r="H269" s="2" t="n">
        <f aca="false">(57+60)/2</f>
        <v>58.5</v>
      </c>
      <c r="I269" s="2" t="n">
        <v>52</v>
      </c>
      <c r="J269" s="2" t="s">
        <v>94</v>
      </c>
      <c r="K269" s="2" t="n">
        <v>14</v>
      </c>
      <c r="L269" s="2" t="n">
        <v>0</v>
      </c>
      <c r="M269" s="0" t="s">
        <v>72</v>
      </c>
      <c r="N269" s="0" t="n">
        <v>0</v>
      </c>
      <c r="O269" s="0" t="s">
        <v>136</v>
      </c>
      <c r="P269" s="0" t="s">
        <v>81</v>
      </c>
      <c r="Q269" s="3" t="n">
        <v>8.09</v>
      </c>
      <c r="R269" s="2" t="n">
        <v>694</v>
      </c>
      <c r="S269" s="2" t="n">
        <v>17715</v>
      </c>
      <c r="T269" s="2" t="n">
        <f aca="false">S269-R269</f>
        <v>17021</v>
      </c>
      <c r="U269" s="3" t="n">
        <f aca="false">(120+18)/60</f>
        <v>2.3</v>
      </c>
      <c r="V269" s="3" t="n">
        <f aca="false">(120+29)/60</f>
        <v>2.48333333333333</v>
      </c>
      <c r="W269" s="3" t="n">
        <f aca="false">V269-U269</f>
        <v>0.183333333333334</v>
      </c>
      <c r="X269" s="3" t="n">
        <f aca="false">Q269/U269</f>
        <v>3.51739130434783</v>
      </c>
      <c r="Y269" s="0" t="n">
        <v>1</v>
      </c>
      <c r="Z269" s="3" t="n">
        <f aca="false">Q269/Y269</f>
        <v>8.09</v>
      </c>
      <c r="AA269" s="3" t="n">
        <f aca="false">17+2/60</f>
        <v>17.0333333333333</v>
      </c>
      <c r="AB269" s="2" t="n">
        <v>125</v>
      </c>
      <c r="AC269" s="2" t="n">
        <v>843</v>
      </c>
      <c r="AD269" s="2" t="n">
        <v>114</v>
      </c>
      <c r="AE269" s="0" t="n">
        <v>142</v>
      </c>
      <c r="AF269" s="3" t="n">
        <f aca="false">16+6/60</f>
        <v>16.1</v>
      </c>
      <c r="AG269" s="3" t="n">
        <f aca="false">16+43/60</f>
        <v>16.7166666666667</v>
      </c>
      <c r="AH269" s="3" t="n">
        <f aca="false">16+48/60</f>
        <v>16.8</v>
      </c>
      <c r="AI269" s="3" t="n">
        <f aca="false">17+9/60</f>
        <v>17.15</v>
      </c>
      <c r="AJ269" s="3" t="n">
        <f aca="false">17+27/60</f>
        <v>17.45</v>
      </c>
      <c r="AK269" s="3" t="n">
        <f aca="false">17+19/60</f>
        <v>17.3166666666667</v>
      </c>
      <c r="AL269" s="3" t="n">
        <f aca="false">17+44.2/60</f>
        <v>17.7366666666667</v>
      </c>
      <c r="AM269" s="3" t="n">
        <f aca="false">16+55/60</f>
        <v>16.9166666666667</v>
      </c>
      <c r="AN269" s="3" t="n">
        <v>0</v>
      </c>
      <c r="AP269" s="2" t="n">
        <v>2</v>
      </c>
      <c r="AQ269" s="0" t="n">
        <v>3</v>
      </c>
      <c r="AR269" s="0" t="n">
        <v>0</v>
      </c>
      <c r="AS269" s="0" t="n">
        <v>0</v>
      </c>
      <c r="AT269" s="4" t="n">
        <f aca="false">60*U269-SUM(AU269:AY269)</f>
        <v>22.6833333333333</v>
      </c>
      <c r="AU269" s="3" t="n">
        <f aca="false">33+3/60</f>
        <v>33.05</v>
      </c>
      <c r="AV269" s="3" t="n">
        <f aca="false">15+32/60</f>
        <v>15.5333333333333</v>
      </c>
      <c r="AW269" s="3" t="n">
        <f aca="false">66+44/60</f>
        <v>66.7333333333333</v>
      </c>
      <c r="AX269" s="3" t="n">
        <v>0</v>
      </c>
      <c r="AY269" s="3" t="n">
        <v>0</v>
      </c>
      <c r="AZ269" s="0" t="s">
        <v>58</v>
      </c>
      <c r="BA269" s="0" t="s">
        <v>59</v>
      </c>
      <c r="BB269" s="0" t="n">
        <v>0</v>
      </c>
    </row>
    <row r="270" customFormat="false" ht="14.7" hidden="false" customHeight="true" outlineLevel="0" collapsed="false">
      <c r="A270" s="0" t="n">
        <v>802</v>
      </c>
      <c r="B270" s="1" t="n">
        <v>44148.5597222222</v>
      </c>
      <c r="C270" s="0" t="n">
        <v>1</v>
      </c>
      <c r="F270" s="6" t="s">
        <v>84</v>
      </c>
      <c r="G270" s="2" t="n">
        <v>73</v>
      </c>
      <c r="H270" s="2" t="n">
        <v>54</v>
      </c>
      <c r="I270" s="2" t="n">
        <v>51</v>
      </c>
      <c r="J270" s="6" t="s">
        <v>103</v>
      </c>
      <c r="K270" s="2" t="n">
        <v>0</v>
      </c>
      <c r="L270" s="2" t="n">
        <v>0</v>
      </c>
      <c r="M270" s="0" t="s">
        <v>72</v>
      </c>
      <c r="N270" s="0" t="n">
        <v>0</v>
      </c>
      <c r="O270" s="0" t="s">
        <v>136</v>
      </c>
      <c r="P270" s="0" t="s">
        <v>86</v>
      </c>
      <c r="Q270" s="3" t="n">
        <v>6.32</v>
      </c>
      <c r="R270" s="2" t="n">
        <v>1227</v>
      </c>
      <c r="S270" s="2" t="n">
        <v>14784</v>
      </c>
      <c r="T270" s="2" t="n">
        <f aca="false">S270-R270</f>
        <v>13557</v>
      </c>
      <c r="U270" s="3" t="n">
        <f aca="false">(60+47)/60</f>
        <v>1.78333333333333</v>
      </c>
      <c r="V270" s="3" t="n">
        <f aca="false">(60+58)/60</f>
        <v>1.96666666666667</v>
      </c>
      <c r="W270" s="3" t="n">
        <f aca="false">V270-U270</f>
        <v>0.183333333333333</v>
      </c>
      <c r="X270" s="3" t="n">
        <f aca="false">Q270/U270</f>
        <v>3.54392523364486</v>
      </c>
      <c r="Y270" s="0" t="n">
        <v>1</v>
      </c>
      <c r="Z270" s="3" t="n">
        <f aca="false">Q270/Y270</f>
        <v>6.32</v>
      </c>
      <c r="AA270" s="3" t="n">
        <f aca="false">16+49/60</f>
        <v>16.8166666666667</v>
      </c>
      <c r="AB270" s="2" t="n">
        <v>49</v>
      </c>
      <c r="AC270" s="2" t="n">
        <v>625</v>
      </c>
      <c r="AD270" s="2" t="n">
        <v>108</v>
      </c>
      <c r="AE270" s="0" t="n">
        <v>132</v>
      </c>
      <c r="AF270" s="3" t="n">
        <f aca="false">16+24/60</f>
        <v>16.4</v>
      </c>
      <c r="AG270" s="3" t="n">
        <f aca="false">16+59/60</f>
        <v>16.9833333333333</v>
      </c>
      <c r="AH270" s="3" t="n">
        <f aca="false">16+41/60</f>
        <v>16.6833333333333</v>
      </c>
      <c r="AI270" s="3" t="n">
        <f aca="false">17+53/60</f>
        <v>17.8833333333333</v>
      </c>
      <c r="AJ270" s="3" t="n">
        <f aca="false">16+37/60</f>
        <v>16.6166666666667</v>
      </c>
      <c r="AK270" s="3" t="n">
        <f aca="false">16+19/60</f>
        <v>16.3166666666667</v>
      </c>
      <c r="AL270" s="3" t="n">
        <f aca="false">60/3.6</f>
        <v>16.6666666666667</v>
      </c>
      <c r="AP270" s="2" t="n">
        <v>0</v>
      </c>
      <c r="AQ270" s="0" t="n">
        <v>0</v>
      </c>
      <c r="AR270" s="0" t="n">
        <v>0</v>
      </c>
      <c r="AS270" s="0" t="n">
        <v>0</v>
      </c>
      <c r="AT270" s="4" t="n">
        <f aca="false">60*U270-SUM(AU270:AY270)</f>
        <v>18.4833333333331</v>
      </c>
      <c r="AU270" s="3" t="n">
        <f aca="false">15+10/60</f>
        <v>15.1666666666667</v>
      </c>
      <c r="AV270" s="3" t="n">
        <f aca="false">65+27/60</f>
        <v>65.45</v>
      </c>
      <c r="AW270" s="3" t="n">
        <f aca="false">7+54/60</f>
        <v>7.9</v>
      </c>
      <c r="AX270" s="3" t="n">
        <v>0</v>
      </c>
      <c r="AY270" s="3" t="n">
        <v>0</v>
      </c>
      <c r="AZ270" s="0" t="s">
        <v>58</v>
      </c>
      <c r="BA270" s="0" t="s">
        <v>59</v>
      </c>
      <c r="BB270" s="0" t="n">
        <v>0</v>
      </c>
    </row>
    <row r="271" customFormat="false" ht="12.8" hidden="false" customHeight="false" outlineLevel="0" collapsed="false">
      <c r="A271" s="0" t="n">
        <v>803</v>
      </c>
      <c r="B271" s="1" t="n">
        <v>44149.5368055556</v>
      </c>
      <c r="C271" s="0" t="n">
        <v>0</v>
      </c>
      <c r="D271" s="0" t="s">
        <v>143</v>
      </c>
      <c r="F271" s="6" t="s">
        <v>70</v>
      </c>
      <c r="G271" s="2" t="n">
        <v>83</v>
      </c>
      <c r="H271" s="2" t="n">
        <v>65</v>
      </c>
      <c r="I271" s="2" t="n">
        <v>54</v>
      </c>
      <c r="J271" s="2" t="s">
        <v>117</v>
      </c>
      <c r="K271" s="2" t="n">
        <v>24</v>
      </c>
      <c r="L271" s="2" t="n">
        <v>38</v>
      </c>
      <c r="M271" s="0" t="s">
        <v>72</v>
      </c>
    </row>
    <row r="272" customFormat="false" ht="12.8" hidden="false" customHeight="false" outlineLevel="0" collapsed="false">
      <c r="A272" s="0" t="n">
        <v>804</v>
      </c>
      <c r="B272" s="1" t="n">
        <v>44150.55</v>
      </c>
      <c r="C272" s="12" t="n">
        <v>1</v>
      </c>
      <c r="F272" s="6" t="s">
        <v>126</v>
      </c>
      <c r="G272" s="2" t="n">
        <v>65</v>
      </c>
      <c r="H272" s="2" t="n">
        <v>19</v>
      </c>
      <c r="I272" s="2" t="n">
        <v>17</v>
      </c>
      <c r="J272" s="2" t="s">
        <v>107</v>
      </c>
      <c r="K272" s="2" t="n">
        <v>15</v>
      </c>
      <c r="L272" s="2" t="n">
        <v>21</v>
      </c>
      <c r="M272" s="0" t="s">
        <v>72</v>
      </c>
      <c r="N272" s="0" t="n">
        <v>0</v>
      </c>
      <c r="O272" s="0" t="s">
        <v>136</v>
      </c>
      <c r="P272" s="0" t="s">
        <v>61</v>
      </c>
      <c r="Q272" s="3" t="n">
        <v>4.67</v>
      </c>
      <c r="R272" s="2" t="n">
        <v>1667</v>
      </c>
      <c r="S272" s="2" t="n">
        <v>10898</v>
      </c>
      <c r="T272" s="2" t="n">
        <f aca="false">S272-R272</f>
        <v>9231</v>
      </c>
      <c r="U272" s="3" t="n">
        <f aca="false">72/60</f>
        <v>1.2</v>
      </c>
      <c r="V272" s="3" t="n">
        <f aca="false">73/60</f>
        <v>1.21666666666667</v>
      </c>
      <c r="W272" s="3" t="n">
        <f aca="false">V272-U272</f>
        <v>0.0166666666666666</v>
      </c>
      <c r="X272" s="3" t="n">
        <f aca="false">Q272/U272</f>
        <v>3.89166666666667</v>
      </c>
      <c r="Y272" s="0" t="n">
        <v>1</v>
      </c>
      <c r="Z272" s="3" t="n">
        <f aca="false">Q272/Y272</f>
        <v>4.67</v>
      </c>
      <c r="AA272" s="3" t="n">
        <f aca="false">15+29/60</f>
        <v>15.4833333333333</v>
      </c>
      <c r="AB272" s="2" t="n">
        <v>105</v>
      </c>
      <c r="AC272" s="2" t="n">
        <v>497</v>
      </c>
      <c r="AD272" s="2" t="n">
        <v>90</v>
      </c>
      <c r="AE272" s="0" t="n">
        <v>110</v>
      </c>
      <c r="AF272" s="3" t="n">
        <f aca="false">15+20/60</f>
        <v>15.3333333333333</v>
      </c>
      <c r="AG272" s="3" t="n">
        <f aca="false">15+34/60</f>
        <v>15.5666666666667</v>
      </c>
      <c r="AH272" s="3" t="n">
        <f aca="false">15+18/60</f>
        <v>15.3</v>
      </c>
      <c r="AI272" s="3" t="n">
        <f aca="false">15+18/60</f>
        <v>15.3</v>
      </c>
      <c r="AJ272" s="0"/>
      <c r="AP272" s="2" t="n">
        <v>0</v>
      </c>
      <c r="AQ272" s="0" t="n">
        <v>0</v>
      </c>
      <c r="AR272" s="0" t="n">
        <v>0</v>
      </c>
      <c r="AS272" s="0" t="n">
        <v>0</v>
      </c>
      <c r="AT272" s="4" t="n">
        <f aca="false">60*U272-SUM(AU272:AY272)</f>
        <v>47.45</v>
      </c>
      <c r="AU272" s="3" t="n">
        <f aca="false">23+13/60</f>
        <v>23.2166666666667</v>
      </c>
      <c r="AV272" s="3" t="n">
        <f aca="false">1+20/60</f>
        <v>1.33333333333333</v>
      </c>
      <c r="AW272" s="3" t="n">
        <v>0</v>
      </c>
      <c r="AX272" s="3" t="n">
        <v>0</v>
      </c>
      <c r="AY272" s="3" t="n">
        <v>0</v>
      </c>
      <c r="AZ272" s="0" t="s">
        <v>58</v>
      </c>
      <c r="BA272" s="0" t="s">
        <v>59</v>
      </c>
      <c r="BB272" s="0" t="n">
        <v>0</v>
      </c>
    </row>
    <row r="273" customFormat="false" ht="12.8" hidden="false" customHeight="false" outlineLevel="0" collapsed="false">
      <c r="A273" s="0" t="n">
        <v>805</v>
      </c>
      <c r="B273" s="1" t="n">
        <v>44151.5791666667</v>
      </c>
      <c r="C273" s="0" t="n">
        <v>1</v>
      </c>
      <c r="F273" s="6" t="s">
        <v>126</v>
      </c>
      <c r="G273" s="2" t="n">
        <v>68</v>
      </c>
      <c r="H273" s="2" t="n">
        <v>25</v>
      </c>
      <c r="I273" s="2" t="n">
        <f aca="false">(21+18)/2</f>
        <v>19.5</v>
      </c>
      <c r="J273" s="2" t="s">
        <v>130</v>
      </c>
      <c r="K273" s="2" t="n">
        <v>0</v>
      </c>
      <c r="L273" s="2" t="n">
        <v>7</v>
      </c>
      <c r="M273" s="0" t="s">
        <v>72</v>
      </c>
      <c r="N273" s="0" t="n">
        <v>0</v>
      </c>
      <c r="O273" s="0" t="s">
        <v>136</v>
      </c>
      <c r="P273" s="0" t="s">
        <v>95</v>
      </c>
      <c r="Q273" s="3" t="n">
        <v>6.64</v>
      </c>
      <c r="R273" s="2" t="n">
        <v>1659</v>
      </c>
      <c r="S273" s="2" t="n">
        <v>17058</v>
      </c>
      <c r="T273" s="2" t="n">
        <f aca="false">S273-R273</f>
        <v>15399</v>
      </c>
      <c r="U273" s="3" t="n">
        <f aca="false">(60+52)/60</f>
        <v>1.86666666666667</v>
      </c>
      <c r="V273" s="3" t="n">
        <f aca="false">(60+56)/60</f>
        <v>1.93333333333333</v>
      </c>
      <c r="W273" s="3" t="n">
        <f aca="false">V273-U273</f>
        <v>0.0666666666666667</v>
      </c>
      <c r="X273" s="3" t="n">
        <f aca="false">Q273/U273</f>
        <v>3.55714285714286</v>
      </c>
      <c r="Y273" s="0" t="n">
        <v>1</v>
      </c>
      <c r="Z273" s="3" t="n">
        <f aca="false">Q273/Y273</f>
        <v>6.64</v>
      </c>
      <c r="AA273" s="3" t="n">
        <f aca="false">16+50/60</f>
        <v>16.8333333333333</v>
      </c>
      <c r="AB273" s="2" t="n">
        <v>180</v>
      </c>
      <c r="AC273" s="2" t="n">
        <v>701</v>
      </c>
      <c r="AD273" s="2" t="n">
        <v>95</v>
      </c>
      <c r="AE273" s="0" t="n">
        <v>133</v>
      </c>
      <c r="AF273" s="3" t="n">
        <f aca="false">16+15/60</f>
        <v>16.25</v>
      </c>
      <c r="AG273" s="3" t="n">
        <f aca="false">16+14/60</f>
        <v>16.2333333333333</v>
      </c>
      <c r="AH273" s="3" t="n">
        <f aca="false">17+12/60</f>
        <v>17.2</v>
      </c>
      <c r="AI273" s="3" t="n">
        <f aca="false">17+40/60</f>
        <v>17.6666666666667</v>
      </c>
      <c r="AJ273" s="3" t="n">
        <f aca="false">17+8/60</f>
        <v>17.1333333333333</v>
      </c>
      <c r="AK273" s="3" t="n">
        <f aca="false">16+27/60</f>
        <v>16.45</v>
      </c>
      <c r="AL273" s="3" t="n">
        <f aca="false">60/3.6</f>
        <v>16.6666666666667</v>
      </c>
      <c r="AP273" s="2" t="n">
        <v>2</v>
      </c>
      <c r="AQ273" s="0" t="n">
        <v>1</v>
      </c>
      <c r="AR273" s="0" t="n">
        <v>1</v>
      </c>
      <c r="AS273" s="0" t="n">
        <v>0</v>
      </c>
      <c r="AT273" s="4" t="n">
        <f aca="false">60*U273-SUM(AU273:AY273)</f>
        <v>58.55</v>
      </c>
      <c r="AU273" s="3" t="n">
        <f aca="false">28+31/60</f>
        <v>28.5166666666667</v>
      </c>
      <c r="AV273" s="3" t="n">
        <f aca="false">18+53/60</f>
        <v>18.8833333333333</v>
      </c>
      <c r="AW273" s="3" t="n">
        <f aca="false">6+3/60</f>
        <v>6.05</v>
      </c>
      <c r="AX273" s="3" t="n">
        <v>0</v>
      </c>
      <c r="AY273" s="3" t="n">
        <v>0</v>
      </c>
      <c r="AZ273" s="0" t="s">
        <v>58</v>
      </c>
      <c r="BA273" s="0" t="s">
        <v>59</v>
      </c>
      <c r="BB273" s="0" t="n">
        <v>0</v>
      </c>
    </row>
    <row r="274" customFormat="false" ht="12.8" hidden="false" customHeight="false" outlineLevel="0" collapsed="false">
      <c r="A274" s="0" t="n">
        <v>806</v>
      </c>
      <c r="B274" s="1" t="n">
        <v>44152.6243055556</v>
      </c>
      <c r="C274" s="0" t="n">
        <v>1</v>
      </c>
      <c r="F274" s="6" t="s">
        <v>70</v>
      </c>
      <c r="G274" s="2" t="n">
        <v>77</v>
      </c>
      <c r="H274" s="2" t="n">
        <v>61</v>
      </c>
      <c r="I274" s="2" t="n">
        <v>58</v>
      </c>
      <c r="J274" s="2" t="s">
        <v>94</v>
      </c>
      <c r="K274" s="2" t="n">
        <v>14</v>
      </c>
      <c r="L274" s="2" t="n">
        <v>0</v>
      </c>
      <c r="M274" s="0" t="s">
        <v>72</v>
      </c>
      <c r="N274" s="0" t="n">
        <v>0</v>
      </c>
      <c r="O274" s="0" t="s">
        <v>136</v>
      </c>
      <c r="P274" s="0" t="s">
        <v>145</v>
      </c>
      <c r="Q274" s="3" t="n">
        <v>4.4</v>
      </c>
      <c r="R274" s="2" t="n">
        <v>1181</v>
      </c>
      <c r="S274" s="2" t="n">
        <v>10436</v>
      </c>
      <c r="T274" s="2" t="n">
        <f aca="false">S274-R274</f>
        <v>9255</v>
      </c>
      <c r="U274" s="3" t="n">
        <f aca="false">71/60</f>
        <v>1.18333333333333</v>
      </c>
      <c r="V274" s="3" t="n">
        <f aca="false">87/60</f>
        <v>1.45</v>
      </c>
      <c r="W274" s="3" t="n">
        <f aca="false">V274-U274</f>
        <v>0.266666666666667</v>
      </c>
      <c r="X274" s="3" t="n">
        <f aca="false">Q274/U274</f>
        <v>3.71830985915493</v>
      </c>
      <c r="Y274" s="0" t="n">
        <v>1</v>
      </c>
      <c r="Z274" s="3" t="n">
        <f aca="false">Q274/Y274</f>
        <v>4.4</v>
      </c>
      <c r="AA274" s="3" t="n">
        <f aca="false">16+3/60</f>
        <v>16.05</v>
      </c>
      <c r="AB274" s="2" t="n">
        <v>26</v>
      </c>
      <c r="AC274" s="2" t="n">
        <v>468</v>
      </c>
      <c r="AD274" s="2" t="n">
        <v>116</v>
      </c>
      <c r="AE274" s="0" t="n">
        <v>136</v>
      </c>
      <c r="AF274" s="3" t="n">
        <f aca="false">15+54/60</f>
        <v>15.9</v>
      </c>
      <c r="AG274" s="3" t="n">
        <f aca="false">16+7/60</f>
        <v>16.1166666666667</v>
      </c>
      <c r="AH274" s="3" t="n">
        <f aca="false">16+20/60</f>
        <v>16.3333333333333</v>
      </c>
      <c r="AI274" s="3" t="n">
        <f aca="false">15+28/60</f>
        <v>15.4666666666667</v>
      </c>
      <c r="AJ274" s="3" t="n">
        <f aca="false">60/3.5</f>
        <v>17.1428571428571</v>
      </c>
      <c r="AP274" s="2" t="n">
        <v>0</v>
      </c>
      <c r="AQ274" s="0" t="n">
        <v>3</v>
      </c>
      <c r="AR274" s="0" t="n">
        <v>0</v>
      </c>
      <c r="AS274" s="0" t="n">
        <v>0</v>
      </c>
      <c r="AT274" s="4" t="n">
        <f aca="false">60*U274-SUM(AU274:AY274)</f>
        <v>1.96666666666667</v>
      </c>
      <c r="AU274" s="3" t="n">
        <f aca="false">7+5/60</f>
        <v>7.08333333333333</v>
      </c>
      <c r="AV274" s="3" t="n">
        <v>49</v>
      </c>
      <c r="AW274" s="3" t="n">
        <f aca="false">12+57/60</f>
        <v>12.95</v>
      </c>
      <c r="AX274" s="3" t="n">
        <v>0</v>
      </c>
      <c r="AY274" s="3" t="n">
        <v>0</v>
      </c>
      <c r="AZ274" s="0" t="s">
        <v>58</v>
      </c>
      <c r="BA274" s="0" t="s">
        <v>59</v>
      </c>
      <c r="BB274" s="0" t="n">
        <v>0</v>
      </c>
    </row>
    <row r="275" customFormat="false" ht="12.8" hidden="false" customHeight="false" outlineLevel="0" collapsed="false">
      <c r="A275" s="0" t="n">
        <v>807</v>
      </c>
      <c r="B275" s="1" t="n">
        <v>44153.4944444444</v>
      </c>
      <c r="C275" s="0" t="n">
        <v>1</v>
      </c>
      <c r="F275" s="6" t="s">
        <v>126</v>
      </c>
      <c r="G275" s="2" t="n">
        <v>69</v>
      </c>
      <c r="H275" s="2" t="n">
        <v>37</v>
      </c>
      <c r="I275" s="2" t="n">
        <v>31</v>
      </c>
      <c r="J275" s="2" t="s">
        <v>94</v>
      </c>
      <c r="K275" s="2" t="n">
        <v>14</v>
      </c>
      <c r="L275" s="2" t="n">
        <v>0</v>
      </c>
      <c r="M275" s="0" t="s">
        <v>72</v>
      </c>
      <c r="N275" s="0" t="n">
        <v>0</v>
      </c>
      <c r="O275" s="0" t="s">
        <v>136</v>
      </c>
      <c r="P275" s="0" t="s">
        <v>139</v>
      </c>
      <c r="Q275" s="3" t="n">
        <v>5.66</v>
      </c>
      <c r="U275" s="3" t="n">
        <f aca="false">96/60</f>
        <v>1.6</v>
      </c>
      <c r="V275" s="3" t="n">
        <f aca="false">(60+52)/60</f>
        <v>1.86666666666667</v>
      </c>
      <c r="W275" s="3" t="n">
        <f aca="false">V275-U275</f>
        <v>0.266666666666667</v>
      </c>
      <c r="X275" s="3" t="n">
        <f aca="false">Q275/U275</f>
        <v>3.5375</v>
      </c>
      <c r="Y275" s="0" t="n">
        <v>1</v>
      </c>
      <c r="Z275" s="3" t="n">
        <f aca="false">Q275/Y275</f>
        <v>5.66</v>
      </c>
      <c r="AA275" s="3" t="n">
        <f aca="false">16+46/60</f>
        <v>16.7666666666667</v>
      </c>
      <c r="AB275" s="2" t="n">
        <v>62</v>
      </c>
      <c r="AC275" s="2" t="n">
        <v>622</v>
      </c>
      <c r="AD275" s="2" t="n">
        <v>126</v>
      </c>
      <c r="AE275" s="0" t="n">
        <v>151</v>
      </c>
      <c r="AF275" s="3" t="n">
        <f aca="false">16+49/60</f>
        <v>16.8166666666667</v>
      </c>
      <c r="AG275" s="3" t="n">
        <f aca="false">15+46/60</f>
        <v>15.7666666666667</v>
      </c>
      <c r="AH275" s="3" t="n">
        <v>17</v>
      </c>
      <c r="AI275" s="3" t="n">
        <f aca="false">16+53/60</f>
        <v>16.8833333333333</v>
      </c>
      <c r="AJ275" s="3" t="n">
        <f aca="false">16+24/60</f>
        <v>16.4</v>
      </c>
      <c r="AK275" s="3" t="n">
        <f aca="false">60/3.3</f>
        <v>18.1818181818182</v>
      </c>
      <c r="AP275" s="2" t="n">
        <v>6</v>
      </c>
      <c r="AQ275" s="0" t="n">
        <v>0</v>
      </c>
      <c r="AR275" s="0" t="n">
        <v>0</v>
      </c>
      <c r="AS275" s="0" t="n">
        <v>0</v>
      </c>
      <c r="AT275" s="4" t="n">
        <f aca="false">60*U275-SUM(AU275:AY275)</f>
        <v>3.96666666666667</v>
      </c>
      <c r="AU275" s="3" t="n">
        <f aca="false">12+5/60</f>
        <v>12.0833333333333</v>
      </c>
      <c r="AV275" s="3" t="n">
        <f aca="false">17+19/60</f>
        <v>17.3166666666667</v>
      </c>
      <c r="AW275" s="3" t="n">
        <f aca="false">53+10/60</f>
        <v>53.1666666666667</v>
      </c>
      <c r="AX275" s="3" t="n">
        <f aca="false">9+28/60</f>
        <v>9.46666666666667</v>
      </c>
      <c r="AY275" s="3" t="n">
        <v>0</v>
      </c>
      <c r="AZ275" s="0" t="s">
        <v>58</v>
      </c>
      <c r="BA275" s="0" t="s">
        <v>59</v>
      </c>
      <c r="BB275" s="0" t="n">
        <v>0</v>
      </c>
    </row>
    <row r="276" customFormat="false" ht="12.8" hidden="false" customHeight="false" outlineLevel="0" collapsed="false">
      <c r="A276" s="0" t="n">
        <v>808</v>
      </c>
      <c r="B276" s="1" t="n">
        <v>44154.5083333333</v>
      </c>
      <c r="C276" s="0" t="n">
        <v>1</v>
      </c>
      <c r="F276" s="6" t="s">
        <v>101</v>
      </c>
      <c r="G276" s="2" t="n">
        <v>69</v>
      </c>
      <c r="H276" s="2" t="n">
        <v>58</v>
      </c>
      <c r="I276" s="2" t="n">
        <v>68</v>
      </c>
      <c r="J276" s="2" t="s">
        <v>94</v>
      </c>
      <c r="K276" s="2" t="n">
        <v>23</v>
      </c>
      <c r="L276" s="2" t="n">
        <v>30</v>
      </c>
      <c r="M276" s="0" t="s">
        <v>72</v>
      </c>
      <c r="N276" s="0" t="n">
        <v>0</v>
      </c>
      <c r="O276" s="0" t="s">
        <v>136</v>
      </c>
      <c r="P276" s="6" t="s">
        <v>80</v>
      </c>
      <c r="Q276" s="3" t="n">
        <v>4.11</v>
      </c>
      <c r="R276" s="2" t="n">
        <v>1093</v>
      </c>
      <c r="S276" s="2" t="n">
        <v>10235</v>
      </c>
      <c r="T276" s="2" t="n">
        <f aca="false">S276-R276</f>
        <v>9142</v>
      </c>
      <c r="U276" s="3" t="n">
        <f aca="false">75/60</f>
        <v>1.25</v>
      </c>
      <c r="V276" s="3" t="n">
        <f aca="false">(60+23)/60</f>
        <v>1.38333333333333</v>
      </c>
      <c r="W276" s="3" t="n">
        <f aca="false">V276-U276</f>
        <v>0.133333333333333</v>
      </c>
      <c r="X276" s="3" t="n">
        <f aca="false">Q276/U276</f>
        <v>3.288</v>
      </c>
      <c r="Y276" s="0" t="n">
        <v>1</v>
      </c>
      <c r="Z276" s="3" t="n">
        <f aca="false">Q276/Y276</f>
        <v>4.11</v>
      </c>
      <c r="AA276" s="3" t="n">
        <f aca="false">17+51/60</f>
        <v>17.85</v>
      </c>
      <c r="AB276" s="2" t="n">
        <v>246</v>
      </c>
      <c r="AC276" s="2" t="n">
        <v>476</v>
      </c>
      <c r="AD276" s="2" t="n">
        <v>130</v>
      </c>
      <c r="AE276" s="0" t="n">
        <v>149</v>
      </c>
      <c r="AF276" s="3" t="n">
        <f aca="false">16+23/60</f>
        <v>16.3833333333333</v>
      </c>
      <c r="AG276" s="3" t="n">
        <f aca="false">18+15/60</f>
        <v>18.25</v>
      </c>
      <c r="AH276" s="3" t="n">
        <f aca="false">17+26/60</f>
        <v>17.4333333333333</v>
      </c>
      <c r="AI276" s="3" t="n">
        <f aca="false">19+30/60</f>
        <v>19.5</v>
      </c>
      <c r="AJ276" s="3" t="n">
        <f aca="false">60/3.1</f>
        <v>19.3548387096774</v>
      </c>
      <c r="AP276" s="2" t="n">
        <v>3</v>
      </c>
      <c r="AQ276" s="0" t="n">
        <v>3</v>
      </c>
      <c r="AR276" s="0" t="n">
        <v>0</v>
      </c>
      <c r="AS276" s="0" t="n">
        <v>0</v>
      </c>
      <c r="AT276" s="4" t="n">
        <f aca="false">60*U276-SUM(AU276:AY276)</f>
        <v>0.233333333333334</v>
      </c>
      <c r="AU276" s="3" t="n">
        <f aca="false">1+29/60</f>
        <v>1.48333333333333</v>
      </c>
      <c r="AV276" s="3" t="n">
        <f aca="false">15+24/60</f>
        <v>15.4</v>
      </c>
      <c r="AW276" s="3" t="n">
        <f aca="false">54+5/60</f>
        <v>54.0833333333333</v>
      </c>
      <c r="AX276" s="3" t="n">
        <f aca="false">3+48/60</f>
        <v>3.8</v>
      </c>
      <c r="AY276" s="3" t="n">
        <v>0</v>
      </c>
      <c r="AZ276" s="0" t="s">
        <v>58</v>
      </c>
      <c r="BA276" s="0" t="s">
        <v>59</v>
      </c>
      <c r="BB276" s="0" t="n">
        <v>0</v>
      </c>
    </row>
    <row r="277" customFormat="false" ht="12.8" hidden="false" customHeight="false" outlineLevel="0" collapsed="false">
      <c r="A277" s="0" t="n">
        <v>809</v>
      </c>
      <c r="B277" s="1" t="n">
        <v>44155.5277777778</v>
      </c>
      <c r="C277" s="0" t="n">
        <v>1</v>
      </c>
      <c r="E277" s="6" t="s">
        <v>147</v>
      </c>
      <c r="F277" s="6" t="s">
        <v>70</v>
      </c>
      <c r="G277" s="2" t="n">
        <v>70</v>
      </c>
      <c r="H277" s="2" t="n">
        <v>60</v>
      </c>
      <c r="I277" s="2" t="n">
        <v>71</v>
      </c>
      <c r="J277" s="2" t="s">
        <v>94</v>
      </c>
      <c r="K277" s="2" t="n">
        <v>8</v>
      </c>
      <c r="L277" s="2" t="n">
        <v>18</v>
      </c>
      <c r="M277" s="0" t="s">
        <v>72</v>
      </c>
      <c r="N277" s="0" t="n">
        <v>1</v>
      </c>
      <c r="O277" s="0" t="s">
        <v>136</v>
      </c>
      <c r="P277" s="0" t="s">
        <v>86</v>
      </c>
      <c r="Q277" s="3" t="n">
        <v>6.29</v>
      </c>
      <c r="S277" s="0"/>
      <c r="T277" s="2" t="n">
        <f aca="false">(13392+13353+14484)/3</f>
        <v>13743</v>
      </c>
      <c r="U277" s="3" t="n">
        <f aca="false">(60+48)/60</f>
        <v>1.8</v>
      </c>
      <c r="V277" s="3" t="n">
        <f aca="false">(60+56)/60</f>
        <v>1.93333333333333</v>
      </c>
      <c r="W277" s="3" t="n">
        <f aca="false">V277-U277</f>
        <v>0.133333333333333</v>
      </c>
      <c r="X277" s="3" t="n">
        <f aca="false">Q277/U277</f>
        <v>3.49444444444444</v>
      </c>
      <c r="Y277" s="0" t="n">
        <v>1</v>
      </c>
      <c r="Z277" s="3" t="n">
        <f aca="false">Q277/Y277</f>
        <v>6.29</v>
      </c>
      <c r="AA277" s="3" t="n">
        <f aca="false">17+5/60</f>
        <v>17.0833333333333</v>
      </c>
      <c r="AB277" s="2" t="n">
        <v>128</v>
      </c>
      <c r="AC277" s="2" t="n">
        <v>657</v>
      </c>
      <c r="AD277" s="2" t="n">
        <v>106</v>
      </c>
      <c r="AE277" s="0" t="n">
        <v>130</v>
      </c>
      <c r="AF277" s="3" t="n">
        <f aca="false">16+55/60</f>
        <v>16.9166666666667</v>
      </c>
      <c r="AG277" s="3" t="n">
        <f aca="false">17+17/60</f>
        <v>17.2833333333333</v>
      </c>
      <c r="AH277" s="3" t="n">
        <f aca="false">16+54/60</f>
        <v>16.9</v>
      </c>
      <c r="AI277" s="3" t="n">
        <f aca="false">17+59/60</f>
        <v>17.9833333333333</v>
      </c>
      <c r="AJ277" s="3" t="n">
        <f aca="false">16+41/60</f>
        <v>16.6833333333333</v>
      </c>
      <c r="AK277" s="3" t="n">
        <f aca="false">16+47/60</f>
        <v>16.7833333333333</v>
      </c>
      <c r="AL277" s="3" t="n">
        <f aca="false">60/3.5</f>
        <v>17.1428571428571</v>
      </c>
      <c r="AP277" s="2" t="n">
        <v>0</v>
      </c>
      <c r="AQ277" s="0" t="n">
        <v>2</v>
      </c>
      <c r="AR277" s="0" t="n">
        <v>0</v>
      </c>
      <c r="AS277" s="0" t="n">
        <v>0</v>
      </c>
      <c r="AT277" s="4" t="n">
        <f aca="false">60*U277-SUM(AU277:AY277)</f>
        <v>6.51666666666667</v>
      </c>
      <c r="AU277" s="3" t="n">
        <f aca="false">55+54/60</f>
        <v>55.9</v>
      </c>
      <c r="AV277" s="3" t="n">
        <f aca="false">40+23/60</f>
        <v>40.3833333333333</v>
      </c>
      <c r="AW277" s="3" t="n">
        <f aca="false">5+12/60</f>
        <v>5.2</v>
      </c>
      <c r="AX277" s="3" t="n">
        <v>0</v>
      </c>
      <c r="AY277" s="3" t="n">
        <v>0</v>
      </c>
      <c r="AZ277" s="0" t="s">
        <v>58</v>
      </c>
      <c r="BA277" s="0" t="s">
        <v>59</v>
      </c>
      <c r="BB277" s="0" t="n">
        <v>0</v>
      </c>
    </row>
    <row r="278" customFormat="false" ht="12.8" hidden="false" customHeight="false" outlineLevel="0" collapsed="false">
      <c r="A278" s="0" t="n">
        <v>810</v>
      </c>
      <c r="B278" s="1" t="n">
        <v>44156.4972222222</v>
      </c>
      <c r="C278" s="0" t="n">
        <v>1</v>
      </c>
      <c r="F278" s="6" t="s">
        <v>84</v>
      </c>
      <c r="G278" s="2" t="n">
        <v>75</v>
      </c>
      <c r="H278" s="2" t="n">
        <v>62</v>
      </c>
      <c r="I278" s="2" t="n">
        <v>64</v>
      </c>
      <c r="J278" s="6" t="s">
        <v>71</v>
      </c>
      <c r="K278" s="2" t="n">
        <v>10</v>
      </c>
      <c r="L278" s="2" t="n">
        <v>0</v>
      </c>
      <c r="M278" s="0" t="s">
        <v>72</v>
      </c>
      <c r="N278" s="0" t="n">
        <v>0</v>
      </c>
      <c r="O278" s="0" t="s">
        <v>136</v>
      </c>
      <c r="P278" s="0" t="s">
        <v>82</v>
      </c>
      <c r="Q278" s="3" t="n">
        <v>4.47</v>
      </c>
      <c r="R278" s="2" t="n">
        <v>626</v>
      </c>
      <c r="S278" s="2" t="n">
        <v>9378</v>
      </c>
      <c r="T278" s="2" t="n">
        <f aca="false">S278-R278</f>
        <v>8752</v>
      </c>
      <c r="U278" s="3" t="n">
        <f aca="false">72/60</f>
        <v>1.2</v>
      </c>
      <c r="V278" s="3" t="n">
        <f aca="false">77/60</f>
        <v>1.28333333333333</v>
      </c>
      <c r="W278" s="3" t="n">
        <f aca="false">V278-U278</f>
        <v>0.0833333333333335</v>
      </c>
      <c r="X278" s="3" t="n">
        <f aca="false">Q278/U278</f>
        <v>3.725</v>
      </c>
      <c r="Y278" s="0" t="n">
        <v>1</v>
      </c>
      <c r="Z278" s="3" t="n">
        <f aca="false">Q278/Y278</f>
        <v>4.47</v>
      </c>
      <c r="AA278" s="3" t="n">
        <f aca="false">16+11/60</f>
        <v>16.1833333333333</v>
      </c>
      <c r="AB278" s="2" t="n">
        <v>69</v>
      </c>
      <c r="AC278" s="2" t="n">
        <v>472</v>
      </c>
      <c r="AD278" s="2" t="n">
        <v>118</v>
      </c>
      <c r="AE278" s="0" t="n">
        <v>131</v>
      </c>
      <c r="AF278" s="3" t="n">
        <f aca="false">15+39/60</f>
        <v>15.65</v>
      </c>
      <c r="AG278" s="3" t="n">
        <f aca="false">16+13/60</f>
        <v>16.2166666666667</v>
      </c>
      <c r="AH278" s="3" t="n">
        <f aca="false">16+18/60</f>
        <v>16.3</v>
      </c>
      <c r="AI278" s="3" t="n">
        <f aca="false">16+50/60</f>
        <v>16.8333333333333</v>
      </c>
      <c r="AJ278" s="3" t="n">
        <f aca="false">60/3.8</f>
        <v>15.7894736842105</v>
      </c>
      <c r="AP278" s="2" t="n">
        <v>0</v>
      </c>
      <c r="AQ278" s="0" t="n">
        <v>1</v>
      </c>
      <c r="AR278" s="0" t="n">
        <v>0</v>
      </c>
      <c r="AS278" s="0" t="n">
        <v>0</v>
      </c>
      <c r="AT278" s="4" t="n">
        <f aca="false">60*U278-SUM(AU278:AY278)</f>
        <v>0</v>
      </c>
      <c r="AU278" s="3" t="n">
        <f aca="false">9+58/60</f>
        <v>9.96666666666667</v>
      </c>
      <c r="AV278" s="3" t="n">
        <f aca="false">47+36/60</f>
        <v>47.6</v>
      </c>
      <c r="AW278" s="3" t="n">
        <f aca="false">14+26/60</f>
        <v>14.4333333333333</v>
      </c>
      <c r="AX278" s="3" t="n">
        <v>0</v>
      </c>
      <c r="AY278" s="3" t="n">
        <v>0</v>
      </c>
      <c r="AZ278" s="0" t="s">
        <v>58</v>
      </c>
      <c r="BA278" s="0" t="s">
        <v>59</v>
      </c>
      <c r="BB278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2020-11-21T18:34:38Z</dcterms:modified>
  <cp:revision>178</cp:revision>
  <dc:subject/>
  <dc:title/>
</cp:coreProperties>
</file>