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<sst xmlns="http://schemas.openxmlformats.org/spreadsheetml/2006/main" count="1133" uniqueCount="133">
  <si>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</si>
  <si>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</si>
  <si>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</si>
  <si>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</si>
  <si>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</si>
  <si>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</si>
  <si>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</si>
  <si>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</si>
  <si>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</si>
  <si>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</si>
  <si>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</si>
  <si>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</si>
  <si>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</si>
  <si>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</si>
  <si>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</si>
  <si>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</si>
  <si>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</si>
  <si>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</si>
  <si>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</si>
  <si>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</si>
  <si>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</si>
  <si>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</si>
  <si>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</si>
  <si>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</si>
  <si>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</si>
  <si>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</si>
  <si>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</si>
  <si>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</si>
  <si>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</si>
  <si>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</si>
  <si>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</si>
  <si>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</si>
  <si>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</si>
  <si>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</si>
  <si>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</si>
  <si>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</si>
  <si>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</si>
  <si>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</si>
  <si>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</si>
  <si>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</si>
  <si>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</si>
  <si>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</si>
  <si>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</si>
  <si>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</si>
  <si>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</si>
  <si>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</si>
  <si>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</si>
  <si>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</si>
  <si>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</si>
  <si>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</si>
  <si>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</si>
  <si>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</si>
  <si>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</si>
  <si>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</si>
  <si>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</si>
  <si>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</si>
  <si>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</si>
  <si>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</si>
  <si>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</si>
  <si>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</si>
  <si>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Vanderbilt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</si>
  <si>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</si>
  <si>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</si>
  <si>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</si>
  <si>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</si>
  <si>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</si>
  <si>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</si>
  <si>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</si>
  <si>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</si>
  <si>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</si>
  <si>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</si>
  <si>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</si>
  <si>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Vandergriff Park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</si>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</sst>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8" activePane="bottomLeft" state="frozen"/>
      <selection pane="topLeft" activeCell="A1" activeCellId="0" sqref="A1"/>
      <selection pane="bottomLeft" activeCell="D13" activeCellId="0" sqref="D13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3.75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3.36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5" min="15" style="0" width="12.22"/>
    <col collapsed="false" customWidth="true" hidden="false" outlineLevel="0" max="16" min="16" style="0" width="28.62"/>
    <col collapsed="false" customWidth="true" hidden="false" outlineLevel="0" max="17" min="17" style="3" width="9.19"/>
    <col collapsed="false" customWidth="true" hidden="false" outlineLevel="0" max="18" min="18" style="2" width="11.48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9.19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8.71"/>
    <col collapsed="false" customWidth="true" hidden="false" outlineLevel="0" max="34" min="32" style="3" width="9.19"/>
    <col collapsed="false" customWidth="true" hidden="false" outlineLevel="0" max="35" min="35" style="3" width="7.55"/>
    <col collapsed="false" customWidth="true" hidden="false" outlineLevel="0" max="36" min="36" style="3" width="7.44"/>
    <col collapsed="false" customWidth="true" hidden="false" outlineLevel="0" max="41" min="37" style="3" width="9.19"/>
    <col collapsed="false" customWidth="true" hidden="false" outlineLevel="0" max="42" min="42" style="0" width="8.71"/>
    <col collapsed="false" customWidth="true" hidden="false" outlineLevel="0" max="43" min="43" style="0" width="8.14"/>
    <col collapsed="false" customWidth="true" hidden="false" outlineLevel="0" max="44" min="44" style="0" width="7.9"/>
    <col collapsed="false" customWidth="true" hidden="false" outlineLevel="0" max="45" min="45" style="4" width="6.74"/>
    <col collapsed="false" customWidth="true" hidden="false" outlineLevel="0" max="46" min="46" style="3" width="6.74"/>
    <col collapsed="false" customWidth="true" hidden="false" outlineLevel="0" max="47" min="47" style="3" width="6.88"/>
    <col collapsed="false" customWidth="true" hidden="false" outlineLevel="0" max="48" min="48" style="3" width="6.61"/>
    <col collapsed="false" customWidth="true" hidden="false" outlineLevel="0" max="50" min="49" style="3" width="6.74"/>
    <col collapsed="false" customWidth="true" hidden="false" outlineLevel="0" max="51" min="51" style="0" width="20.37"/>
    <col collapsed="false" customWidth="true" hidden="false" outlineLevel="0" max="52" min="52" style="0" width="8.71"/>
    <col collapsed="false" customWidth="true" hidden="false" outlineLevel="0" max="53" min="53" style="0" width="11.19"/>
    <col collapsed="false" customWidth="true" hidden="false" outlineLevel="0" max="54" min="54" style="0" width="17.8"/>
    <col collapsed="false" customWidth="true" hidden="false" outlineLevel="0" max="66" min="55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0" t="s">
        <v>41</v>
      </c>
      <c r="AQ1" s="0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54</v>
      </c>
      <c r="G2" s="2" t="n">
        <v>54</v>
      </c>
      <c r="I2" s="2" t="n">
        <v>98</v>
      </c>
      <c r="O2" s="0" t="s">
        <v>55</v>
      </c>
      <c r="P2" s="0" t="s">
        <v>56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P2" s="0" t="n">
        <v>1</v>
      </c>
      <c r="AQ2" s="0" t="n">
        <v>1</v>
      </c>
      <c r="AY2" s="0" t="s">
        <v>57</v>
      </c>
      <c r="AZ2" s="0" t="s">
        <v>58</v>
      </c>
      <c r="BA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59</v>
      </c>
      <c r="G3" s="2" t="n">
        <v>77</v>
      </c>
      <c r="I3" s="2" t="n">
        <v>42</v>
      </c>
      <c r="O3" s="0" t="s">
        <v>55</v>
      </c>
      <c r="P3" s="0" t="s">
        <v>60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P3" s="0" t="n">
        <v>1</v>
      </c>
      <c r="AQ3" s="0" t="n">
        <v>0</v>
      </c>
      <c r="AY3" s="0" t="s">
        <v>57</v>
      </c>
      <c r="AZ3" s="0" t="s">
        <v>58</v>
      </c>
      <c r="BA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59</v>
      </c>
      <c r="G4" s="2" t="n">
        <v>74</v>
      </c>
      <c r="I4" s="2" t="n">
        <v>64</v>
      </c>
      <c r="O4" s="0" t="s">
        <v>55</v>
      </c>
      <c r="P4" s="0" t="s">
        <v>61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P4" s="0" t="n">
        <v>1</v>
      </c>
      <c r="AQ4" s="0" t="n">
        <v>0</v>
      </c>
      <c r="AY4" s="0" t="s">
        <v>57</v>
      </c>
      <c r="AZ4" s="0" t="s">
        <v>58</v>
      </c>
      <c r="BA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62</v>
      </c>
      <c r="G5" s="2" t="n">
        <v>50</v>
      </c>
      <c r="I5" s="2" t="n">
        <v>60</v>
      </c>
      <c r="O5" s="0" t="s">
        <v>55</v>
      </c>
      <c r="P5" s="0" t="s">
        <v>56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Q5" s="0" t="n">
        <v>1</v>
      </c>
      <c r="AY5" s="0" t="s">
        <v>57</v>
      </c>
      <c r="AZ5" s="0" t="s">
        <v>58</v>
      </c>
      <c r="BA5" s="0" t="n">
        <v>0</v>
      </c>
      <c r="BB5" s="0" t="s">
        <v>53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59</v>
      </c>
      <c r="G6" s="2" t="n">
        <v>62</v>
      </c>
      <c r="I6" s="2" t="n">
        <v>80</v>
      </c>
      <c r="O6" s="0" t="s">
        <v>55</v>
      </c>
      <c r="P6" s="0" t="s">
        <v>63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P6" s="0" t="n">
        <v>0</v>
      </c>
      <c r="AQ6" s="0" t="n">
        <v>0</v>
      </c>
      <c r="AY6" s="0" t="s">
        <v>57</v>
      </c>
      <c r="AZ6" s="0" t="s">
        <v>58</v>
      </c>
      <c r="BA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59</v>
      </c>
      <c r="G7" s="2" t="n">
        <v>44</v>
      </c>
      <c r="I7" s="2" t="n">
        <v>45</v>
      </c>
      <c r="O7" s="0" t="s">
        <v>55</v>
      </c>
      <c r="P7" s="0" t="s">
        <v>56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P7" s="0" t="n">
        <v>0</v>
      </c>
      <c r="AQ7" s="0" t="n">
        <v>0</v>
      </c>
      <c r="AY7" s="0" t="s">
        <v>57</v>
      </c>
      <c r="AZ7" s="0" t="s">
        <v>58</v>
      </c>
      <c r="BA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59</v>
      </c>
      <c r="G8" s="2" t="n">
        <v>54</v>
      </c>
      <c r="I8" s="2" t="n">
        <v>29</v>
      </c>
      <c r="O8" s="0" t="s">
        <v>64</v>
      </c>
      <c r="P8" s="0" t="s">
        <v>65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P8" s="0" t="n">
        <v>0</v>
      </c>
      <c r="AQ8" s="0" t="n">
        <v>0</v>
      </c>
      <c r="AY8" s="0" t="s">
        <v>57</v>
      </c>
      <c r="AZ8" s="0" t="s">
        <v>58</v>
      </c>
      <c r="BA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59</v>
      </c>
      <c r="G9" s="2" t="n">
        <v>52</v>
      </c>
      <c r="I9" s="2" t="n">
        <v>45</v>
      </c>
      <c r="O9" s="0" t="s">
        <v>64</v>
      </c>
      <c r="P9" s="0" t="s">
        <v>66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P9" s="0" t="n">
        <v>0</v>
      </c>
      <c r="AQ9" s="0" t="n">
        <v>0</v>
      </c>
      <c r="AY9" s="0" t="s">
        <v>57</v>
      </c>
      <c r="AZ9" s="0" t="s">
        <v>58</v>
      </c>
      <c r="BA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59</v>
      </c>
      <c r="G10" s="2" t="n">
        <v>74</v>
      </c>
      <c r="I10" s="2" t="n">
        <v>25</v>
      </c>
      <c r="O10" s="0" t="s">
        <v>55</v>
      </c>
      <c r="AP10" s="0" t="n">
        <v>2</v>
      </c>
      <c r="AQ10" s="0" t="n">
        <v>1</v>
      </c>
      <c r="AY10" s="0" t="s">
        <v>57</v>
      </c>
      <c r="AZ10" s="0" t="s">
        <v>58</v>
      </c>
      <c r="BA10" s="0" t="n">
        <v>1</v>
      </c>
      <c r="BB10" s="0" t="s">
        <v>67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68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69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70</v>
      </c>
      <c r="G14" s="2" t="n">
        <v>49</v>
      </c>
      <c r="I14" s="2" t="n">
        <v>72</v>
      </c>
      <c r="O14" s="0" t="s">
        <v>55</v>
      </c>
      <c r="P14" s="0" t="s">
        <v>56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P14" s="0" t="n">
        <v>1</v>
      </c>
      <c r="AQ14" s="0" t="n">
        <v>0</v>
      </c>
      <c r="AY14" s="0" t="s">
        <v>57</v>
      </c>
      <c r="AZ14" s="0" t="s">
        <v>58</v>
      </c>
      <c r="BA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59</v>
      </c>
      <c r="G15" s="2" t="n">
        <v>62</v>
      </c>
      <c r="I15" s="2" t="n">
        <v>46</v>
      </c>
      <c r="O15" s="0" t="s">
        <v>64</v>
      </c>
      <c r="P15" s="0" t="s">
        <v>71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P15" s="0" t="n">
        <v>1</v>
      </c>
      <c r="AQ15" s="0" t="n">
        <v>0</v>
      </c>
      <c r="AY15" s="0" t="s">
        <v>57</v>
      </c>
      <c r="AZ15" s="0" t="s">
        <v>58</v>
      </c>
      <c r="BA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59</v>
      </c>
      <c r="G16" s="2" t="n">
        <v>64</v>
      </c>
      <c r="I16" s="2" t="n">
        <v>19</v>
      </c>
      <c r="O16" s="0" t="s">
        <v>64</v>
      </c>
      <c r="P16" s="0" t="s">
        <v>72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P16" s="0" t="n">
        <v>1</v>
      </c>
      <c r="AQ16" s="0" t="n">
        <v>0</v>
      </c>
      <c r="AY16" s="0" t="s">
        <v>57</v>
      </c>
      <c r="AZ16" s="0" t="s">
        <v>58</v>
      </c>
      <c r="BA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59</v>
      </c>
      <c r="G17" s="2" t="n">
        <v>61</v>
      </c>
      <c r="I17" s="2" t="n">
        <v>34</v>
      </c>
      <c r="O17" s="0" t="s">
        <v>64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P17" s="0" t="n">
        <v>0</v>
      </c>
      <c r="AQ17" s="0" t="n">
        <v>0</v>
      </c>
      <c r="AY17" s="0" t="s">
        <v>57</v>
      </c>
      <c r="AZ17" s="0" t="s">
        <v>58</v>
      </c>
      <c r="BA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68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54</v>
      </c>
      <c r="G19" s="2" t="n">
        <v>59</v>
      </c>
      <c r="I19" s="2" t="n">
        <v>87</v>
      </c>
      <c r="O19" s="0" t="s">
        <v>55</v>
      </c>
      <c r="P19" s="0" t="s">
        <v>56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P19" s="0" t="n">
        <v>1</v>
      </c>
      <c r="AQ19" s="0" t="n">
        <v>0</v>
      </c>
      <c r="AY19" s="0" t="s">
        <v>57</v>
      </c>
      <c r="AZ19" s="0" t="s">
        <v>58</v>
      </c>
      <c r="BA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59</v>
      </c>
      <c r="G20" s="2" t="n">
        <v>54</v>
      </c>
      <c r="I20" s="2" t="n">
        <v>61</v>
      </c>
      <c r="O20" s="0" t="s">
        <v>64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P20" s="0" t="n">
        <v>0</v>
      </c>
      <c r="AQ20" s="0" t="n">
        <v>0</v>
      </c>
      <c r="AY20" s="0" t="s">
        <v>57</v>
      </c>
      <c r="AZ20" s="0" t="s">
        <v>58</v>
      </c>
      <c r="BA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59</v>
      </c>
      <c r="G21" s="2" t="n">
        <v>81</v>
      </c>
      <c r="I21" s="2" t="n">
        <v>64</v>
      </c>
      <c r="O21" s="0" t="s">
        <v>64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59</v>
      </c>
      <c r="G22" s="2" t="n">
        <v>64</v>
      </c>
      <c r="I22" s="2" t="n">
        <v>53</v>
      </c>
      <c r="O22" s="0" t="s">
        <v>64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P22" s="0" t="n">
        <v>2</v>
      </c>
      <c r="AQ22" s="0" t="n">
        <v>0</v>
      </c>
      <c r="AY22" s="0" t="s">
        <v>57</v>
      </c>
      <c r="AZ22" s="0" t="s">
        <v>58</v>
      </c>
      <c r="BA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68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70</v>
      </c>
      <c r="G24" s="2" t="n">
        <v>60</v>
      </c>
      <c r="I24" s="2" t="n">
        <v>86</v>
      </c>
      <c r="O24" s="0" t="s">
        <v>55</v>
      </c>
      <c r="P24" s="0" t="s">
        <v>56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P24" s="0" t="n">
        <v>1</v>
      </c>
      <c r="AQ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68</v>
      </c>
      <c r="F25" s="0" t="s">
        <v>54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54</v>
      </c>
      <c r="G26" s="2" t="n">
        <v>70</v>
      </c>
      <c r="I26" s="2" t="n">
        <v>70</v>
      </c>
      <c r="O26" s="0" t="s">
        <v>64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P26" s="0" t="n">
        <v>1</v>
      </c>
      <c r="AQ26" s="0" t="n">
        <v>1</v>
      </c>
      <c r="AY26" s="0" t="s">
        <v>57</v>
      </c>
      <c r="AZ26" s="0" t="s">
        <v>58</v>
      </c>
      <c r="BA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54</v>
      </c>
      <c r="G27" s="2" t="n">
        <v>67</v>
      </c>
      <c r="I27" s="2" t="n">
        <v>84</v>
      </c>
      <c r="O27" s="0" t="s">
        <v>64</v>
      </c>
      <c r="P27" s="0" t="s">
        <v>72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P27" s="0" t="n">
        <v>1</v>
      </c>
      <c r="AQ27" s="0" t="n">
        <v>1</v>
      </c>
      <c r="AY27" s="0" t="s">
        <v>57</v>
      </c>
      <c r="AZ27" s="0" t="s">
        <v>58</v>
      </c>
      <c r="BA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64</v>
      </c>
      <c r="P28" s="0" t="s">
        <v>61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P28" s="0" t="n">
        <v>1</v>
      </c>
      <c r="AQ28" s="0" t="n">
        <v>0</v>
      </c>
      <c r="AY28" s="0" t="s">
        <v>57</v>
      </c>
      <c r="AZ28" s="0" t="s">
        <v>58</v>
      </c>
      <c r="BA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A29" s="0" t="n">
        <v>1</v>
      </c>
      <c r="BB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55</v>
      </c>
      <c r="P30" s="0" t="s">
        <v>71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P30" s="0" t="n">
        <v>0</v>
      </c>
      <c r="AQ30" s="0" t="n">
        <v>0</v>
      </c>
      <c r="AY30" s="0" t="s">
        <v>57</v>
      </c>
      <c r="AZ30" s="0" t="s">
        <v>58</v>
      </c>
      <c r="BA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59</v>
      </c>
      <c r="G31" s="2" t="n">
        <v>58</v>
      </c>
      <c r="I31" s="2" t="n">
        <v>60</v>
      </c>
      <c r="O31" s="0" t="s">
        <v>55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P31" s="0" t="n">
        <v>0</v>
      </c>
      <c r="AQ31" s="0" t="n">
        <v>1</v>
      </c>
      <c r="AY31" s="0" t="s">
        <v>57</v>
      </c>
      <c r="AZ31" s="0" t="s">
        <v>58</v>
      </c>
      <c r="BA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54</v>
      </c>
      <c r="G32" s="2" t="n">
        <v>62</v>
      </c>
      <c r="I32" s="2" t="n">
        <v>80</v>
      </c>
      <c r="O32" s="0" t="s">
        <v>55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P32" s="0" t="n">
        <v>0</v>
      </c>
      <c r="AQ32" s="0" t="n">
        <v>1</v>
      </c>
      <c r="AY32" s="0" t="s">
        <v>57</v>
      </c>
      <c r="AZ32" s="0" t="s">
        <v>58</v>
      </c>
      <c r="BA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54</v>
      </c>
      <c r="G33" s="2" t="n">
        <v>68</v>
      </c>
      <c r="I33" s="2" t="n">
        <v>81</v>
      </c>
      <c r="O33" s="0" t="s">
        <v>55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P33" s="0" t="n">
        <v>0</v>
      </c>
      <c r="AQ33" s="0" t="n">
        <v>0</v>
      </c>
      <c r="AY33" s="0" t="s">
        <v>57</v>
      </c>
      <c r="AZ33" s="0" t="s">
        <v>58</v>
      </c>
      <c r="BA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59</v>
      </c>
      <c r="G34" s="2" t="n">
        <v>86</v>
      </c>
      <c r="I34" s="2" t="n">
        <v>20</v>
      </c>
      <c r="O34" s="0" t="s">
        <v>64</v>
      </c>
      <c r="P34" s="0" t="s">
        <v>72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P34" s="0" t="n">
        <v>2</v>
      </c>
      <c r="AQ34" s="0" t="n">
        <v>0</v>
      </c>
      <c r="AY34" s="0" t="s">
        <v>57</v>
      </c>
      <c r="AZ34" s="0" t="s">
        <v>58</v>
      </c>
      <c r="BA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59</v>
      </c>
      <c r="G35" s="2" t="n">
        <v>87</v>
      </c>
      <c r="I35" s="2" t="n">
        <v>40</v>
      </c>
      <c r="O35" s="0" t="s">
        <v>64</v>
      </c>
      <c r="P35" s="0" t="s">
        <v>61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P35" s="0" t="n">
        <v>5</v>
      </c>
      <c r="AQ35" s="0" t="n">
        <v>0</v>
      </c>
      <c r="AY35" s="0" t="s">
        <v>57</v>
      </c>
      <c r="AZ35" s="0" t="s">
        <v>58</v>
      </c>
      <c r="BA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59</v>
      </c>
      <c r="G36" s="2" t="n">
        <v>82</v>
      </c>
      <c r="I36" s="2" t="n">
        <v>50</v>
      </c>
      <c r="O36" s="0" t="s">
        <v>64</v>
      </c>
      <c r="P36" s="0" t="s">
        <v>63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P36" s="0" t="n">
        <v>5</v>
      </c>
      <c r="AQ36" s="0" t="n">
        <v>0</v>
      </c>
      <c r="AY36" s="0" t="s">
        <v>57</v>
      </c>
      <c r="AZ36" s="0" t="s">
        <v>58</v>
      </c>
      <c r="BA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55</v>
      </c>
      <c r="P37" s="0" t="s">
        <v>71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P37" s="0" t="n">
        <v>3</v>
      </c>
      <c r="AQ37" s="0" t="n">
        <v>0</v>
      </c>
      <c r="AY37" s="0" t="s">
        <v>57</v>
      </c>
      <c r="AZ37" s="0" t="s">
        <v>58</v>
      </c>
      <c r="BA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59</v>
      </c>
      <c r="G38" s="2" t="n">
        <v>74</v>
      </c>
      <c r="I38" s="2" t="n">
        <v>19</v>
      </c>
      <c r="O38" s="0" t="s">
        <v>64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P38" s="0" t="n">
        <v>3</v>
      </c>
      <c r="AQ38" s="0" t="n">
        <v>0</v>
      </c>
      <c r="AY38" s="0" t="s">
        <v>57</v>
      </c>
      <c r="AZ38" s="0" t="s">
        <v>58</v>
      </c>
      <c r="BA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68</v>
      </c>
      <c r="F39" s="6" t="s">
        <v>59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54</v>
      </c>
      <c r="G41" s="2" t="n">
        <v>48</v>
      </c>
      <c r="I41" s="2" t="n">
        <v>55</v>
      </c>
      <c r="O41" s="0" t="s">
        <v>55</v>
      </c>
      <c r="P41" s="0" t="s">
        <v>72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P41" s="0" t="n">
        <v>1</v>
      </c>
      <c r="AQ41" s="0" t="n">
        <v>0</v>
      </c>
      <c r="AY41" s="0" t="s">
        <v>57</v>
      </c>
      <c r="AZ41" s="0" t="s">
        <v>58</v>
      </c>
      <c r="BA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59</v>
      </c>
      <c r="G42" s="2" t="n">
        <v>72</v>
      </c>
      <c r="I42" s="2" t="n">
        <v>50</v>
      </c>
      <c r="O42" s="0" t="s">
        <v>64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P42" s="0" t="n">
        <v>1</v>
      </c>
      <c r="AQ42" s="0" t="n">
        <v>0</v>
      </c>
      <c r="AY42" s="0" t="s">
        <v>57</v>
      </c>
      <c r="AZ42" s="0" t="s">
        <v>58</v>
      </c>
      <c r="BA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54</v>
      </c>
      <c r="G43" s="2" t="n">
        <v>69</v>
      </c>
      <c r="I43" s="2" t="n">
        <v>73</v>
      </c>
      <c r="O43" s="0" t="s">
        <v>64</v>
      </c>
      <c r="P43" s="0" t="s">
        <v>71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P43" s="0" t="n">
        <v>0</v>
      </c>
      <c r="AQ43" s="0" t="n">
        <v>0</v>
      </c>
      <c r="AY43" s="0" t="s">
        <v>57</v>
      </c>
      <c r="AZ43" s="0" t="s">
        <v>58</v>
      </c>
      <c r="BA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54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54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54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59</v>
      </c>
      <c r="G47" s="2" t="n">
        <v>71</v>
      </c>
      <c r="I47" s="2" t="n">
        <v>70</v>
      </c>
      <c r="O47" s="0" t="s">
        <v>64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P47" s="0" t="n">
        <v>0</v>
      </c>
      <c r="AQ47" s="0" t="n">
        <v>0</v>
      </c>
      <c r="AY47" s="0" t="s">
        <v>57</v>
      </c>
      <c r="AZ47" s="0" t="s">
        <v>58</v>
      </c>
      <c r="BA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59</v>
      </c>
      <c r="G48" s="2" t="n">
        <v>86</v>
      </c>
      <c r="I48" s="2" t="n">
        <v>43</v>
      </c>
      <c r="O48" s="0" t="s">
        <v>55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P48" s="0" t="n">
        <v>5</v>
      </c>
      <c r="AQ48" s="0" t="n">
        <v>1</v>
      </c>
      <c r="AY48" s="0" t="s">
        <v>57</v>
      </c>
      <c r="AZ48" s="0" t="s">
        <v>58</v>
      </c>
      <c r="BA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59</v>
      </c>
      <c r="G49" s="2" t="n">
        <v>85</v>
      </c>
      <c r="I49" s="2" t="n">
        <v>55</v>
      </c>
      <c r="O49" s="0" t="s">
        <v>64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P49" s="0" t="n">
        <v>0</v>
      </c>
      <c r="AQ49" s="0" t="n">
        <v>0</v>
      </c>
      <c r="AY49" s="0" t="s">
        <v>57</v>
      </c>
      <c r="AZ49" s="0" t="s">
        <v>58</v>
      </c>
      <c r="BA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59</v>
      </c>
      <c r="G50" s="2" t="n">
        <v>88</v>
      </c>
      <c r="I50" s="2" t="n">
        <v>49</v>
      </c>
      <c r="O50" s="0" t="s">
        <v>55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P50" s="0" t="n">
        <v>0</v>
      </c>
      <c r="AQ50" s="0" t="n">
        <v>1</v>
      </c>
      <c r="AY50" s="0" t="s">
        <v>57</v>
      </c>
      <c r="AZ50" s="0" t="s">
        <v>58</v>
      </c>
      <c r="BA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59</v>
      </c>
      <c r="G51" s="2" t="n">
        <v>77</v>
      </c>
      <c r="I51" s="2" t="n">
        <v>71</v>
      </c>
      <c r="O51" s="0" t="s">
        <v>64</v>
      </c>
      <c r="P51" s="0" t="s">
        <v>71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P51" s="0" t="n">
        <v>1</v>
      </c>
      <c r="AQ51" s="0" t="n">
        <v>1</v>
      </c>
      <c r="AY51" s="0" t="s">
        <v>57</v>
      </c>
      <c r="AZ51" s="0" t="s">
        <v>58</v>
      </c>
      <c r="BA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68</v>
      </c>
      <c r="F52" s="0" t="s">
        <v>54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59</v>
      </c>
      <c r="G54" s="2" t="n">
        <v>54</v>
      </c>
      <c r="I54" s="2" t="n">
        <v>45</v>
      </c>
      <c r="O54" s="0" t="s">
        <v>55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P54" s="0" t="n">
        <v>0</v>
      </c>
      <c r="AQ54" s="0" t="n">
        <v>0</v>
      </c>
      <c r="AY54" s="0" t="s">
        <v>57</v>
      </c>
      <c r="AZ54" s="0" t="s">
        <v>58</v>
      </c>
      <c r="BA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64</v>
      </c>
      <c r="P55" s="0" t="s">
        <v>72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P55" s="0" t="n">
        <v>0</v>
      </c>
      <c r="AQ55" s="0" t="n">
        <v>0</v>
      </c>
      <c r="AY55" s="0" t="s">
        <v>57</v>
      </c>
      <c r="AZ55" s="0" t="s">
        <v>58</v>
      </c>
      <c r="BA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59</v>
      </c>
      <c r="G56" s="2" t="n">
        <v>63</v>
      </c>
      <c r="I56" s="2" t="n">
        <v>71</v>
      </c>
      <c r="O56" s="0" t="s">
        <v>64</v>
      </c>
      <c r="P56" s="0" t="s">
        <v>63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P56" s="0" t="n">
        <v>3</v>
      </c>
      <c r="AQ56" s="0" t="n">
        <v>0</v>
      </c>
      <c r="AY56" s="0" t="s">
        <v>57</v>
      </c>
      <c r="AZ56" s="0" t="s">
        <v>58</v>
      </c>
      <c r="BA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59</v>
      </c>
      <c r="G57" s="2" t="n">
        <v>70</v>
      </c>
      <c r="I57" s="2" t="n">
        <v>40</v>
      </c>
      <c r="O57" s="0" t="s">
        <v>64</v>
      </c>
      <c r="P57" s="0" t="s">
        <v>65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P57" s="0" t="n">
        <v>3</v>
      </c>
      <c r="AQ57" s="0" t="n">
        <v>1</v>
      </c>
      <c r="AY57" s="0" t="s">
        <v>57</v>
      </c>
      <c r="AZ57" s="0" t="s">
        <v>58</v>
      </c>
      <c r="BA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54</v>
      </c>
      <c r="G58" s="2" t="n">
        <v>53</v>
      </c>
      <c r="I58" s="2" t="n">
        <v>35</v>
      </c>
      <c r="O58" s="0" t="s">
        <v>55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P58" s="0" t="n">
        <v>0</v>
      </c>
      <c r="AQ58" s="0" t="n">
        <v>0</v>
      </c>
      <c r="AY58" s="0" t="s">
        <v>57</v>
      </c>
      <c r="AZ58" s="0" t="s">
        <v>58</v>
      </c>
      <c r="BA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59</v>
      </c>
      <c r="G59" s="2" t="n">
        <v>63</v>
      </c>
      <c r="I59" s="2" t="n">
        <v>48</v>
      </c>
      <c r="O59" s="0" t="s">
        <v>64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P59" s="0" t="n">
        <v>3</v>
      </c>
      <c r="AQ59" s="0" t="n">
        <v>0</v>
      </c>
      <c r="AY59" s="0" t="s">
        <v>57</v>
      </c>
      <c r="AZ59" s="0" t="s">
        <v>58</v>
      </c>
      <c r="BA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55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P60" s="0" t="n">
        <v>2</v>
      </c>
      <c r="AQ60" s="0" t="n">
        <v>0</v>
      </c>
      <c r="AY60" s="0" t="s">
        <v>57</v>
      </c>
      <c r="AZ60" s="0" t="s">
        <v>58</v>
      </c>
      <c r="BA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64</v>
      </c>
      <c r="P61" s="0" t="s">
        <v>72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P61" s="0" t="n">
        <v>0</v>
      </c>
      <c r="AQ61" s="0" t="n">
        <v>0</v>
      </c>
      <c r="AY61" s="0" t="s">
        <v>57</v>
      </c>
      <c r="AZ61" s="0" t="s">
        <v>58</v>
      </c>
      <c r="BA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59</v>
      </c>
      <c r="G62" s="2" t="n">
        <v>83</v>
      </c>
      <c r="I62" s="2" t="n">
        <v>64</v>
      </c>
      <c r="O62" s="0" t="s">
        <v>64</v>
      </c>
      <c r="AE62" s="2"/>
      <c r="BA62" s="0" t="n">
        <v>1</v>
      </c>
      <c r="BB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59</v>
      </c>
      <c r="G63" s="2" t="n">
        <v>64</v>
      </c>
      <c r="I63" s="2" t="n">
        <v>62</v>
      </c>
      <c r="M63" s="0" t="s">
        <v>88</v>
      </c>
      <c r="O63" s="0" t="s">
        <v>55</v>
      </c>
      <c r="P63" s="0" t="s">
        <v>61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P63" s="0" t="n">
        <v>5</v>
      </c>
      <c r="AQ63" s="0" t="n">
        <v>0</v>
      </c>
      <c r="AY63" s="0" t="s">
        <v>57</v>
      </c>
      <c r="AZ63" s="0" t="s">
        <v>58</v>
      </c>
      <c r="BA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54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59</v>
      </c>
      <c r="G65" s="2" t="n">
        <v>76</v>
      </c>
      <c r="I65" s="2" t="n">
        <v>43</v>
      </c>
      <c r="M65" s="0" t="s">
        <v>89</v>
      </c>
      <c r="O65" s="0" t="s">
        <v>55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P65" s="0" t="n">
        <v>1</v>
      </c>
      <c r="AQ65" s="0" t="n">
        <v>1</v>
      </c>
      <c r="AY65" s="0" t="s">
        <v>57</v>
      </c>
      <c r="AZ65" s="0" t="s">
        <v>58</v>
      </c>
      <c r="BA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59</v>
      </c>
      <c r="G66" s="2" t="n">
        <v>81</v>
      </c>
      <c r="I66" s="2" t="n">
        <v>37</v>
      </c>
      <c r="M66" s="0" t="s">
        <v>89</v>
      </c>
      <c r="O66" s="0" t="s">
        <v>64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P66" s="0" t="n">
        <v>0</v>
      </c>
      <c r="AQ66" s="0" t="n">
        <v>0</v>
      </c>
      <c r="AY66" s="0" t="s">
        <v>57</v>
      </c>
      <c r="AZ66" s="0" t="s">
        <v>58</v>
      </c>
      <c r="BA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59</v>
      </c>
      <c r="G67" s="2" t="n">
        <v>76</v>
      </c>
      <c r="I67" s="2" t="n">
        <v>37</v>
      </c>
      <c r="M67" s="0" t="s">
        <v>89</v>
      </c>
      <c r="O67" s="0" t="s">
        <v>55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P67" s="0" t="n">
        <v>4</v>
      </c>
      <c r="AQ67" s="0" t="n">
        <v>0</v>
      </c>
      <c r="AY67" s="0" t="s">
        <v>57</v>
      </c>
      <c r="AZ67" s="0" t="s">
        <v>58</v>
      </c>
      <c r="BA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59</v>
      </c>
      <c r="G68" s="2" t="n">
        <v>81</v>
      </c>
      <c r="I68" s="2" t="n">
        <v>23</v>
      </c>
      <c r="M68" s="0" t="s">
        <v>89</v>
      </c>
      <c r="O68" s="0" t="s">
        <v>64</v>
      </c>
      <c r="P68" s="0" t="s">
        <v>63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P68" s="0" t="n">
        <v>3</v>
      </c>
      <c r="AQ68" s="0" t="n">
        <v>1</v>
      </c>
      <c r="AY68" s="0" t="s">
        <v>57</v>
      </c>
      <c r="AZ68" s="0" t="s">
        <v>58</v>
      </c>
      <c r="BA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59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P69" s="0" t="n">
        <v>3</v>
      </c>
      <c r="AQ69" s="0" t="n">
        <v>2</v>
      </c>
      <c r="AY69" s="0" t="s">
        <v>57</v>
      </c>
      <c r="AZ69" s="0" t="s">
        <v>58</v>
      </c>
      <c r="BA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64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P70" s="0" t="n">
        <v>5</v>
      </c>
      <c r="AQ70" s="0" t="n">
        <v>1</v>
      </c>
      <c r="AY70" s="0" t="s">
        <v>57</v>
      </c>
      <c r="AZ70" s="0" t="s">
        <v>58</v>
      </c>
      <c r="BA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59</v>
      </c>
      <c r="G71" s="2" t="n">
        <v>75</v>
      </c>
      <c r="I71" s="2" t="n">
        <v>77</v>
      </c>
      <c r="M71" s="0" t="s">
        <v>89</v>
      </c>
      <c r="O71" s="0" t="s">
        <v>55</v>
      </c>
      <c r="P71" s="0" t="s">
        <v>71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P71" s="0" t="n">
        <v>0</v>
      </c>
      <c r="AQ71" s="0" t="n">
        <v>0</v>
      </c>
      <c r="AY71" s="0" t="s">
        <v>57</v>
      </c>
      <c r="AZ71" s="0" t="s">
        <v>58</v>
      </c>
      <c r="BA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59</v>
      </c>
      <c r="G72" s="2" t="n">
        <v>77</v>
      </c>
      <c r="I72" s="2" t="n">
        <v>32</v>
      </c>
      <c r="M72" s="0" t="s">
        <v>89</v>
      </c>
      <c r="O72" s="0" t="s">
        <v>64</v>
      </c>
      <c r="P72" s="0" t="s">
        <v>61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P72" s="0" t="n">
        <v>0</v>
      </c>
      <c r="AQ72" s="0" t="n">
        <v>1</v>
      </c>
      <c r="AY72" s="0" t="s">
        <v>57</v>
      </c>
      <c r="AZ72" s="0" t="s">
        <v>58</v>
      </c>
      <c r="BA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59</v>
      </c>
      <c r="G73" s="2" t="n">
        <v>71</v>
      </c>
      <c r="I73" s="2" t="n">
        <v>53</v>
      </c>
      <c r="M73" s="0" t="s">
        <v>89</v>
      </c>
      <c r="O73" s="0" t="s">
        <v>64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P73" s="0" t="n">
        <v>1</v>
      </c>
      <c r="AQ73" s="0" t="n">
        <v>0</v>
      </c>
      <c r="AY73" s="0" t="s">
        <v>57</v>
      </c>
      <c r="AZ73" s="0" t="s">
        <v>58</v>
      </c>
      <c r="BA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55</v>
      </c>
      <c r="P74" s="0" t="s">
        <v>63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P74" s="0" t="n">
        <v>0</v>
      </c>
      <c r="AQ74" s="0" t="n">
        <v>0</v>
      </c>
      <c r="AY74" s="0" t="s">
        <v>57</v>
      </c>
      <c r="AZ74" s="0" t="s">
        <v>58</v>
      </c>
      <c r="BA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59</v>
      </c>
      <c r="G75" s="2" t="n">
        <v>84</v>
      </c>
      <c r="I75" s="2" t="n">
        <v>55</v>
      </c>
      <c r="M75" s="0" t="s">
        <v>89</v>
      </c>
      <c r="O75" s="0" t="s">
        <v>55</v>
      </c>
      <c r="P75" s="0" t="s">
        <v>72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P75" s="0" t="n">
        <v>0</v>
      </c>
      <c r="AQ75" s="0" t="n">
        <v>0</v>
      </c>
      <c r="AY75" s="0" t="s">
        <v>57</v>
      </c>
      <c r="AZ75" s="0" t="s">
        <v>58</v>
      </c>
      <c r="BA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59</v>
      </c>
      <c r="G76" s="2" t="n">
        <v>55</v>
      </c>
      <c r="I76" s="2" t="n">
        <v>60</v>
      </c>
      <c r="M76" s="0" t="s">
        <v>89</v>
      </c>
      <c r="O76" s="0" t="s">
        <v>64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P76" s="0" t="n">
        <v>1</v>
      </c>
      <c r="AQ76" s="0" t="n">
        <v>1</v>
      </c>
      <c r="AY76" s="0" t="s">
        <v>57</v>
      </c>
      <c r="AZ76" s="0" t="s">
        <v>58</v>
      </c>
      <c r="BA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55</v>
      </c>
      <c r="P77" s="0" t="s">
        <v>72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P77" s="0" t="n">
        <v>0</v>
      </c>
      <c r="AQ77" s="0" t="n">
        <v>0</v>
      </c>
      <c r="AY77" s="0" t="s">
        <v>57</v>
      </c>
      <c r="AZ77" s="0" t="s">
        <v>58</v>
      </c>
      <c r="BA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59</v>
      </c>
      <c r="G78" s="2" t="n">
        <v>77</v>
      </c>
      <c r="I78" s="2" t="n">
        <v>31</v>
      </c>
      <c r="M78" s="0" t="s">
        <v>89</v>
      </c>
      <c r="O78" s="0" t="s">
        <v>64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P78" s="0" t="n">
        <v>0</v>
      </c>
      <c r="AQ78" s="0" t="n">
        <v>0</v>
      </c>
      <c r="AY78" s="0" t="s">
        <v>57</v>
      </c>
      <c r="AZ78" s="0" t="s">
        <v>58</v>
      </c>
      <c r="BA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55</v>
      </c>
      <c r="P79" s="0" t="s">
        <v>61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P79" s="0" t="n">
        <v>0</v>
      </c>
      <c r="AQ79" s="0" t="n">
        <v>0</v>
      </c>
      <c r="AY79" s="0" t="s">
        <v>57</v>
      </c>
      <c r="AZ79" s="0" t="s">
        <v>58</v>
      </c>
      <c r="BA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54</v>
      </c>
      <c r="G80" s="2" t="n">
        <v>68</v>
      </c>
      <c r="I80" s="2" t="n">
        <v>56</v>
      </c>
      <c r="M80" s="0" t="s">
        <v>89</v>
      </c>
      <c r="O80" s="0" t="s">
        <v>55</v>
      </c>
      <c r="P80" s="0" t="s">
        <v>71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P80" s="0" t="n">
        <v>0</v>
      </c>
      <c r="AQ80" s="0" t="n">
        <v>0</v>
      </c>
      <c r="AY80" s="0" t="s">
        <v>57</v>
      </c>
      <c r="AZ80" s="0" t="s">
        <v>58</v>
      </c>
      <c r="BA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59</v>
      </c>
      <c r="G81" s="2" t="n">
        <v>70</v>
      </c>
      <c r="M81" s="0" t="s">
        <v>89</v>
      </c>
      <c r="O81" s="0" t="s">
        <v>64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59</v>
      </c>
      <c r="G82" s="2" t="n">
        <v>75</v>
      </c>
      <c r="I82" s="2" t="n">
        <v>36</v>
      </c>
      <c r="M82" s="0" t="s">
        <v>89</v>
      </c>
      <c r="O82" s="0" t="s">
        <v>64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P82" s="0" t="n">
        <v>3</v>
      </c>
      <c r="AY82" s="0" t="s">
        <v>57</v>
      </c>
      <c r="AZ82" s="0" t="s">
        <v>58</v>
      </c>
      <c r="BA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59</v>
      </c>
      <c r="G83" s="2" t="n">
        <v>64</v>
      </c>
      <c r="I83" s="2" t="n">
        <v>56</v>
      </c>
      <c r="M83" s="0" t="s">
        <v>89</v>
      </c>
      <c r="O83" s="0" t="s">
        <v>55</v>
      </c>
      <c r="P83" s="0" t="s">
        <v>72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P83" s="0" t="n">
        <v>0</v>
      </c>
      <c r="AQ83" s="0" t="n">
        <v>0</v>
      </c>
      <c r="AY83" s="0" t="s">
        <v>57</v>
      </c>
      <c r="AZ83" s="0" t="s">
        <v>58</v>
      </c>
      <c r="BA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70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54</v>
      </c>
      <c r="G85" s="2" t="n">
        <v>73</v>
      </c>
      <c r="I85" s="2" t="n">
        <v>76</v>
      </c>
      <c r="M85" s="0" t="s">
        <v>88</v>
      </c>
      <c r="O85" s="0" t="s">
        <v>55</v>
      </c>
      <c r="P85" s="0" t="s">
        <v>61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P85" s="0" t="n">
        <v>5</v>
      </c>
      <c r="AQ85" s="0" t="n">
        <v>0</v>
      </c>
      <c r="AY85" s="0" t="s">
        <v>57</v>
      </c>
      <c r="AZ85" s="0" t="s">
        <v>58</v>
      </c>
      <c r="BA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64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P86" s="0" t="n">
        <v>6</v>
      </c>
      <c r="AQ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54</v>
      </c>
      <c r="G87" s="2" t="n">
        <v>81</v>
      </c>
      <c r="I87" s="2" t="n">
        <v>62</v>
      </c>
      <c r="M87" s="0" t="s">
        <v>88</v>
      </c>
      <c r="O87" s="0" t="s">
        <v>55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P87" s="0" t="n">
        <v>7</v>
      </c>
      <c r="AQ87" s="0" t="n">
        <v>0</v>
      </c>
      <c r="AY87" s="0" t="s">
        <v>57</v>
      </c>
      <c r="AZ87" s="0" t="s">
        <v>58</v>
      </c>
      <c r="BA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54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59</v>
      </c>
      <c r="G89" s="2" t="n">
        <v>80</v>
      </c>
      <c r="I89" s="2" t="n">
        <v>54</v>
      </c>
      <c r="M89" s="0" t="s">
        <v>89</v>
      </c>
      <c r="O89" s="0" t="s">
        <v>64</v>
      </c>
      <c r="P89" s="0" t="s">
        <v>72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P89" s="0" t="n">
        <v>1</v>
      </c>
      <c r="AQ89" s="0" t="n">
        <v>0</v>
      </c>
      <c r="AS89" s="5" t="n">
        <f aca="false">60*U89-SUM(AT89:AX89)</f>
        <v>0</v>
      </c>
      <c r="AT89" s="3" t="n">
        <f aca="false">4+50/60</f>
        <v>4.83333333333333</v>
      </c>
      <c r="AU89" s="3" t="n">
        <f aca="false">13+36/60</f>
        <v>13.6</v>
      </c>
      <c r="AV89" s="3" t="n">
        <f aca="false">20+25/60</f>
        <v>20.4166666666667</v>
      </c>
      <c r="AW89" s="3" t="n">
        <f aca="false">30+52/60</f>
        <v>30.8666666666667</v>
      </c>
      <c r="AX89" s="3" t="n">
        <f aca="false">13+17/60</f>
        <v>13.2833333333333</v>
      </c>
      <c r="AY89" s="0" t="s">
        <v>57</v>
      </c>
      <c r="AZ89" s="0" t="s">
        <v>58</v>
      </c>
      <c r="BA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59</v>
      </c>
      <c r="G90" s="2" t="n">
        <v>89</v>
      </c>
      <c r="I90" s="2" t="n">
        <v>43</v>
      </c>
      <c r="M90" s="0" t="s">
        <v>89</v>
      </c>
      <c r="O90" s="0" t="s">
        <v>55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P90" s="0" t="n">
        <v>4</v>
      </c>
      <c r="AQ90" s="0" t="n">
        <v>0</v>
      </c>
      <c r="AS90" s="5" t="n">
        <f aca="false">60*U90-SUM(AT90:AX90)</f>
        <v>0.466666666666654</v>
      </c>
      <c r="AT90" s="3" t="n">
        <f aca="false">7+18/60</f>
        <v>7.3</v>
      </c>
      <c r="AU90" s="3" t="n">
        <f aca="false">8+18/60</f>
        <v>8.3</v>
      </c>
      <c r="AV90" s="3" t="n">
        <v>1</v>
      </c>
      <c r="AW90" s="3" t="n">
        <f aca="false">54+50/60</f>
        <v>54.8333333333333</v>
      </c>
      <c r="AX90" s="3" t="n">
        <f aca="false">19+6/60</f>
        <v>19.1</v>
      </c>
      <c r="AY90" s="0" t="s">
        <v>57</v>
      </c>
      <c r="AZ90" s="0" t="s">
        <v>58</v>
      </c>
      <c r="BA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59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64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P91" s="0" t="n">
        <v>1</v>
      </c>
      <c r="AQ91" s="0" t="n">
        <v>0</v>
      </c>
      <c r="AS91" s="5" t="n">
        <f aca="false">60*U91-SUM(AT91:AX91)</f>
        <v>0</v>
      </c>
      <c r="AT91" s="3" t="n">
        <f aca="false">1+16/60</f>
        <v>1.26666666666667</v>
      </c>
      <c r="AU91" s="3" t="n">
        <f aca="false">14+28/60</f>
        <v>14.4666666666667</v>
      </c>
      <c r="AV91" s="3" t="n">
        <f aca="false">16+20/60</f>
        <v>16.3333333333333</v>
      </c>
      <c r="AW91" s="3" t="n">
        <f aca="false">58+46/60</f>
        <v>58.7666666666667</v>
      </c>
      <c r="AX91" s="3" t="n">
        <f aca="false">8+39/60</f>
        <v>8.65</v>
      </c>
      <c r="AY91" s="0" t="s">
        <v>57</v>
      </c>
      <c r="AZ91" s="0" t="s">
        <v>58</v>
      </c>
      <c r="BA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54</v>
      </c>
      <c r="G92" s="2" t="n">
        <v>74</v>
      </c>
      <c r="I92" s="2" t="n">
        <v>71</v>
      </c>
      <c r="M92" s="0" t="s">
        <v>89</v>
      </c>
      <c r="O92" s="0" t="s">
        <v>64</v>
      </c>
      <c r="P92" s="0" t="s">
        <v>63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P92" s="0" t="n">
        <v>3</v>
      </c>
      <c r="AQ92" s="0" t="n">
        <v>0</v>
      </c>
      <c r="AS92" s="5" t="n">
        <f aca="false">60*U92-SUM(AT92:AX92)</f>
        <v>12.3833333333333</v>
      </c>
      <c r="AT92" s="3" t="n">
        <f aca="false">27+50/60</f>
        <v>27.8333333333333</v>
      </c>
      <c r="AU92" s="3" t="n">
        <f aca="false">36+21/60</f>
        <v>36.35</v>
      </c>
      <c r="AV92" s="3" t="n">
        <f aca="false">20+56/60</f>
        <v>20.9333333333333</v>
      </c>
      <c r="AW92" s="3" t="n">
        <f aca="false">17+21/60</f>
        <v>17.35</v>
      </c>
      <c r="AX92" s="3" t="n">
        <f aca="false">8+12/60</f>
        <v>8.2</v>
      </c>
      <c r="AY92" s="0" t="s">
        <v>57</v>
      </c>
      <c r="AZ92" s="0" t="s">
        <v>58</v>
      </c>
      <c r="BA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54</v>
      </c>
      <c r="G93" s="2" t="n">
        <v>76</v>
      </c>
      <c r="I93" s="2" t="n">
        <v>74</v>
      </c>
      <c r="M93" s="0" t="s">
        <v>89</v>
      </c>
      <c r="O93" s="0" t="s">
        <v>55</v>
      </c>
      <c r="P93" s="0" t="s">
        <v>61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P93" s="0" t="n">
        <v>2</v>
      </c>
      <c r="AQ93" s="0" t="n">
        <v>0</v>
      </c>
      <c r="AS93" s="5" t="n">
        <f aca="false">60*U93-SUM(AT93:AX93)</f>
        <v>-0.0333333333333314</v>
      </c>
      <c r="AT93" s="3" t="n">
        <f aca="false">41+4/60</f>
        <v>41.0666666666667</v>
      </c>
      <c r="AU93" s="3" t="n">
        <f aca="false">54+30/60</f>
        <v>54.5</v>
      </c>
      <c r="AV93" s="3" t="n">
        <f aca="false">3+58/60</f>
        <v>3.96666666666667</v>
      </c>
      <c r="AW93" s="3" t="n">
        <f aca="false">30/60</f>
        <v>0.5</v>
      </c>
      <c r="AX93" s="3" t="n">
        <v>0</v>
      </c>
      <c r="AY93" s="0" t="s">
        <v>57</v>
      </c>
      <c r="AZ93" s="0" t="s">
        <v>58</v>
      </c>
      <c r="BA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59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64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P94" s="0" t="n">
        <v>4</v>
      </c>
      <c r="AQ94" s="0" t="n">
        <v>1</v>
      </c>
      <c r="AS94" s="5" t="n">
        <f aca="false">60*U94-SUM(AT94:AX94)</f>
        <v>24.3</v>
      </c>
      <c r="AT94" s="3" t="n">
        <f aca="false">17+9/60</f>
        <v>17.15</v>
      </c>
      <c r="AU94" s="3" t="n">
        <f aca="false">25</f>
        <v>25</v>
      </c>
      <c r="AV94" s="3" t="n">
        <f aca="false">14+8/60</f>
        <v>14.1333333333333</v>
      </c>
      <c r="AW94" s="3" t="n">
        <f aca="false">27+43/60</f>
        <v>27.7166666666667</v>
      </c>
      <c r="AX94" s="3" t="n">
        <f aca="false">48+56/60</f>
        <v>48.9333333333333</v>
      </c>
      <c r="AY94" s="0" t="s">
        <v>57</v>
      </c>
      <c r="AZ94" s="0" t="s">
        <v>58</v>
      </c>
      <c r="BA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59</v>
      </c>
      <c r="G95" s="2" t="n">
        <v>87</v>
      </c>
      <c r="I95" s="2" t="n">
        <v>0.56</v>
      </c>
      <c r="M95" s="0" t="s">
        <v>89</v>
      </c>
      <c r="O95" s="0" t="s">
        <v>55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P95" s="0" t="n">
        <v>1</v>
      </c>
      <c r="AQ95" s="0" t="n">
        <v>2</v>
      </c>
      <c r="AS95" s="5" t="n">
        <f aca="false">60*U95-SUM(AT95:AX95)</f>
        <v>0.933333333333337</v>
      </c>
      <c r="AT95" s="3" t="n">
        <f aca="false">6+4/60</f>
        <v>6.06666666666667</v>
      </c>
      <c r="AU95" s="3" t="n">
        <f aca="false">26+21/60</f>
        <v>26.35</v>
      </c>
      <c r="AV95" s="3" t="n">
        <f aca="false">13+33/60</f>
        <v>13.55</v>
      </c>
      <c r="AW95" s="3" t="n">
        <f aca="false">32+14/60</f>
        <v>32.2333333333333</v>
      </c>
      <c r="AX95" s="3" t="n">
        <f aca="false">35+52/60</f>
        <v>35.8666666666667</v>
      </c>
      <c r="AY95" s="0" t="s">
        <v>57</v>
      </c>
      <c r="AZ95" s="0" t="s">
        <v>58</v>
      </c>
      <c r="BA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68</v>
      </c>
      <c r="F96" s="0" t="s">
        <v>54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54</v>
      </c>
      <c r="G97" s="2" t="n">
        <v>71</v>
      </c>
      <c r="I97" s="2" t="n">
        <v>59</v>
      </c>
      <c r="M97" s="0" t="s">
        <v>89</v>
      </c>
      <c r="O97" s="0" t="s">
        <v>55</v>
      </c>
      <c r="P97" s="0" t="s">
        <v>63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P97" s="0" t="n">
        <v>2</v>
      </c>
      <c r="AQ97" s="0" t="n">
        <v>1</v>
      </c>
      <c r="AS97" s="4" t="n">
        <f aca="false">60*U97-SUM(AT97:AX97)</f>
        <v>2.13333333333333</v>
      </c>
      <c r="AT97" s="3" t="n">
        <f aca="false">27+11/60</f>
        <v>27.1833333333333</v>
      </c>
      <c r="AU97" s="3" t="n">
        <f aca="false">44+1/6</f>
        <v>44.1666666666667</v>
      </c>
      <c r="AV97" s="3" t="n">
        <f aca="false">25+24/60</f>
        <v>25.4</v>
      </c>
      <c r="AW97" s="3" t="n">
        <f aca="false">11+32/60</f>
        <v>11.5333333333333</v>
      </c>
      <c r="AX97" s="3" t="n">
        <f aca="false">28+9/60</f>
        <v>28.15</v>
      </c>
      <c r="AY97" s="0" t="s">
        <v>57</v>
      </c>
      <c r="AZ97" s="0" t="s">
        <v>58</v>
      </c>
      <c r="BA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59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55</v>
      </c>
      <c r="P98" s="0" t="s">
        <v>72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P98" s="0" t="n">
        <v>1</v>
      </c>
      <c r="AQ98" s="0" t="n">
        <v>1</v>
      </c>
      <c r="AS98" s="4" t="n">
        <f aca="false">60*U98-SUM(AT98:AX98)</f>
        <v>8.99866666666668</v>
      </c>
      <c r="AT98" s="3" t="n">
        <f aca="false">22/60</f>
        <v>0.366666666666667</v>
      </c>
      <c r="AU98" s="3" t="n">
        <f aca="false">5+2/60</f>
        <v>5.03333333333333</v>
      </c>
      <c r="AV98" s="3" t="n">
        <f aca="false">36+57/60</f>
        <v>36.95</v>
      </c>
      <c r="AW98" s="3" t="n">
        <f aca="false">60+5/60</f>
        <v>60.0833333333333</v>
      </c>
      <c r="AX98" s="3" t="n">
        <f aca="false">3.08/60</f>
        <v>0.0513333333333333</v>
      </c>
      <c r="AY98" s="0" t="s">
        <v>57</v>
      </c>
      <c r="AZ98" s="0" t="s">
        <v>58</v>
      </c>
      <c r="BA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68</v>
      </c>
      <c r="F99" s="0" t="s">
        <v>59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59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64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P100" s="0" t="n">
        <v>1</v>
      </c>
      <c r="AQ100" s="0" t="n">
        <v>1</v>
      </c>
      <c r="AS100" s="4" t="n">
        <f aca="false">60*U100-SUM(AT100:AX100)</f>
        <v>11.5245</v>
      </c>
      <c r="AT100" s="3" t="n">
        <f aca="false">13/60</f>
        <v>0.216666666666667</v>
      </c>
      <c r="AU100" s="3" t="n">
        <f aca="false">28*37/60</f>
        <v>17.2666666666667</v>
      </c>
      <c r="AV100" s="3" t="n">
        <f aca="false">47+14/60</f>
        <v>47.2333333333333</v>
      </c>
      <c r="AW100" s="3" t="n">
        <f aca="false">34+45/60</f>
        <v>34.75</v>
      </c>
      <c r="AX100" s="3" t="n">
        <f aca="false">0.53/60</f>
        <v>0.00883333333333333</v>
      </c>
      <c r="AY100" s="0" t="s">
        <v>57</v>
      </c>
      <c r="AZ100" s="0" t="s">
        <v>58</v>
      </c>
      <c r="BA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59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64</v>
      </c>
      <c r="P101" s="0" t="s">
        <v>61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P101" s="0" t="n">
        <v>2</v>
      </c>
      <c r="AQ101" s="0" t="n">
        <v>0</v>
      </c>
      <c r="AS101" s="4" t="n">
        <f aca="false">60*U101-SUM(AT101:AX101)</f>
        <v>0</v>
      </c>
      <c r="AT101" s="3" t="n">
        <f aca="false">1+26/60</f>
        <v>1.43333333333333</v>
      </c>
      <c r="AU101" s="3" t="n">
        <f aca="false">65+39/60</f>
        <v>65.65</v>
      </c>
      <c r="AV101" s="3" t="n">
        <f aca="false">20+34/60</f>
        <v>20.5666666666667</v>
      </c>
      <c r="AW101" s="3" t="n">
        <f aca="false">25+53/60</f>
        <v>25.8833333333333</v>
      </c>
      <c r="AX101" s="3" t="n">
        <f aca="false">1+47/60</f>
        <v>1.78333333333333</v>
      </c>
      <c r="AY101" s="0" t="s">
        <v>57</v>
      </c>
      <c r="AZ101" s="0" t="s">
        <v>58</v>
      </c>
      <c r="BA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64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S102" s="4" t="n">
        <f aca="false">60*U102-SUM(AT102:AX102)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64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P103" s="0" t="n">
        <v>1</v>
      </c>
      <c r="AQ103" s="0" t="n">
        <v>3</v>
      </c>
      <c r="AS103" s="4" t="n">
        <f aca="false">60*U103-SUM(AT103:AX103)</f>
        <v>56.9833333333333</v>
      </c>
      <c r="AT103" s="3" t="n">
        <f aca="false">27.25</f>
        <v>27.25</v>
      </c>
      <c r="AU103" s="3" t="n">
        <f aca="false">13+43/60</f>
        <v>13.7166666666667</v>
      </c>
      <c r="AV103" s="3" t="n">
        <f aca="false">14+50/60</f>
        <v>14.8333333333333</v>
      </c>
      <c r="AW103" s="3" t="n">
        <f aca="false">6+13/60</f>
        <v>6.21666666666667</v>
      </c>
      <c r="AX103" s="3" t="n">
        <v>0</v>
      </c>
      <c r="AY103" s="0" t="s">
        <v>57</v>
      </c>
      <c r="AZ103" s="0" t="s">
        <v>58</v>
      </c>
      <c r="BA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64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P104" s="0" t="n">
        <v>4</v>
      </c>
      <c r="AQ104" s="0" t="n">
        <v>0</v>
      </c>
      <c r="AS104" s="4" t="n">
        <f aca="false">60*U104-SUM(AT104:AX104)</f>
        <v>0.25</v>
      </c>
      <c r="AT104" s="3" t="n">
        <f aca="false">3+28/60</f>
        <v>3.46666666666667</v>
      </c>
      <c r="AU104" s="3" t="n">
        <f aca="false">36+3/60</f>
        <v>36.05</v>
      </c>
      <c r="AV104" s="3" t="n">
        <f aca="false">25+52/60</f>
        <v>25.8666666666667</v>
      </c>
      <c r="AW104" s="3" t="n">
        <f aca="false">15+28/60</f>
        <v>15.4666666666667</v>
      </c>
      <c r="AX104" s="3" t="n">
        <f aca="false">37+54/60</f>
        <v>37.9</v>
      </c>
      <c r="AY104" s="0" t="s">
        <v>57</v>
      </c>
      <c r="AZ104" s="0" t="s">
        <v>58</v>
      </c>
      <c r="BA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59</v>
      </c>
      <c r="G105" s="2" t="n">
        <v>93</v>
      </c>
      <c r="I105" s="2" t="n">
        <v>47</v>
      </c>
      <c r="M105" s="0" t="s">
        <v>88</v>
      </c>
      <c r="O105" s="0" t="s">
        <v>55</v>
      </c>
      <c r="P105" s="0" t="s">
        <v>56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P105" s="0" t="n">
        <v>0</v>
      </c>
      <c r="AQ105" s="0" t="n">
        <v>0</v>
      </c>
      <c r="AS105" s="4" t="n">
        <f aca="false">60*U105-SUM(AT105:AX105)</f>
        <v>0.449999999999989</v>
      </c>
      <c r="AT105" s="3" t="n">
        <v>3.25</v>
      </c>
      <c r="AU105" s="3" t="n">
        <f aca="false">19+33/60</f>
        <v>19.55</v>
      </c>
      <c r="AV105" s="3" t="n">
        <f aca="false">6+2/60</f>
        <v>6.03333333333333</v>
      </c>
      <c r="AW105" s="3" t="n">
        <f aca="false">70+13/60</f>
        <v>70.2166666666667</v>
      </c>
      <c r="AX105" s="3" t="n">
        <f aca="false">2.5</f>
        <v>2.5</v>
      </c>
      <c r="AY105" s="0" t="s">
        <v>57</v>
      </c>
      <c r="AZ105" s="0" t="s">
        <v>58</v>
      </c>
      <c r="BA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59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64</v>
      </c>
      <c r="P106" s="0" t="s">
        <v>56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P106" s="0" t="n">
        <v>1</v>
      </c>
      <c r="AQ106" s="0" t="n">
        <v>0</v>
      </c>
      <c r="AS106" s="4" t="n">
        <f aca="false">60*U106-SUM(AT106:AX106)</f>
        <v>0.849999999999994</v>
      </c>
      <c r="AT106" s="3" t="n">
        <f aca="false">5+38/60</f>
        <v>5.63333333333333</v>
      </c>
      <c r="AU106" s="3" t="n">
        <f aca="false">10+45/60</f>
        <v>10.75</v>
      </c>
      <c r="AV106" s="3" t="n">
        <f aca="false">53+46/60</f>
        <v>53.7666666666667</v>
      </c>
      <c r="AW106" s="3" t="n">
        <f aca="false">20</f>
        <v>20</v>
      </c>
      <c r="AX106" s="3" t="n">
        <v>0</v>
      </c>
      <c r="AY106" s="0" t="s">
        <v>57</v>
      </c>
      <c r="AZ106" s="0" t="s">
        <v>58</v>
      </c>
      <c r="BA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59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59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64</v>
      </c>
      <c r="P108" s="0" t="s">
        <v>56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P108" s="0" t="n">
        <v>0</v>
      </c>
      <c r="AQ108" s="0" t="n">
        <v>0</v>
      </c>
      <c r="AS108" s="4" t="n">
        <f aca="false">60*U108-SUM(AT108:AX108)</f>
        <v>0.299999999999983</v>
      </c>
      <c r="AT108" s="3" t="n">
        <v>0</v>
      </c>
      <c r="AU108" s="3" t="n">
        <f aca="false">25/60</f>
        <v>0.416666666666667</v>
      </c>
      <c r="AV108" s="3" t="n">
        <f aca="false">5+33/60</f>
        <v>5.55</v>
      </c>
      <c r="AW108" s="3" t="n">
        <f aca="false">81+3/60</f>
        <v>81.05</v>
      </c>
      <c r="AX108" s="3" t="n">
        <f aca="false">35+41/60</f>
        <v>35.6833333333333</v>
      </c>
      <c r="AY108" s="0" t="s">
        <v>57</v>
      </c>
      <c r="AZ108" s="0" t="s">
        <v>58</v>
      </c>
      <c r="BA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68</v>
      </c>
      <c r="F109" s="0" t="s">
        <v>59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59</v>
      </c>
      <c r="G110" s="2" t="n">
        <v>95</v>
      </c>
      <c r="I110" s="2" t="n">
        <v>41</v>
      </c>
      <c r="M110" s="0" t="s">
        <v>88</v>
      </c>
      <c r="O110" s="0" t="s">
        <v>64</v>
      </c>
      <c r="P110" s="0" t="s">
        <v>56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P110" s="0" t="n">
        <v>1</v>
      </c>
      <c r="AQ110" s="0" t="n">
        <v>1</v>
      </c>
      <c r="AS110" s="4" t="n">
        <f aca="false">60*U110-SUM(AT110:AX110)</f>
        <v>0.11666666666666</v>
      </c>
      <c r="AT110" s="3" t="n">
        <f aca="false">4+27/60</f>
        <v>4.45</v>
      </c>
      <c r="AU110" s="3" t="n">
        <f aca="false">20+54/60</f>
        <v>20.9</v>
      </c>
      <c r="AV110" s="3" t="n">
        <f aca="false">9+35/60</f>
        <v>9.58333333333333</v>
      </c>
      <c r="AW110" s="3" t="n">
        <f aca="false">67+12/60</f>
        <v>67.2</v>
      </c>
      <c r="AX110" s="3" t="n">
        <f aca="false">23+45/60</f>
        <v>23.75</v>
      </c>
      <c r="AY110" s="0" t="s">
        <v>57</v>
      </c>
      <c r="AZ110" s="0" t="s">
        <v>58</v>
      </c>
      <c r="BA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59</v>
      </c>
      <c r="G111" s="2" t="n">
        <v>90</v>
      </c>
      <c r="I111" s="2" t="n">
        <v>57</v>
      </c>
      <c r="M111" s="0" t="s">
        <v>88</v>
      </c>
      <c r="O111" s="0" t="s">
        <v>64</v>
      </c>
      <c r="P111" s="0" t="s">
        <v>56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P111" s="0" t="n">
        <v>0</v>
      </c>
      <c r="AQ111" s="0" t="n">
        <v>0</v>
      </c>
      <c r="AS111" s="4" t="n">
        <f aca="false">60*U111-SUM(AT111:AX111)</f>
        <v>0.0666666666666629</v>
      </c>
      <c r="AT111" s="3" t="n">
        <f aca="false">19/60</f>
        <v>0.316666666666667</v>
      </c>
      <c r="AU111" s="3" t="n">
        <f aca="false">9+11/60</f>
        <v>9.18333333333333</v>
      </c>
      <c r="AV111" s="3" t="n">
        <f aca="false">14+1/60</f>
        <v>14.0166666666667</v>
      </c>
      <c r="AW111" s="3" t="n">
        <f aca="false">39+44/60</f>
        <v>39.7333333333333</v>
      </c>
      <c r="AX111" s="3" t="n">
        <f aca="false">41/60</f>
        <v>0.683333333333333</v>
      </c>
      <c r="AY111" s="0" t="s">
        <v>57</v>
      </c>
      <c r="AZ111" s="0" t="s">
        <v>58</v>
      </c>
      <c r="BA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59</v>
      </c>
      <c r="G112" s="2" t="n">
        <v>97</v>
      </c>
      <c r="I112" s="2" t="n">
        <v>26</v>
      </c>
      <c r="M112" s="0" t="s">
        <v>88</v>
      </c>
      <c r="O112" s="0" t="s">
        <v>64</v>
      </c>
      <c r="P112" s="0" t="s">
        <v>95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P112" s="0" t="n">
        <v>0</v>
      </c>
      <c r="AQ112" s="0" t="n">
        <v>0</v>
      </c>
      <c r="AS112" s="4" t="n">
        <v>0</v>
      </c>
      <c r="AT112" s="3" t="n">
        <v>0</v>
      </c>
      <c r="AU112" s="3" t="n">
        <f aca="false">9+20/60</f>
        <v>9.33333333333333</v>
      </c>
      <c r="AV112" s="3" t="n">
        <f aca="false">21+23/60</f>
        <v>21.3833333333333</v>
      </c>
      <c r="AW112" s="3" t="n">
        <v>0.333333333333333</v>
      </c>
      <c r="AX112" s="3" t="n">
        <v>0</v>
      </c>
      <c r="AY112" s="0" t="s">
        <v>57</v>
      </c>
      <c r="AZ112" s="0" t="s">
        <v>58</v>
      </c>
      <c r="BA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59</v>
      </c>
      <c r="G113" s="2" t="n">
        <v>76</v>
      </c>
      <c r="H113" s="2" t="n">
        <v>43</v>
      </c>
      <c r="I113" s="2" t="n">
        <v>23</v>
      </c>
      <c r="J113" s="2" t="s">
        <v>96</v>
      </c>
      <c r="K113" s="2" t="n">
        <v>12</v>
      </c>
      <c r="L113" s="2" t="n">
        <v>25</v>
      </c>
      <c r="M113" s="0" t="s">
        <v>89</v>
      </c>
      <c r="O113" s="0" t="s">
        <v>55</v>
      </c>
      <c r="P113" s="0" t="s">
        <v>63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P113" s="0" t="n">
        <v>5</v>
      </c>
      <c r="AQ113" s="0" t="n">
        <v>1</v>
      </c>
      <c r="AS113" s="4" t="n">
        <f aca="false">60*U113-SUM(AT113:AX113)</f>
        <v>83.68</v>
      </c>
      <c r="AT113" s="3" t="n">
        <f aca="false">51/60</f>
        <v>0.85</v>
      </c>
      <c r="AU113" s="3" t="n">
        <f aca="false">(33+3/60)</f>
        <v>33.05</v>
      </c>
      <c r="AV113" s="3" t="n">
        <f aca="false">17/60</f>
        <v>0.283333333333333</v>
      </c>
      <c r="AW113" s="3" t="n">
        <f aca="false">(14+54/60)/60</f>
        <v>0.248333333333333</v>
      </c>
      <c r="AX113" s="3" t="n">
        <f aca="false">(53+18/60)/60</f>
        <v>0.888333333333333</v>
      </c>
      <c r="AY113" s="0" t="s">
        <v>57</v>
      </c>
      <c r="AZ113" s="0" t="s">
        <v>58</v>
      </c>
      <c r="BA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59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97</v>
      </c>
      <c r="K114" s="2" t="n">
        <v>7</v>
      </c>
      <c r="L114" s="2" t="n">
        <v>0</v>
      </c>
      <c r="M114" s="0" t="s">
        <v>89</v>
      </c>
      <c r="O114" s="0" t="s">
        <v>55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P114" s="0" t="n">
        <v>0</v>
      </c>
      <c r="AQ114" s="0" t="n">
        <v>0</v>
      </c>
      <c r="AS114" s="4" t="n">
        <f aca="false">60*U114-SUM(AT114:AX114)</f>
        <v>0.38333333333334</v>
      </c>
      <c r="AT114" s="3" t="n">
        <v>0</v>
      </c>
      <c r="AU114" s="3" t="n">
        <f aca="false">7+16/60</f>
        <v>7.26666666666667</v>
      </c>
      <c r="AV114" s="3" t="n">
        <f aca="false">25+43/60</f>
        <v>25.7166666666667</v>
      </c>
      <c r="AW114" s="3" t="n">
        <f aca="false">53+38/60</f>
        <v>53.6333333333333</v>
      </c>
      <c r="AX114" s="3" t="n">
        <v>0</v>
      </c>
      <c r="AY114" s="0" t="s">
        <v>57</v>
      </c>
      <c r="AZ114" s="0" t="s">
        <v>58</v>
      </c>
      <c r="BA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59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98</v>
      </c>
      <c r="K115" s="2" t="n">
        <v>15</v>
      </c>
      <c r="L115" s="2" t="n">
        <v>29</v>
      </c>
      <c r="M115" s="0" t="s">
        <v>89</v>
      </c>
      <c r="O115" s="0" t="s">
        <v>64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P115" s="0" t="n">
        <v>6</v>
      </c>
      <c r="AQ115" s="0" t="n">
        <v>0</v>
      </c>
      <c r="AS115" s="4" t="n">
        <f aca="false">60*U115-SUM(AT115:AX115)</f>
        <v>40.3455555555555</v>
      </c>
      <c r="AT115" s="3" t="n">
        <f aca="false">1+20/60</f>
        <v>1.33333333333333</v>
      </c>
      <c r="AU115" s="3" t="n">
        <f aca="false">23+7/60</f>
        <v>23.1166666666667</v>
      </c>
      <c r="AV115" s="3" t="n">
        <f aca="false">16+33/60</f>
        <v>16.55</v>
      </c>
      <c r="AW115" s="3" t="n">
        <f aca="false">49+58/60</f>
        <v>49.9666666666667</v>
      </c>
      <c r="AX115" s="3" t="n">
        <f aca="false">(41+16/60)/60</f>
        <v>0.687777777777778</v>
      </c>
      <c r="AY115" s="0" t="s">
        <v>57</v>
      </c>
      <c r="AZ115" s="0" t="s">
        <v>58</v>
      </c>
      <c r="BA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59</v>
      </c>
      <c r="G116" s="2" t="n">
        <v>92</v>
      </c>
      <c r="H116" s="2" t="n">
        <v>56</v>
      </c>
      <c r="I116" s="2" t="n">
        <v>30</v>
      </c>
      <c r="J116" s="2" t="s">
        <v>98</v>
      </c>
      <c r="K116" s="2" t="n">
        <v>13</v>
      </c>
      <c r="L116" s="2" t="n">
        <v>22</v>
      </c>
      <c r="M116" s="0" t="s">
        <v>89</v>
      </c>
      <c r="O116" s="0" t="s">
        <v>55</v>
      </c>
      <c r="P116" s="0" t="s">
        <v>95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P116" s="0" t="n">
        <v>0</v>
      </c>
      <c r="AQ116" s="0" t="n">
        <v>0</v>
      </c>
      <c r="AS116" s="4" t="n">
        <f aca="false">60*U116-SUM(AT116:AX116)</f>
        <v>40.8833333333333</v>
      </c>
      <c r="AT116" s="3" t="n">
        <f aca="false">52+36/60</f>
        <v>52.6</v>
      </c>
      <c r="AU116" s="3" t="n">
        <f aca="false">15+57/60</f>
        <v>15.95</v>
      </c>
      <c r="AV116" s="3" t="n">
        <f aca="false">20+35/60</f>
        <v>20.5833333333333</v>
      </c>
      <c r="AW116" s="3" t="n">
        <f aca="false">59/60</f>
        <v>0.983333333333333</v>
      </c>
      <c r="AX116" s="3" t="n">
        <v>0</v>
      </c>
      <c r="AY116" s="0" t="s">
        <v>57</v>
      </c>
      <c r="AZ116" s="0" t="s">
        <v>58</v>
      </c>
      <c r="BA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59</v>
      </c>
      <c r="G117" s="2" t="n">
        <v>92</v>
      </c>
      <c r="H117" s="2" t="n">
        <v>57</v>
      </c>
      <c r="I117" s="2" t="n">
        <v>31</v>
      </c>
      <c r="J117" s="2" t="s">
        <v>99</v>
      </c>
      <c r="K117" s="2" t="n">
        <v>13</v>
      </c>
      <c r="L117" s="2" t="n">
        <v>18</v>
      </c>
      <c r="M117" s="0" t="s">
        <v>89</v>
      </c>
      <c r="O117" s="0" t="s">
        <v>64</v>
      </c>
      <c r="P117" s="0" t="s">
        <v>95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P117" s="0" t="n">
        <v>0</v>
      </c>
      <c r="AQ117" s="0" t="n">
        <v>0</v>
      </c>
      <c r="AS117" s="4" t="n">
        <f aca="false">60*U117-SUM(AT117:AX117)</f>
        <v>0.166666666666671</v>
      </c>
      <c r="AT117" s="3" t="n">
        <f aca="false">9+3/60</f>
        <v>9.05</v>
      </c>
      <c r="AU117" s="3" t="n">
        <f aca="false">62+3/60</f>
        <v>62.05</v>
      </c>
      <c r="AV117" s="3" t="n">
        <f aca="false">32+42/60</f>
        <v>32.7</v>
      </c>
      <c r="AW117" s="3" t="n">
        <f aca="false">5+2/60</f>
        <v>5.03333333333333</v>
      </c>
      <c r="AX117" s="3" t="n">
        <v>0</v>
      </c>
      <c r="AY117" s="0" t="s">
        <v>57</v>
      </c>
      <c r="AZ117" s="0" t="s">
        <v>58</v>
      </c>
      <c r="BA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59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98</v>
      </c>
      <c r="K118" s="2" t="n">
        <v>7</v>
      </c>
      <c r="L118" s="2" t="n">
        <v>0</v>
      </c>
      <c r="M118" s="0" t="s">
        <v>89</v>
      </c>
      <c r="O118" s="0" t="s">
        <v>55</v>
      </c>
      <c r="P118" s="0" t="s">
        <v>95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P118" s="0" t="n">
        <v>0</v>
      </c>
      <c r="AQ118" s="0" t="n">
        <v>1</v>
      </c>
      <c r="AS118" s="4" t="n">
        <f aca="false">60*U118-SUM(AT118:AX118)</f>
        <v>0</v>
      </c>
      <c r="AT118" s="3" t="n">
        <f aca="false">0+12/60</f>
        <v>0.2</v>
      </c>
      <c r="AU118" s="3" t="n">
        <f aca="false">5+24/60</f>
        <v>5.4</v>
      </c>
      <c r="AV118" s="3" t="n">
        <f aca="false">7+26/60</f>
        <v>7.43333333333333</v>
      </c>
      <c r="AW118" s="3" t="n">
        <f aca="false">87+58/60</f>
        <v>87.9666666666667</v>
      </c>
      <c r="AX118" s="3" t="n">
        <v>2</v>
      </c>
      <c r="AY118" s="0" t="s">
        <v>57</v>
      </c>
      <c r="AZ118" s="0" t="s">
        <v>58</v>
      </c>
      <c r="BA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59</v>
      </c>
      <c r="G119" s="2" t="n">
        <v>92</v>
      </c>
      <c r="H119" s="2" t="n">
        <v>63</v>
      </c>
      <c r="I119" s="2" t="n">
        <v>39</v>
      </c>
      <c r="J119" s="2" t="s">
        <v>100</v>
      </c>
      <c r="K119" s="2" t="n">
        <v>11</v>
      </c>
      <c r="L119" s="2" t="n">
        <v>0</v>
      </c>
      <c r="M119" s="0" t="s">
        <v>89</v>
      </c>
      <c r="O119" s="0" t="s">
        <v>64</v>
      </c>
      <c r="P119" s="0" t="s">
        <v>56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P119" s="0" t="n">
        <v>2</v>
      </c>
      <c r="AQ119" s="0" t="n">
        <v>0</v>
      </c>
      <c r="AS119" s="4" t="n">
        <v>0</v>
      </c>
      <c r="AT119" s="3" t="n">
        <v>0</v>
      </c>
      <c r="AU119" s="3" t="n">
        <f aca="false">1+26/60</f>
        <v>1.43333333333333</v>
      </c>
      <c r="AV119" s="3" t="n">
        <f aca="false">11+14/60</f>
        <v>11.2333333333333</v>
      </c>
      <c r="AW119" s="3" t="n">
        <f aca="false">37</f>
        <v>37</v>
      </c>
      <c r="AX119" s="3" t="n">
        <f aca="false">74+27/60</f>
        <v>74.45</v>
      </c>
      <c r="AY119" s="0" t="s">
        <v>57</v>
      </c>
      <c r="AZ119" s="0" t="s">
        <v>58</v>
      </c>
      <c r="BA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59</v>
      </c>
      <c r="G120" s="2" t="n">
        <v>93</v>
      </c>
      <c r="H120" s="2" t="n">
        <v>54</v>
      </c>
      <c r="I120" s="2" t="n">
        <v>28</v>
      </c>
      <c r="J120" s="2" t="s">
        <v>100</v>
      </c>
      <c r="K120" s="2" t="n">
        <v>17</v>
      </c>
      <c r="L120" s="2" t="n">
        <v>28</v>
      </c>
      <c r="M120" s="0" t="s">
        <v>89</v>
      </c>
      <c r="O120" s="0" t="s">
        <v>55</v>
      </c>
      <c r="P120" s="0" t="s">
        <v>56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P120" s="0" t="n">
        <v>3</v>
      </c>
      <c r="AQ120" s="0" t="n">
        <v>1</v>
      </c>
      <c r="AS120" s="4" t="n">
        <f aca="false">60*U120-SUM(AT120:AX120)</f>
        <v>-0.0999999999999943</v>
      </c>
      <c r="AT120" s="3" t="n">
        <v>0</v>
      </c>
      <c r="AU120" s="3" t="n">
        <f aca="false">11+9/60</f>
        <v>11.15</v>
      </c>
      <c r="AV120" s="3" t="n">
        <f aca="false">34+10/60</f>
        <v>34.1666666666667</v>
      </c>
      <c r="AW120" s="3" t="n">
        <f aca="false">78+24/60</f>
        <v>78.4</v>
      </c>
      <c r="AX120" s="3" t="n">
        <f aca="false">11+23/60</f>
        <v>11.3833333333333</v>
      </c>
      <c r="AY120" s="0" t="s">
        <v>57</v>
      </c>
      <c r="AZ120" s="0" t="s">
        <v>58</v>
      </c>
      <c r="BA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59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98</v>
      </c>
      <c r="K121" s="2" t="n">
        <v>14</v>
      </c>
      <c r="L121" s="2" t="n">
        <v>23</v>
      </c>
      <c r="M121" s="0" t="s">
        <v>89</v>
      </c>
      <c r="O121" s="0" t="s">
        <v>55</v>
      </c>
      <c r="P121" s="0" t="s">
        <v>56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P121" s="0" t="n">
        <v>2</v>
      </c>
      <c r="AQ121" s="0" t="n">
        <v>0</v>
      </c>
      <c r="AS121" s="4" t="n">
        <v>0</v>
      </c>
      <c r="AT121" s="3" t="n">
        <f aca="false">0.11/60</f>
        <v>0.00183333333333333</v>
      </c>
      <c r="AU121" s="3" t="n">
        <f aca="false">3+57/60</f>
        <v>3.95</v>
      </c>
      <c r="AV121" s="3" t="n">
        <v>25</v>
      </c>
      <c r="AW121" s="3" t="n">
        <f aca="false">71+42/60</f>
        <v>71.7</v>
      </c>
      <c r="AX121" s="3" t="n">
        <f aca="false">32+14/60</f>
        <v>32.2333333333333</v>
      </c>
      <c r="AY121" s="0" t="s">
        <v>57</v>
      </c>
      <c r="AZ121" s="0" t="s">
        <v>58</v>
      </c>
      <c r="BA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68</v>
      </c>
      <c r="F122" s="0" t="s">
        <v>59</v>
      </c>
      <c r="G122" s="2" t="n">
        <v>88</v>
      </c>
      <c r="H122" s="2" t="n">
        <v>68</v>
      </c>
      <c r="I122" s="2" t="n">
        <v>52</v>
      </c>
      <c r="J122" s="2" t="s">
        <v>101</v>
      </c>
      <c r="K122" s="2" t="n">
        <v>16</v>
      </c>
      <c r="L122" s="2" t="n">
        <v>0</v>
      </c>
      <c r="M122" s="0" t="s">
        <v>88</v>
      </c>
      <c r="AS122" s="4" t="n">
        <f aca="false">60*U122-SUM(AT122:AX122)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59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98</v>
      </c>
      <c r="K123" s="2" t="n">
        <f aca="false">AVERAGE(9,6)</f>
        <v>7.5</v>
      </c>
      <c r="L123" s="2" t="n">
        <v>0</v>
      </c>
      <c r="M123" s="0" t="s">
        <v>89</v>
      </c>
      <c r="O123" s="0" t="s">
        <v>55</v>
      </c>
      <c r="P123" s="0" t="s">
        <v>56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P123" s="0" t="n">
        <v>3</v>
      </c>
      <c r="AQ123" s="0" t="n">
        <v>3</v>
      </c>
      <c r="AS123" s="4" t="n">
        <f aca="false">60*U123-SUM(AT123:AX123)</f>
        <v>2.33333333333334</v>
      </c>
      <c r="AT123" s="3" t="n">
        <f aca="false">35+11/60</f>
        <v>35.1833333333333</v>
      </c>
      <c r="AU123" s="3" t="n">
        <f aca="false">86+30/60</f>
        <v>86.5</v>
      </c>
      <c r="AV123" s="3" t="n">
        <f aca="false">18+2/60</f>
        <v>18.0333333333333</v>
      </c>
      <c r="AW123" s="3" t="n">
        <f aca="false">57/60</f>
        <v>0.95</v>
      </c>
      <c r="AX123" s="3" t="n">
        <v>0</v>
      </c>
      <c r="AY123" s="0" t="s">
        <v>57</v>
      </c>
      <c r="AZ123" s="0" t="s">
        <v>58</v>
      </c>
      <c r="BA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59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102</v>
      </c>
      <c r="K124" s="2" t="n">
        <v>9</v>
      </c>
      <c r="L124" s="2" t="n">
        <v>0</v>
      </c>
      <c r="M124" s="0" t="s">
        <v>88</v>
      </c>
      <c r="O124" s="0" t="s">
        <v>55</v>
      </c>
      <c r="P124" s="0" t="s">
        <v>56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P124" s="0" t="n">
        <v>1</v>
      </c>
      <c r="AQ124" s="0" t="n">
        <v>0</v>
      </c>
      <c r="AS124" s="4" t="n">
        <f aca="false">60*U124-SUM(AT124:AX124)</f>
        <v>0.0500000000000043</v>
      </c>
      <c r="AT124" s="3" t="n">
        <v>0</v>
      </c>
      <c r="AU124" s="3" t="n">
        <f aca="false">6+55/60</f>
        <v>6.91666666666667</v>
      </c>
      <c r="AV124" s="3" t="n">
        <f aca="false">10.5</f>
        <v>10.5</v>
      </c>
      <c r="AW124" s="3" t="n">
        <f aca="false">40+15/60</f>
        <v>40.25</v>
      </c>
      <c r="AX124" s="3" t="n">
        <f aca="false">5+17/60</f>
        <v>5.28333333333333</v>
      </c>
      <c r="AY124" s="0" t="s">
        <v>57</v>
      </c>
      <c r="AZ124" s="0" t="s">
        <v>58</v>
      </c>
      <c r="BA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59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98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55</v>
      </c>
      <c r="P125" s="0" t="s">
        <v>56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P125" s="0" t="n">
        <v>2</v>
      </c>
      <c r="AQ125" s="0" t="n">
        <v>1</v>
      </c>
      <c r="AS125" s="4" t="n">
        <f aca="false">60*U125-SUM(AT125:AX125)</f>
        <v>0.0166666666666515</v>
      </c>
      <c r="AT125" s="3" t="n">
        <f aca="false">39+18/60</f>
        <v>39.3</v>
      </c>
      <c r="AU125" s="3" t="n">
        <f aca="false">86+17/60</f>
        <v>86.2833333333333</v>
      </c>
      <c r="AV125" s="3" t="n">
        <f aca="false">10+39/60</f>
        <v>10.65</v>
      </c>
      <c r="AW125" s="3" t="n">
        <f aca="false">0.75</f>
        <v>0.75</v>
      </c>
      <c r="AX125" s="3" t="n">
        <v>0</v>
      </c>
      <c r="AY125" s="0" t="s">
        <v>57</v>
      </c>
      <c r="AZ125" s="0" t="s">
        <v>58</v>
      </c>
      <c r="BA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102</v>
      </c>
      <c r="K126" s="2" t="n">
        <v>5</v>
      </c>
      <c r="L126" s="2" t="n">
        <v>0</v>
      </c>
      <c r="M126" s="0" t="s">
        <v>88</v>
      </c>
      <c r="O126" s="0" t="s">
        <v>55</v>
      </c>
      <c r="P126" s="0" t="s">
        <v>95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P126" s="0" t="n">
        <v>0</v>
      </c>
      <c r="AQ126" s="0" t="n">
        <v>1</v>
      </c>
      <c r="AS126" s="4" t="n">
        <v>0</v>
      </c>
      <c r="AT126" s="3" t="n">
        <f aca="false">5+27/60</f>
        <v>5.45</v>
      </c>
      <c r="AU126" s="3" t="n">
        <f aca="false">31+9/60</f>
        <v>31.15</v>
      </c>
      <c r="AV126" s="3" t="n">
        <f aca="false">47+1/60</f>
        <v>47.0166666666667</v>
      </c>
      <c r="AW126" s="3" t="n">
        <f aca="false">24+47/60</f>
        <v>24.7833333333333</v>
      </c>
      <c r="AX126" s="3" t="n">
        <f aca="false">16/60</f>
        <v>0.266666666666667</v>
      </c>
      <c r="AY126" s="0" t="s">
        <v>57</v>
      </c>
      <c r="AZ126" s="0" t="s">
        <v>58</v>
      </c>
      <c r="BA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59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103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64</v>
      </c>
      <c r="P127" s="0" t="s">
        <v>56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P127" s="0" t="n">
        <v>2</v>
      </c>
      <c r="AQ127" s="0" t="n">
        <v>0</v>
      </c>
      <c r="AS127" s="4" t="n">
        <f aca="false">60*U127-SUM(AT127:AX127)</f>
        <v>60.1</v>
      </c>
      <c r="AT127" s="3" t="n">
        <f aca="false">41+7/60</f>
        <v>41.1166666666667</v>
      </c>
      <c r="AU127" s="3" t="n">
        <f aca="false">26+16/60</f>
        <v>26.2666666666667</v>
      </c>
      <c r="AV127" s="3" t="n">
        <f aca="false">20+31/60</f>
        <v>20.5166666666667</v>
      </c>
      <c r="AW127" s="3" t="n">
        <v>0</v>
      </c>
      <c r="AX127" s="3" t="n">
        <v>0</v>
      </c>
      <c r="AY127" s="0" t="s">
        <v>57</v>
      </c>
      <c r="AZ127" s="0" t="s">
        <v>58</v>
      </c>
      <c r="BA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59</v>
      </c>
      <c r="G128" s="2" t="n">
        <v>85</v>
      </c>
      <c r="H128" s="2" t="n">
        <v>70</v>
      </c>
      <c r="I128" s="2" t="n">
        <v>61</v>
      </c>
      <c r="J128" s="2" t="s">
        <v>104</v>
      </c>
      <c r="K128" s="2" t="n">
        <v>9</v>
      </c>
      <c r="L128" s="2" t="n">
        <v>0</v>
      </c>
      <c r="M128" s="0" t="s">
        <v>88</v>
      </c>
      <c r="O128" s="0" t="s">
        <v>55</v>
      </c>
      <c r="P128" s="0" t="s">
        <v>95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P128" s="0" t="n">
        <v>0</v>
      </c>
      <c r="AQ128" s="0" t="n">
        <v>1</v>
      </c>
      <c r="AS128" s="4" t="n">
        <v>0</v>
      </c>
      <c r="AT128" s="3" t="n">
        <v>0</v>
      </c>
      <c r="AU128" s="3" t="n">
        <f aca="false">15+31/60</f>
        <v>15.5166666666667</v>
      </c>
      <c r="AV128" s="3" t="n">
        <f aca="false">34+5/60</f>
        <v>34.0833333333333</v>
      </c>
      <c r="AW128" s="3" t="n">
        <f aca="false">55+49/60</f>
        <v>55.8166666666667</v>
      </c>
      <c r="AX128" s="3" t="n">
        <f aca="false">49/60</f>
        <v>0.816666666666667</v>
      </c>
      <c r="AY128" s="0" t="s">
        <v>57</v>
      </c>
      <c r="AZ128" s="0" t="s">
        <v>58</v>
      </c>
      <c r="BA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54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98</v>
      </c>
      <c r="K129" s="2" t="n">
        <v>15</v>
      </c>
      <c r="L129" s="2" t="n">
        <v>23</v>
      </c>
      <c r="M129" s="0" t="s">
        <v>88</v>
      </c>
      <c r="O129" s="0" t="s">
        <v>105</v>
      </c>
      <c r="P129" s="0" t="s">
        <v>106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P129" s="0" t="n">
        <v>2</v>
      </c>
      <c r="AQ129" s="0" t="n">
        <v>0</v>
      </c>
      <c r="AS129" s="4" t="n">
        <f aca="false">60*U129-SUM(AT129:AX129)</f>
        <v>40.8333333333333</v>
      </c>
      <c r="AT129" s="3" t="n">
        <f aca="false">60+3/60</f>
        <v>60.05</v>
      </c>
      <c r="AU129" s="3" t="n">
        <f aca="false">42+38/60</f>
        <v>42.6333333333333</v>
      </c>
      <c r="AV129" s="3" t="n">
        <f aca="false">3+29/60</f>
        <v>3.48333333333333</v>
      </c>
      <c r="AW129" s="3" t="n">
        <v>0</v>
      </c>
      <c r="AX129" s="3" t="n">
        <v>0</v>
      </c>
      <c r="AY129" s="0" t="s">
        <v>57</v>
      </c>
      <c r="AZ129" s="0" t="s">
        <v>58</v>
      </c>
      <c r="BA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107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98</v>
      </c>
      <c r="K130" s="2" t="n">
        <v>14</v>
      </c>
      <c r="L130" s="2" t="n">
        <v>26</v>
      </c>
      <c r="M130" s="0" t="s">
        <v>88</v>
      </c>
      <c r="O130" s="0" t="s">
        <v>55</v>
      </c>
      <c r="P130" s="0" t="s">
        <v>95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P130" s="0" t="n">
        <v>1</v>
      </c>
      <c r="AQ130" s="0" t="n">
        <v>2</v>
      </c>
      <c r="AS130" s="4" t="n">
        <v>0</v>
      </c>
      <c r="AT130" s="3" t="n">
        <f aca="false">0+52/60</f>
        <v>0.866666666666667</v>
      </c>
      <c r="AU130" s="3" t="n">
        <f aca="false">36+30/60</f>
        <v>36.5</v>
      </c>
      <c r="AV130" s="3" t="n">
        <f aca="false">25+38/50</f>
        <v>25.76</v>
      </c>
      <c r="AW130" s="3" t="n">
        <f aca="false">35+22/60</f>
        <v>35.3666666666667</v>
      </c>
      <c r="AX130" s="3" t="n">
        <f aca="false">6+30/60</f>
        <v>6.5</v>
      </c>
      <c r="AY130" s="0" t="s">
        <v>57</v>
      </c>
      <c r="AZ130" s="0" t="s">
        <v>58</v>
      </c>
      <c r="BA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68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98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59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98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105</v>
      </c>
      <c r="P132" s="0" t="s">
        <v>95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P132" s="0" t="n">
        <v>1</v>
      </c>
      <c r="AQ132" s="0" t="n">
        <v>0</v>
      </c>
      <c r="AR132" s="0" t="n">
        <v>0</v>
      </c>
      <c r="AS132" s="4" t="n">
        <f aca="false">60*U132-SUM(AT132:AX132)</f>
        <v>0.75</v>
      </c>
      <c r="AT132" s="3" t="n">
        <f aca="false">42+15/60</f>
        <v>42.25</v>
      </c>
      <c r="AU132" s="3" t="n">
        <f aca="false">48+32/60</f>
        <v>48.5333333333333</v>
      </c>
      <c r="AV132" s="3" t="n">
        <f aca="false">15+22/60</f>
        <v>15.3666666666667</v>
      </c>
      <c r="AW132" s="3" t="n">
        <f aca="false">2+6/60</f>
        <v>2.1</v>
      </c>
      <c r="AX132" s="3" t="n">
        <v>0</v>
      </c>
      <c r="AY132" s="0" t="s">
        <v>57</v>
      </c>
      <c r="AZ132" s="0" t="s">
        <v>58</v>
      </c>
      <c r="BA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98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105</v>
      </c>
      <c r="P133" s="0" t="s">
        <v>95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P133" s="0" t="n">
        <v>0</v>
      </c>
      <c r="AQ133" s="0" t="n">
        <v>1</v>
      </c>
      <c r="AR133" s="0" t="n">
        <v>1</v>
      </c>
      <c r="AS133" s="4" t="n">
        <f aca="false">60*U133-SUM(AT133:AX133)</f>
        <v>32.3</v>
      </c>
      <c r="AT133" s="3" t="n">
        <f aca="false">52+17/60</f>
        <v>52.2833333333333</v>
      </c>
      <c r="AU133" s="3" t="n">
        <f aca="false">18+48/60</f>
        <v>18.8</v>
      </c>
      <c r="AV133" s="3" t="n">
        <f aca="false">8+37/60</f>
        <v>8.61666666666667</v>
      </c>
      <c r="AW133" s="3" t="n">
        <v>0</v>
      </c>
      <c r="AX133" s="3" t="n">
        <v>0</v>
      </c>
      <c r="AY133" s="0" t="s">
        <v>57</v>
      </c>
      <c r="AZ133" s="0" t="s">
        <v>58</v>
      </c>
      <c r="BA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98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55</v>
      </c>
      <c r="P134" s="0" t="s">
        <v>95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P134" s="0" t="n">
        <v>2</v>
      </c>
      <c r="AQ134" s="0" t="n">
        <v>1</v>
      </c>
      <c r="AR134" s="0" t="n">
        <v>0</v>
      </c>
      <c r="AS134" s="4" t="n">
        <f aca="false">60*U134-SUM(AT134:AX134)</f>
        <v>0.049999999999983</v>
      </c>
      <c r="AT134" s="3" t="n">
        <f aca="false">1+23/60</f>
        <v>1.38333333333333</v>
      </c>
      <c r="AU134" s="3" t="n">
        <f aca="false">22+44/60</f>
        <v>22.7333333333333</v>
      </c>
      <c r="AV134" s="3" t="n">
        <f aca="false">27+52/60</f>
        <v>27.8666666666667</v>
      </c>
      <c r="AW134" s="3" t="n">
        <f aca="false">57+46/60</f>
        <v>57.7666666666667</v>
      </c>
      <c r="AX134" s="3" t="n">
        <f aca="false">2+12/60</f>
        <v>2.2</v>
      </c>
      <c r="AY134" s="0" t="s">
        <v>57</v>
      </c>
      <c r="AZ134" s="0" t="s">
        <v>58</v>
      </c>
      <c r="BA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54</v>
      </c>
      <c r="G135" s="2" t="n">
        <v>92</v>
      </c>
      <c r="H135" s="2" t="n">
        <v>76</v>
      </c>
      <c r="I135" s="2" t="n">
        <v>59</v>
      </c>
      <c r="J135" s="2" t="s">
        <v>108</v>
      </c>
      <c r="K135" s="2" t="n">
        <v>10</v>
      </c>
      <c r="L135" s="2" t="n">
        <v>0</v>
      </c>
      <c r="M135" s="0" t="s">
        <v>88</v>
      </c>
      <c r="O135" s="0" t="s">
        <v>55</v>
      </c>
      <c r="P135" s="0" t="s">
        <v>95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P135" s="0" t="n">
        <v>0</v>
      </c>
      <c r="AQ135" s="0" t="n">
        <v>0</v>
      </c>
      <c r="AR135" s="0" t="n">
        <v>0</v>
      </c>
      <c r="AS135" s="4" t="n">
        <f aca="false">60*U135-SUM(AT135:AX135)</f>
        <v>26.7166666666667</v>
      </c>
      <c r="AT135" s="3" t="n">
        <f aca="false">13+23/60</f>
        <v>13.3833333333333</v>
      </c>
      <c r="AU135" s="3" t="n">
        <f aca="false">23+15/60</f>
        <v>23.25</v>
      </c>
      <c r="AV135" s="3" t="n">
        <f aca="false">39/60</f>
        <v>0.65</v>
      </c>
      <c r="AW135" s="3" t="n">
        <v>0</v>
      </c>
      <c r="AX135" s="3" t="n">
        <v>0</v>
      </c>
      <c r="AY135" s="0" t="s">
        <v>57</v>
      </c>
      <c r="AZ135" s="0" t="s">
        <v>58</v>
      </c>
      <c r="BA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59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100</v>
      </c>
      <c r="K136" s="2" t="n">
        <v>3</v>
      </c>
      <c r="L136" s="2" t="n">
        <v>0</v>
      </c>
      <c r="M136" s="0" t="s">
        <v>88</v>
      </c>
      <c r="O136" s="0" t="s">
        <v>105</v>
      </c>
      <c r="P136" s="0" t="s">
        <v>106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P136" s="0" t="n">
        <v>0</v>
      </c>
      <c r="AQ136" s="0" t="n">
        <v>0</v>
      </c>
      <c r="AR136" s="0" t="n">
        <v>0</v>
      </c>
      <c r="AS136" s="4" t="n">
        <f aca="false">60*U136-SUM(AT136:AX136)</f>
        <v>38.9833333333333</v>
      </c>
      <c r="AT136" s="3" t="n">
        <f aca="false">16+9/60</f>
        <v>16.15</v>
      </c>
      <c r="AU136" s="3" t="n">
        <f aca="false">39+14/60</f>
        <v>39.2333333333333</v>
      </c>
      <c r="AV136" s="3" t="n">
        <f aca="false">27+38/60</f>
        <v>27.6333333333333</v>
      </c>
      <c r="AW136" s="3" t="n">
        <v>0</v>
      </c>
      <c r="AX136" s="3" t="n">
        <v>0</v>
      </c>
      <c r="AY136" s="0" t="s">
        <v>57</v>
      </c>
      <c r="AZ136" s="0" t="s">
        <v>58</v>
      </c>
      <c r="BA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59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98</v>
      </c>
      <c r="K137" s="2" t="n">
        <f aca="false">AVERAGE(5,6)</f>
        <v>5.5</v>
      </c>
      <c r="L137" s="2" t="n">
        <v>0</v>
      </c>
      <c r="M137" s="0" t="s">
        <v>88</v>
      </c>
      <c r="O137" s="0" t="s">
        <v>55</v>
      </c>
      <c r="P137" s="0" t="s">
        <v>95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P137" s="0" t="n">
        <v>0</v>
      </c>
      <c r="AQ137" s="0" t="n">
        <v>1</v>
      </c>
      <c r="AS137" s="4" t="n">
        <f aca="false">60*U137-SUM(AT137:AX137)</f>
        <v>0.216666666666669</v>
      </c>
      <c r="AT137" s="3" t="n">
        <f aca="false">2/60</f>
        <v>0.0333333333333333</v>
      </c>
      <c r="AU137" s="3" t="n">
        <f aca="false">2</f>
        <v>2</v>
      </c>
      <c r="AV137" s="3" t="n">
        <f aca="false">8+43/60</f>
        <v>8.71666666666667</v>
      </c>
      <c r="AW137" s="3" t="n">
        <f aca="false">51+31/60</f>
        <v>51.5166666666667</v>
      </c>
      <c r="AX137" s="3" t="n">
        <f aca="false">24+31/60</f>
        <v>24.5166666666667</v>
      </c>
      <c r="AY137" s="0" t="s">
        <v>57</v>
      </c>
      <c r="AZ137" s="0" t="s">
        <v>58</v>
      </c>
      <c r="BA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59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103</v>
      </c>
      <c r="K138" s="2" t="n">
        <v>5</v>
      </c>
      <c r="L138" s="2" t="n">
        <v>0</v>
      </c>
      <c r="M138" s="0" t="s">
        <v>88</v>
      </c>
      <c r="O138" s="0" t="s">
        <v>105</v>
      </c>
      <c r="P138" s="0" t="s">
        <v>106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P138" s="0" t="n">
        <v>0</v>
      </c>
      <c r="AQ138" s="0" t="n">
        <v>0</v>
      </c>
      <c r="AR138" s="0" t="n">
        <v>0</v>
      </c>
      <c r="AS138" s="4" t="n">
        <f aca="false">60*U138-SUM(AT138:AX138)</f>
        <v>6</v>
      </c>
      <c r="AT138" s="3" t="n">
        <f aca="false">38+56/60</f>
        <v>38.9333333333333</v>
      </c>
      <c r="AU138" s="3" t="n">
        <f aca="false">46+46/60</f>
        <v>46.7666666666667</v>
      </c>
      <c r="AV138" s="3" t="n">
        <f aca="false">18+40/60</f>
        <v>18.6666666666667</v>
      </c>
      <c r="AW138" s="3" t="n">
        <f aca="false">18+38/60</f>
        <v>18.6333333333333</v>
      </c>
      <c r="AX138" s="3" t="n">
        <v>0</v>
      </c>
      <c r="AY138" s="0" t="s">
        <v>57</v>
      </c>
      <c r="AZ138" s="0" t="s">
        <v>58</v>
      </c>
      <c r="BA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101</v>
      </c>
      <c r="K139" s="2" t="n">
        <v>0</v>
      </c>
      <c r="L139" s="2" t="n">
        <v>0</v>
      </c>
      <c r="M139" s="0" t="s">
        <v>88</v>
      </c>
      <c r="O139" s="0" t="s">
        <v>55</v>
      </c>
      <c r="P139" s="0" t="s">
        <v>106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P139" s="0" t="n">
        <v>1</v>
      </c>
      <c r="AQ139" s="0" t="n">
        <v>3</v>
      </c>
      <c r="AR139" s="0" t="n">
        <v>0</v>
      </c>
      <c r="AS139" s="4" t="n">
        <f aca="false">60*U139-SUM(AT139:AX139)</f>
        <v>6.95</v>
      </c>
      <c r="AT139" s="3" t="n">
        <f aca="false">68+50/60</f>
        <v>68.8333333333333</v>
      </c>
      <c r="AU139" s="3" t="n">
        <f aca="false">29+24/60</f>
        <v>29.4</v>
      </c>
      <c r="AV139" s="3" t="n">
        <f aca="false">11</f>
        <v>11</v>
      </c>
      <c r="AW139" s="3" t="n">
        <f aca="false">4+49/60</f>
        <v>4.81666666666667</v>
      </c>
      <c r="AX139" s="3" t="n">
        <v>0</v>
      </c>
      <c r="AY139" s="0" t="s">
        <v>57</v>
      </c>
      <c r="AZ139" s="0" t="s">
        <v>58</v>
      </c>
      <c r="BA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101</v>
      </c>
      <c r="K140" s="2" t="n">
        <v>0</v>
      </c>
      <c r="L140" s="2" t="n">
        <v>0</v>
      </c>
      <c r="M140" s="0" t="s">
        <v>88</v>
      </c>
      <c r="O140" s="0" t="s">
        <v>105</v>
      </c>
      <c r="P140" s="0" t="s">
        <v>106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P140" s="0" t="n">
        <v>1</v>
      </c>
      <c r="AQ140" s="0" t="n">
        <v>3</v>
      </c>
      <c r="AR140" s="0" t="n">
        <v>1</v>
      </c>
      <c r="AS140" s="4" t="n">
        <f aca="false">60*U140-SUM(AT140:AX140)</f>
        <v>6.95</v>
      </c>
      <c r="AT140" s="3" t="n">
        <f aca="false">68+50/60</f>
        <v>68.8333333333333</v>
      </c>
      <c r="AU140" s="3" t="n">
        <f aca="false">29+24/60</f>
        <v>29.4</v>
      </c>
      <c r="AV140" s="3" t="n">
        <f aca="false">11</f>
        <v>11</v>
      </c>
      <c r="AW140" s="3" t="n">
        <f aca="false">4+49/60</f>
        <v>4.81666666666667</v>
      </c>
      <c r="AX140" s="3" t="n">
        <v>0</v>
      </c>
      <c r="AY140" s="0" t="s">
        <v>57</v>
      </c>
      <c r="AZ140" s="0" t="s">
        <v>58</v>
      </c>
      <c r="BA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109</v>
      </c>
      <c r="F141" s="0" t="s">
        <v>54</v>
      </c>
      <c r="G141" s="2" t="n">
        <v>79</v>
      </c>
      <c r="H141" s="2" t="n">
        <v>75</v>
      </c>
      <c r="I141" s="2" t="n">
        <v>88</v>
      </c>
      <c r="J141" s="2" t="s">
        <v>101</v>
      </c>
      <c r="K141" s="2" t="n">
        <v>10</v>
      </c>
      <c r="L141" s="2" t="n">
        <v>0</v>
      </c>
      <c r="M141" s="0" t="s">
        <v>88</v>
      </c>
      <c r="P141" s="0" t="s">
        <v>95</v>
      </c>
      <c r="AY141" s="0" t="s">
        <v>57</v>
      </c>
      <c r="AZ141" s="0" t="s">
        <v>58</v>
      </c>
      <c r="BA141" s="0" t="n">
        <v>1</v>
      </c>
      <c r="BB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100</v>
      </c>
      <c r="K142" s="2" t="n">
        <v>15</v>
      </c>
      <c r="L142" s="2" t="n">
        <v>0</v>
      </c>
      <c r="M142" s="0" t="s">
        <v>88</v>
      </c>
      <c r="O142" s="0" t="s">
        <v>105</v>
      </c>
      <c r="P142" s="0" t="s">
        <v>106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P142" s="0" t="n">
        <v>0</v>
      </c>
      <c r="AQ142" s="0" t="n">
        <v>0</v>
      </c>
      <c r="AR142" s="0" t="n">
        <v>0</v>
      </c>
      <c r="AS142" s="4" t="n">
        <f aca="false">60*U142-SUM(AT142:AX142)</f>
        <v>30.3333333333333</v>
      </c>
      <c r="AT142" s="3" t="n">
        <f aca="false">60+41/60</f>
        <v>60.6833333333333</v>
      </c>
      <c r="AU142" s="3" t="n">
        <f aca="false">22+43/60</f>
        <v>22.7166666666667</v>
      </c>
      <c r="AV142" s="3" t="n">
        <f aca="false">5</f>
        <v>5</v>
      </c>
      <c r="AW142" s="3" t="n">
        <v>0.266666666666667</v>
      </c>
      <c r="AX142" s="3" t="n">
        <v>0</v>
      </c>
      <c r="AY142" s="0" t="s">
        <v>57</v>
      </c>
      <c r="AZ142" s="0" t="s">
        <v>58</v>
      </c>
      <c r="BA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59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98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55</v>
      </c>
      <c r="P143" s="0" t="s">
        <v>106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P143" s="0" t="n">
        <v>1</v>
      </c>
      <c r="AQ143" s="0" t="n">
        <v>0</v>
      </c>
      <c r="AR143" s="0" t="n">
        <v>0</v>
      </c>
      <c r="AS143" s="4" t="n">
        <f aca="false">60*U143-SUM(AT143:AX143)</f>
        <v>5.06666666666666</v>
      </c>
      <c r="AT143" s="3" t="n">
        <f aca="false">60+47/60</f>
        <v>60.7833333333333</v>
      </c>
      <c r="AU143" s="3" t="n">
        <f aca="false">37+38/60</f>
        <v>37.6333333333333</v>
      </c>
      <c r="AV143" s="3" t="n">
        <f aca="false">11+6/60</f>
        <v>11.1</v>
      </c>
      <c r="AW143" s="3" t="n">
        <f aca="false">5+11/60</f>
        <v>5.18333333333333</v>
      </c>
      <c r="AX143" s="3" t="n">
        <f aca="false">14/60</f>
        <v>0.233333333333333</v>
      </c>
      <c r="AY143" s="0" t="s">
        <v>57</v>
      </c>
      <c r="AZ143" s="0" t="s">
        <v>58</v>
      </c>
      <c r="BA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9" t="s">
        <v>110</v>
      </c>
      <c r="K144" s="2" t="n">
        <v>8</v>
      </c>
      <c r="L144" s="2" t="n">
        <v>0</v>
      </c>
      <c r="M144" s="0" t="s">
        <v>88</v>
      </c>
      <c r="O144" s="0" t="s">
        <v>105</v>
      </c>
      <c r="P144" s="0" t="s">
        <v>95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P144" s="0" t="n">
        <v>0</v>
      </c>
      <c r="AQ144" s="0" t="n">
        <v>0</v>
      </c>
      <c r="AR144" s="0" t="n">
        <v>0</v>
      </c>
      <c r="AS144" s="4" t="n">
        <f aca="false">60*U144-SUM(AT144:AX144)</f>
        <v>1.86666666666667</v>
      </c>
      <c r="AT144" s="3" t="n">
        <f aca="false">23+6/60</f>
        <v>23.1</v>
      </c>
      <c r="AU144" s="3" t="n">
        <f aca="false">57+40/60</f>
        <v>57.6666666666667</v>
      </c>
      <c r="AV144" s="3" t="n">
        <f aca="false">8+22/60</f>
        <v>8.36666666666667</v>
      </c>
      <c r="AW144" s="3" t="n">
        <v>0</v>
      </c>
      <c r="AX144" s="3" t="n">
        <v>0</v>
      </c>
      <c r="AY144" s="0" t="s">
        <v>57</v>
      </c>
      <c r="AZ144" s="0" t="s">
        <v>58</v>
      </c>
      <c r="BA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59</v>
      </c>
      <c r="G145" s="2" t="n">
        <v>94</v>
      </c>
      <c r="H145" s="2" t="n">
        <v>78</v>
      </c>
      <c r="I145" s="2" t="n">
        <f aca="false">(68+72)/2</f>
        <v>70</v>
      </c>
      <c r="J145" s="2" t="s">
        <v>111</v>
      </c>
      <c r="K145" s="2" t="n">
        <f aca="false">(7+13)/2</f>
        <v>10</v>
      </c>
      <c r="L145" s="2" t="n">
        <v>0</v>
      </c>
      <c r="M145" s="0" t="s">
        <v>88</v>
      </c>
      <c r="O145" s="0" t="s">
        <v>55</v>
      </c>
      <c r="P145" s="0" t="s">
        <v>106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P145" s="0" t="n">
        <v>1</v>
      </c>
      <c r="AQ145" s="0" t="n">
        <v>0</v>
      </c>
      <c r="AR145" s="0" t="n">
        <v>0</v>
      </c>
      <c r="AS145" s="4" t="n">
        <v>0</v>
      </c>
      <c r="AT145" s="3" t="n">
        <f aca="false">2+43/60</f>
        <v>2.71666666666667</v>
      </c>
      <c r="AU145" s="3" t="n">
        <f aca="false">58+40/60</f>
        <v>58.6666666666667</v>
      </c>
      <c r="AV145" s="3" t="n">
        <f aca="false">39+58/60</f>
        <v>39.9666666666667</v>
      </c>
      <c r="AW145" s="3" t="n">
        <f aca="false">27+33/70</f>
        <v>27.4714285714286</v>
      </c>
      <c r="AX145" s="3" t="n">
        <f aca="false">28/60</f>
        <v>0.466666666666667</v>
      </c>
      <c r="AY145" s="0" t="s">
        <v>57</v>
      </c>
      <c r="AZ145" s="0" t="s">
        <v>58</v>
      </c>
      <c r="BA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112</v>
      </c>
      <c r="K146" s="2" t="n">
        <v>13</v>
      </c>
      <c r="L146" s="2" t="n">
        <v>17</v>
      </c>
      <c r="M146" s="0" t="s">
        <v>88</v>
      </c>
      <c r="O146" s="0" t="s">
        <v>105</v>
      </c>
      <c r="P146" s="0" t="s">
        <v>95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P146" s="0" t="n">
        <v>0</v>
      </c>
      <c r="AQ146" s="0" t="n">
        <v>0</v>
      </c>
      <c r="AR146" s="0" t="n">
        <v>0</v>
      </c>
      <c r="AS146" s="4" t="n">
        <v>0</v>
      </c>
      <c r="AT146" s="3" t="n">
        <v>0</v>
      </c>
      <c r="AU146" s="3" t="n">
        <f aca="false">5+42/60</f>
        <v>5.7</v>
      </c>
      <c r="AV146" s="3" t="n">
        <f aca="false">12+38/60</f>
        <v>12.6333333333333</v>
      </c>
      <c r="AW146" s="3" t="n">
        <f aca="false">76+36/60</f>
        <v>76.6</v>
      </c>
      <c r="AX146" s="3" t="n">
        <f aca="false">33/60</f>
        <v>0.55</v>
      </c>
      <c r="AY146" s="0" t="s">
        <v>57</v>
      </c>
      <c r="AZ146" s="0" t="s">
        <v>58</v>
      </c>
      <c r="BA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98</v>
      </c>
      <c r="K147" s="2" t="n">
        <v>15</v>
      </c>
      <c r="L147" s="2" t="n">
        <v>25</v>
      </c>
      <c r="M147" s="0" t="s">
        <v>88</v>
      </c>
      <c r="O147" s="0" t="s">
        <v>55</v>
      </c>
      <c r="P147" s="0" t="s">
        <v>106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P147" s="0" t="n">
        <v>1</v>
      </c>
      <c r="AQ147" s="0" t="n">
        <v>0</v>
      </c>
      <c r="AR147" s="0" t="n">
        <v>0</v>
      </c>
      <c r="AS147" s="4" t="n">
        <v>0</v>
      </c>
      <c r="AT147" s="3" t="n">
        <f aca="false">18+8/60</f>
        <v>18.1333333333333</v>
      </c>
      <c r="AU147" s="3" t="n">
        <f aca="false">25+21/60</f>
        <v>25.35</v>
      </c>
      <c r="AV147" s="3" t="n">
        <f aca="false">50+58/60</f>
        <v>50.9666666666667</v>
      </c>
      <c r="AW147" s="3" t="n">
        <f aca="false">36+49/60</f>
        <v>36.8166666666667</v>
      </c>
      <c r="AX147" s="3" t="n">
        <f aca="false">7/60</f>
        <v>0.116666666666667</v>
      </c>
      <c r="AY147" s="0" t="s">
        <v>57</v>
      </c>
      <c r="AZ147" s="0" t="s">
        <v>58</v>
      </c>
      <c r="BA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98</v>
      </c>
      <c r="K148" s="2" t="n">
        <v>16</v>
      </c>
      <c r="L148" s="2" t="n">
        <v>0</v>
      </c>
      <c r="M148" s="0" t="s">
        <v>88</v>
      </c>
      <c r="O148" s="0" t="s">
        <v>105</v>
      </c>
      <c r="P148" s="0" t="s">
        <v>106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P148" s="0" t="n">
        <v>1</v>
      </c>
      <c r="AQ148" s="0" t="n">
        <v>0</v>
      </c>
      <c r="AR148" s="0" t="n">
        <v>0</v>
      </c>
      <c r="AS148" s="4" t="n">
        <f aca="false">60*U148-SUM(AT148:AX148)</f>
        <v>4.38333333333333</v>
      </c>
      <c r="AT148" s="3" t="n">
        <f aca="false">47+44/60</f>
        <v>47.7333333333333</v>
      </c>
      <c r="AU148" s="3" t="n">
        <f aca="false">58+55/60</f>
        <v>58.9166666666667</v>
      </c>
      <c r="AV148" s="3" t="n">
        <f aca="false">20+58/60</f>
        <v>20.9666666666667</v>
      </c>
      <c r="AW148" s="3" t="n">
        <f aca="false">1+46/60</f>
        <v>1.76666666666667</v>
      </c>
      <c r="AX148" s="3" t="n">
        <f aca="false">14/60</f>
        <v>0.233333333333333</v>
      </c>
      <c r="AY148" s="0" t="s">
        <v>57</v>
      </c>
      <c r="AZ148" s="0" t="s">
        <v>58</v>
      </c>
      <c r="BA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98</v>
      </c>
      <c r="K149" s="2" t="n">
        <v>16</v>
      </c>
      <c r="L149" s="2" t="n">
        <v>0</v>
      </c>
      <c r="M149" s="0" t="s">
        <v>88</v>
      </c>
      <c r="O149" s="0" t="s">
        <v>55</v>
      </c>
      <c r="P149" s="0" t="s">
        <v>106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P149" s="0" t="n">
        <v>1</v>
      </c>
      <c r="AQ149" s="0" t="n">
        <v>0</v>
      </c>
      <c r="AR149" s="0" t="n">
        <v>0</v>
      </c>
      <c r="AS149" s="4" t="n">
        <f aca="false">60*U149-SUM(AT149:AX149)</f>
        <v>25.7</v>
      </c>
      <c r="AT149" s="3" t="n">
        <f aca="false">25+30/60</f>
        <v>25.5</v>
      </c>
      <c r="AU149" s="3" t="n">
        <f aca="false">44+51/60</f>
        <v>44.85</v>
      </c>
      <c r="AV149" s="3" t="n">
        <f aca="false">41+15/60</f>
        <v>41.25</v>
      </c>
      <c r="AW149" s="3" t="n">
        <f aca="false">42/60</f>
        <v>0.7</v>
      </c>
      <c r="AX149" s="3" t="n">
        <v>0</v>
      </c>
      <c r="AY149" s="0" t="s">
        <v>57</v>
      </c>
      <c r="AZ149" s="0" t="s">
        <v>58</v>
      </c>
      <c r="BA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59</v>
      </c>
      <c r="G150" s="2" t="n">
        <v>94</v>
      </c>
      <c r="H150" s="2" t="n">
        <v>73</v>
      </c>
      <c r="I150" s="2" t="n">
        <f aca="false">(52+49)/2</f>
        <v>50.5</v>
      </c>
      <c r="J150" s="2" t="s">
        <v>98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105</v>
      </c>
      <c r="P150" s="0" t="s">
        <v>106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P150" s="0" t="n">
        <v>1</v>
      </c>
      <c r="AQ150" s="0" t="n">
        <v>0</v>
      </c>
      <c r="AR150" s="0" t="n">
        <v>0</v>
      </c>
      <c r="AS150" s="4" t="n">
        <f aca="false">60*U150-SUM(AT150:AX150)</f>
        <v>20.3333333333333</v>
      </c>
      <c r="AT150" s="3" t="n">
        <f aca="false">17+55/60</f>
        <v>17.9166666666667</v>
      </c>
      <c r="AU150" s="3" t="n">
        <f aca="false">30+46/60</f>
        <v>30.7666666666667</v>
      </c>
      <c r="AV150" s="3" t="n">
        <f aca="false">37+47/60</f>
        <v>37.7833333333333</v>
      </c>
      <c r="AW150" s="3" t="n">
        <f aca="false">18+33/60</f>
        <v>18.55</v>
      </c>
      <c r="AX150" s="3" t="n">
        <f aca="false">1+39/60</f>
        <v>1.65</v>
      </c>
      <c r="AY150" s="0" t="s">
        <v>57</v>
      </c>
      <c r="AZ150" s="0" t="s">
        <v>58</v>
      </c>
      <c r="BA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104</v>
      </c>
      <c r="K151" s="2" t="n">
        <v>8</v>
      </c>
      <c r="L151" s="2" t="n">
        <v>0</v>
      </c>
      <c r="M151" s="0" t="s">
        <v>88</v>
      </c>
      <c r="O151" s="0" t="s">
        <v>55</v>
      </c>
      <c r="P151" s="0" t="s">
        <v>106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P151" s="0" t="n">
        <v>1</v>
      </c>
      <c r="AQ151" s="0" t="n">
        <v>0</v>
      </c>
      <c r="AR151" s="0" t="n">
        <v>0</v>
      </c>
      <c r="AS151" s="4" t="n">
        <f aca="false">60*U151-SUM(AT151:AX151)</f>
        <v>20.5</v>
      </c>
      <c r="AT151" s="3" t="n">
        <f aca="false">29+5/60</f>
        <v>29.0833333333333</v>
      </c>
      <c r="AU151" s="3" t="n">
        <f aca="false">53+23/60</f>
        <v>53.3833333333333</v>
      </c>
      <c r="AV151" s="3" t="n">
        <f aca="false">36+51/60</f>
        <v>36.85</v>
      </c>
      <c r="AW151" s="3" t="n">
        <f aca="false">11/60</f>
        <v>0.183333333333333</v>
      </c>
      <c r="AX151" s="3" t="n">
        <v>0</v>
      </c>
      <c r="AY151" s="0" t="s">
        <v>57</v>
      </c>
      <c r="AZ151" s="0" t="s">
        <v>58</v>
      </c>
      <c r="BA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59</v>
      </c>
      <c r="G152" s="2" t="n">
        <v>90</v>
      </c>
      <c r="H152" s="2" t="n">
        <v>53</v>
      </c>
      <c r="I152" s="2" t="n">
        <f aca="false">(59+53)/2</f>
        <v>56</v>
      </c>
      <c r="J152" s="2" t="s">
        <v>98</v>
      </c>
      <c r="K152" s="2" t="n">
        <v>9</v>
      </c>
      <c r="L152" s="2" t="n">
        <v>20</v>
      </c>
      <c r="M152" s="0" t="s">
        <v>88</v>
      </c>
      <c r="O152" s="0" t="s">
        <v>105</v>
      </c>
      <c r="P152" s="0" t="s">
        <v>95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P152" s="0" t="n">
        <v>0</v>
      </c>
      <c r="AQ152" s="0" t="n">
        <v>1</v>
      </c>
      <c r="AR152" s="0" t="n">
        <v>0</v>
      </c>
      <c r="AS152" s="4" t="n">
        <f aca="false">60*U152-SUM(AT152:AX152)</f>
        <v>46.9166666666667</v>
      </c>
      <c r="AT152" s="3" t="n">
        <f aca="false">48+35/60</f>
        <v>48.5833333333333</v>
      </c>
      <c r="AU152" s="3" t="n">
        <f aca="false">11+28/60</f>
        <v>11.4666666666667</v>
      </c>
      <c r="AV152" s="3" t="n">
        <f aca="false">2/60</f>
        <v>0.0333333333333333</v>
      </c>
      <c r="AW152" s="3" t="n">
        <v>0</v>
      </c>
      <c r="AX152" s="3" t="n">
        <v>0</v>
      </c>
      <c r="AY152" s="0" t="s">
        <v>57</v>
      </c>
      <c r="AZ152" s="0" t="s">
        <v>58</v>
      </c>
      <c r="BA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98</v>
      </c>
      <c r="K153" s="2" t="n">
        <v>9</v>
      </c>
      <c r="L153" s="2" t="n">
        <v>16</v>
      </c>
      <c r="M153" s="0" t="s">
        <v>88</v>
      </c>
      <c r="O153" s="0" t="s">
        <v>55</v>
      </c>
      <c r="P153" s="0" t="s">
        <v>95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P153" s="0" t="n">
        <v>0</v>
      </c>
      <c r="AQ153" s="0" t="n">
        <v>0</v>
      </c>
      <c r="AR153" s="0" t="n">
        <v>0</v>
      </c>
      <c r="AS153" s="4" t="n">
        <f aca="false">60*U153-SUM(AT153:AX153)</f>
        <v>26.0166666666667</v>
      </c>
      <c r="AT153" s="3" t="n">
        <f aca="false">54+54/60</f>
        <v>54.9</v>
      </c>
      <c r="AU153" s="3" t="n">
        <f aca="false">23+9/60</f>
        <v>23.15</v>
      </c>
      <c r="AV153" s="3" t="n">
        <f aca="false">56/60</f>
        <v>0.933333333333333</v>
      </c>
      <c r="AW153" s="3" t="n">
        <v>0</v>
      </c>
      <c r="AX153" s="3" t="n">
        <v>0</v>
      </c>
      <c r="AY153" s="0" t="s">
        <v>57</v>
      </c>
      <c r="AZ153" s="0" t="s">
        <v>58</v>
      </c>
      <c r="BA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98</v>
      </c>
      <c r="K154" s="2" t="n">
        <v>7</v>
      </c>
      <c r="L154" s="2" t="n">
        <v>0</v>
      </c>
      <c r="M154" s="0" t="s">
        <v>88</v>
      </c>
      <c r="O154" s="0" t="s">
        <v>105</v>
      </c>
      <c r="P154" s="0" t="s">
        <v>106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P154" s="0" t="n">
        <v>1</v>
      </c>
      <c r="AQ154" s="0" t="n">
        <v>0</v>
      </c>
      <c r="AR154" s="0" t="n">
        <v>0</v>
      </c>
      <c r="AS154" s="4" t="n">
        <f aca="false">60*U154-SUM(AT154:AX154)</f>
        <v>9.83333333333331</v>
      </c>
      <c r="AT154" s="3" t="n">
        <f aca="false">43+3/60</f>
        <v>43.05</v>
      </c>
      <c r="AU154" s="3" t="n">
        <f aca="false">78+29/60</f>
        <v>78.4833333333333</v>
      </c>
      <c r="AV154" s="3" t="n">
        <f aca="false">7++38/60</f>
        <v>7.63333333333333</v>
      </c>
      <c r="AW154" s="3" t="n">
        <v>0</v>
      </c>
      <c r="AX154" s="3" t="n">
        <v>0</v>
      </c>
      <c r="AY154" s="0" t="s">
        <v>57</v>
      </c>
      <c r="AZ154" s="0" t="s">
        <v>58</v>
      </c>
      <c r="BA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101</v>
      </c>
      <c r="K155" s="2" t="n">
        <v>7</v>
      </c>
      <c r="L155" s="2" t="n">
        <v>0</v>
      </c>
      <c r="M155" s="0" t="s">
        <v>88</v>
      </c>
      <c r="O155" s="0" t="s">
        <v>55</v>
      </c>
      <c r="P155" s="0" t="s">
        <v>106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P155" s="0" t="n">
        <v>1</v>
      </c>
      <c r="AQ155" s="0" t="n">
        <v>0</v>
      </c>
      <c r="AR155" s="0" t="n">
        <v>0</v>
      </c>
      <c r="AS155" s="4" t="n">
        <f aca="false">60*U155-SUM(AT155:AX155)</f>
        <v>0.650000000000006</v>
      </c>
      <c r="AT155" s="3" t="n">
        <f aca="false">15+29/60</f>
        <v>15.4833333333333</v>
      </c>
      <c r="AU155" s="3" t="n">
        <f aca="false">79+10/60</f>
        <v>79.1666666666667</v>
      </c>
      <c r="AV155" s="3" t="n">
        <f aca="false">31+52/60</f>
        <v>31.8666666666667</v>
      </c>
      <c r="AW155" s="3" t="n">
        <f aca="false">6+50/60</f>
        <v>6.83333333333333</v>
      </c>
      <c r="AX155" s="3" t="n">
        <v>0</v>
      </c>
      <c r="AY155" s="0" t="s">
        <v>57</v>
      </c>
      <c r="AZ155" s="0" t="s">
        <v>58</v>
      </c>
      <c r="BA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69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113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114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100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114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103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114</v>
      </c>
      <c r="F159" s="12" t="s">
        <v>115</v>
      </c>
      <c r="G159" s="2" t="n">
        <v>96</v>
      </c>
      <c r="H159" s="2" t="n">
        <v>72</v>
      </c>
      <c r="I159" s="2" t="n">
        <v>63</v>
      </c>
      <c r="J159" s="12" t="s">
        <v>116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114</v>
      </c>
      <c r="F160" s="12" t="s">
        <v>115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101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114</v>
      </c>
      <c r="F161" s="12" t="s">
        <v>115</v>
      </c>
      <c r="G161" s="2" t="n">
        <v>84</v>
      </c>
      <c r="H161" s="2" t="n">
        <v>72</v>
      </c>
      <c r="I161" s="2" t="n">
        <v>72</v>
      </c>
      <c r="J161" s="2" t="s">
        <v>100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117</v>
      </c>
      <c r="G162" s="2" t="n">
        <v>76</v>
      </c>
      <c r="H162" s="2" t="n">
        <v>76</v>
      </c>
      <c r="I162" s="2" t="n">
        <v>100</v>
      </c>
      <c r="J162" s="2" t="s">
        <v>100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105</v>
      </c>
      <c r="P162" s="0" t="s">
        <v>95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P162" s="0" t="n">
        <v>0</v>
      </c>
      <c r="AQ162" s="0" t="n">
        <v>0</v>
      </c>
      <c r="AR162" s="0" t="n">
        <v>0</v>
      </c>
      <c r="AZ162" s="0" t="s">
        <v>58</v>
      </c>
      <c r="BA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54</v>
      </c>
      <c r="G163" s="2" t="n">
        <v>85</v>
      </c>
      <c r="H163" s="2" t="n">
        <v>74</v>
      </c>
      <c r="I163" s="2" t="n">
        <v>69</v>
      </c>
      <c r="J163" s="2" t="s">
        <v>98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105</v>
      </c>
      <c r="P163" s="0" t="s">
        <v>95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P163" s="0" t="n">
        <v>1</v>
      </c>
      <c r="AQ163" s="0" t="n">
        <v>1</v>
      </c>
      <c r="AR163" s="0" t="n">
        <v>0</v>
      </c>
      <c r="AS163" s="4" t="n">
        <f aca="false">60*U163-SUM(AT163:AX163)</f>
        <v>3.9</v>
      </c>
      <c r="AT163" s="3" t="n">
        <f aca="false">38+43/60</f>
        <v>38.7166666666667</v>
      </c>
      <c r="AU163" s="3" t="n">
        <f aca="false">21+45/60</f>
        <v>21.75</v>
      </c>
      <c r="AV163" s="3" t="n">
        <f aca="false">38/60</f>
        <v>0.633333333333333</v>
      </c>
      <c r="AW163" s="3" t="n">
        <v>0</v>
      </c>
      <c r="AX163" s="3" t="n">
        <v>0</v>
      </c>
      <c r="AY163" s="0" t="s">
        <v>57</v>
      </c>
      <c r="AZ163" s="0" t="s">
        <v>58</v>
      </c>
      <c r="BA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59</v>
      </c>
      <c r="G164" s="2" t="n">
        <v>90</v>
      </c>
      <c r="H164" s="2" t="n">
        <v>71</v>
      </c>
      <c r="I164" s="2" t="n">
        <v>54</v>
      </c>
      <c r="J164" s="2" t="s">
        <v>98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105</v>
      </c>
      <c r="P164" s="0" t="s">
        <v>95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P164" s="0" t="n">
        <v>0</v>
      </c>
      <c r="AQ164" s="0" t="n">
        <v>0</v>
      </c>
      <c r="AR164" s="0" t="n">
        <v>0</v>
      </c>
      <c r="AS164" s="4" t="n">
        <f aca="false">60*U164-SUM(AT164:AX164)</f>
        <v>35.6166666666667</v>
      </c>
      <c r="AT164" s="3" t="n">
        <f aca="false">52+26/60</f>
        <v>52.4333333333333</v>
      </c>
      <c r="AU164" s="3" t="n">
        <f aca="false">8+49/60</f>
        <v>8.81666666666667</v>
      </c>
      <c r="AV164" s="3" t="n">
        <f aca="false">2+8/60</f>
        <v>2.13333333333333</v>
      </c>
      <c r="AW164" s="3" t="n">
        <v>0</v>
      </c>
      <c r="AX164" s="3" t="n">
        <v>0</v>
      </c>
      <c r="AY164" s="0" t="s">
        <v>57</v>
      </c>
      <c r="AZ164" s="0" t="s">
        <v>58</v>
      </c>
      <c r="BA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118</v>
      </c>
      <c r="G165" s="2" t="n">
        <v>86</v>
      </c>
      <c r="H165" s="2" t="n">
        <v>50</v>
      </c>
      <c r="I165" s="2" t="n">
        <v>59</v>
      </c>
      <c r="J165" s="12" t="s">
        <v>119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105</v>
      </c>
      <c r="P165" s="0" t="s">
        <v>95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P165" s="0" t="n">
        <v>0</v>
      </c>
      <c r="AQ165" s="0" t="n">
        <v>1</v>
      </c>
      <c r="AR165" s="0" t="n">
        <v>0</v>
      </c>
      <c r="AS165" s="4" t="n">
        <f aca="false">60*U165-SUM(AT165:AX165)</f>
        <v>41.88</v>
      </c>
      <c r="AT165" s="3" t="n">
        <f aca="false">28+52/60</f>
        <v>28.8666666666667</v>
      </c>
      <c r="AU165" s="3" t="n">
        <f aca="false">28+46/50</f>
        <v>28.92</v>
      </c>
      <c r="AV165" s="3" t="n">
        <f aca="false">1+20/60</f>
        <v>1.33333333333333</v>
      </c>
      <c r="AW165" s="3" t="n">
        <v>0</v>
      </c>
      <c r="AX165" s="3" t="n">
        <v>0</v>
      </c>
      <c r="AY165" s="0" t="s">
        <v>57</v>
      </c>
      <c r="AZ165" s="0" t="s">
        <v>58</v>
      </c>
      <c r="BA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115</v>
      </c>
      <c r="G166" s="2" t="n">
        <v>85</v>
      </c>
      <c r="H166" s="2" t="n">
        <v>66</v>
      </c>
      <c r="I166" s="2" t="n">
        <v>53</v>
      </c>
      <c r="J166" s="2" t="s">
        <v>97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105</v>
      </c>
      <c r="P166" s="0" t="s">
        <v>95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P166" s="0" t="n">
        <v>2</v>
      </c>
      <c r="AQ166" s="0" t="n">
        <v>0</v>
      </c>
      <c r="AR166" s="0" t="n">
        <v>0</v>
      </c>
      <c r="AS166" s="4" t="n">
        <f aca="false">60*U166-SUM(AT166:AX166)</f>
        <v>8.7</v>
      </c>
      <c r="AT166" s="3" t="n">
        <f aca="false">73+17/60</f>
        <v>73.2833333333333</v>
      </c>
      <c r="AU166" s="3" t="n">
        <f aca="false">27+40/60</f>
        <v>27.6666666666667</v>
      </c>
      <c r="AV166" s="3" t="n">
        <f aca="false">1+21/60</f>
        <v>1.35</v>
      </c>
      <c r="AW166" s="3" t="n">
        <v>0</v>
      </c>
      <c r="AX166" s="3" t="n">
        <v>0</v>
      </c>
      <c r="AY166" s="0" t="s">
        <v>57</v>
      </c>
      <c r="AZ166" s="0" t="s">
        <v>58</v>
      </c>
      <c r="BA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59</v>
      </c>
      <c r="G167" s="2" t="n">
        <v>94</v>
      </c>
      <c r="H167" s="2" t="n">
        <v>60</v>
      </c>
      <c r="I167" s="2" t="n">
        <v>32</v>
      </c>
      <c r="J167" s="12" t="s">
        <v>97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105</v>
      </c>
      <c r="P167" s="0" t="s">
        <v>95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P167" s="0" t="n">
        <v>1</v>
      </c>
      <c r="AQ167" s="0" t="n">
        <v>0</v>
      </c>
      <c r="AR167" s="0" t="n">
        <v>0</v>
      </c>
      <c r="AS167" s="4" t="n">
        <v>0</v>
      </c>
      <c r="AT167" s="3" t="n">
        <f aca="false">9+6/60</f>
        <v>9.1</v>
      </c>
      <c r="AU167" s="3" t="n">
        <f aca="false">56+18/60</f>
        <v>56.3</v>
      </c>
      <c r="AV167" s="3" t="n">
        <f aca="false">42+30/60</f>
        <v>42.5</v>
      </c>
      <c r="AW167" s="3" t="n">
        <f aca="false">1+52/60</f>
        <v>1.86666666666667</v>
      </c>
      <c r="AX167" s="3" t="n">
        <f aca="false">22/60</f>
        <v>0.366666666666667</v>
      </c>
      <c r="AY167" s="0" t="s">
        <v>57</v>
      </c>
      <c r="AZ167" s="0" t="s">
        <v>58</v>
      </c>
      <c r="BA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59</v>
      </c>
      <c r="G168" s="2" t="n">
        <v>92</v>
      </c>
      <c r="H168" s="2" t="n">
        <v>63</v>
      </c>
      <c r="I168" s="2" t="n">
        <v>39</v>
      </c>
      <c r="J168" s="2" t="s">
        <v>103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105</v>
      </c>
      <c r="P168" s="0" t="s">
        <v>106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P168" s="0" t="n">
        <v>3</v>
      </c>
      <c r="AQ168" s="0" t="n">
        <v>0</v>
      </c>
      <c r="AR168" s="0" t="n">
        <v>0</v>
      </c>
      <c r="AS168" s="4" t="n">
        <v>0</v>
      </c>
      <c r="AT168" s="3" t="n">
        <f aca="false">4+51/60</f>
        <v>4.85</v>
      </c>
      <c r="AU168" s="3" t="n">
        <f aca="false">64+1/60</f>
        <v>64.0166666666667</v>
      </c>
      <c r="AV168" s="3" t="n">
        <f aca="false">67+16/60</f>
        <v>67.2666666666667</v>
      </c>
      <c r="AW168" s="3" t="n">
        <f aca="false">7/60</f>
        <v>0.116666666666667</v>
      </c>
      <c r="AX168" s="3" t="n">
        <v>0</v>
      </c>
      <c r="AY168" s="0" t="s">
        <v>57</v>
      </c>
      <c r="AZ168" s="0" t="s">
        <v>58</v>
      </c>
      <c r="BA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59</v>
      </c>
      <c r="G169" s="2" t="n">
        <v>87</v>
      </c>
      <c r="H169" s="2" t="n">
        <v>60</v>
      </c>
      <c r="I169" s="2" t="n">
        <v>40</v>
      </c>
      <c r="J169" s="2" t="s">
        <v>104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105</v>
      </c>
      <c r="P169" s="0" t="s">
        <v>106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P169" s="0" t="n">
        <v>2</v>
      </c>
      <c r="AQ169" s="0" t="n">
        <v>1</v>
      </c>
      <c r="AR169" s="0" t="n">
        <v>1</v>
      </c>
      <c r="AS169" s="4" t="n">
        <f aca="false">60*U169-SUM(AT169:AX169)</f>
        <v>10.05</v>
      </c>
      <c r="AT169" s="3" t="n">
        <f aca="false">1+49/60</f>
        <v>1.81666666666667</v>
      </c>
      <c r="AU169" s="3" t="n">
        <f aca="false">81+43/60</f>
        <v>81.7166666666667</v>
      </c>
      <c r="AV169" s="3" t="n">
        <f aca="false">48+30/60</f>
        <v>48.5</v>
      </c>
      <c r="AW169" s="3" t="n">
        <f aca="false">2+55/60</f>
        <v>2.91666666666667</v>
      </c>
      <c r="AX169" s="3" t="n">
        <v>0</v>
      </c>
      <c r="AY169" s="0" t="s">
        <v>57</v>
      </c>
      <c r="AZ169" s="0" t="s">
        <v>58</v>
      </c>
      <c r="BA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115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101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105</v>
      </c>
      <c r="P170" s="0" t="s">
        <v>95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P170" s="0" t="n">
        <v>1</v>
      </c>
      <c r="AQ170" s="0" t="n">
        <v>0</v>
      </c>
      <c r="AR170" s="0" t="n">
        <v>0</v>
      </c>
      <c r="AS170" s="4" t="n">
        <f aca="false">60*U170-SUM(AT170:AX170)</f>
        <v>8.13333333333334</v>
      </c>
      <c r="AT170" s="3" t="n">
        <f aca="false">57+40/60</f>
        <v>57.6666666666667</v>
      </c>
      <c r="AU170" s="3" t="n">
        <f aca="false">25+35/60</f>
        <v>25.5833333333333</v>
      </c>
      <c r="AV170" s="3" t="n">
        <f aca="false">15+51/60</f>
        <v>15.85</v>
      </c>
      <c r="AW170" s="3" t="n">
        <f aca="false">46/60</f>
        <v>0.766666666666667</v>
      </c>
      <c r="AX170" s="3" t="n">
        <v>0</v>
      </c>
      <c r="AY170" s="0" t="s">
        <v>57</v>
      </c>
      <c r="AZ170" s="0" t="s">
        <v>58</v>
      </c>
      <c r="BA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59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100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105</v>
      </c>
      <c r="P171" s="0" t="s">
        <v>95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P171" s="0" t="n">
        <v>0</v>
      </c>
      <c r="AQ171" s="0" t="n">
        <v>0</v>
      </c>
      <c r="AR171" s="0" t="n">
        <v>0</v>
      </c>
      <c r="AS171" s="5" t="n">
        <f aca="false">60*U171-SUM(AT171:AX171)</f>
        <v>82.0333333333333</v>
      </c>
      <c r="AT171" s="3" t="n">
        <f aca="false">19+29/60</f>
        <v>19.4833333333333</v>
      </c>
      <c r="AU171" s="3" t="n">
        <f aca="false">6+46/60</f>
        <v>6.76666666666667</v>
      </c>
      <c r="AV171" s="3" t="n">
        <f aca="false">43/60</f>
        <v>0.716666666666667</v>
      </c>
      <c r="AW171" s="3" t="n">
        <v>0</v>
      </c>
      <c r="AX171" s="3" t="n">
        <v>0</v>
      </c>
      <c r="AY171" s="0" t="s">
        <v>57</v>
      </c>
      <c r="AZ171" s="0" t="s">
        <v>58</v>
      </c>
      <c r="BA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118</v>
      </c>
      <c r="G172" s="2" t="n">
        <v>91</v>
      </c>
      <c r="H172" s="2" t="n">
        <v>69</v>
      </c>
      <c r="I172" s="2" t="n">
        <v>50</v>
      </c>
      <c r="J172" s="2" t="s">
        <v>100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105</v>
      </c>
      <c r="P172" s="0" t="s">
        <v>95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P172" s="0" t="n">
        <v>0</v>
      </c>
      <c r="AQ172" s="0" t="n">
        <v>0</v>
      </c>
      <c r="AR172" s="0" t="n">
        <v>0</v>
      </c>
      <c r="AS172" s="4" t="n">
        <f aca="false">60*U172-SUM(AT172:AX172)</f>
        <v>14.55</v>
      </c>
      <c r="AT172" s="3" t="n">
        <f aca="false">18+40/60</f>
        <v>18.6666666666667</v>
      </c>
      <c r="AU172" s="3" t="n">
        <f aca="false">66+7/10</f>
        <v>66.7</v>
      </c>
      <c r="AV172" s="3" t="n">
        <f aca="false">10+5/60</f>
        <v>10.0833333333333</v>
      </c>
      <c r="AW172" s="3" t="n">
        <v>0</v>
      </c>
      <c r="AX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94</v>
      </c>
      <c r="F173" s="12" t="s">
        <v>120</v>
      </c>
      <c r="G173" s="2" t="n">
        <v>92</v>
      </c>
      <c r="H173" s="2" t="n">
        <v>68</v>
      </c>
      <c r="I173" s="2" t="n">
        <f aca="false">(48+42)/2</f>
        <v>45</v>
      </c>
      <c r="J173" s="2" t="s">
        <v>100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59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112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105</v>
      </c>
      <c r="P174" s="0" t="s">
        <v>95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P174" s="0" t="n">
        <v>0</v>
      </c>
      <c r="AQ174" s="0" t="n">
        <v>0</v>
      </c>
      <c r="AR174" s="0" t="n">
        <v>0</v>
      </c>
      <c r="AS174" s="4" t="n">
        <f aca="false">60*U174-SUM(AT174:AX174)</f>
        <v>0.0333333333333314</v>
      </c>
      <c r="AT174" s="3" t="n">
        <v>4</v>
      </c>
      <c r="AU174" s="3" t="n">
        <f aca="false">60+29.5</f>
        <v>89.5</v>
      </c>
      <c r="AV174" s="3" t="n">
        <f aca="false">17+13/60</f>
        <v>17.2166666666667</v>
      </c>
      <c r="AW174" s="3" t="n">
        <f aca="false">1+15/60</f>
        <v>1.25</v>
      </c>
      <c r="AX174" s="3" t="n">
        <v>0</v>
      </c>
      <c r="AY174" s="0" t="s">
        <v>57</v>
      </c>
      <c r="AZ174" s="0" t="s">
        <v>58</v>
      </c>
      <c r="BA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59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108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105</v>
      </c>
      <c r="P175" s="0" t="s">
        <v>95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P175" s="0" t="n">
        <v>2</v>
      </c>
      <c r="AQ175" s="0" t="n">
        <v>0</v>
      </c>
      <c r="AR175" s="0" t="n">
        <v>0</v>
      </c>
      <c r="AS175" s="4" t="n">
        <f aca="false">60*U175-SUM(AT175:AX175)</f>
        <v>6.71666666666667</v>
      </c>
      <c r="AT175" s="0" t="n">
        <f aca="false">37+54/60</f>
        <v>37.9</v>
      </c>
      <c r="AU175" s="3" t="n">
        <f aca="false">24+20/60</f>
        <v>24.3333333333333</v>
      </c>
      <c r="AV175" s="3" t="n">
        <f aca="false">10+47/60</f>
        <v>10.7833333333333</v>
      </c>
      <c r="AW175" s="3" t="n">
        <f aca="false">16/60</f>
        <v>0.266666666666667</v>
      </c>
      <c r="AX175" s="3" t="n">
        <v>0</v>
      </c>
      <c r="AY175" s="0" t="s">
        <v>57</v>
      </c>
      <c r="AZ175" s="0" t="s">
        <v>58</v>
      </c>
      <c r="BA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118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121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105</v>
      </c>
      <c r="P176" s="0" t="s">
        <v>95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P176" s="0" t="n">
        <v>1</v>
      </c>
      <c r="AQ176" s="0" t="n">
        <v>0</v>
      </c>
      <c r="AR176" s="0" t="n">
        <v>0</v>
      </c>
      <c r="AS176" s="4" t="n">
        <f aca="false">60*U176-SUM(AT176:AX176)</f>
        <v>0.233333333333334</v>
      </c>
      <c r="AT176" s="3" t="n">
        <f aca="false">2.25</f>
        <v>2.25</v>
      </c>
      <c r="AU176" s="3" t="n">
        <f aca="false">37+26/60</f>
        <v>37.4333333333333</v>
      </c>
      <c r="AV176" s="3" t="n">
        <f aca="false">31+15/60</f>
        <v>31.25</v>
      </c>
      <c r="AW176" s="3" t="n">
        <f aca="false">12+50/60</f>
        <v>12.8333333333333</v>
      </c>
      <c r="AX176" s="3" t="n">
        <v>0</v>
      </c>
      <c r="AY176" s="0" t="s">
        <v>57</v>
      </c>
      <c r="AZ176" s="0" t="s">
        <v>58</v>
      </c>
      <c r="BA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118</v>
      </c>
      <c r="G177" s="2" t="n">
        <v>97</v>
      </c>
      <c r="H177" s="2" t="n">
        <v>73</v>
      </c>
      <c r="I177" s="2" t="n">
        <v>47</v>
      </c>
      <c r="J177" s="2" t="s">
        <v>98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105</v>
      </c>
      <c r="P177" s="0" t="s">
        <v>95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P177" s="0" t="n">
        <v>2</v>
      </c>
      <c r="AQ177" s="0" t="n">
        <v>0</v>
      </c>
      <c r="AR177" s="0" t="n">
        <v>0</v>
      </c>
      <c r="AS177" s="4" t="n">
        <f aca="false">60*U177-SUM(AT177:AX177)</f>
        <v>28.8166666666667</v>
      </c>
      <c r="AT177" s="3" t="n">
        <f aca="false">46+31/60</f>
        <v>46.5166666666667</v>
      </c>
      <c r="AU177" s="3" t="n">
        <f aca="false">7+6/60</f>
        <v>7.1</v>
      </c>
      <c r="AV177" s="3" t="n">
        <f aca="false">4+34/60</f>
        <v>4.56666666666667</v>
      </c>
      <c r="AW177" s="3" t="n">
        <v>0</v>
      </c>
      <c r="AX177" s="3" t="n">
        <v>0</v>
      </c>
      <c r="AY177" s="0" t="s">
        <v>57</v>
      </c>
      <c r="AZ177" s="0" t="s">
        <v>58</v>
      </c>
      <c r="BA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59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98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105</v>
      </c>
      <c r="P178" s="0" t="s">
        <v>95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P178" s="0" t="n">
        <v>1</v>
      </c>
      <c r="AQ178" s="0" t="n">
        <v>0</v>
      </c>
      <c r="AR178" s="0" t="n">
        <v>0</v>
      </c>
      <c r="AS178" s="4" t="n">
        <f aca="false">60*U178-SUM(AT178:AX178)</f>
        <v>34.1666666666667</v>
      </c>
      <c r="AT178" s="3" t="n">
        <f aca="false">55+55/60</f>
        <v>55.9166666666667</v>
      </c>
      <c r="AU178" s="3" t="n">
        <f aca="false">18+6/60</f>
        <v>18.1</v>
      </c>
      <c r="AV178" s="3" t="n">
        <f aca="false">3+49/60</f>
        <v>3.81666666666667</v>
      </c>
      <c r="AW178" s="3" t="n">
        <v>0</v>
      </c>
      <c r="AX178" s="3" t="n">
        <v>0</v>
      </c>
      <c r="AY178" s="0" t="s">
        <v>57</v>
      </c>
      <c r="AZ178" s="0" t="s">
        <v>58</v>
      </c>
      <c r="BA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118</v>
      </c>
      <c r="G179" s="2" t="n">
        <f aca="false">(95+98)/2</f>
        <v>96.5</v>
      </c>
      <c r="H179" s="2" t="n">
        <v>71</v>
      </c>
      <c r="I179" s="2" t="n">
        <v>43</v>
      </c>
      <c r="J179" s="2" t="s">
        <v>98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105</v>
      </c>
      <c r="P179" s="0" t="s">
        <v>95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P179" s="0" t="n">
        <v>1</v>
      </c>
      <c r="AQ179" s="0" t="n">
        <v>0</v>
      </c>
      <c r="AR179" s="0" t="n">
        <v>0</v>
      </c>
      <c r="AS179" s="4" t="n">
        <f aca="false">60*U179-SUM(AT179:AX179)</f>
        <v>14.3666666666667</v>
      </c>
      <c r="AT179" s="3" t="n">
        <f aca="false">78+31/60</f>
        <v>78.5166666666667</v>
      </c>
      <c r="AU179" s="3" t="n">
        <f aca="false">17+34/60</f>
        <v>17.5666666666667</v>
      </c>
      <c r="AV179" s="3" t="n">
        <f aca="false">33/60</f>
        <v>0.55</v>
      </c>
      <c r="AW179" s="3" t="n">
        <v>0</v>
      </c>
      <c r="AX179" s="3" t="n">
        <v>0</v>
      </c>
      <c r="AY179" s="0" t="s">
        <v>57</v>
      </c>
      <c r="AZ179" s="0" t="s">
        <v>58</v>
      </c>
      <c r="BA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118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98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105</v>
      </c>
      <c r="P180" s="0" t="s">
        <v>95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P180" s="0" t="n">
        <v>1</v>
      </c>
      <c r="AQ180" s="0" t="n">
        <v>0</v>
      </c>
      <c r="AR180" s="0" t="n">
        <v>0</v>
      </c>
      <c r="AS180" s="4" t="n">
        <f aca="false">60*U180-SUM(AT180:AX180)</f>
        <v>18.1166666666667</v>
      </c>
      <c r="AT180" s="3" t="n">
        <f aca="false">67+58/60</f>
        <v>67.9666666666667</v>
      </c>
      <c r="AU180" s="3" t="n">
        <f aca="false">33+2/60</f>
        <v>33.0333333333333</v>
      </c>
      <c r="AV180" s="3" t="n">
        <f aca="false">3+53/60</f>
        <v>3.88333333333333</v>
      </c>
      <c r="AW180" s="3" t="n">
        <v>0</v>
      </c>
      <c r="AX180" s="3" t="n">
        <v>0</v>
      </c>
      <c r="AY180" s="0" t="s">
        <v>57</v>
      </c>
      <c r="AZ180" s="0" t="s">
        <v>58</v>
      </c>
      <c r="BA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115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122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105</v>
      </c>
      <c r="P181" s="0" t="s">
        <v>95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P181" s="0" t="n">
        <v>0</v>
      </c>
      <c r="AQ181" s="0" t="n">
        <v>0</v>
      </c>
      <c r="AR181" s="0" t="n">
        <v>0</v>
      </c>
      <c r="AS181" s="4" t="n">
        <f aca="false">60*U181-SUM(AT181:AX181)</f>
        <v>0.0333333333333314</v>
      </c>
      <c r="AT181" s="3" t="n">
        <f aca="false">32/60</f>
        <v>0.533333333333333</v>
      </c>
      <c r="AU181" s="3" t="n">
        <f aca="false">55+17/60</f>
        <v>55.2833333333333</v>
      </c>
      <c r="AV181" s="3" t="n">
        <f aca="false">67+51/60</f>
        <v>67.85</v>
      </c>
      <c r="AW181" s="3" t="n">
        <f aca="false">11+18/60</f>
        <v>11.3</v>
      </c>
      <c r="AX181" s="3" t="n">
        <v>0</v>
      </c>
      <c r="AY181" s="0" t="s">
        <v>57</v>
      </c>
      <c r="AZ181" s="0" t="s">
        <v>58</v>
      </c>
      <c r="BA181" s="0" t="n">
        <v>1</v>
      </c>
      <c r="BB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115</v>
      </c>
      <c r="G182" s="2" t="n">
        <v>87</v>
      </c>
      <c r="H182" s="2" t="n">
        <f aca="false">(67+70)/2</f>
        <v>68.5</v>
      </c>
      <c r="I182" s="2" t="n">
        <v>54</v>
      </c>
      <c r="J182" s="2" t="s">
        <v>123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105</v>
      </c>
      <c r="P182" s="0" t="s">
        <v>95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P182" s="0" t="n">
        <v>0</v>
      </c>
      <c r="AQ182" s="0" t="n">
        <v>0</v>
      </c>
      <c r="AR182" s="0" t="n">
        <v>0</v>
      </c>
      <c r="AS182" s="4" t="n">
        <f aca="false">60*U182-SUM(AT182:AX182)</f>
        <v>12.8104166666667</v>
      </c>
      <c r="AT182" s="3" t="n">
        <f aca="false">AVERAGE(AT174:AT181)</f>
        <v>36.7</v>
      </c>
      <c r="AU182" s="3" t="n">
        <f aca="false">AVERAGE(AU174:AU181)</f>
        <v>35.29375</v>
      </c>
      <c r="AV182" s="3" t="n">
        <f aca="false">AVERAGE(AV174:AV181)</f>
        <v>17.4895833333333</v>
      </c>
      <c r="AW182" s="3" t="n">
        <f aca="false">AVERAGE(AW174:AW181)</f>
        <v>3.20625</v>
      </c>
      <c r="AX182" s="3" t="n">
        <v>0</v>
      </c>
      <c r="AY182" s="0" t="s">
        <v>57</v>
      </c>
      <c r="AZ182" s="0" t="s">
        <v>58</v>
      </c>
      <c r="BA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69</v>
      </c>
      <c r="F183" s="0" t="s">
        <v>59</v>
      </c>
      <c r="G183" s="2" t="n">
        <v>91</v>
      </c>
      <c r="H183" s="2" t="n">
        <v>68</v>
      </c>
      <c r="I183" s="2" t="n">
        <v>41</v>
      </c>
      <c r="J183" s="2" t="s">
        <v>97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118</v>
      </c>
      <c r="G184" s="2" t="n">
        <v>87</v>
      </c>
      <c r="H184" s="2" t="n">
        <v>58</v>
      </c>
      <c r="I184" s="2" t="n">
        <v>37</v>
      </c>
      <c r="J184" s="2" t="s">
        <v>119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105</v>
      </c>
      <c r="P184" s="0" t="s">
        <v>95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P184" s="0" t="n">
        <v>3</v>
      </c>
      <c r="AQ184" s="0" t="n">
        <v>0</v>
      </c>
      <c r="AR184" s="0" t="n">
        <v>0</v>
      </c>
      <c r="AS184" s="4" t="n">
        <f aca="false">60*U184-SUM(AT184:AX184)</f>
        <v>17.1666666666667</v>
      </c>
      <c r="AT184" s="3" t="n">
        <f aca="false">70+35/60</f>
        <v>70.5833333333333</v>
      </c>
      <c r="AU184" s="3" t="n">
        <f aca="false">26+19/60</f>
        <v>26.3166666666667</v>
      </c>
      <c r="AV184" s="3" t="n">
        <f aca="false">12+7/60</f>
        <v>12.1166666666667</v>
      </c>
      <c r="AW184" s="3" t="n">
        <f aca="false">49/60</f>
        <v>0.816666666666667</v>
      </c>
      <c r="AX184" s="3" t="n">
        <v>0</v>
      </c>
      <c r="AY184" s="0" t="s">
        <v>57</v>
      </c>
      <c r="AZ184" s="0" t="s">
        <v>58</v>
      </c>
      <c r="BA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120</v>
      </c>
      <c r="G185" s="2" t="n">
        <v>73</v>
      </c>
      <c r="H185" s="2" t="n">
        <v>54</v>
      </c>
      <c r="I185" s="2" t="n">
        <v>48</v>
      </c>
      <c r="J185" s="12" t="s">
        <v>124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105</v>
      </c>
      <c r="P185" s="0" t="s">
        <v>125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P185" s="0" t="n">
        <v>0</v>
      </c>
      <c r="AQ185" s="0" t="n">
        <v>0</v>
      </c>
      <c r="AR185" s="0" t="n">
        <v>0</v>
      </c>
      <c r="AS185" s="4" t="n">
        <v>0</v>
      </c>
      <c r="AT185" s="3" t="n">
        <f aca="false">4+54/60</f>
        <v>4.9</v>
      </c>
      <c r="AU185" s="3" t="n">
        <f aca="false">28+9/60</f>
        <v>28.15</v>
      </c>
      <c r="AV185" s="3" t="n">
        <f aca="false">5+51/60</f>
        <v>5.85</v>
      </c>
      <c r="AW185" s="3" t="n">
        <f aca="false">7+3/60</f>
        <v>7.05</v>
      </c>
      <c r="AX185" s="3" t="n">
        <f aca="false">19+18/60</f>
        <v>19.3</v>
      </c>
      <c r="AY185" s="0" t="s">
        <v>57</v>
      </c>
      <c r="AZ185" s="0" t="s">
        <v>58</v>
      </c>
      <c r="BA185" s="0" t="n">
        <v>1</v>
      </c>
      <c r="BB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120</v>
      </c>
      <c r="G186" s="12" t="n">
        <v>93</v>
      </c>
      <c r="H186" s="2" t="n">
        <v>62</v>
      </c>
      <c r="I186" s="2" t="n">
        <v>37</v>
      </c>
      <c r="J186" s="2" t="s">
        <v>126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105</v>
      </c>
      <c r="P186" s="0" t="s">
        <v>95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P186" s="0" t="n">
        <v>3</v>
      </c>
      <c r="AQ186" s="0" t="n">
        <v>1</v>
      </c>
      <c r="AR186" s="0" t="n">
        <v>0</v>
      </c>
      <c r="AS186" s="4" t="n">
        <v>0</v>
      </c>
      <c r="AT186" s="3" t="n">
        <f aca="false">20+59/60</f>
        <v>20.9833333333333</v>
      </c>
      <c r="AU186" s="3" t="n">
        <f aca="false">26+52/60</f>
        <v>26.8666666666667</v>
      </c>
      <c r="AV186" s="3" t="n">
        <f aca="false">20+52/60</f>
        <v>20.8666666666667</v>
      </c>
      <c r="AW186" s="3" t="n">
        <f aca="false">10+36/60</f>
        <v>10.6</v>
      </c>
      <c r="AX186" s="3" t="n">
        <v>0</v>
      </c>
      <c r="AY186" s="0" t="s">
        <v>57</v>
      </c>
      <c r="AZ186" s="0" t="s">
        <v>58</v>
      </c>
      <c r="BA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118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127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105</v>
      </c>
      <c r="P187" s="0" t="s">
        <v>128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P187" s="0" t="n">
        <v>1</v>
      </c>
      <c r="AQ187" s="0" t="n">
        <v>1</v>
      </c>
      <c r="AR187" s="0" t="n">
        <v>0</v>
      </c>
      <c r="AS187" s="4" t="n">
        <v>0</v>
      </c>
      <c r="AT187" s="3" t="n">
        <v>0</v>
      </c>
      <c r="AU187" s="3" t="n">
        <f aca="false">6</f>
        <v>6</v>
      </c>
      <c r="AV187" s="3" t="n">
        <f aca="false">7+19/60</f>
        <v>7.31666666666667</v>
      </c>
      <c r="AW187" s="3" t="n">
        <f aca="false">21+30/60</f>
        <v>21.5</v>
      </c>
      <c r="AX187" s="3" t="n">
        <f aca="false">13+41/60</f>
        <v>13.6833333333333</v>
      </c>
      <c r="AY187" s="0" t="s">
        <v>57</v>
      </c>
      <c r="AZ187" s="0" t="s">
        <v>58</v>
      </c>
      <c r="BA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68</v>
      </c>
      <c r="F188" s="12" t="s">
        <v>120</v>
      </c>
      <c r="G188" s="2" t="n">
        <v>91</v>
      </c>
      <c r="H188" s="2" t="n">
        <v>63</v>
      </c>
      <c r="I188" s="2" t="n">
        <v>38</v>
      </c>
      <c r="J188" s="2" t="s">
        <v>100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69</v>
      </c>
      <c r="F189" s="12" t="s">
        <v>120</v>
      </c>
      <c r="G189" s="2" t="n">
        <v>94</v>
      </c>
      <c r="H189" s="2" t="n">
        <v>65</v>
      </c>
      <c r="I189" s="2" t="n">
        <v>38</v>
      </c>
      <c r="J189" s="2" t="s">
        <v>129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118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130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105</v>
      </c>
      <c r="P190" s="0" t="s">
        <v>95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P190" s="0" t="n">
        <v>1</v>
      </c>
      <c r="AQ190" s="0" t="n">
        <v>1</v>
      </c>
      <c r="AR190" s="0" t="n">
        <v>0</v>
      </c>
      <c r="AS190" s="4" t="n">
        <f aca="false">60*U190-SUM(AT190:AX190)</f>
        <v>7.55</v>
      </c>
      <c r="AT190" s="3" t="n">
        <f aca="false">67+3/60</f>
        <v>67.05</v>
      </c>
      <c r="AU190" s="3" t="n">
        <f aca="false">44+55/60</f>
        <v>44.9166666666667</v>
      </c>
      <c r="AV190" s="3" t="n">
        <f aca="false">3+29/60</f>
        <v>3.48333333333333</v>
      </c>
      <c r="AW190" s="3" t="n">
        <v>0</v>
      </c>
      <c r="AX190" s="3" t="n">
        <v>0</v>
      </c>
      <c r="AY190" s="0" t="s">
        <v>57</v>
      </c>
      <c r="AZ190" s="0" t="s">
        <v>58</v>
      </c>
      <c r="BA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115</v>
      </c>
      <c r="G191" s="2" t="n">
        <v>86</v>
      </c>
      <c r="H191" s="2" t="n">
        <v>86</v>
      </c>
      <c r="I191" s="2" t="n">
        <v>73</v>
      </c>
      <c r="J191" s="2" t="s">
        <v>126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105</v>
      </c>
      <c r="P191" s="0" t="s">
        <v>71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P191" s="0" t="n">
        <v>3</v>
      </c>
      <c r="AQ191" s="0" t="n">
        <v>0</v>
      </c>
      <c r="AR191" s="0" t="n">
        <v>0</v>
      </c>
      <c r="AS191" s="4" t="n">
        <f aca="false">60*U191-SUM(AT191:AX191)</f>
        <v>6.8</v>
      </c>
      <c r="AT191" s="3" t="n">
        <f aca="false">11/60</f>
        <v>0.183333333333333</v>
      </c>
      <c r="AU191" s="3" t="n">
        <f aca="false">17+29/60</f>
        <v>17.4833333333333</v>
      </c>
      <c r="AV191" s="3" t="n">
        <f aca="false">8+41/60</f>
        <v>8.68333333333333</v>
      </c>
      <c r="AW191" s="3" t="n">
        <f aca="false">5+27/60</f>
        <v>5.45</v>
      </c>
      <c r="AX191" s="3" t="n">
        <f aca="false">42+24/60</f>
        <v>42.4</v>
      </c>
      <c r="AY191" s="0" t="s">
        <v>57</v>
      </c>
      <c r="AZ191" s="0" t="s">
        <v>58</v>
      </c>
      <c r="BA191" s="0" t="n">
        <v>1</v>
      </c>
      <c r="BB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118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97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105</v>
      </c>
      <c r="P192" s="0" t="s">
        <v>95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P192" s="0" t="n">
        <v>0</v>
      </c>
      <c r="AQ192" s="0" t="n">
        <v>0</v>
      </c>
      <c r="AR192" s="0" t="n">
        <v>0</v>
      </c>
      <c r="AS192" s="4" t="n">
        <f aca="false">38+58/60</f>
        <v>38.9666666666667</v>
      </c>
      <c r="AT192" s="3" t="n">
        <f aca="false">34+127/60</f>
        <v>36.1166666666667</v>
      </c>
      <c r="AU192" s="3" t="n">
        <f aca="false">1+51/60</f>
        <v>1.85</v>
      </c>
      <c r="AV192" s="3" t="n">
        <f aca="false">20/60</f>
        <v>0.333333333333333</v>
      </c>
      <c r="AW192" s="3" t="n">
        <v>0</v>
      </c>
      <c r="AX192" s="3" t="n">
        <v>0</v>
      </c>
      <c r="AY192" s="0" t="s">
        <v>57</v>
      </c>
      <c r="AZ192" s="0" t="s">
        <v>58</v>
      </c>
      <c r="BA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120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98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105</v>
      </c>
      <c r="P193" s="0" t="s">
        <v>56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P193" s="0" t="n">
        <v>0</v>
      </c>
      <c r="AQ193" s="0" t="n">
        <v>0</v>
      </c>
      <c r="AR193" s="0" t="n">
        <v>0</v>
      </c>
      <c r="AS193" s="4" t="n">
        <f aca="false">60*U193-SUM(AT193:AX193)</f>
        <v>29.4566666666667</v>
      </c>
      <c r="AT193" s="3" t="n">
        <f aca="false">38+51/60</f>
        <v>38.85</v>
      </c>
      <c r="AU193" s="3" t="n">
        <f aca="false">24+17/50</f>
        <v>24.34</v>
      </c>
      <c r="AV193" s="3" t="n">
        <f aca="false">1+51/50</f>
        <v>2.02</v>
      </c>
      <c r="AW193" s="3" t="n">
        <f aca="false">20/60</f>
        <v>0.333333333333333</v>
      </c>
      <c r="AX193" s="3" t="n">
        <v>0</v>
      </c>
      <c r="AY193" s="0" t="s">
        <v>57</v>
      </c>
      <c r="AZ193" s="0" t="s">
        <v>58</v>
      </c>
      <c r="BA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120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121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105</v>
      </c>
      <c r="P194" s="0" t="s">
        <v>95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P194" s="0" t="n">
        <v>0</v>
      </c>
      <c r="AQ194" s="0" t="n">
        <v>0</v>
      </c>
      <c r="AR194" s="0" t="n">
        <v>0</v>
      </c>
      <c r="AS194" s="4" t="n">
        <f aca="false">60*U194-SUM(AT194:AX194)</f>
        <v>35.4166666666667</v>
      </c>
      <c r="AT194" s="4" t="n">
        <f aca="false">26+33/60</f>
        <v>26.55</v>
      </c>
      <c r="AU194" s="3" t="n">
        <f aca="false">20+15/60</f>
        <v>20.25</v>
      </c>
      <c r="AV194" s="3" t="n">
        <f aca="false">2+47/60</f>
        <v>2.78333333333333</v>
      </c>
      <c r="AW194" s="3" t="n">
        <v>0</v>
      </c>
      <c r="AX194" s="3" t="n">
        <v>0</v>
      </c>
      <c r="AY194" s="0" t="s">
        <v>57</v>
      </c>
      <c r="AZ194" s="0" t="s">
        <v>58</v>
      </c>
      <c r="BA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115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98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105</v>
      </c>
      <c r="P195" s="0" t="s">
        <v>63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Y195/AG195</f>
        <v>0.0603015075376884</v>
      </c>
      <c r="AI195" s="3" t="n">
        <f aca="false">17+48/60</f>
        <v>17.8</v>
      </c>
      <c r="AJ195" s="3" t="n">
        <f aca="false">60/3.4</f>
        <v>17.6470588235294</v>
      </c>
      <c r="AP195" s="0" t="n">
        <v>3</v>
      </c>
      <c r="AQ195" s="0" t="n">
        <v>0</v>
      </c>
      <c r="AR195" s="0" t="n">
        <v>0</v>
      </c>
      <c r="AS195" s="4" t="n">
        <v>0</v>
      </c>
      <c r="AT195" s="3" t="n">
        <f aca="false">36/60</f>
        <v>0.6</v>
      </c>
      <c r="AU195" s="3" t="n">
        <f aca="false">15+21/60</f>
        <v>15.35</v>
      </c>
      <c r="AV195" s="3" t="n">
        <f aca="false">4+43/60</f>
        <v>4.71666666666667</v>
      </c>
      <c r="AW195" s="3" t="n">
        <f aca="false">7+54/60</f>
        <v>7.9</v>
      </c>
      <c r="AX195" s="3" t="n">
        <f aca="false">44+43/60</f>
        <v>44.7166666666667</v>
      </c>
      <c r="AY195" s="0" t="s">
        <v>57</v>
      </c>
      <c r="AZ195" s="0" t="s">
        <v>58</v>
      </c>
      <c r="BA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115</v>
      </c>
      <c r="G196" s="2" t="n">
        <v>90</v>
      </c>
      <c r="H196" s="2" t="n">
        <v>77</v>
      </c>
      <c r="I196" s="2" t="n">
        <v>66</v>
      </c>
      <c r="J196" s="12" t="s">
        <v>121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105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P196" s="0" t="n">
        <v>3</v>
      </c>
      <c r="AQ196" s="0" t="n">
        <v>0</v>
      </c>
      <c r="AR196" s="0" t="n">
        <v>0</v>
      </c>
      <c r="AS196" s="4" t="n">
        <v>0</v>
      </c>
      <c r="AT196" s="3" t="n">
        <f aca="false">14/60</f>
        <v>0.233333333333333</v>
      </c>
      <c r="AU196" s="3" t="n">
        <f aca="false">22+10/60</f>
        <v>22.1666666666667</v>
      </c>
      <c r="AV196" s="3" t="n">
        <f aca="false">11+47/60</f>
        <v>11.7833333333333</v>
      </c>
      <c r="AW196" s="3" t="n">
        <f aca="false">6+56/60</f>
        <v>6.93333333333333</v>
      </c>
      <c r="AX196" s="3" t="n">
        <f aca="false">26+2/60</f>
        <v>26.0333333333333</v>
      </c>
      <c r="AY196" s="0" t="s">
        <v>57</v>
      </c>
      <c r="AZ196" s="0" t="s">
        <v>58</v>
      </c>
      <c r="BA196" s="0" t="n">
        <v>0</v>
      </c>
    </row>
    <row r="197" customFormat="false" ht="24" hidden="false" customHeight="false" outlineLevel="0" collapsed="false">
      <c r="A197" s="0" t="n">
        <v>728</v>
      </c>
      <c r="B197" s="1" t="n">
        <v>44075.4951388889</v>
      </c>
      <c r="C197" s="0" t="n">
        <v>0</v>
      </c>
      <c r="D197" s="10" t="s">
        <v>69</v>
      </c>
      <c r="F197" s="12" t="s">
        <v>132</v>
      </c>
      <c r="G197" s="2" t="n">
        <v>78</v>
      </c>
      <c r="H197" s="2" t="n">
        <v>71</v>
      </c>
      <c r="I197" s="2" t="n">
        <v>81</v>
      </c>
      <c r="J197" s="2" t="s">
        <v>129</v>
      </c>
      <c r="K197" s="2" t="n">
        <v>24</v>
      </c>
      <c r="L197" s="2" t="n">
        <v>32</v>
      </c>
      <c r="M197" s="0" t="s"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1661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2020-09-01T19:01:54Z</dcterms:modified>
  <cp:revision>76</cp:revision>
  <dc:subject/>
  <dc:title/>
</cp:coreProperties>
</file>