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74" i="1" l="1"/>
  <c r="AC74" i="1"/>
  <c r="AB74" i="1"/>
  <c r="AA74" i="1"/>
  <c r="Z74" i="1"/>
  <c r="Y74" i="1"/>
  <c r="X74" i="1"/>
  <c r="S74" i="1"/>
  <c r="R74" i="1"/>
  <c r="P74" i="1"/>
  <c r="O74" i="1"/>
  <c r="N74" i="1"/>
  <c r="L74" i="1"/>
  <c r="A74" i="1"/>
  <c r="AC73" i="1" l="1"/>
  <c r="AB73" i="1"/>
  <c r="AA73" i="1"/>
  <c r="Z73" i="1"/>
  <c r="Y73" i="1"/>
  <c r="X73" i="1"/>
  <c r="S73" i="1"/>
  <c r="R73" i="1"/>
  <c r="P73" i="1"/>
  <c r="O73" i="1"/>
  <c r="N73" i="1"/>
  <c r="A73" i="1"/>
  <c r="AC72" i="1" l="1"/>
  <c r="AB72" i="1"/>
  <c r="AA72" i="1"/>
  <c r="Z72" i="1"/>
  <c r="Y72" i="1"/>
  <c r="X72" i="1"/>
  <c r="S72" i="1"/>
  <c r="R72" i="1"/>
  <c r="P72" i="1"/>
  <c r="O72" i="1"/>
  <c r="N72" i="1"/>
  <c r="A72" i="1"/>
  <c r="AC71" i="1" l="1"/>
  <c r="AB71" i="1"/>
  <c r="AA71" i="1"/>
  <c r="Z71" i="1"/>
  <c r="Y71" i="1"/>
  <c r="X71" i="1"/>
  <c r="S71" i="1"/>
  <c r="P71" i="1"/>
  <c r="P70" i="1"/>
  <c r="R71" i="1"/>
  <c r="O71" i="1"/>
  <c r="N71" i="1"/>
  <c r="L71" i="1"/>
  <c r="A71" i="1"/>
  <c r="AC70" i="1"/>
  <c r="AB70" i="1"/>
  <c r="Z70" i="1"/>
  <c r="Y70" i="1"/>
  <c r="X70" i="1"/>
  <c r="S70" i="1"/>
  <c r="R70" i="1"/>
  <c r="O70" i="1"/>
  <c r="N70" i="1"/>
  <c r="A70" i="1"/>
  <c r="AC69" i="1" l="1"/>
  <c r="AB69" i="1"/>
  <c r="AA69" i="1"/>
  <c r="Z69" i="1"/>
  <c r="Y69" i="1"/>
  <c r="X69" i="1"/>
  <c r="S69" i="1"/>
  <c r="R69" i="1"/>
  <c r="P69" i="1"/>
  <c r="O69" i="1"/>
  <c r="N69" i="1"/>
  <c r="L69" i="1"/>
  <c r="A69" i="1"/>
  <c r="AE68" i="1" l="1"/>
  <c r="AD68" i="1"/>
  <c r="AC68" i="1"/>
  <c r="AB68" i="1"/>
  <c r="AA68" i="1"/>
  <c r="Z68" i="1"/>
  <c r="Y68" i="1"/>
  <c r="X68" i="1"/>
  <c r="S68" i="1"/>
  <c r="R68" i="1"/>
  <c r="P68" i="1"/>
  <c r="O68" i="1"/>
  <c r="N68" i="1"/>
  <c r="A68" i="1"/>
  <c r="AE67" i="1"/>
  <c r="AD67" i="1"/>
  <c r="AC67" i="1"/>
  <c r="AB67" i="1"/>
  <c r="AA67" i="1"/>
  <c r="Z67" i="1"/>
  <c r="Y67" i="1"/>
  <c r="X67" i="1"/>
  <c r="S67" i="1"/>
  <c r="R67" i="1"/>
  <c r="P67" i="1"/>
  <c r="O67" i="1"/>
  <c r="N67" i="1"/>
  <c r="A67" i="1"/>
  <c r="AC66" i="1" l="1"/>
  <c r="AB66" i="1"/>
  <c r="AA66" i="1"/>
  <c r="Z66" i="1"/>
  <c r="Y66" i="1"/>
  <c r="X66" i="1"/>
  <c r="S66" i="1"/>
  <c r="R66" i="1"/>
  <c r="P66" i="1"/>
  <c r="O66" i="1"/>
  <c r="L66" i="1"/>
  <c r="A66" i="1"/>
  <c r="A65" i="1"/>
  <c r="AC65" i="1"/>
  <c r="AD65" i="1"/>
  <c r="AB65" i="1"/>
  <c r="AA65" i="1"/>
  <c r="Z65" i="1"/>
  <c r="Y65" i="1"/>
  <c r="X65" i="1"/>
  <c r="S65" i="1"/>
  <c r="R65" i="1"/>
  <c r="P65" i="1"/>
  <c r="O65" i="1"/>
  <c r="N65" i="1"/>
  <c r="L65" i="1"/>
  <c r="AB63" i="1" l="1"/>
  <c r="AA63" i="1"/>
  <c r="Z63" i="1"/>
  <c r="Y63" i="1"/>
  <c r="X63" i="1"/>
  <c r="S63" i="1"/>
  <c r="R63" i="1"/>
  <c r="P63" i="1"/>
  <c r="O63" i="1"/>
  <c r="L63" i="1"/>
  <c r="N63" i="1" s="1"/>
  <c r="AB61" i="1" l="1"/>
  <c r="AA61" i="1"/>
  <c r="Z61" i="1"/>
  <c r="Y61" i="1"/>
  <c r="X61" i="1"/>
  <c r="S61" i="1" l="1"/>
  <c r="R61" i="1"/>
  <c r="O61" i="1"/>
  <c r="P61" i="1" s="1"/>
  <c r="N61" i="1"/>
  <c r="B60" i="1"/>
  <c r="AB60" i="1" l="1"/>
  <c r="AA60" i="1"/>
  <c r="Z60" i="1"/>
  <c r="Y60" i="1"/>
  <c r="X60" i="1"/>
  <c r="S60" i="1"/>
  <c r="R60" i="1"/>
  <c r="P60" i="1"/>
  <c r="O60" i="1"/>
  <c r="N60" i="1"/>
  <c r="AC59" i="1" l="1"/>
  <c r="AB59" i="1"/>
  <c r="AA59" i="1"/>
  <c r="Z59" i="1"/>
  <c r="Y59" i="1"/>
  <c r="X59" i="1"/>
  <c r="S59" i="1"/>
  <c r="R59" i="1"/>
  <c r="O59" i="1"/>
  <c r="P59" i="1" s="1"/>
  <c r="N59" i="1"/>
  <c r="Z58" i="1"/>
  <c r="Y58" i="1"/>
  <c r="X58" i="1"/>
  <c r="S58" i="1"/>
  <c r="R58" i="1"/>
  <c r="O58" i="1"/>
  <c r="P58" i="1" s="1"/>
  <c r="AB57" i="1" l="1"/>
  <c r="AA57" i="1"/>
  <c r="Z57" i="1"/>
  <c r="Y57" i="1"/>
  <c r="X57" i="1"/>
  <c r="S57" i="1"/>
  <c r="O57" i="1"/>
  <c r="P57" i="1" s="1"/>
  <c r="R57" i="1"/>
  <c r="AC56" i="1" l="1"/>
  <c r="AB56" i="1"/>
  <c r="AA56" i="1"/>
  <c r="Z56" i="1"/>
  <c r="X56" i="1"/>
  <c r="Y56" i="1"/>
  <c r="S56" i="1"/>
  <c r="R56" i="1"/>
  <c r="O56" i="1"/>
  <c r="P56" i="1" s="1"/>
  <c r="AA55" i="1" l="1"/>
  <c r="Z55" i="1"/>
  <c r="Y55" i="1"/>
  <c r="X55" i="1"/>
  <c r="S55" i="1"/>
  <c r="R55" i="1"/>
  <c r="O55" i="1"/>
  <c r="P55" i="1" s="1"/>
  <c r="AB54" i="1" l="1"/>
  <c r="AA54" i="1"/>
  <c r="Z54" i="1"/>
  <c r="Y54" i="1"/>
  <c r="X54" i="1"/>
  <c r="S54" i="1"/>
  <c r="R54" i="1"/>
  <c r="P54" i="1"/>
  <c r="O54" i="1"/>
  <c r="AB51" i="1" l="1"/>
  <c r="AA51" i="1"/>
  <c r="Z51" i="1"/>
  <c r="Y51" i="1"/>
  <c r="X51" i="1"/>
  <c r="V51" i="1"/>
  <c r="S51" i="1"/>
  <c r="R51" i="1"/>
  <c r="O51" i="1"/>
  <c r="P51" i="1" s="1"/>
  <c r="N51" i="1"/>
  <c r="AB50" i="1" l="1"/>
  <c r="AA50" i="1"/>
  <c r="Z50" i="1"/>
  <c r="Y50" i="1"/>
  <c r="X50" i="1"/>
  <c r="S50" i="1"/>
  <c r="R50" i="1"/>
  <c r="P50" i="1"/>
  <c r="O50" i="1"/>
  <c r="O49" i="1"/>
  <c r="P49" i="1"/>
  <c r="S49" i="1"/>
  <c r="X49" i="1"/>
  <c r="Y49" i="1"/>
  <c r="Z49" i="1"/>
  <c r="AA49" i="1"/>
  <c r="AB48" i="1" l="1"/>
  <c r="AA48" i="1"/>
  <c r="Z48" i="1"/>
  <c r="Y48" i="1"/>
  <c r="X48" i="1"/>
  <c r="S48" i="1"/>
  <c r="R48" i="1"/>
  <c r="O48" i="1"/>
  <c r="P48" i="1" s="1"/>
  <c r="AC47" i="1" l="1"/>
  <c r="AB47" i="1"/>
  <c r="AA47" i="1"/>
  <c r="Z47" i="1"/>
  <c r="Y47" i="1"/>
  <c r="X47" i="1"/>
  <c r="O47" i="1"/>
  <c r="P47" i="1"/>
  <c r="S47" i="1"/>
  <c r="R47" i="1"/>
  <c r="AB43" i="1" l="1"/>
  <c r="AA43" i="1"/>
  <c r="Z43" i="1"/>
  <c r="Y43" i="1"/>
  <c r="X43" i="1"/>
  <c r="S43" i="1"/>
  <c r="R43" i="1"/>
  <c r="P43" i="1"/>
  <c r="O43" i="1"/>
  <c r="AC42" i="1" l="1"/>
  <c r="AD42" i="1"/>
  <c r="AB42" i="1"/>
  <c r="AA42" i="1"/>
  <c r="Z42" i="1"/>
  <c r="Y42" i="1"/>
  <c r="X42" i="1"/>
  <c r="S42" i="1"/>
  <c r="R42" i="1"/>
  <c r="O42" i="1"/>
  <c r="P42" i="1" s="1"/>
  <c r="AD41" i="1" l="1"/>
  <c r="AC41" i="1"/>
  <c r="AB41" i="1"/>
  <c r="AA41" i="1"/>
  <c r="Z41" i="1"/>
  <c r="Y41" i="1"/>
  <c r="X41" i="1"/>
  <c r="S41" i="1"/>
  <c r="R41" i="1"/>
  <c r="O41" i="1"/>
  <c r="P41" i="1" s="1"/>
  <c r="AD38" i="1" l="1"/>
  <c r="AC38" i="1"/>
  <c r="AB38" i="1"/>
  <c r="AA38" i="1"/>
  <c r="Z38" i="1"/>
  <c r="Y38" i="1"/>
  <c r="X38" i="1"/>
  <c r="S38" i="1"/>
  <c r="R38" i="1"/>
  <c r="O38" i="1"/>
  <c r="P38" i="1" s="1"/>
  <c r="AB37" i="1" l="1"/>
  <c r="AA37" i="1"/>
  <c r="Z37" i="1"/>
  <c r="Y37" i="1"/>
  <c r="X37" i="1"/>
  <c r="S37" i="1"/>
  <c r="R37" i="1"/>
  <c r="P37" i="1"/>
  <c r="O37" i="1"/>
  <c r="AB36" i="1"/>
  <c r="AA36" i="1"/>
  <c r="Z36" i="1"/>
  <c r="Y36" i="1"/>
  <c r="X36" i="1"/>
  <c r="S36" i="1"/>
  <c r="R36" i="1"/>
  <c r="O36" i="1"/>
  <c r="P36" i="1" s="1"/>
  <c r="AB35" i="1" l="1"/>
  <c r="AA35" i="1"/>
  <c r="Z35" i="1"/>
  <c r="Y35" i="1"/>
  <c r="X35" i="1"/>
  <c r="S35" i="1"/>
  <c r="R35" i="1"/>
  <c r="O35" i="1"/>
  <c r="P35" i="1" s="1"/>
  <c r="AB34" i="1" l="1"/>
  <c r="AA34" i="1"/>
  <c r="Z34" i="1"/>
  <c r="Y34" i="1"/>
  <c r="X34" i="1"/>
  <c r="S34" i="1"/>
  <c r="R34" i="1"/>
  <c r="P34" i="1"/>
  <c r="O34" i="1"/>
  <c r="AB33" i="1" l="1"/>
  <c r="AA33" i="1"/>
  <c r="Z33" i="1"/>
  <c r="Y33" i="1"/>
  <c r="X33" i="1"/>
  <c r="S33" i="1"/>
  <c r="R33" i="1"/>
  <c r="P33" i="1"/>
  <c r="O33" i="1"/>
  <c r="AB32" i="1" l="1"/>
  <c r="AA32" i="1"/>
  <c r="Z32" i="1"/>
  <c r="Y32" i="1"/>
  <c r="X32" i="1"/>
  <c r="S32" i="1"/>
  <c r="R32" i="1"/>
  <c r="P32" i="1"/>
  <c r="O32" i="1"/>
  <c r="AB31" i="1" l="1"/>
  <c r="AA31" i="1"/>
  <c r="Z31" i="1"/>
  <c r="Y31" i="1"/>
  <c r="X31" i="1"/>
  <c r="S31" i="1"/>
  <c r="R31" i="1"/>
  <c r="P31" i="1"/>
  <c r="O31" i="1"/>
  <c r="AB30" i="1" l="1"/>
  <c r="AA30" i="1"/>
  <c r="Z30" i="1"/>
  <c r="Y30" i="1"/>
  <c r="X30" i="1"/>
  <c r="S30" i="1"/>
  <c r="R30" i="1"/>
  <c r="P30" i="1"/>
  <c r="O30" i="1"/>
  <c r="AB28" i="1" l="1"/>
  <c r="AA28" i="1"/>
  <c r="Z28" i="1"/>
  <c r="Y28" i="1"/>
  <c r="X28" i="1"/>
  <c r="S28" i="1"/>
  <c r="R28" i="1"/>
  <c r="P28" i="1"/>
  <c r="O28" i="1"/>
  <c r="AC27" i="1" l="1"/>
  <c r="AB27" i="1"/>
  <c r="AA27" i="1"/>
  <c r="Z27" i="1"/>
  <c r="Y27" i="1"/>
  <c r="X27" i="1"/>
  <c r="S27" i="1"/>
  <c r="R27" i="1"/>
  <c r="O27" i="1"/>
  <c r="P27" i="1" s="1"/>
  <c r="AB26" i="1" l="1"/>
  <c r="AA26" i="1"/>
  <c r="Z26" i="1"/>
  <c r="Y26" i="1"/>
  <c r="X26" i="1"/>
  <c r="S26" i="1"/>
  <c r="R26" i="1"/>
  <c r="P26" i="1"/>
  <c r="O26" i="1"/>
  <c r="AC22" i="1" l="1"/>
  <c r="AA22" i="1"/>
  <c r="AB22" i="1"/>
  <c r="Z22" i="1"/>
  <c r="Y22" i="1"/>
  <c r="X22" i="1"/>
  <c r="S22" i="1"/>
  <c r="R22" i="1"/>
  <c r="O22" i="1"/>
  <c r="P22" i="1" s="1"/>
  <c r="AA24" i="1"/>
  <c r="Z24" i="1"/>
  <c r="Y24" i="1"/>
  <c r="X24" i="1"/>
  <c r="T24" i="1"/>
  <c r="O24" i="1"/>
  <c r="P24" i="1" s="1"/>
  <c r="S24" i="1"/>
  <c r="R24" i="1"/>
  <c r="AA21" i="1" l="1"/>
  <c r="Z21" i="1"/>
  <c r="Y21" i="1"/>
  <c r="X21" i="1"/>
  <c r="S21" i="1"/>
  <c r="R21" i="1"/>
  <c r="O21" i="1"/>
  <c r="P21" i="1" s="1"/>
  <c r="AB2" i="1" l="1"/>
  <c r="AA2" i="1"/>
  <c r="Z2" i="1"/>
  <c r="Y2" i="1"/>
  <c r="X2" i="1"/>
  <c r="S2" i="1"/>
  <c r="AB20" i="1"/>
  <c r="AA20" i="1"/>
  <c r="Z20" i="1"/>
  <c r="Y20" i="1"/>
  <c r="X20" i="1"/>
  <c r="S20" i="1"/>
  <c r="O20" i="1"/>
  <c r="P20" i="1" s="1"/>
  <c r="R20" i="1"/>
  <c r="R19" i="1"/>
  <c r="N20" i="1"/>
  <c r="S19" i="1"/>
  <c r="O19" i="1"/>
  <c r="P19" i="1" s="1"/>
  <c r="R3" i="1" l="1"/>
  <c r="A4" i="1"/>
  <c r="A3" i="1" s="1"/>
  <c r="B5" i="1" l="1"/>
  <c r="AB17" i="1"/>
  <c r="AA17" i="1"/>
  <c r="Z17" i="1"/>
  <c r="Y17" i="1"/>
  <c r="X17" i="1"/>
  <c r="S17" i="1"/>
  <c r="P17" i="1"/>
  <c r="O17" i="1"/>
  <c r="A6" i="1" l="1"/>
  <c r="AC16" i="1"/>
  <c r="AB16" i="1"/>
  <c r="AA16" i="1"/>
  <c r="Z16" i="1"/>
  <c r="Y16" i="1"/>
  <c r="X16" i="1"/>
  <c r="S16" i="1"/>
  <c r="R16" i="1"/>
  <c r="O16" i="1"/>
  <c r="P16" i="1" s="1"/>
  <c r="AB15" i="1" l="1"/>
  <c r="AA15" i="1"/>
  <c r="Z15" i="1"/>
  <c r="Y15" i="1"/>
  <c r="X15" i="1"/>
  <c r="S15" i="1"/>
  <c r="R15" i="1"/>
  <c r="P15" i="1"/>
  <c r="O15" i="1"/>
  <c r="N1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C14" i="1" l="1"/>
  <c r="AB14" i="1"/>
  <c r="AA14" i="1"/>
  <c r="Z14" i="1"/>
  <c r="Y14" i="1"/>
  <c r="X14" i="1"/>
  <c r="S14" i="1"/>
  <c r="R14" i="1"/>
  <c r="O14" i="1"/>
  <c r="P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AB9" i="1" l="1"/>
  <c r="AA9" i="1"/>
  <c r="Z9" i="1"/>
  <c r="Y9" i="1"/>
  <c r="X9" i="1"/>
  <c r="S9" i="1"/>
  <c r="R9" i="1"/>
  <c r="P9" i="1"/>
  <c r="O9" i="1"/>
  <c r="AB8" i="1"/>
  <c r="AA8" i="1"/>
  <c r="Z8" i="1"/>
  <c r="Y8" i="1"/>
  <c r="X8" i="1"/>
  <c r="S8" i="1"/>
  <c r="O8" i="1"/>
  <c r="R8" i="1" s="1"/>
  <c r="A7" i="1"/>
  <c r="A8" i="1" s="1"/>
  <c r="A9" i="1" s="1"/>
  <c r="P8" i="1" l="1"/>
  <c r="AC6" i="1"/>
  <c r="AB6" i="1"/>
  <c r="AA6" i="1"/>
  <c r="Z6" i="1"/>
  <c r="Y6" i="1"/>
  <c r="X6" i="1"/>
  <c r="S6" i="1"/>
  <c r="R6" i="1"/>
  <c r="O6" i="1"/>
  <c r="P6" i="1" s="1"/>
  <c r="Z7" i="1"/>
  <c r="Y7" i="1"/>
  <c r="X7" i="1"/>
  <c r="S7" i="1"/>
  <c r="Q7" i="1"/>
  <c r="R7" i="1" s="1"/>
  <c r="O7" i="1"/>
  <c r="P7" i="1" s="1"/>
  <c r="N7" i="1"/>
  <c r="B4" i="1"/>
  <c r="B3" i="1" s="1"/>
</calcChain>
</file>

<file path=xl/sharedStrings.xml><?xml version="1.0" encoding="utf-8"?>
<sst xmlns="http://schemas.openxmlformats.org/spreadsheetml/2006/main" count="361" uniqueCount="79">
  <si>
    <t>id</t>
  </si>
  <si>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</si>
  <si>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</si>
  <si>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</si>
  <si>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</si>
  <si>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</si>
  <si>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</si>
  <si>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</si>
  <si>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</si>
  <si>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</si>
  <si>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</si>
  <si>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</si>
  <si>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</si>
  <si>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</si>
  <si>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</si>
  <si>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</si>
  <si>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</si>
  <si>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</si>
  <si>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</si>
  <si>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</si>
  <si>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</si>
  <si>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</si>
  <si>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</si>
  <si>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</si>
  <si>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</si>
  <si>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</si>
  <si>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</si>
  <si>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</si>
  <si>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</si>
  <si>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</si>
  <si>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Parks Mall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</si>
  <si>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</si>
  <si>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</si>
  <si>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</si>
  <si>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</si>
  <si>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</si>
  <si>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</si>
  <si>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</si>
  <si>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</si>
  <si>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</si>
  <si>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Day off</t>
  </si>
  <si>
    <t>Light Rain</t>
  </si>
  <si>
    <t>Doctor visit</t>
  </si>
  <si>
    <t>Enchanted Lakes</t>
  </si>
  <si>
    <t>Rain</t>
  </si>
  <si>
    <t>Little Road</t>
  </si>
  <si>
    <t>Veterans Park</t>
  </si>
  <si>
    <t>Lost walk data</t>
  </si>
  <si>
    <t>Vandergriff Park</t>
  </si>
  <si>
    <t>Cloudy</t>
  </si>
  <si>
    <t>Perkins Road</t>
  </si>
  <si>
    <t>Loast data</t>
  </si>
  <si>
    <t>Lost data</t>
  </si>
  <si>
    <t>Fish Creek Linear Park</t>
  </si>
  <si>
    <t>Stoval Park</t>
  </si>
  <si>
    <t>Mostly Cloudy</t>
  </si>
  <si>
    <t>Vetrans - Kelly Loop</t>
  </si>
  <si>
    <t>Operztor error</t>
  </si>
  <si>
    <t>partly Cloudy'</t>
  </si>
  <si>
    <t>T-Storm / Windy</t>
  </si>
  <si>
    <t>River Legacy West</t>
  </si>
  <si>
    <t>Easter</t>
  </si>
  <si>
    <t>Rosie</t>
  </si>
  <si>
    <t>Forecast rain</t>
  </si>
  <si>
    <t>date_time</t>
  </si>
  <si>
    <t>River Legacy North East</t>
  </si>
  <si>
    <t>start_steps</t>
  </si>
  <si>
    <t>end_steps</t>
  </si>
  <si>
    <t>kcal</t>
  </si>
  <si>
    <t>walking_conditions</t>
  </si>
  <si>
    <t>Humid</t>
  </si>
  <si>
    <t>Operator error</t>
  </si>
  <si>
    <t>Wet</t>
  </si>
  <si>
    <t>Perfect</t>
  </si>
  <si>
    <t>Partly Cloudy</t>
  </si>
  <si>
    <t>Three Parks</t>
  </si>
  <si>
    <t>OK</t>
  </si>
  <si>
    <t>sky</t>
  </si>
  <si>
    <t xml:space="preserve">Slightly Humid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</si>
</sst>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1">
    <xf numFmtId="0" fontId="0" fillId="0" borderId="0" xfId="0"/>
    <xf numFmtId="2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tabSelected="1" zoomScale="115" zoomScaleNormal="115" workbookViewId="0">
      <pane ySplit="1" topLeftCell="A62" activePane="bottomLeft" state="frozen"/>
      <selection activeCell="B1" sqref="B1"/>
      <selection pane="bottomLeft" activeCell="A74" sqref="A74"/>
    </sheetView>
  </sheetViews>
  <sheetFormatPr defaultRowHeight="15" x14ac:dyDescent="0.25"/>
  <cols>
    <col min="2" max="2" width="17.42578125" style="20" customWidth="1"/>
    <col min="4" max="4" width="17.85546875" customWidth="1"/>
    <col min="5" max="5" width="20" customWidth="1"/>
    <col min="8" max="8" width="16.42578125" style="18" customWidth="1"/>
    <col min="9" max="9" width="9.85546875" customWidth="1"/>
    <col min="10" max="10" width="26" customWidth="1"/>
    <col min="11" max="11" width="9.140625" style="1"/>
    <col min="12" max="12" width="11.42578125" style="19" customWidth="1"/>
    <col min="13" max="14" width="9.140625" style="19"/>
    <col min="15" max="16" width="9.140625" style="1"/>
    <col min="18" max="19" width="9.140625" style="1"/>
    <col min="20" max="22" width="9.140625" style="19"/>
    <col min="24" max="31" width="9.140625" style="1"/>
    <col min="34" max="34" width="20.28515625" customWidth="1"/>
    <col min="36" max="36" width="11.140625" customWidth="1"/>
    <col min="37" max="37" width="14.42578125" customWidth="1"/>
  </cols>
  <sheetData>
    <row r="1" spans="1:37" x14ac:dyDescent="0.25">
      <c r="A1" t="s">
        <v>0</v>
      </c>
      <c r="B1" s="20" t="s">
        <v>64</v>
      </c>
      <c r="C1" t="s">
        <v>1</v>
      </c>
      <c r="D1" t="s">
        <v>2</v>
      </c>
      <c r="E1" t="s">
        <v>77</v>
      </c>
      <c r="F1" t="s">
        <v>3</v>
      </c>
      <c r="G1" t="s">
        <v>4</v>
      </c>
      <c r="H1" s="18" t="s">
        <v>69</v>
      </c>
      <c r="I1" t="s">
        <v>29</v>
      </c>
      <c r="J1" t="s">
        <v>5</v>
      </c>
      <c r="K1" s="1" t="s">
        <v>6</v>
      </c>
      <c r="L1" s="19" t="s">
        <v>66</v>
      </c>
      <c r="M1" s="19" t="s">
        <v>67</v>
      </c>
      <c r="N1" s="19" t="s">
        <v>7</v>
      </c>
      <c r="O1" s="1" t="s">
        <v>8</v>
      </c>
      <c r="P1" s="1" t="s">
        <v>9</v>
      </c>
      <c r="Q1" t="s">
        <v>10</v>
      </c>
      <c r="R1" s="1" t="s">
        <v>11</v>
      </c>
      <c r="S1" s="1" t="s">
        <v>12</v>
      </c>
      <c r="T1" s="19" t="s">
        <v>13</v>
      </c>
      <c r="U1" s="19" t="s">
        <v>68</v>
      </c>
      <c r="V1" s="19" t="s">
        <v>14</v>
      </c>
      <c r="W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36</v>
      </c>
    </row>
    <row r="2" spans="1:37" s="18" customFormat="1" x14ac:dyDescent="0.25">
      <c r="A2" s="18">
        <v>518</v>
      </c>
      <c r="B2" s="20">
        <v>43882</v>
      </c>
      <c r="C2" s="18">
        <v>1</v>
      </c>
      <c r="E2" s="18" t="s">
        <v>49</v>
      </c>
      <c r="F2" s="18">
        <v>54</v>
      </c>
      <c r="G2" s="18">
        <v>98</v>
      </c>
      <c r="I2" s="18" t="s">
        <v>35</v>
      </c>
      <c r="J2" s="18" t="s">
        <v>30</v>
      </c>
      <c r="K2" s="1">
        <v>5.19</v>
      </c>
      <c r="L2" s="19"/>
      <c r="M2" s="19"/>
      <c r="N2" s="19"/>
      <c r="O2" s="1">
        <v>1.55</v>
      </c>
      <c r="P2" s="18">
        <v>3.35</v>
      </c>
      <c r="Q2" s="18">
        <v>3</v>
      </c>
      <c r="R2" s="18">
        <v>1.73</v>
      </c>
      <c r="S2" s="1">
        <f>16+46/60</f>
        <v>16.766666666666666</v>
      </c>
      <c r="T2" s="19">
        <v>220</v>
      </c>
      <c r="U2" s="19">
        <v>667</v>
      </c>
      <c r="V2" s="19">
        <v>101</v>
      </c>
      <c r="W2" s="18">
        <v>150</v>
      </c>
      <c r="X2" s="1">
        <f>16+11.7/60</f>
        <v>16.195</v>
      </c>
      <c r="Y2" s="1">
        <f>16+55.8/60</f>
        <v>16.93</v>
      </c>
      <c r="Z2" s="1">
        <f>16+53.8/60</f>
        <v>16.896666666666668</v>
      </c>
      <c r="AA2" s="1">
        <f>17+8.8/60</f>
        <v>17.146666666666668</v>
      </c>
      <c r="AB2" s="1">
        <f>60/3.6</f>
        <v>16.666666666666668</v>
      </c>
      <c r="AC2" s="1"/>
      <c r="AD2" s="1"/>
      <c r="AE2" s="1"/>
      <c r="AF2" s="18">
        <v>1</v>
      </c>
      <c r="AG2" s="18">
        <v>1</v>
      </c>
      <c r="AH2" s="18" t="s">
        <v>31</v>
      </c>
      <c r="AI2" s="18" t="s">
        <v>32</v>
      </c>
      <c r="AJ2" s="18">
        <v>0</v>
      </c>
    </row>
    <row r="3" spans="1:37" s="10" customFormat="1" x14ac:dyDescent="0.25">
      <c r="A3" s="11">
        <f>A4-1</f>
        <v>537</v>
      </c>
      <c r="B3" s="20">
        <f>B4-1</f>
        <v>43883</v>
      </c>
      <c r="C3" s="10">
        <v>1</v>
      </c>
      <c r="E3" s="12" t="s">
        <v>33</v>
      </c>
      <c r="F3" s="13">
        <v>77</v>
      </c>
      <c r="G3" s="13">
        <v>42</v>
      </c>
      <c r="H3" s="18"/>
      <c r="I3" s="14" t="s">
        <v>35</v>
      </c>
      <c r="J3" s="16" t="s">
        <v>48</v>
      </c>
      <c r="K3" s="1">
        <v>5.62</v>
      </c>
      <c r="L3" s="19"/>
      <c r="M3" s="19"/>
      <c r="N3" s="19"/>
      <c r="O3" s="1">
        <v>1.53</v>
      </c>
      <c r="P3" s="1">
        <v>3.93</v>
      </c>
      <c r="Q3" s="10">
        <v>2</v>
      </c>
      <c r="R3" s="1">
        <f>K3/Q3</f>
        <v>2.81</v>
      </c>
      <c r="S3" s="17">
        <v>16.350000000000001</v>
      </c>
      <c r="T3" s="19">
        <v>125</v>
      </c>
      <c r="U3" s="19">
        <v>943</v>
      </c>
      <c r="V3" s="19">
        <v>124</v>
      </c>
      <c r="W3" s="18">
        <v>140</v>
      </c>
      <c r="X3" s="18">
        <v>15.62</v>
      </c>
      <c r="Y3" s="1">
        <v>16.3</v>
      </c>
      <c r="Z3" s="18">
        <v>16.079999999999998</v>
      </c>
      <c r="AA3" s="18">
        <v>15.83</v>
      </c>
      <c r="AB3" s="18">
        <v>16.5</v>
      </c>
      <c r="AC3" s="18">
        <v>16.22</v>
      </c>
      <c r="AD3" s="1"/>
      <c r="AE3" s="1"/>
      <c r="AF3" s="18">
        <v>1</v>
      </c>
      <c r="AG3" s="18">
        <v>0</v>
      </c>
      <c r="AH3" s="18" t="s">
        <v>31</v>
      </c>
      <c r="AI3" s="18" t="s">
        <v>32</v>
      </c>
      <c r="AJ3" s="18">
        <v>0</v>
      </c>
      <c r="AK3" s="18"/>
    </row>
    <row r="4" spans="1:37" x14ac:dyDescent="0.25">
      <c r="A4" s="10">
        <f>A5-1</f>
        <v>538</v>
      </c>
      <c r="B4" s="20">
        <f>B5-1</f>
        <v>43884</v>
      </c>
      <c r="C4">
        <v>1</v>
      </c>
      <c r="E4" s="18" t="s">
        <v>33</v>
      </c>
      <c r="F4" s="4">
        <v>74</v>
      </c>
      <c r="G4" s="4">
        <v>64</v>
      </c>
      <c r="I4" s="15" t="s">
        <v>35</v>
      </c>
      <c r="J4" s="5" t="s">
        <v>46</v>
      </c>
      <c r="K4" s="1">
        <v>4.91</v>
      </c>
      <c r="O4" s="1">
        <v>1.25</v>
      </c>
      <c r="P4" s="7">
        <v>3.93</v>
      </c>
      <c r="Q4" s="7">
        <v>2</v>
      </c>
      <c r="R4" s="7">
        <v>2.46</v>
      </c>
      <c r="S4" s="8">
        <v>17.28</v>
      </c>
      <c r="T4" s="19">
        <v>269</v>
      </c>
      <c r="U4" s="19">
        <v>648</v>
      </c>
      <c r="V4" s="19">
        <v>96</v>
      </c>
      <c r="W4" s="8">
        <v>146</v>
      </c>
      <c r="X4" s="9">
        <v>17.03</v>
      </c>
      <c r="Y4" s="1">
        <v>16.62</v>
      </c>
      <c r="Z4" s="9">
        <v>17.78</v>
      </c>
      <c r="AA4" s="9">
        <v>16.75</v>
      </c>
      <c r="AB4" s="9">
        <v>17.14</v>
      </c>
      <c r="AF4" s="10">
        <v>1</v>
      </c>
      <c r="AG4" s="10">
        <v>0</v>
      </c>
      <c r="AH4" s="18" t="s">
        <v>31</v>
      </c>
      <c r="AI4" s="10" t="s">
        <v>32</v>
      </c>
      <c r="AJ4" s="10">
        <v>0</v>
      </c>
      <c r="AK4" s="10"/>
    </row>
    <row r="5" spans="1:37" x14ac:dyDescent="0.25">
      <c r="A5">
        <v>539</v>
      </c>
      <c r="B5" s="20">
        <f>B6-1</f>
        <v>43885</v>
      </c>
      <c r="C5">
        <v>1</v>
      </c>
      <c r="E5" t="s">
        <v>44</v>
      </c>
      <c r="F5">
        <v>50</v>
      </c>
      <c r="G5">
        <v>60</v>
      </c>
      <c r="I5" t="s">
        <v>35</v>
      </c>
      <c r="J5" t="s">
        <v>30</v>
      </c>
      <c r="K5" s="1">
        <v>5.47</v>
      </c>
      <c r="N5" s="19">
        <v>12521</v>
      </c>
      <c r="O5" s="1">
        <v>1.58</v>
      </c>
      <c r="P5">
        <v>3.45</v>
      </c>
      <c r="Q5">
        <v>4</v>
      </c>
      <c r="R5">
        <v>1.37</v>
      </c>
      <c r="S5">
        <v>17.399999999999999</v>
      </c>
      <c r="T5" s="19">
        <v>54</v>
      </c>
      <c r="U5" s="19">
        <v>1095</v>
      </c>
      <c r="V5" s="19">
        <v>126</v>
      </c>
      <c r="W5">
        <v>147</v>
      </c>
      <c r="X5">
        <v>19.12</v>
      </c>
      <c r="Y5" s="1">
        <v>20.329999999999998</v>
      </c>
      <c r="Z5">
        <v>21.63</v>
      </c>
      <c r="AA5">
        <v>20.350000000000001</v>
      </c>
      <c r="AB5">
        <v>20</v>
      </c>
      <c r="AC5"/>
      <c r="AG5">
        <v>1</v>
      </c>
      <c r="AH5" s="18" t="s">
        <v>31</v>
      </c>
      <c r="AI5" s="18" t="s">
        <v>32</v>
      </c>
      <c r="AJ5">
        <v>0</v>
      </c>
      <c r="AK5" t="s">
        <v>36</v>
      </c>
    </row>
    <row r="6" spans="1:37" x14ac:dyDescent="0.25">
      <c r="A6">
        <f>A5+1</f>
        <v>540</v>
      </c>
      <c r="B6" s="20">
        <v>43886</v>
      </c>
      <c r="C6">
        <v>1</v>
      </c>
      <c r="E6" t="s">
        <v>33</v>
      </c>
      <c r="F6">
        <v>62</v>
      </c>
      <c r="G6">
        <v>80</v>
      </c>
      <c r="I6" t="s">
        <v>35</v>
      </c>
      <c r="J6" t="s">
        <v>34</v>
      </c>
      <c r="K6" s="1">
        <v>5.49</v>
      </c>
      <c r="O6" s="1">
        <f>87/60</f>
        <v>1.45</v>
      </c>
      <c r="P6" s="1">
        <f>K6/O6</f>
        <v>3.7862068965517244</v>
      </c>
      <c r="Q6">
        <v>1</v>
      </c>
      <c r="R6" s="1">
        <f>K6/Q6</f>
        <v>5.49</v>
      </c>
      <c r="S6" s="1">
        <f>15+45/60</f>
        <v>15.75</v>
      </c>
      <c r="T6" s="19">
        <v>30</v>
      </c>
      <c r="U6" s="19">
        <v>965</v>
      </c>
      <c r="V6" s="19">
        <v>132</v>
      </c>
      <c r="W6">
        <v>159</v>
      </c>
      <c r="X6" s="1">
        <f>15+37/60</f>
        <v>15.616666666666667</v>
      </c>
      <c r="Y6" s="1">
        <f>15+50/60</f>
        <v>15.833333333333334</v>
      </c>
      <c r="Z6" s="1">
        <f>15+33/60</f>
        <v>15.55</v>
      </c>
      <c r="AA6" s="1">
        <f>15+27/60</f>
        <v>15.45</v>
      </c>
      <c r="AB6" s="1">
        <f>16+11/60</f>
        <v>16.183333333333334</v>
      </c>
      <c r="AC6" s="1">
        <f>60/3.8</f>
        <v>15.789473684210527</v>
      </c>
      <c r="AF6">
        <v>0</v>
      </c>
      <c r="AG6">
        <v>0</v>
      </c>
      <c r="AH6" t="s">
        <v>31</v>
      </c>
      <c r="AI6" t="s">
        <v>32</v>
      </c>
      <c r="AJ6">
        <v>0</v>
      </c>
    </row>
    <row r="7" spans="1:37" x14ac:dyDescent="0.25">
      <c r="A7">
        <f>A6+1</f>
        <v>541</v>
      </c>
      <c r="B7" s="20">
        <v>43887</v>
      </c>
      <c r="C7">
        <v>1</v>
      </c>
      <c r="E7" t="s">
        <v>33</v>
      </c>
      <c r="F7">
        <v>44</v>
      </c>
      <c r="G7">
        <v>45</v>
      </c>
      <c r="I7" t="s">
        <v>35</v>
      </c>
      <c r="J7" s="18" t="s">
        <v>30</v>
      </c>
      <c r="K7" s="1">
        <v>2.86</v>
      </c>
      <c r="N7" s="19">
        <f>9769-843</f>
        <v>8926</v>
      </c>
      <c r="O7" s="1">
        <f>79/60</f>
        <v>1.3166666666666667</v>
      </c>
      <c r="P7" s="1">
        <f>K7/O7</f>
        <v>2.1721518987341772</v>
      </c>
      <c r="Q7">
        <f>2</f>
        <v>2</v>
      </c>
      <c r="R7" s="1">
        <f>K7/Q7</f>
        <v>1.43</v>
      </c>
      <c r="S7" s="1">
        <f>27+34/60</f>
        <v>27.566666666666666</v>
      </c>
      <c r="T7" s="19">
        <v>54</v>
      </c>
      <c r="U7" s="19">
        <v>649</v>
      </c>
      <c r="V7" s="19">
        <v>110</v>
      </c>
      <c r="W7">
        <v>146</v>
      </c>
      <c r="X7" s="1">
        <f>16+46/60</f>
        <v>16.766666666666666</v>
      </c>
      <c r="Y7" s="1">
        <f>24+41/60</f>
        <v>24.683333333333334</v>
      </c>
      <c r="Z7" s="1">
        <f>37+16/60</f>
        <v>37.266666666666666</v>
      </c>
      <c r="AF7">
        <v>0</v>
      </c>
      <c r="AG7">
        <v>0</v>
      </c>
      <c r="AH7" t="s">
        <v>31</v>
      </c>
      <c r="AI7" t="s">
        <v>32</v>
      </c>
      <c r="AJ7">
        <v>0</v>
      </c>
    </row>
    <row r="8" spans="1:37" x14ac:dyDescent="0.25">
      <c r="A8">
        <f>A7+1</f>
        <v>542</v>
      </c>
      <c r="B8" s="20">
        <v>43888</v>
      </c>
      <c r="C8">
        <v>1</v>
      </c>
      <c r="E8" t="s">
        <v>33</v>
      </c>
      <c r="F8">
        <v>54</v>
      </c>
      <c r="G8">
        <v>29</v>
      </c>
      <c r="I8" t="s">
        <v>38</v>
      </c>
      <c r="J8" t="s">
        <v>37</v>
      </c>
      <c r="K8" s="1">
        <v>4.6100000000000003</v>
      </c>
      <c r="N8" s="19">
        <v>9972</v>
      </c>
      <c r="O8" s="1">
        <f>73/60</f>
        <v>1.2166666666666666</v>
      </c>
      <c r="P8" s="1">
        <f>K8/O8</f>
        <v>3.7890410958904117</v>
      </c>
      <c r="Q8">
        <v>1</v>
      </c>
      <c r="R8" s="1">
        <f>K8/O8</f>
        <v>3.7890410958904117</v>
      </c>
      <c r="S8" s="1">
        <f>15+52/60</f>
        <v>15.866666666666667</v>
      </c>
      <c r="T8" s="19">
        <v>174</v>
      </c>
      <c r="U8" s="19">
        <v>630</v>
      </c>
      <c r="V8" s="19">
        <v>106</v>
      </c>
      <c r="W8">
        <v>148</v>
      </c>
      <c r="X8" s="1">
        <f>15+26/60</f>
        <v>15.433333333333334</v>
      </c>
      <c r="Y8" s="1">
        <f>15+51/60</f>
        <v>15.85</v>
      </c>
      <c r="Z8" s="1">
        <f>16+10.1/60</f>
        <v>16.168333333333333</v>
      </c>
      <c r="AA8" s="1">
        <f>16+5/60</f>
        <v>16.083333333333332</v>
      </c>
      <c r="AB8" s="1">
        <f>60/3.8</f>
        <v>15.789473684210527</v>
      </c>
      <c r="AF8">
        <v>0</v>
      </c>
      <c r="AG8">
        <v>0</v>
      </c>
      <c r="AH8" t="s">
        <v>31</v>
      </c>
      <c r="AI8" t="s">
        <v>32</v>
      </c>
      <c r="AJ8">
        <v>0</v>
      </c>
    </row>
    <row r="9" spans="1:37" x14ac:dyDescent="0.25">
      <c r="A9">
        <f>A8+1</f>
        <v>543</v>
      </c>
      <c r="B9" s="20">
        <f>B8+1</f>
        <v>43889</v>
      </c>
      <c r="C9">
        <v>1</v>
      </c>
      <c r="E9" t="s">
        <v>33</v>
      </c>
      <c r="F9">
        <v>52</v>
      </c>
      <c r="G9">
        <v>45</v>
      </c>
      <c r="I9" t="s">
        <v>38</v>
      </c>
      <c r="J9" t="s">
        <v>39</v>
      </c>
      <c r="K9" s="1">
        <v>4.24</v>
      </c>
      <c r="N9" s="19">
        <v>10059</v>
      </c>
      <c r="O9" s="1">
        <f>68/60</f>
        <v>1.1333333333333333</v>
      </c>
      <c r="P9" s="1">
        <f>K9/O9</f>
        <v>3.7411764705882358</v>
      </c>
      <c r="Q9">
        <v>1</v>
      </c>
      <c r="R9" s="1">
        <f>K9/Q9</f>
        <v>4.24</v>
      </c>
      <c r="S9" s="1">
        <f>15+56/60</f>
        <v>15.933333333333334</v>
      </c>
      <c r="T9" s="19">
        <v>33</v>
      </c>
      <c r="U9" s="19">
        <v>387</v>
      </c>
      <c r="V9" s="19">
        <v>92</v>
      </c>
      <c r="W9">
        <v>133</v>
      </c>
      <c r="X9" s="1">
        <f>15+19/60</f>
        <v>15.316666666666666</v>
      </c>
      <c r="Y9" s="1">
        <f>15+58.5/60</f>
        <v>15.975</v>
      </c>
      <c r="Z9" s="1">
        <f>16+22.2/60</f>
        <v>16.37</v>
      </c>
      <c r="AA9" s="1">
        <f>15+56.1/60</f>
        <v>15.935</v>
      </c>
      <c r="AB9" s="1">
        <f>60/3.8</f>
        <v>15.789473684210527</v>
      </c>
      <c r="AF9">
        <v>0</v>
      </c>
      <c r="AG9">
        <v>0</v>
      </c>
      <c r="AH9" t="s">
        <v>31</v>
      </c>
      <c r="AI9" t="s">
        <v>32</v>
      </c>
      <c r="AJ9">
        <v>0</v>
      </c>
    </row>
    <row r="10" spans="1:37" x14ac:dyDescent="0.25">
      <c r="A10">
        <v>543</v>
      </c>
      <c r="B10" s="20">
        <f>B9+1</f>
        <v>43890</v>
      </c>
      <c r="C10">
        <v>0</v>
      </c>
      <c r="D10" t="s">
        <v>52</v>
      </c>
      <c r="E10" t="s">
        <v>33</v>
      </c>
      <c r="F10">
        <v>74</v>
      </c>
      <c r="G10">
        <v>25</v>
      </c>
      <c r="I10" s="6" t="s">
        <v>35</v>
      </c>
      <c r="AF10">
        <v>2</v>
      </c>
      <c r="AG10">
        <v>1</v>
      </c>
      <c r="AH10" t="s">
        <v>31</v>
      </c>
      <c r="AI10" t="s">
        <v>32</v>
      </c>
      <c r="AJ10">
        <v>1</v>
      </c>
      <c r="AK10" t="s">
        <v>47</v>
      </c>
    </row>
    <row r="11" spans="1:37" x14ac:dyDescent="0.25">
      <c r="A11">
        <f>A10+1</f>
        <v>544</v>
      </c>
      <c r="B11" s="20">
        <f>B10+1</f>
        <v>43891</v>
      </c>
      <c r="C11">
        <v>0</v>
      </c>
      <c r="D11" t="s">
        <v>40</v>
      </c>
    </row>
    <row r="12" spans="1:37" x14ac:dyDescent="0.25">
      <c r="A12">
        <f t="shared" ref="A12:A17" si="0">A11+1</f>
        <v>545</v>
      </c>
      <c r="B12" s="20">
        <f t="shared" ref="B12:B14" si="1">B11+1</f>
        <v>43892</v>
      </c>
      <c r="C12">
        <v>0</v>
      </c>
      <c r="D12" t="s">
        <v>51</v>
      </c>
    </row>
    <row r="13" spans="1:37" x14ac:dyDescent="0.25">
      <c r="A13">
        <f t="shared" si="0"/>
        <v>546</v>
      </c>
      <c r="B13" s="20">
        <f t="shared" si="1"/>
        <v>43893</v>
      </c>
      <c r="C13">
        <v>0</v>
      </c>
      <c r="D13" t="s">
        <v>42</v>
      </c>
    </row>
    <row r="14" spans="1:37" x14ac:dyDescent="0.25">
      <c r="A14">
        <f t="shared" si="0"/>
        <v>547</v>
      </c>
      <c r="B14" s="20">
        <f t="shared" si="1"/>
        <v>43894</v>
      </c>
      <c r="C14">
        <v>1</v>
      </c>
      <c r="E14" s="3" t="s">
        <v>41</v>
      </c>
      <c r="F14">
        <v>49</v>
      </c>
      <c r="G14">
        <v>72</v>
      </c>
      <c r="I14" t="s">
        <v>35</v>
      </c>
      <c r="J14" s="18" t="s">
        <v>30</v>
      </c>
      <c r="K14" s="1">
        <v>5.05</v>
      </c>
      <c r="N14" s="19">
        <v>11922</v>
      </c>
      <c r="O14" s="1">
        <f>92/60</f>
        <v>1.5333333333333334</v>
      </c>
      <c r="P14" s="1">
        <f>K14/O14</f>
        <v>3.293478260869565</v>
      </c>
      <c r="Q14">
        <v>3</v>
      </c>
      <c r="R14" s="1">
        <f>K14/Q14</f>
        <v>1.6833333333333333</v>
      </c>
      <c r="S14" s="1">
        <f>18+19/60</f>
        <v>18.316666666666666</v>
      </c>
      <c r="T14" s="19">
        <v>54</v>
      </c>
      <c r="U14" s="19">
        <v>415</v>
      </c>
      <c r="V14" s="19">
        <v>84</v>
      </c>
      <c r="W14">
        <v>107</v>
      </c>
      <c r="X14" s="1">
        <f>18+24/60</f>
        <v>18.399999999999999</v>
      </c>
      <c r="Y14" s="1">
        <f>18+15.7/60</f>
        <v>18.261666666666667</v>
      </c>
      <c r="Z14" s="1">
        <f>18+50/60</f>
        <v>18.833333333333332</v>
      </c>
      <c r="AA14" s="1">
        <f>17+51.4/60</f>
        <v>17.856666666666666</v>
      </c>
      <c r="AB14" s="1">
        <f>17+59/60</f>
        <v>17.983333333333334</v>
      </c>
      <c r="AC14" s="1">
        <f>60/2.6</f>
        <v>23.076923076923077</v>
      </c>
      <c r="AF14">
        <v>1</v>
      </c>
      <c r="AG14">
        <v>0</v>
      </c>
      <c r="AH14" t="s">
        <v>31</v>
      </c>
      <c r="AI14" t="s">
        <v>32</v>
      </c>
      <c r="AJ14">
        <v>0</v>
      </c>
    </row>
    <row r="15" spans="1:37" x14ac:dyDescent="0.25">
      <c r="A15">
        <f t="shared" si="0"/>
        <v>548</v>
      </c>
      <c r="B15" s="20">
        <f t="shared" ref="B15:B23" si="2">B14+1</f>
        <v>43895</v>
      </c>
      <c r="C15">
        <v>1</v>
      </c>
      <c r="E15" s="18" t="s">
        <v>33</v>
      </c>
      <c r="F15">
        <v>62</v>
      </c>
      <c r="G15">
        <v>46</v>
      </c>
      <c r="I15" t="s">
        <v>38</v>
      </c>
      <c r="J15" t="s">
        <v>43</v>
      </c>
      <c r="K15" s="1">
        <v>4.4800000000000004</v>
      </c>
      <c r="N15" s="19">
        <f>10056-560</f>
        <v>9496</v>
      </c>
      <c r="O15" s="1">
        <f>72/60</f>
        <v>1.2</v>
      </c>
      <c r="P15" s="1">
        <f>K15/O15</f>
        <v>3.7333333333333338</v>
      </c>
      <c r="Q15">
        <v>1</v>
      </c>
      <c r="R15" s="1">
        <f>K15/Q15</f>
        <v>4.4800000000000004</v>
      </c>
      <c r="S15" s="1">
        <f>15+59/60</f>
        <v>15.983333333333333</v>
      </c>
      <c r="T15" s="19">
        <v>105</v>
      </c>
      <c r="U15" s="19">
        <v>515</v>
      </c>
      <c r="V15" s="19">
        <v>78</v>
      </c>
      <c r="W15">
        <v>143</v>
      </c>
      <c r="X15" s="1">
        <f>15+21.4/60</f>
        <v>15.356666666666667</v>
      </c>
      <c r="Y15" s="1">
        <f>15+41.9/60</f>
        <v>15.698333333333334</v>
      </c>
      <c r="Z15" s="1">
        <f>16+4.8/60</f>
        <v>16.079999999999998</v>
      </c>
      <c r="AA15" s="1">
        <f>16+24.6/60</f>
        <v>16.41</v>
      </c>
      <c r="AB15" s="1">
        <f>60/3.8</f>
        <v>15.789473684210527</v>
      </c>
      <c r="AF15">
        <v>1</v>
      </c>
      <c r="AG15">
        <v>0</v>
      </c>
      <c r="AH15" t="s">
        <v>31</v>
      </c>
      <c r="AI15" t="s">
        <v>32</v>
      </c>
      <c r="AJ15">
        <v>0</v>
      </c>
    </row>
    <row r="16" spans="1:37" x14ac:dyDescent="0.25">
      <c r="A16">
        <f t="shared" si="0"/>
        <v>549</v>
      </c>
      <c r="B16" s="20">
        <f t="shared" si="2"/>
        <v>43896</v>
      </c>
      <c r="C16">
        <v>1</v>
      </c>
      <c r="E16" s="18" t="s">
        <v>33</v>
      </c>
      <c r="F16">
        <v>64</v>
      </c>
      <c r="G16">
        <v>19</v>
      </c>
      <c r="I16" t="s">
        <v>38</v>
      </c>
      <c r="J16" t="s">
        <v>48</v>
      </c>
      <c r="K16" s="1">
        <v>5.8</v>
      </c>
      <c r="N16" s="19">
        <v>11898</v>
      </c>
      <c r="O16" s="1">
        <f>1+29/60</f>
        <v>1.4833333333333334</v>
      </c>
      <c r="P16" s="1">
        <f>K16/O16</f>
        <v>3.9101123595505616</v>
      </c>
      <c r="Q16">
        <v>2</v>
      </c>
      <c r="R16" s="1">
        <f>K16/Q16</f>
        <v>2.9</v>
      </c>
      <c r="S16" s="1">
        <f>15+21/60</f>
        <v>15.35</v>
      </c>
      <c r="T16" s="19">
        <v>148</v>
      </c>
      <c r="U16" s="19">
        <v>697</v>
      </c>
      <c r="V16" s="19">
        <v>93</v>
      </c>
      <c r="W16">
        <v>146</v>
      </c>
      <c r="X16" s="1">
        <f>14+38.3/60</f>
        <v>14.638333333333334</v>
      </c>
      <c r="Y16" s="1">
        <f>15+15.3/60</f>
        <v>15.255000000000001</v>
      </c>
      <c r="Z16" s="1">
        <f>16+2/60</f>
        <v>16.033333333333335</v>
      </c>
      <c r="AA16" s="1">
        <f>14+50.8/60</f>
        <v>14.846666666666666</v>
      </c>
      <c r="AB16" s="1">
        <f>15+32.4/60</f>
        <v>15.54</v>
      </c>
      <c r="AC16" s="1">
        <f>60/3.8</f>
        <v>15.789473684210527</v>
      </c>
      <c r="AF16">
        <v>1</v>
      </c>
      <c r="AG16">
        <v>0</v>
      </c>
      <c r="AH16" t="s">
        <v>31</v>
      </c>
      <c r="AI16" t="s">
        <v>32</v>
      </c>
      <c r="AJ16">
        <v>0</v>
      </c>
    </row>
    <row r="17" spans="1:37" x14ac:dyDescent="0.25">
      <c r="A17">
        <f t="shared" si="0"/>
        <v>550</v>
      </c>
      <c r="B17" s="20">
        <f t="shared" si="2"/>
        <v>43897</v>
      </c>
      <c r="C17">
        <v>1</v>
      </c>
      <c r="E17" t="s">
        <v>33</v>
      </c>
      <c r="F17">
        <v>61</v>
      </c>
      <c r="G17">
        <v>34</v>
      </c>
      <c r="I17" t="s">
        <v>38</v>
      </c>
      <c r="J17" t="s">
        <v>45</v>
      </c>
      <c r="K17" s="1">
        <v>4.47</v>
      </c>
      <c r="N17" s="19">
        <v>9834</v>
      </c>
      <c r="O17" s="1">
        <f>(60+11)/60</f>
        <v>1.1833333333333333</v>
      </c>
      <c r="P17" s="1">
        <f>K17/O17</f>
        <v>3.7774647887323942</v>
      </c>
      <c r="Q17">
        <v>1</v>
      </c>
      <c r="S17" s="1">
        <f>15+52/60</f>
        <v>15.866666666666667</v>
      </c>
      <c r="T17" s="19">
        <v>226</v>
      </c>
      <c r="U17" s="19">
        <v>497</v>
      </c>
      <c r="V17" s="19">
        <v>80</v>
      </c>
      <c r="W17">
        <v>107</v>
      </c>
      <c r="X17" s="1">
        <f>15+51.3/60</f>
        <v>15.855</v>
      </c>
      <c r="Y17" s="1">
        <f>16+12/4/60</f>
        <v>16.05</v>
      </c>
      <c r="Z17" s="1">
        <f>15+58.2/60</f>
        <v>15.97</v>
      </c>
      <c r="AA17" s="1">
        <f>15+31/60</f>
        <v>15.516666666666667</v>
      </c>
      <c r="AB17" s="1">
        <f>60/3.8</f>
        <v>15.789473684210527</v>
      </c>
      <c r="AF17">
        <v>0</v>
      </c>
      <c r="AG17">
        <v>0</v>
      </c>
      <c r="AH17" t="s">
        <v>31</v>
      </c>
      <c r="AI17" t="s">
        <v>32</v>
      </c>
      <c r="AJ17">
        <v>0</v>
      </c>
    </row>
    <row r="18" spans="1:37" x14ac:dyDescent="0.25">
      <c r="A18">
        <f>A17+1</f>
        <v>551</v>
      </c>
      <c r="B18" s="20">
        <f t="shared" si="2"/>
        <v>43898</v>
      </c>
      <c r="C18">
        <v>0</v>
      </c>
      <c r="D18" t="s">
        <v>40</v>
      </c>
    </row>
    <row r="19" spans="1:37" x14ac:dyDescent="0.25">
      <c r="A19" s="10">
        <f>A18+1</f>
        <v>552</v>
      </c>
      <c r="B19" s="20">
        <f t="shared" si="2"/>
        <v>43899</v>
      </c>
      <c r="C19">
        <v>1</v>
      </c>
      <c r="E19" t="s">
        <v>49</v>
      </c>
      <c r="F19">
        <v>59</v>
      </c>
      <c r="G19">
        <v>87</v>
      </c>
      <c r="I19" s="18" t="s">
        <v>35</v>
      </c>
      <c r="J19" s="18" t="s">
        <v>30</v>
      </c>
      <c r="K19" s="1">
        <v>3.83</v>
      </c>
      <c r="O19" s="1">
        <f>(60+7)/60</f>
        <v>1.1166666666666667</v>
      </c>
      <c r="P19" s="1">
        <f>K19/O19</f>
        <v>3.4298507462686567</v>
      </c>
      <c r="Q19">
        <v>2</v>
      </c>
      <c r="R19" s="1">
        <f>K19/Q19</f>
        <v>1.915</v>
      </c>
      <c r="S19" s="1">
        <f>17+33/60</f>
        <v>17.55</v>
      </c>
      <c r="T19" s="19">
        <v>54</v>
      </c>
      <c r="U19" s="19">
        <v>290</v>
      </c>
      <c r="AF19">
        <v>1</v>
      </c>
      <c r="AG19">
        <v>0</v>
      </c>
      <c r="AH19" s="10" t="s">
        <v>31</v>
      </c>
      <c r="AI19" s="10" t="s">
        <v>32</v>
      </c>
      <c r="AJ19" s="10">
        <v>0</v>
      </c>
      <c r="AK19" s="10"/>
    </row>
    <row r="20" spans="1:37" x14ac:dyDescent="0.25">
      <c r="A20">
        <f>A19+1</f>
        <v>553</v>
      </c>
      <c r="B20" s="20">
        <f t="shared" si="2"/>
        <v>43900</v>
      </c>
      <c r="C20">
        <v>1</v>
      </c>
      <c r="E20" s="18" t="s">
        <v>33</v>
      </c>
      <c r="F20">
        <v>54</v>
      </c>
      <c r="G20">
        <v>61</v>
      </c>
      <c r="I20" s="18" t="s">
        <v>38</v>
      </c>
      <c r="J20" t="s">
        <v>50</v>
      </c>
      <c r="K20" s="1">
        <v>4.5599999999999996</v>
      </c>
      <c r="N20" s="19">
        <f>10591-1210-25</f>
        <v>9356</v>
      </c>
      <c r="O20" s="1">
        <f>1+16/60+28/(60*60)</f>
        <v>1.2744444444444445</v>
      </c>
      <c r="P20" s="1">
        <f>K20/O20</f>
        <v>3.5780296425457712</v>
      </c>
      <c r="Q20">
        <v>1</v>
      </c>
      <c r="R20" s="1">
        <f>K20/Q20</f>
        <v>4.5599999999999996</v>
      </c>
      <c r="S20" s="1">
        <f>16+46/60</f>
        <v>16.766666666666666</v>
      </c>
      <c r="T20" s="19">
        <v>220</v>
      </c>
      <c r="U20" s="19">
        <v>667</v>
      </c>
      <c r="V20" s="19">
        <v>101</v>
      </c>
      <c r="W20">
        <v>150</v>
      </c>
      <c r="X20" s="1">
        <f>16+11.7/60</f>
        <v>16.195</v>
      </c>
      <c r="Y20" s="1">
        <f>16+55.8/60</f>
        <v>16.93</v>
      </c>
      <c r="Z20" s="1">
        <f>16+53.8/60</f>
        <v>16.896666666666668</v>
      </c>
      <c r="AA20" s="1">
        <f>17+8.8/60</f>
        <v>17.146666666666668</v>
      </c>
      <c r="AB20" s="1">
        <f>60/3.6</f>
        <v>16.666666666666668</v>
      </c>
      <c r="AF20">
        <v>0</v>
      </c>
      <c r="AG20">
        <v>0</v>
      </c>
      <c r="AH20" s="18" t="s">
        <v>31</v>
      </c>
      <c r="AI20" s="18" t="s">
        <v>32</v>
      </c>
      <c r="AJ20">
        <v>0</v>
      </c>
    </row>
    <row r="21" spans="1:37" x14ac:dyDescent="0.25">
      <c r="A21">
        <f>A20+1</f>
        <v>554</v>
      </c>
      <c r="B21" s="20">
        <f t="shared" si="2"/>
        <v>43901</v>
      </c>
      <c r="C21" s="18">
        <v>1</v>
      </c>
      <c r="D21" s="18"/>
      <c r="E21" t="s">
        <v>33</v>
      </c>
      <c r="F21">
        <v>81</v>
      </c>
      <c r="G21">
        <v>64</v>
      </c>
      <c r="I21" s="18" t="s">
        <v>38</v>
      </c>
      <c r="J21" s="18" t="s">
        <v>46</v>
      </c>
      <c r="K21" s="1">
        <v>3.93</v>
      </c>
      <c r="N21" s="19">
        <v>9359</v>
      </c>
      <c r="O21" s="1">
        <f>67/60</f>
        <v>1.1166666666666667</v>
      </c>
      <c r="P21" s="1">
        <f>K21/O21</f>
        <v>3.5194029850746271</v>
      </c>
      <c r="Q21">
        <v>1</v>
      </c>
      <c r="R21" s="1">
        <f>K21/Q21</f>
        <v>3.93</v>
      </c>
      <c r="S21" s="1">
        <f>17+6/60</f>
        <v>17.100000000000001</v>
      </c>
      <c r="T21" s="19">
        <v>194</v>
      </c>
      <c r="U21" s="19">
        <v>910</v>
      </c>
      <c r="V21" s="19">
        <v>135</v>
      </c>
      <c r="W21">
        <v>159</v>
      </c>
      <c r="X21" s="1">
        <f>17+22.9/60</f>
        <v>17.381666666666668</v>
      </c>
      <c r="Y21" s="1">
        <f>17+6.5/60</f>
        <v>17.108333333333334</v>
      </c>
      <c r="Z21" s="1">
        <f>16+32.4/60</f>
        <v>16.54</v>
      </c>
      <c r="AA21" s="1">
        <f>60/3.5</f>
        <v>17.142857142857142</v>
      </c>
    </row>
    <row r="22" spans="1:37" x14ac:dyDescent="0.25">
      <c r="A22">
        <f t="shared" ref="A22:B62" si="3">A21+1</f>
        <v>555</v>
      </c>
      <c r="B22" s="20">
        <f t="shared" si="2"/>
        <v>43902</v>
      </c>
      <c r="C22">
        <v>1</v>
      </c>
      <c r="E22" s="18" t="s">
        <v>33</v>
      </c>
      <c r="F22">
        <v>64</v>
      </c>
      <c r="G22">
        <v>53</v>
      </c>
      <c r="I22" s="18" t="s">
        <v>38</v>
      </c>
      <c r="J22" t="s">
        <v>53</v>
      </c>
      <c r="K22" s="1">
        <v>5.76</v>
      </c>
      <c r="O22" s="1">
        <f>(94+44/60)/60</f>
        <v>1.578888888888889</v>
      </c>
      <c r="P22" s="1">
        <f>K22/O22</f>
        <v>3.6481351161154114</v>
      </c>
      <c r="Q22">
        <v>1</v>
      </c>
      <c r="R22" s="1">
        <f>K22/Q22</f>
        <v>5.76</v>
      </c>
      <c r="S22" s="1">
        <f>16+27/60</f>
        <v>16.45</v>
      </c>
      <c r="T22" s="19">
        <v>272</v>
      </c>
      <c r="U22" s="19">
        <v>1270</v>
      </c>
      <c r="V22" s="19">
        <v>138</v>
      </c>
      <c r="W22">
        <v>162</v>
      </c>
      <c r="X22" s="1">
        <f>15+19.3/60</f>
        <v>15.321666666666667</v>
      </c>
      <c r="Y22" s="1">
        <f>15+35.2/60</f>
        <v>15.586666666666666</v>
      </c>
      <c r="Z22" s="1">
        <f>15+23.2/60</f>
        <v>15.386666666666667</v>
      </c>
      <c r="AA22" s="1">
        <f>16+19.5/60</f>
        <v>16.324999999999999</v>
      </c>
      <c r="AB22" s="1">
        <f>18+16.5/60</f>
        <v>18.274999999999999</v>
      </c>
      <c r="AC22" s="1">
        <f>60/3.3</f>
        <v>18.181818181818183</v>
      </c>
      <c r="AF22">
        <v>2</v>
      </c>
      <c r="AG22">
        <v>0</v>
      </c>
      <c r="AH22" s="18" t="s">
        <v>31</v>
      </c>
      <c r="AI22" s="18" t="s">
        <v>32</v>
      </c>
      <c r="AJ22" s="18">
        <v>0</v>
      </c>
    </row>
    <row r="23" spans="1:37" x14ac:dyDescent="0.25">
      <c r="A23">
        <f t="shared" si="3"/>
        <v>556</v>
      </c>
      <c r="B23" s="20">
        <f t="shared" si="2"/>
        <v>43903</v>
      </c>
      <c r="C23">
        <v>0</v>
      </c>
      <c r="D23" t="s">
        <v>40</v>
      </c>
      <c r="I23" s="18"/>
    </row>
    <row r="24" spans="1:37" x14ac:dyDescent="0.25">
      <c r="A24">
        <f t="shared" si="3"/>
        <v>557</v>
      </c>
      <c r="B24" s="20">
        <v>43904.533333333333</v>
      </c>
      <c r="C24">
        <v>1</v>
      </c>
      <c r="E24" t="s">
        <v>41</v>
      </c>
      <c r="F24">
        <v>60</v>
      </c>
      <c r="G24">
        <v>86</v>
      </c>
      <c r="I24" s="18" t="s">
        <v>35</v>
      </c>
      <c r="J24" s="18" t="s">
        <v>30</v>
      </c>
      <c r="K24" s="1">
        <v>3.18</v>
      </c>
      <c r="O24" s="1">
        <f>(60+3+47/60)/60</f>
        <v>1.0630555555555554</v>
      </c>
      <c r="P24" s="1">
        <f>K24/O24</f>
        <v>2.9913770577475836</v>
      </c>
      <c r="Q24">
        <v>2</v>
      </c>
      <c r="R24" s="1">
        <f>K24/Q24</f>
        <v>1.59</v>
      </c>
      <c r="S24" s="1">
        <f>20+3/60</f>
        <v>20.05</v>
      </c>
      <c r="T24" s="19">
        <f>2*54/3</f>
        <v>36</v>
      </c>
      <c r="U24" s="19">
        <v>351</v>
      </c>
      <c r="V24" s="19">
        <v>90</v>
      </c>
      <c r="W24">
        <v>118</v>
      </c>
      <c r="X24" s="1">
        <f>19+41/60</f>
        <v>19.683333333333334</v>
      </c>
      <c r="Y24" s="1">
        <f>19+29.6/60</f>
        <v>19.493333333333332</v>
      </c>
      <c r="Z24" s="1">
        <f>21+7.8/60</f>
        <v>21.13</v>
      </c>
      <c r="AA24" s="1">
        <f>60/3.2</f>
        <v>18.75</v>
      </c>
      <c r="AF24">
        <v>1</v>
      </c>
      <c r="AG24">
        <v>0</v>
      </c>
    </row>
    <row r="25" spans="1:37" x14ac:dyDescent="0.25">
      <c r="A25" s="18">
        <f t="shared" si="3"/>
        <v>558</v>
      </c>
      <c r="B25" s="20">
        <v>43904.536805555559</v>
      </c>
      <c r="C25">
        <v>0</v>
      </c>
      <c r="D25" t="s">
        <v>40</v>
      </c>
      <c r="E25" t="s">
        <v>49</v>
      </c>
      <c r="F25">
        <v>57</v>
      </c>
      <c r="G25">
        <v>81</v>
      </c>
    </row>
    <row r="26" spans="1:37" x14ac:dyDescent="0.25">
      <c r="A26" s="18">
        <f t="shared" si="3"/>
        <v>559</v>
      </c>
      <c r="B26" s="20">
        <v>43905.609722222223</v>
      </c>
      <c r="C26" s="18">
        <v>1</v>
      </c>
      <c r="E26" t="s">
        <v>49</v>
      </c>
      <c r="F26">
        <v>70</v>
      </c>
      <c r="G26">
        <v>70</v>
      </c>
      <c r="I26" t="s">
        <v>38</v>
      </c>
      <c r="J26" t="s">
        <v>54</v>
      </c>
      <c r="K26" s="1">
        <v>4.97</v>
      </c>
      <c r="N26" s="19">
        <v>12897</v>
      </c>
      <c r="O26" s="1">
        <f>77/60</f>
        <v>1.2833333333333334</v>
      </c>
      <c r="P26" s="1">
        <f>K26/O26</f>
        <v>3.8727272727272721</v>
      </c>
      <c r="Q26">
        <v>3</v>
      </c>
      <c r="R26" s="1">
        <f>K26/Q26</f>
        <v>1.6566666666666665</v>
      </c>
      <c r="S26" s="1">
        <f>15+31/60</f>
        <v>15.516666666666667</v>
      </c>
      <c r="T26" s="19">
        <v>118</v>
      </c>
      <c r="U26" s="19">
        <v>591</v>
      </c>
      <c r="V26" s="19">
        <v>86</v>
      </c>
      <c r="W26">
        <v>148</v>
      </c>
      <c r="X26" s="1">
        <f>15+31.1/60</f>
        <v>15.518333333333333</v>
      </c>
      <c r="Y26" s="1">
        <f>15+39.1/60</f>
        <v>15.651666666666667</v>
      </c>
      <c r="Z26" s="1">
        <f>15+18.3/60</f>
        <v>15.305</v>
      </c>
      <c r="AA26" s="1">
        <f>15+20.8/60</f>
        <v>15.346666666666668</v>
      </c>
      <c r="AB26" s="1">
        <f>15+19.7/60</f>
        <v>15.328333333333333</v>
      </c>
      <c r="AF26">
        <v>1</v>
      </c>
      <c r="AG26">
        <v>1</v>
      </c>
      <c r="AH26" s="18" t="s">
        <v>31</v>
      </c>
      <c r="AI26" s="18" t="s">
        <v>32</v>
      </c>
      <c r="AJ26" s="18">
        <v>0</v>
      </c>
    </row>
    <row r="27" spans="1:37" x14ac:dyDescent="0.25">
      <c r="A27">
        <f t="shared" si="3"/>
        <v>560</v>
      </c>
      <c r="B27" s="20">
        <v>43906.501388888886</v>
      </c>
      <c r="C27">
        <v>1</v>
      </c>
      <c r="E27" s="3" t="s">
        <v>49</v>
      </c>
      <c r="F27">
        <v>67</v>
      </c>
      <c r="G27">
        <v>84</v>
      </c>
      <c r="I27" s="18" t="s">
        <v>38</v>
      </c>
      <c r="J27" s="18" t="s">
        <v>48</v>
      </c>
      <c r="K27" s="1">
        <v>6.13</v>
      </c>
      <c r="N27" s="19">
        <v>12444</v>
      </c>
      <c r="O27" s="1">
        <f>96/60</f>
        <v>1.6</v>
      </c>
      <c r="P27" s="1">
        <f>K27/O27</f>
        <v>3.8312499999999998</v>
      </c>
      <c r="Q27">
        <v>2</v>
      </c>
      <c r="R27" s="1">
        <f>K27/Q27</f>
        <v>3.0649999999999999</v>
      </c>
      <c r="S27" s="1">
        <f>15+36/60</f>
        <v>15.6</v>
      </c>
      <c r="T27" s="19">
        <v>167</v>
      </c>
      <c r="U27" s="19">
        <v>686</v>
      </c>
      <c r="V27" s="19">
        <v>86</v>
      </c>
      <c r="W27">
        <v>135</v>
      </c>
      <c r="X27" s="1">
        <f>15+16.8/60</f>
        <v>15.28</v>
      </c>
      <c r="Y27" s="1">
        <f>15+28.3/60</f>
        <v>15.471666666666668</v>
      </c>
      <c r="Z27" s="1">
        <f>15+54.6/60</f>
        <v>15.91</v>
      </c>
      <c r="AA27" s="1">
        <f>16+16.3/60</f>
        <v>16.271666666666668</v>
      </c>
      <c r="AB27" s="1">
        <f>15+20.2/60</f>
        <v>15.336666666666666</v>
      </c>
      <c r="AC27" s="1">
        <f>60/3.8</f>
        <v>15.789473684210527</v>
      </c>
      <c r="AF27">
        <v>1</v>
      </c>
      <c r="AG27">
        <v>1</v>
      </c>
      <c r="AH27" s="18" t="s">
        <v>31</v>
      </c>
      <c r="AI27" s="18" t="s">
        <v>32</v>
      </c>
      <c r="AJ27" s="18">
        <v>0</v>
      </c>
    </row>
    <row r="28" spans="1:37" x14ac:dyDescent="0.25">
      <c r="A28">
        <f t="shared" si="3"/>
        <v>561</v>
      </c>
      <c r="B28" s="20">
        <v>43907.529861111114</v>
      </c>
      <c r="C28">
        <v>1</v>
      </c>
      <c r="E28" s="3" t="s">
        <v>55</v>
      </c>
      <c r="F28">
        <v>79</v>
      </c>
      <c r="G28">
        <v>66</v>
      </c>
      <c r="I28" s="18" t="s">
        <v>38</v>
      </c>
      <c r="J28" t="s">
        <v>56</v>
      </c>
      <c r="K28" s="1">
        <v>4.5599999999999996</v>
      </c>
      <c r="N28" s="19">
        <v>9920</v>
      </c>
      <c r="O28" s="1">
        <f>(60+17+36/60)/60</f>
        <v>1.2933333333333332</v>
      </c>
      <c r="P28" s="1">
        <f>K28/O28</f>
        <v>3.5257731958762886</v>
      </c>
      <c r="Q28">
        <v>1</v>
      </c>
      <c r="R28" s="1">
        <f>K28/Q28</f>
        <v>4.5599999999999996</v>
      </c>
      <c r="S28" s="1">
        <f>17+1/60</f>
        <v>17.016666666666666</v>
      </c>
      <c r="T28" s="19">
        <v>325</v>
      </c>
      <c r="U28" s="19">
        <v>995</v>
      </c>
      <c r="V28" s="19">
        <v>133</v>
      </c>
      <c r="W28">
        <v>156</v>
      </c>
      <c r="X28" s="1">
        <f>16+13/60</f>
        <v>16.216666666666665</v>
      </c>
      <c r="Y28" s="1">
        <f>16+20.9/60</f>
        <v>16.348333333333333</v>
      </c>
      <c r="Z28" s="1">
        <f>16+36.9/60</f>
        <v>16.614999999999998</v>
      </c>
      <c r="AA28" s="1">
        <f>17+53.1/60</f>
        <v>17.885000000000002</v>
      </c>
      <c r="AB28" s="1">
        <f>60/3.2</f>
        <v>18.75</v>
      </c>
      <c r="AF28" s="18">
        <v>1</v>
      </c>
      <c r="AG28" s="18">
        <v>0</v>
      </c>
      <c r="AH28" s="18" t="s">
        <v>31</v>
      </c>
      <c r="AI28" s="18" t="s">
        <v>32</v>
      </c>
      <c r="AJ28" s="18">
        <v>0</v>
      </c>
    </row>
    <row r="29" spans="1:37" x14ac:dyDescent="0.25">
      <c r="A29">
        <f t="shared" si="3"/>
        <v>562</v>
      </c>
      <c r="B29" s="20">
        <v>43908.541666666664</v>
      </c>
      <c r="C29">
        <v>0</v>
      </c>
      <c r="D29" t="s">
        <v>52</v>
      </c>
      <c r="E29" s="3" t="s">
        <v>58</v>
      </c>
      <c r="F29">
        <v>66</v>
      </c>
      <c r="G29">
        <v>64</v>
      </c>
      <c r="AJ29">
        <v>1</v>
      </c>
      <c r="AK29" t="s">
        <v>57</v>
      </c>
    </row>
    <row r="30" spans="1:37" x14ac:dyDescent="0.25">
      <c r="A30" s="18">
        <f t="shared" si="3"/>
        <v>563</v>
      </c>
      <c r="B30" s="20">
        <v>43909.538194444445</v>
      </c>
      <c r="C30">
        <v>0</v>
      </c>
      <c r="E30" s="3" t="s">
        <v>55</v>
      </c>
      <c r="F30">
        <v>51</v>
      </c>
      <c r="G30">
        <v>68</v>
      </c>
      <c r="I30" s="18" t="s">
        <v>35</v>
      </c>
      <c r="J30" s="18" t="s">
        <v>43</v>
      </c>
      <c r="K30" s="1">
        <v>4.53</v>
      </c>
      <c r="N30" s="19">
        <v>9714</v>
      </c>
      <c r="O30" s="1">
        <f>72/60</f>
        <v>1.2</v>
      </c>
      <c r="P30" s="1">
        <f t="shared" ref="P30:P35" si="4">K30/O30</f>
        <v>3.7750000000000004</v>
      </c>
      <c r="Q30">
        <v>1</v>
      </c>
      <c r="R30" s="1">
        <f t="shared" ref="R30:R35" si="5">K30/Q30</f>
        <v>4.53</v>
      </c>
      <c r="S30" s="1">
        <f>16+1/60</f>
        <v>16.016666666666666</v>
      </c>
      <c r="T30" s="19">
        <v>85</v>
      </c>
      <c r="U30" s="19">
        <v>595</v>
      </c>
      <c r="V30" s="19">
        <v>110</v>
      </c>
      <c r="W30">
        <v>136</v>
      </c>
      <c r="X30" s="1">
        <f>15+39.1/60</f>
        <v>15.651666666666667</v>
      </c>
      <c r="Y30" s="1">
        <f>15+59.3/60</f>
        <v>15.988333333333333</v>
      </c>
      <c r="Z30" s="1">
        <f>15+57.9/60</f>
        <v>15.965</v>
      </c>
      <c r="AA30" s="1">
        <f>16+14.4/60</f>
        <v>16.239999999999998</v>
      </c>
      <c r="AB30" s="1">
        <f>60/3.7</f>
        <v>16.216216216216214</v>
      </c>
      <c r="AF30">
        <v>0</v>
      </c>
      <c r="AG30">
        <v>0</v>
      </c>
      <c r="AH30" s="18" t="s">
        <v>31</v>
      </c>
      <c r="AI30" s="18" t="s">
        <v>32</v>
      </c>
      <c r="AJ30" s="18">
        <v>0</v>
      </c>
    </row>
    <row r="31" spans="1:37" x14ac:dyDescent="0.25">
      <c r="A31">
        <f t="shared" si="3"/>
        <v>564</v>
      </c>
      <c r="B31" s="20">
        <v>43910.618750000001</v>
      </c>
      <c r="C31">
        <v>1</v>
      </c>
      <c r="E31" s="18" t="s">
        <v>33</v>
      </c>
      <c r="F31">
        <v>58</v>
      </c>
      <c r="G31">
        <v>60</v>
      </c>
      <c r="I31" s="18" t="s">
        <v>35</v>
      </c>
      <c r="J31" s="18" t="s">
        <v>45</v>
      </c>
      <c r="K31" s="1">
        <v>5.29</v>
      </c>
      <c r="N31" s="19">
        <v>11153</v>
      </c>
      <c r="O31" s="1">
        <f>86/60</f>
        <v>1.4333333333333333</v>
      </c>
      <c r="P31" s="1">
        <f t="shared" si="4"/>
        <v>3.6906976744186046</v>
      </c>
      <c r="Q31">
        <v>1</v>
      </c>
      <c r="R31" s="1">
        <f t="shared" si="5"/>
        <v>5.29</v>
      </c>
      <c r="S31" s="1">
        <f>16+13/60</f>
        <v>16.216666666666665</v>
      </c>
      <c r="T31" s="19">
        <v>243</v>
      </c>
      <c r="U31" s="19">
        <v>617</v>
      </c>
      <c r="V31" s="19">
        <v>99</v>
      </c>
      <c r="W31">
        <v>130</v>
      </c>
      <c r="X31" s="1">
        <f>15+55.2/60</f>
        <v>15.92</v>
      </c>
      <c r="Y31" s="1">
        <f>16+43.7/60</f>
        <v>16.728333333333332</v>
      </c>
      <c r="Z31" s="1">
        <f>16+18.3/60</f>
        <v>16.305</v>
      </c>
      <c r="AA31" s="1">
        <f>15+49.8/60</f>
        <v>15.83</v>
      </c>
      <c r="AB31" s="1">
        <f>60/3.7</f>
        <v>16.216216216216214</v>
      </c>
      <c r="AF31">
        <v>0</v>
      </c>
      <c r="AG31">
        <v>1</v>
      </c>
      <c r="AH31" s="18" t="s">
        <v>31</v>
      </c>
      <c r="AI31" s="18" t="s">
        <v>32</v>
      </c>
      <c r="AJ31" s="18">
        <v>0</v>
      </c>
    </row>
    <row r="32" spans="1:37" x14ac:dyDescent="0.25">
      <c r="A32" s="18">
        <f t="shared" si="3"/>
        <v>565</v>
      </c>
      <c r="B32" s="20">
        <v>43911.62777777778</v>
      </c>
      <c r="C32" s="18">
        <v>1</v>
      </c>
      <c r="D32" s="18"/>
      <c r="E32" t="s">
        <v>49</v>
      </c>
      <c r="F32">
        <v>62</v>
      </c>
      <c r="G32">
        <v>80</v>
      </c>
      <c r="I32" s="18" t="s">
        <v>35</v>
      </c>
      <c r="J32" s="18" t="s">
        <v>50</v>
      </c>
      <c r="K32" s="1">
        <v>5.13</v>
      </c>
      <c r="N32" s="19">
        <v>10892</v>
      </c>
      <c r="O32" s="1">
        <f>82/60</f>
        <v>1.3666666666666667</v>
      </c>
      <c r="P32" s="1">
        <f t="shared" si="4"/>
        <v>3.7536585365853656</v>
      </c>
      <c r="Q32">
        <v>1</v>
      </c>
      <c r="R32" s="1">
        <f t="shared" si="5"/>
        <v>5.13</v>
      </c>
      <c r="S32" s="1">
        <f>16+5/60</f>
        <v>16.083333333333332</v>
      </c>
      <c r="T32" s="19">
        <v>217</v>
      </c>
      <c r="U32" s="19">
        <v>673</v>
      </c>
      <c r="V32" s="19">
        <v>104</v>
      </c>
      <c r="W32">
        <v>143</v>
      </c>
      <c r="X32" s="1">
        <f>15+56.6/60</f>
        <v>15.943333333333333</v>
      </c>
      <c r="Y32" s="1">
        <f>15+55.7/60</f>
        <v>15.928333333333333</v>
      </c>
      <c r="Z32" s="1">
        <f>16+6.8/60</f>
        <v>16.113333333333333</v>
      </c>
      <c r="AA32" s="1">
        <f>16+28.8/60</f>
        <v>16.48</v>
      </c>
      <c r="AB32" s="1">
        <f>60/3.7</f>
        <v>16.216216216216214</v>
      </c>
      <c r="AF32">
        <v>0</v>
      </c>
      <c r="AG32">
        <v>1</v>
      </c>
      <c r="AH32" s="18" t="s">
        <v>31</v>
      </c>
      <c r="AI32" s="18" t="s">
        <v>32</v>
      </c>
      <c r="AJ32" s="18">
        <v>0</v>
      </c>
    </row>
    <row r="33" spans="1:37" x14ac:dyDescent="0.25">
      <c r="A33">
        <f t="shared" si="3"/>
        <v>566</v>
      </c>
      <c r="B33" s="20">
        <v>43912.62777777778</v>
      </c>
      <c r="C33">
        <v>1</v>
      </c>
      <c r="E33" s="3" t="s">
        <v>49</v>
      </c>
      <c r="F33">
        <v>68</v>
      </c>
      <c r="G33">
        <v>81</v>
      </c>
      <c r="I33" s="18" t="s">
        <v>35</v>
      </c>
      <c r="J33" s="18" t="s">
        <v>54</v>
      </c>
      <c r="K33" s="1">
        <v>4.76</v>
      </c>
      <c r="N33" s="19">
        <v>9868</v>
      </c>
      <c r="O33" s="1">
        <f>75/60</f>
        <v>1.25</v>
      </c>
      <c r="P33" s="1">
        <f t="shared" si="4"/>
        <v>3.8079999999999998</v>
      </c>
      <c r="Q33">
        <v>1</v>
      </c>
      <c r="R33" s="1">
        <f t="shared" si="5"/>
        <v>4.76</v>
      </c>
      <c r="S33" s="1">
        <f>15+46/60</f>
        <v>15.766666666666667</v>
      </c>
      <c r="T33" s="19">
        <v>95</v>
      </c>
      <c r="U33" s="19">
        <v>513</v>
      </c>
      <c r="V33" s="19">
        <v>80</v>
      </c>
      <c r="W33">
        <v>111</v>
      </c>
      <c r="X33" s="1">
        <f>15+19.9/60</f>
        <v>15.331666666666667</v>
      </c>
      <c r="Y33" s="1">
        <f>15+38/60</f>
        <v>15.633333333333333</v>
      </c>
      <c r="Z33" s="1">
        <f>15+54.7/60</f>
        <v>15.911666666666667</v>
      </c>
      <c r="AA33" s="1">
        <f>15+37.4/60</f>
        <v>15.623333333333333</v>
      </c>
      <c r="AB33" s="1">
        <f>60/3.8</f>
        <v>15.789473684210527</v>
      </c>
      <c r="AF33" s="18">
        <v>0</v>
      </c>
      <c r="AG33" s="18">
        <v>0</v>
      </c>
      <c r="AH33" s="18" t="s">
        <v>31</v>
      </c>
      <c r="AI33" s="18" t="s">
        <v>32</v>
      </c>
      <c r="AJ33" s="18">
        <v>0</v>
      </c>
      <c r="AK33" s="18"/>
    </row>
    <row r="34" spans="1:37" x14ac:dyDescent="0.25">
      <c r="A34">
        <f t="shared" si="3"/>
        <v>567</v>
      </c>
      <c r="B34" s="20">
        <v>43944.589583333334</v>
      </c>
      <c r="C34">
        <v>1</v>
      </c>
      <c r="E34" t="s">
        <v>33</v>
      </c>
      <c r="F34">
        <v>86</v>
      </c>
      <c r="G34">
        <v>20</v>
      </c>
      <c r="I34" s="18" t="s">
        <v>38</v>
      </c>
      <c r="J34" s="18" t="s">
        <v>48</v>
      </c>
      <c r="K34" s="1">
        <v>4.75</v>
      </c>
      <c r="O34" s="1">
        <f>(60+15)/60</f>
        <v>1.25</v>
      </c>
      <c r="P34" s="1">
        <f t="shared" si="4"/>
        <v>3.8</v>
      </c>
      <c r="Q34">
        <v>2</v>
      </c>
      <c r="R34" s="1">
        <f t="shared" si="5"/>
        <v>2.375</v>
      </c>
      <c r="S34" s="1">
        <f>15+53/60</f>
        <v>15.883333333333333</v>
      </c>
      <c r="T34" s="19">
        <v>125</v>
      </c>
      <c r="U34" s="19">
        <v>706</v>
      </c>
      <c r="V34" s="19">
        <v>106</v>
      </c>
      <c r="W34">
        <v>150</v>
      </c>
      <c r="X34" s="1">
        <f>15+5.2/60</f>
        <v>15.086666666666666</v>
      </c>
      <c r="Y34" s="1">
        <f>15+48/60</f>
        <v>15.8</v>
      </c>
      <c r="Z34" s="1">
        <f>16+12.7/60</f>
        <v>16.211666666666666</v>
      </c>
      <c r="AA34" s="1">
        <f>15+37.3/60</f>
        <v>15.621666666666666</v>
      </c>
      <c r="AB34" s="1">
        <f>60/3.6</f>
        <v>16.666666666666668</v>
      </c>
      <c r="AF34">
        <v>2</v>
      </c>
      <c r="AG34">
        <v>0</v>
      </c>
      <c r="AH34" s="18" t="s">
        <v>31</v>
      </c>
      <c r="AI34" s="18" t="s">
        <v>32</v>
      </c>
      <c r="AJ34" s="18">
        <v>0</v>
      </c>
      <c r="AK34" s="18"/>
    </row>
    <row r="35" spans="1:37" x14ac:dyDescent="0.25">
      <c r="A35" s="18">
        <f t="shared" si="3"/>
        <v>568</v>
      </c>
      <c r="B35" s="20">
        <v>43914.607638888891</v>
      </c>
      <c r="C35" s="18">
        <v>1</v>
      </c>
      <c r="E35" t="s">
        <v>33</v>
      </c>
      <c r="F35">
        <v>87</v>
      </c>
      <c r="G35">
        <v>40</v>
      </c>
      <c r="I35" s="18" t="s">
        <v>38</v>
      </c>
      <c r="J35" s="18" t="s">
        <v>56</v>
      </c>
      <c r="K35" s="1">
        <v>4.6100000000000003</v>
      </c>
      <c r="O35" s="1">
        <f>(60+17+20/60)/60</f>
        <v>1.2888888888888888</v>
      </c>
      <c r="P35" s="1">
        <f t="shared" si="4"/>
        <v>3.5767241379310351</v>
      </c>
      <c r="Q35">
        <v>1</v>
      </c>
      <c r="R35" s="1">
        <f t="shared" si="5"/>
        <v>4.6100000000000003</v>
      </c>
      <c r="S35" s="1">
        <f>16+48/60</f>
        <v>16.8</v>
      </c>
      <c r="T35" s="19">
        <v>256</v>
      </c>
      <c r="U35" s="19">
        <v>980</v>
      </c>
      <c r="V35" s="19">
        <v>131</v>
      </c>
      <c r="W35">
        <v>159</v>
      </c>
      <c r="X35" s="1">
        <f>15+37.8/60</f>
        <v>15.63</v>
      </c>
      <c r="Y35" s="1">
        <f>16+18.2/60</f>
        <v>16.303333333333335</v>
      </c>
      <c r="Z35" s="1">
        <f>15+56.2/60</f>
        <v>15.936666666666667</v>
      </c>
      <c r="AA35" s="1">
        <f>17+53.6/60</f>
        <v>17.893333333333334</v>
      </c>
      <c r="AB35" s="1">
        <f>60/3.1</f>
        <v>19.35483870967742</v>
      </c>
      <c r="AF35">
        <v>5</v>
      </c>
      <c r="AG35">
        <v>0</v>
      </c>
      <c r="AH35" s="18" t="s">
        <v>31</v>
      </c>
      <c r="AI35" s="18" t="s">
        <v>32</v>
      </c>
      <c r="AJ35" s="18">
        <v>0</v>
      </c>
    </row>
    <row r="36" spans="1:37" x14ac:dyDescent="0.25">
      <c r="A36">
        <f t="shared" si="3"/>
        <v>569</v>
      </c>
      <c r="B36" s="20">
        <v>43915.484027777777</v>
      </c>
      <c r="C36">
        <v>1</v>
      </c>
      <c r="E36" t="s">
        <v>33</v>
      </c>
      <c r="F36">
        <v>82</v>
      </c>
      <c r="G36">
        <v>50</v>
      </c>
      <c r="I36" t="s">
        <v>38</v>
      </c>
      <c r="J36" t="s">
        <v>34</v>
      </c>
      <c r="K36" s="1">
        <v>4.87</v>
      </c>
      <c r="N36" s="19">
        <v>11631</v>
      </c>
      <c r="O36" s="1">
        <f>1+25/60</f>
        <v>1.4166666666666667</v>
      </c>
      <c r="P36" s="1">
        <f t="shared" ref="P36" si="6">K36/O36</f>
        <v>3.4376470588235293</v>
      </c>
      <c r="Q36">
        <v>1</v>
      </c>
      <c r="R36" s="1">
        <f t="shared" ref="R36" si="7">K36/Q36</f>
        <v>4.87</v>
      </c>
      <c r="S36" s="1">
        <f>17+27/60</f>
        <v>17.45</v>
      </c>
      <c r="T36" s="19">
        <v>249</v>
      </c>
      <c r="U36" s="19">
        <v>777</v>
      </c>
      <c r="V36" s="19">
        <v>109</v>
      </c>
      <c r="W36">
        <v>150</v>
      </c>
      <c r="X36" s="1">
        <f>16+53.3/60</f>
        <v>16.888333333333332</v>
      </c>
      <c r="Y36" s="1">
        <f>16+27/60</f>
        <v>16.45</v>
      </c>
      <c r="Z36" s="1">
        <f>17+25.8/60</f>
        <v>17.43</v>
      </c>
      <c r="AA36" s="1">
        <f>17+1/60</f>
        <v>17.016666666666666</v>
      </c>
      <c r="AB36" s="1">
        <f>60/3</f>
        <v>20</v>
      </c>
      <c r="AF36">
        <v>5</v>
      </c>
      <c r="AG36">
        <v>0</v>
      </c>
      <c r="AH36" s="18" t="s">
        <v>31</v>
      </c>
      <c r="AI36" s="18" t="s">
        <v>32</v>
      </c>
      <c r="AJ36" s="18">
        <v>0</v>
      </c>
    </row>
    <row r="37" spans="1:37" x14ac:dyDescent="0.25">
      <c r="A37">
        <f t="shared" si="3"/>
        <v>570</v>
      </c>
      <c r="B37" s="20">
        <v>43916.626388888886</v>
      </c>
      <c r="C37">
        <v>1</v>
      </c>
      <c r="E37" t="s">
        <v>55</v>
      </c>
      <c r="F37">
        <v>83</v>
      </c>
      <c r="G37">
        <v>56</v>
      </c>
      <c r="I37" s="18" t="s">
        <v>35</v>
      </c>
      <c r="J37" s="18" t="s">
        <v>43</v>
      </c>
      <c r="K37" s="1">
        <v>4.41</v>
      </c>
      <c r="N37" s="19">
        <v>9542</v>
      </c>
      <c r="O37" s="1">
        <f>75/60</f>
        <v>1.25</v>
      </c>
      <c r="P37" s="1">
        <f t="shared" ref="P37" si="8">K37/O37</f>
        <v>3.528</v>
      </c>
      <c r="Q37">
        <v>1</v>
      </c>
      <c r="R37" s="1">
        <f t="shared" ref="R37" si="9">K37/Q37</f>
        <v>4.41</v>
      </c>
      <c r="S37" s="1">
        <f>16+59/60</f>
        <v>16.983333333333334</v>
      </c>
      <c r="T37" s="19">
        <v>190</v>
      </c>
      <c r="U37" s="19">
        <v>473</v>
      </c>
      <c r="V37" s="19">
        <v>71</v>
      </c>
      <c r="W37">
        <v>111</v>
      </c>
      <c r="X37" s="1">
        <f>16+7.9/60</f>
        <v>16.131666666666668</v>
      </c>
      <c r="Y37" s="1">
        <f>16+28.5/60</f>
        <v>16.475000000000001</v>
      </c>
      <c r="Z37" s="1">
        <f>16+49.9/60</f>
        <v>16.831666666666667</v>
      </c>
      <c r="AA37" s="1">
        <f>18+0.7/60</f>
        <v>18.011666666666667</v>
      </c>
      <c r="AB37" s="1">
        <f>60/3.3</f>
        <v>18.181818181818183</v>
      </c>
      <c r="AF37">
        <v>3</v>
      </c>
      <c r="AG37">
        <v>0</v>
      </c>
      <c r="AH37" t="s">
        <v>31</v>
      </c>
      <c r="AI37" t="s">
        <v>32</v>
      </c>
      <c r="AJ37">
        <v>0</v>
      </c>
    </row>
    <row r="38" spans="1:37" x14ac:dyDescent="0.25">
      <c r="A38">
        <f t="shared" si="3"/>
        <v>571</v>
      </c>
      <c r="B38" s="20">
        <v>43917.573611111111</v>
      </c>
      <c r="C38">
        <v>1</v>
      </c>
      <c r="E38" s="18" t="s">
        <v>33</v>
      </c>
      <c r="F38">
        <v>74</v>
      </c>
      <c r="G38">
        <v>19</v>
      </c>
      <c r="I38" t="s">
        <v>38</v>
      </c>
      <c r="J38" s="18" t="s">
        <v>65</v>
      </c>
      <c r="K38" s="1">
        <v>6.55</v>
      </c>
      <c r="N38" s="19">
        <v>11504</v>
      </c>
      <c r="O38" s="1">
        <f>1+46/60</f>
        <v>1.7666666666666666</v>
      </c>
      <c r="P38" s="1">
        <f t="shared" ref="P38" si="10">K38/O38</f>
        <v>3.7075471698113209</v>
      </c>
      <c r="Q38">
        <v>1</v>
      </c>
      <c r="R38" s="1">
        <f t="shared" ref="R38" si="11">K38/Q38</f>
        <v>6.55</v>
      </c>
      <c r="S38" s="1">
        <f>16+13/60</f>
        <v>16.216666666666665</v>
      </c>
      <c r="T38" s="19">
        <v>69</v>
      </c>
      <c r="U38" s="19">
        <v>1364</v>
      </c>
      <c r="V38" s="19">
        <v>133</v>
      </c>
      <c r="W38">
        <v>156</v>
      </c>
      <c r="X38" s="1">
        <f>15+17.3/60</f>
        <v>15.288333333333334</v>
      </c>
      <c r="Y38" s="1">
        <f>16+31.1/60</f>
        <v>16.518333333333334</v>
      </c>
      <c r="Z38" s="1">
        <f>16+33</f>
        <v>49</v>
      </c>
      <c r="AA38" s="1">
        <f>16+33.6/60</f>
        <v>16.559999999999999</v>
      </c>
      <c r="AB38" s="1">
        <f>17+91.3/60</f>
        <v>18.521666666666668</v>
      </c>
      <c r="AC38" s="1">
        <f>16+3.7/60</f>
        <v>16.061666666666667</v>
      </c>
      <c r="AD38" s="1">
        <f>60/3.7</f>
        <v>16.216216216216214</v>
      </c>
      <c r="AF38">
        <v>3</v>
      </c>
      <c r="AG38" s="18">
        <v>0</v>
      </c>
      <c r="AH38" s="18" t="s">
        <v>31</v>
      </c>
      <c r="AI38" s="18" t="s">
        <v>32</v>
      </c>
      <c r="AJ38" s="18">
        <v>0</v>
      </c>
    </row>
    <row r="39" spans="1:37" x14ac:dyDescent="0.25">
      <c r="A39" s="18">
        <f t="shared" si="3"/>
        <v>572</v>
      </c>
      <c r="B39" s="20">
        <v>43918.495138888888</v>
      </c>
      <c r="C39" s="18">
        <v>0</v>
      </c>
      <c r="D39" s="18" t="s">
        <v>40</v>
      </c>
      <c r="E39" s="3" t="s">
        <v>33</v>
      </c>
      <c r="F39">
        <v>64</v>
      </c>
      <c r="G39">
        <v>45</v>
      </c>
    </row>
    <row r="40" spans="1:37" x14ac:dyDescent="0.25">
      <c r="A40" s="18">
        <f t="shared" si="3"/>
        <v>573</v>
      </c>
      <c r="B40" s="20">
        <v>43919.5</v>
      </c>
      <c r="C40" s="18">
        <v>0</v>
      </c>
      <c r="D40" s="18" t="s">
        <v>44</v>
      </c>
      <c r="E40" s="3" t="s">
        <v>59</v>
      </c>
      <c r="F40">
        <v>52</v>
      </c>
      <c r="G40">
        <v>78</v>
      </c>
    </row>
    <row r="41" spans="1:37" x14ac:dyDescent="0.25">
      <c r="A41">
        <f t="shared" si="3"/>
        <v>574</v>
      </c>
      <c r="B41" s="20">
        <v>43920.65</v>
      </c>
      <c r="C41">
        <v>1</v>
      </c>
      <c r="E41" t="s">
        <v>49</v>
      </c>
      <c r="F41">
        <v>48</v>
      </c>
      <c r="G41">
        <v>55</v>
      </c>
      <c r="I41" s="18" t="s">
        <v>35</v>
      </c>
      <c r="J41" s="18" t="s">
        <v>48</v>
      </c>
      <c r="K41" s="1">
        <v>6.48</v>
      </c>
      <c r="N41" s="19">
        <v>13160</v>
      </c>
      <c r="O41" s="1">
        <f>101/60</f>
        <v>1.6833333333333333</v>
      </c>
      <c r="P41" s="1">
        <f t="shared" ref="P41" si="12">K41/O41</f>
        <v>3.8495049504950498</v>
      </c>
      <c r="Q41" s="18">
        <v>1</v>
      </c>
      <c r="R41" s="1">
        <f t="shared" ref="R41" si="13">K41/Q41</f>
        <v>6.48</v>
      </c>
      <c r="S41" s="1">
        <f>16+13/60</f>
        <v>16.216666666666665</v>
      </c>
      <c r="T41" s="19">
        <v>180</v>
      </c>
      <c r="U41" s="19">
        <v>1124</v>
      </c>
      <c r="V41" s="19">
        <v>126</v>
      </c>
      <c r="W41">
        <v>152</v>
      </c>
      <c r="X41" s="1">
        <f>15+44.8/60</f>
        <v>15.746666666666666</v>
      </c>
      <c r="Y41" s="1">
        <f>15+20.8/60</f>
        <v>15.346666666666668</v>
      </c>
      <c r="Z41" s="1">
        <f>15+37.9/60</f>
        <v>15.631666666666666</v>
      </c>
      <c r="AA41" s="1">
        <f>15+55.5/60</f>
        <v>15.925000000000001</v>
      </c>
      <c r="AB41" s="1">
        <f>15+19/60</f>
        <v>15.316666666666666</v>
      </c>
      <c r="AC41" s="1">
        <f>15+29.2/60</f>
        <v>15.486666666666666</v>
      </c>
      <c r="AD41" s="1">
        <f>60/3.9</f>
        <v>15.384615384615385</v>
      </c>
      <c r="AF41">
        <v>1</v>
      </c>
      <c r="AG41">
        <v>0</v>
      </c>
      <c r="AH41" s="18" t="s">
        <v>31</v>
      </c>
      <c r="AI41" s="18" t="s">
        <v>32</v>
      </c>
      <c r="AJ41" s="18">
        <v>0</v>
      </c>
    </row>
    <row r="42" spans="1:37" x14ac:dyDescent="0.25">
      <c r="A42">
        <f t="shared" si="3"/>
        <v>575</v>
      </c>
      <c r="B42" s="20">
        <v>43921.598611111112</v>
      </c>
      <c r="C42">
        <v>1</v>
      </c>
      <c r="E42" t="s">
        <v>33</v>
      </c>
      <c r="F42">
        <v>72</v>
      </c>
      <c r="G42">
        <v>50</v>
      </c>
      <c r="I42" t="s">
        <v>38</v>
      </c>
      <c r="J42" s="18" t="s">
        <v>53</v>
      </c>
      <c r="K42" s="1">
        <v>6.14</v>
      </c>
      <c r="N42" s="19">
        <v>12629</v>
      </c>
      <c r="O42" s="1">
        <f>94/60</f>
        <v>1.5666666666666667</v>
      </c>
      <c r="P42" s="1">
        <f t="shared" ref="P42" si="14">K42/O42</f>
        <v>3.9191489361702128</v>
      </c>
      <c r="Q42">
        <v>1</v>
      </c>
      <c r="R42" s="1">
        <f t="shared" ref="R42" si="15">K42/Q42</f>
        <v>6.14</v>
      </c>
      <c r="S42" s="1">
        <f>15+15/60</f>
        <v>15.25</v>
      </c>
      <c r="T42" s="19">
        <v>72</v>
      </c>
      <c r="U42" s="19">
        <v>668</v>
      </c>
      <c r="V42" s="19">
        <v>84</v>
      </c>
      <c r="W42">
        <v>107</v>
      </c>
      <c r="X42" s="1">
        <f>15+33.4/60</f>
        <v>15.556666666666667</v>
      </c>
      <c r="Y42" s="1">
        <f>15+6.8/60</f>
        <v>15.113333333333333</v>
      </c>
      <c r="Z42" s="1">
        <f>15+17.2/60</f>
        <v>15.286666666666667</v>
      </c>
      <c r="AA42" s="1">
        <f>15+10.1/60</f>
        <v>15.168333333333333</v>
      </c>
      <c r="AB42" s="1">
        <f>15+21.9/60</f>
        <v>15.365</v>
      </c>
      <c r="AC42" s="1">
        <f>15+21.9/60</f>
        <v>15.365</v>
      </c>
      <c r="AD42" s="1">
        <f>60/4</f>
        <v>15</v>
      </c>
      <c r="AF42">
        <v>1</v>
      </c>
      <c r="AG42">
        <v>0</v>
      </c>
      <c r="AH42" s="18" t="s">
        <v>31</v>
      </c>
      <c r="AI42" s="18" t="s">
        <v>32</v>
      </c>
      <c r="AJ42" s="18">
        <v>0</v>
      </c>
    </row>
    <row r="43" spans="1:37" x14ac:dyDescent="0.25">
      <c r="A43" s="18">
        <f t="shared" si="3"/>
        <v>576</v>
      </c>
      <c r="B43" s="20">
        <v>43922.594444444447</v>
      </c>
      <c r="C43" s="18">
        <v>1</v>
      </c>
      <c r="E43" t="s">
        <v>49</v>
      </c>
      <c r="F43">
        <v>69</v>
      </c>
      <c r="G43">
        <v>73</v>
      </c>
      <c r="I43" s="18" t="s">
        <v>38</v>
      </c>
      <c r="J43" s="18" t="s">
        <v>43</v>
      </c>
      <c r="K43" s="1">
        <v>4.5</v>
      </c>
      <c r="O43" s="1">
        <f>72/60</f>
        <v>1.2</v>
      </c>
      <c r="P43" s="1">
        <f t="shared" ref="P43" si="16">K43/O43</f>
        <v>3.75</v>
      </c>
      <c r="Q43">
        <v>1</v>
      </c>
      <c r="R43" s="1">
        <f t="shared" ref="R43" si="17">K43/Q43</f>
        <v>4.5</v>
      </c>
      <c r="S43" s="1">
        <f>15+59/60</f>
        <v>15.983333333333333</v>
      </c>
      <c r="T43" s="19">
        <v>102</v>
      </c>
      <c r="U43" s="19">
        <v>570</v>
      </c>
      <c r="V43" s="19">
        <v>101</v>
      </c>
      <c r="W43">
        <v>136</v>
      </c>
      <c r="X43" s="1">
        <f>15+52/60</f>
        <v>15.866666666666667</v>
      </c>
      <c r="Y43" s="1">
        <f>15+59.6/60</f>
        <v>15.993333333333334</v>
      </c>
      <c r="Z43" s="1">
        <f>16+30.4/60</f>
        <v>16.506666666666668</v>
      </c>
      <c r="AA43" s="1">
        <f>16+28/60</f>
        <v>16.466666666666665</v>
      </c>
      <c r="AB43" s="1">
        <f>60/3.7</f>
        <v>16.216216216216214</v>
      </c>
      <c r="AF43">
        <v>0</v>
      </c>
      <c r="AG43" s="18">
        <v>0</v>
      </c>
      <c r="AH43" s="18" t="s">
        <v>31</v>
      </c>
      <c r="AI43" s="18" t="s">
        <v>32</v>
      </c>
      <c r="AJ43" s="18">
        <v>0</v>
      </c>
    </row>
    <row r="44" spans="1:37" x14ac:dyDescent="0.25">
      <c r="A44" s="18">
        <f t="shared" si="3"/>
        <v>577</v>
      </c>
      <c r="B44" s="20">
        <v>43923.685416666667</v>
      </c>
      <c r="C44">
        <v>0</v>
      </c>
      <c r="D44" t="s">
        <v>63</v>
      </c>
      <c r="E44" t="s">
        <v>49</v>
      </c>
      <c r="F44">
        <v>47</v>
      </c>
      <c r="G44">
        <v>40</v>
      </c>
    </row>
    <row r="45" spans="1:37" x14ac:dyDescent="0.25">
      <c r="A45" s="18">
        <f t="shared" si="3"/>
        <v>578</v>
      </c>
      <c r="B45" s="20">
        <v>43924.495138888888</v>
      </c>
      <c r="C45" s="18">
        <v>0</v>
      </c>
      <c r="D45" s="18" t="s">
        <v>63</v>
      </c>
      <c r="E45" t="s">
        <v>49</v>
      </c>
      <c r="F45">
        <v>39</v>
      </c>
      <c r="G45">
        <v>76</v>
      </c>
    </row>
    <row r="46" spans="1:37" x14ac:dyDescent="0.25">
      <c r="A46">
        <f t="shared" si="3"/>
        <v>579</v>
      </c>
      <c r="B46" s="20">
        <v>43925.495138888888</v>
      </c>
      <c r="C46">
        <v>0</v>
      </c>
      <c r="D46" s="18" t="s">
        <v>63</v>
      </c>
      <c r="E46" t="s">
        <v>49</v>
      </c>
      <c r="F46">
        <v>53</v>
      </c>
      <c r="G46">
        <v>80</v>
      </c>
    </row>
    <row r="47" spans="1:37" x14ac:dyDescent="0.25">
      <c r="A47">
        <f t="shared" si="3"/>
        <v>580</v>
      </c>
      <c r="B47" s="20">
        <v>43926.523611111108</v>
      </c>
      <c r="C47">
        <v>1</v>
      </c>
      <c r="E47" t="s">
        <v>33</v>
      </c>
      <c r="F47">
        <v>71</v>
      </c>
      <c r="G47">
        <v>70</v>
      </c>
      <c r="I47" s="18" t="s">
        <v>38</v>
      </c>
      <c r="J47" s="18" t="s">
        <v>45</v>
      </c>
      <c r="K47" s="1">
        <v>5.12</v>
      </c>
      <c r="O47" s="1">
        <f>(60+23)/60</f>
        <v>1.3833333333333333</v>
      </c>
      <c r="P47" s="1">
        <f>K47/O47</f>
        <v>3.7012048192771085</v>
      </c>
      <c r="Q47">
        <v>1</v>
      </c>
      <c r="R47" s="1">
        <f t="shared" ref="R47" si="18">K47/Q47</f>
        <v>5.12</v>
      </c>
      <c r="S47" s="1">
        <f>16+8/60</f>
        <v>16.133333333333333</v>
      </c>
      <c r="T47" s="19">
        <v>203</v>
      </c>
      <c r="U47" s="19">
        <v>842</v>
      </c>
      <c r="V47" s="19">
        <v>120</v>
      </c>
      <c r="W47">
        <v>151</v>
      </c>
      <c r="X47" s="1">
        <f>15+49.1/60</f>
        <v>15.818333333333333</v>
      </c>
      <c r="Y47" s="1">
        <f>16+46.2/60</f>
        <v>16.77</v>
      </c>
      <c r="Z47" s="1">
        <f>16+5/60</f>
        <v>16.083333333333332</v>
      </c>
      <c r="AA47" s="1">
        <f>16+5.4/60</f>
        <v>16.09</v>
      </c>
      <c r="AB47" s="1">
        <f>16+9/60</f>
        <v>16.149999999999999</v>
      </c>
      <c r="AC47" s="1">
        <f>60/4.3</f>
        <v>13.953488372093023</v>
      </c>
      <c r="AF47">
        <v>0</v>
      </c>
      <c r="AG47">
        <v>0</v>
      </c>
      <c r="AH47" s="18" t="s">
        <v>31</v>
      </c>
      <c r="AI47" s="18" t="s">
        <v>32</v>
      </c>
      <c r="AJ47" s="18">
        <v>0</v>
      </c>
    </row>
    <row r="48" spans="1:37" x14ac:dyDescent="0.25">
      <c r="A48">
        <f t="shared" si="3"/>
        <v>581</v>
      </c>
      <c r="B48" s="20">
        <v>43927.62222222222</v>
      </c>
      <c r="C48">
        <v>1</v>
      </c>
      <c r="E48" s="2" t="s">
        <v>33</v>
      </c>
      <c r="F48">
        <v>86</v>
      </c>
      <c r="G48">
        <v>43</v>
      </c>
      <c r="I48" s="18" t="s">
        <v>35</v>
      </c>
      <c r="J48" s="18" t="s">
        <v>50</v>
      </c>
      <c r="K48" s="1">
        <v>4.78</v>
      </c>
      <c r="N48" s="19">
        <v>10730</v>
      </c>
      <c r="O48" s="1">
        <f>(60+23)/60</f>
        <v>1.3833333333333333</v>
      </c>
      <c r="P48" s="1">
        <f>K48/O48</f>
        <v>3.455421686746988</v>
      </c>
      <c r="Q48">
        <v>1</v>
      </c>
      <c r="R48" s="1">
        <f t="shared" ref="R48" si="19">K48/Q48</f>
        <v>4.78</v>
      </c>
      <c r="S48" s="1">
        <f>17+2/60</f>
        <v>17.033333333333335</v>
      </c>
      <c r="T48" s="19">
        <v>190</v>
      </c>
      <c r="U48" s="19">
        <v>1000</v>
      </c>
      <c r="V48" s="19">
        <v>134</v>
      </c>
      <c r="W48">
        <v>164</v>
      </c>
      <c r="X48" s="1">
        <f>15+58.8/60</f>
        <v>15.98</v>
      </c>
      <c r="Y48" s="1">
        <f>15+59.1/60</f>
        <v>15.984999999999999</v>
      </c>
      <c r="Z48" s="1">
        <f>17+38.5/60</f>
        <v>17.641666666666666</v>
      </c>
      <c r="AA48" s="1">
        <f>17+38.5/60</f>
        <v>17.641666666666666</v>
      </c>
      <c r="AB48" s="1">
        <f>60/3.5</f>
        <v>17.142857142857142</v>
      </c>
      <c r="AF48">
        <v>5</v>
      </c>
      <c r="AG48">
        <v>1</v>
      </c>
      <c r="AH48" s="18" t="s">
        <v>31</v>
      </c>
      <c r="AI48" s="18" t="s">
        <v>32</v>
      </c>
      <c r="AJ48" s="18">
        <v>0</v>
      </c>
    </row>
    <row r="49" spans="1:37" x14ac:dyDescent="0.25">
      <c r="A49">
        <f t="shared" si="3"/>
        <v>582</v>
      </c>
      <c r="B49" s="20">
        <v>43928.486805555556</v>
      </c>
      <c r="C49">
        <v>1</v>
      </c>
      <c r="E49" t="s">
        <v>33</v>
      </c>
      <c r="F49">
        <v>85</v>
      </c>
      <c r="G49">
        <v>55</v>
      </c>
      <c r="I49" t="s">
        <v>38</v>
      </c>
      <c r="J49" t="s">
        <v>62</v>
      </c>
      <c r="K49" s="1">
        <v>3.52</v>
      </c>
      <c r="O49" s="1">
        <f>78/60</f>
        <v>1.3</v>
      </c>
      <c r="P49" s="1">
        <f>(60+23)/60</f>
        <v>1.3833333333333333</v>
      </c>
      <c r="Q49">
        <v>2</v>
      </c>
      <c r="R49" s="1">
        <v>1</v>
      </c>
      <c r="S49" s="1">
        <f>22+6/60</f>
        <v>22.1</v>
      </c>
      <c r="T49" s="19">
        <v>59</v>
      </c>
      <c r="U49" s="19">
        <v>688</v>
      </c>
      <c r="V49" s="19">
        <v>115</v>
      </c>
      <c r="W49" s="19">
        <v>142</v>
      </c>
      <c r="X49" s="1">
        <f>20+23.6/60</f>
        <v>20.393333333333334</v>
      </c>
      <c r="Y49" s="1">
        <f>24+49.2/60</f>
        <v>24.82</v>
      </c>
      <c r="Z49" s="1">
        <f>21+18.9/60</f>
        <v>21.315000000000001</v>
      </c>
      <c r="AA49" s="1">
        <f>60/2.7</f>
        <v>22.222222222222221</v>
      </c>
      <c r="AF49">
        <v>0</v>
      </c>
      <c r="AG49">
        <v>0</v>
      </c>
      <c r="AH49" t="s">
        <v>31</v>
      </c>
      <c r="AI49" t="s">
        <v>32</v>
      </c>
      <c r="AJ49">
        <v>0</v>
      </c>
    </row>
    <row r="50" spans="1:37" x14ac:dyDescent="0.25">
      <c r="A50" s="18">
        <f t="shared" si="3"/>
        <v>583</v>
      </c>
      <c r="B50" s="20">
        <v>43929.551388888889</v>
      </c>
      <c r="C50" s="18">
        <v>1</v>
      </c>
      <c r="E50" t="s">
        <v>33</v>
      </c>
      <c r="F50">
        <v>88</v>
      </c>
      <c r="G50">
        <v>49</v>
      </c>
      <c r="I50" s="18" t="s">
        <v>35</v>
      </c>
      <c r="J50" t="s">
        <v>60</v>
      </c>
      <c r="K50" s="1">
        <v>4.8</v>
      </c>
      <c r="N50" s="19">
        <v>10730</v>
      </c>
      <c r="O50" s="1">
        <f>(60+14)/60</f>
        <v>1.2333333333333334</v>
      </c>
      <c r="P50" s="1">
        <f>K50/O50</f>
        <v>3.8918918918918917</v>
      </c>
      <c r="Q50">
        <v>1</v>
      </c>
      <c r="R50" s="1">
        <f t="shared" ref="R50" si="20">K50/Q50</f>
        <v>4.8</v>
      </c>
      <c r="S50" s="1">
        <f>15+24/60</f>
        <v>15.4</v>
      </c>
      <c r="T50" s="19">
        <v>43</v>
      </c>
      <c r="U50" s="19">
        <v>555</v>
      </c>
      <c r="V50" s="19">
        <v>107</v>
      </c>
      <c r="W50" s="19">
        <v>133</v>
      </c>
      <c r="X50" s="1">
        <f>15+15.9/60</f>
        <v>15.265000000000001</v>
      </c>
      <c r="Y50" s="1">
        <f>15+35.7/60</f>
        <v>15.595000000000001</v>
      </c>
      <c r="Z50" s="1">
        <f>15+33.1/60</f>
        <v>15.551666666666666</v>
      </c>
      <c r="AA50" s="1">
        <f>15+15.3/60</f>
        <v>15.255000000000001</v>
      </c>
      <c r="AB50" s="1">
        <f>60/3.9</f>
        <v>15.384615384615385</v>
      </c>
      <c r="AF50">
        <v>0</v>
      </c>
      <c r="AG50">
        <v>1</v>
      </c>
      <c r="AH50" t="s">
        <v>31</v>
      </c>
      <c r="AI50" t="s">
        <v>32</v>
      </c>
      <c r="AJ50">
        <v>0</v>
      </c>
    </row>
    <row r="51" spans="1:37" x14ac:dyDescent="0.25">
      <c r="A51" s="18">
        <f t="shared" si="3"/>
        <v>584</v>
      </c>
      <c r="B51" s="20">
        <v>43930.571527777778</v>
      </c>
      <c r="C51">
        <v>1</v>
      </c>
      <c r="E51" t="s">
        <v>33</v>
      </c>
      <c r="F51">
        <v>77</v>
      </c>
      <c r="G51">
        <v>71</v>
      </c>
      <c r="I51" s="18" t="s">
        <v>38</v>
      </c>
      <c r="J51" s="18" t="s">
        <v>43</v>
      </c>
      <c r="K51" s="1">
        <v>4.4800000000000004</v>
      </c>
      <c r="N51" s="19">
        <f>10135-726</f>
        <v>9409</v>
      </c>
      <c r="O51" s="1">
        <f>71/60</f>
        <v>1.1833333333333333</v>
      </c>
      <c r="P51" s="1">
        <f>K51/O51</f>
        <v>3.7859154929577468</v>
      </c>
      <c r="Q51">
        <v>1</v>
      </c>
      <c r="R51" s="1">
        <f t="shared" ref="R51" si="21">K51/Q51</f>
        <v>4.4800000000000004</v>
      </c>
      <c r="S51" s="1">
        <f>15+46/60</f>
        <v>15.766666666666667</v>
      </c>
      <c r="T51" s="19">
        <v>98</v>
      </c>
      <c r="U51" s="19">
        <v>628</v>
      </c>
      <c r="V51" s="19">
        <f>111</f>
        <v>111</v>
      </c>
      <c r="W51" s="19">
        <v>144</v>
      </c>
      <c r="X51" s="1">
        <f>15+42.1/60</f>
        <v>15.701666666666666</v>
      </c>
      <c r="Y51" s="1">
        <f>15+34.9/60</f>
        <v>15.581666666666667</v>
      </c>
      <c r="Z51" s="1">
        <f>15+24.4/60</f>
        <v>15.406666666666666</v>
      </c>
      <c r="AA51" s="1">
        <f>16+23.6/60</f>
        <v>16.393333333333334</v>
      </c>
      <c r="AB51" s="1">
        <f>60/3.8</f>
        <v>15.789473684210527</v>
      </c>
      <c r="AF51">
        <v>1</v>
      </c>
      <c r="AG51">
        <v>1</v>
      </c>
      <c r="AH51" t="s">
        <v>31</v>
      </c>
      <c r="AI51" t="s">
        <v>32</v>
      </c>
      <c r="AJ51">
        <v>0</v>
      </c>
    </row>
    <row r="52" spans="1:37" x14ac:dyDescent="0.25">
      <c r="A52">
        <f t="shared" si="3"/>
        <v>585</v>
      </c>
      <c r="B52" s="20">
        <v>43931.495138888888</v>
      </c>
      <c r="C52">
        <v>0</v>
      </c>
      <c r="D52" t="s">
        <v>40</v>
      </c>
      <c r="E52" t="s">
        <v>49</v>
      </c>
      <c r="F52">
        <v>66</v>
      </c>
      <c r="G52">
        <v>75</v>
      </c>
    </row>
    <row r="53" spans="1:37" x14ac:dyDescent="0.25">
      <c r="A53">
        <f t="shared" si="3"/>
        <v>586</v>
      </c>
      <c r="B53" s="20">
        <v>43932.495138888888</v>
      </c>
      <c r="C53">
        <v>0</v>
      </c>
      <c r="D53" t="s">
        <v>61</v>
      </c>
      <c r="E53" t="s">
        <v>55</v>
      </c>
      <c r="F53">
        <v>78</v>
      </c>
      <c r="G53">
        <v>45</v>
      </c>
    </row>
    <row r="54" spans="1:37" x14ac:dyDescent="0.25">
      <c r="A54" s="18">
        <f t="shared" si="3"/>
        <v>587</v>
      </c>
      <c r="B54" s="20">
        <v>43933.573611111111</v>
      </c>
      <c r="C54">
        <v>1</v>
      </c>
      <c r="E54" t="s">
        <v>33</v>
      </c>
      <c r="F54">
        <v>54</v>
      </c>
      <c r="G54">
        <v>45</v>
      </c>
      <c r="I54" t="s">
        <v>35</v>
      </c>
      <c r="J54" s="18" t="s">
        <v>75</v>
      </c>
      <c r="K54" s="1">
        <v>4.4800000000000004</v>
      </c>
      <c r="N54" s="19">
        <v>9655</v>
      </c>
      <c r="O54" s="1">
        <f>74/60</f>
        <v>1.2333333333333334</v>
      </c>
      <c r="P54" s="1">
        <f t="shared" ref="P54:P59" si="22">K54/O54</f>
        <v>3.6324324324324326</v>
      </c>
      <c r="Q54">
        <v>1</v>
      </c>
      <c r="R54" s="1">
        <f t="shared" ref="R54" si="23">K54/Q54</f>
        <v>4.4800000000000004</v>
      </c>
      <c r="S54" s="1">
        <f>16+20/60</f>
        <v>16.333333333333332</v>
      </c>
      <c r="T54" s="19">
        <v>223</v>
      </c>
      <c r="U54" s="19">
        <v>850</v>
      </c>
      <c r="V54" s="19">
        <v>132</v>
      </c>
      <c r="W54" s="19">
        <v>150</v>
      </c>
      <c r="X54" s="1">
        <f>15+52/60</f>
        <v>15.866666666666667</v>
      </c>
      <c r="Y54" s="1">
        <f>15+53.3/60</f>
        <v>15.888333333333334</v>
      </c>
      <c r="Z54" s="1">
        <f>16+29.4/60</f>
        <v>16.489999999999998</v>
      </c>
      <c r="AA54" s="1">
        <f>16+50.6/60</f>
        <v>16.843333333333334</v>
      </c>
      <c r="AB54" s="1">
        <f>60/3.7</f>
        <v>16.216216216216214</v>
      </c>
      <c r="AF54">
        <v>0</v>
      </c>
      <c r="AG54">
        <v>0</v>
      </c>
      <c r="AH54" t="s">
        <v>31</v>
      </c>
      <c r="AI54" t="s">
        <v>32</v>
      </c>
      <c r="AJ54">
        <v>0</v>
      </c>
    </row>
    <row r="55" spans="1:37" x14ac:dyDescent="0.25">
      <c r="A55">
        <f t="shared" si="3"/>
        <v>588</v>
      </c>
      <c r="B55" s="20">
        <v>43934.551388888889</v>
      </c>
      <c r="C55">
        <v>1</v>
      </c>
      <c r="E55" t="s">
        <v>55</v>
      </c>
      <c r="F55">
        <v>55</v>
      </c>
      <c r="G55">
        <v>51</v>
      </c>
      <c r="I55" t="s">
        <v>38</v>
      </c>
      <c r="J55" s="18" t="s">
        <v>48</v>
      </c>
      <c r="K55" s="1">
        <v>3.48</v>
      </c>
      <c r="N55" s="19">
        <v>7199</v>
      </c>
      <c r="O55" s="1">
        <f>(52+34/60)/60</f>
        <v>0.87611111111111117</v>
      </c>
      <c r="P55" s="1">
        <f t="shared" si="22"/>
        <v>3.9720989220038043</v>
      </c>
      <c r="Q55">
        <v>1</v>
      </c>
      <c r="R55" s="1">
        <f t="shared" ref="R55" si="24">K55/Q55</f>
        <v>3.48</v>
      </c>
      <c r="S55" s="1">
        <f>15+7/60</f>
        <v>15.116666666666667</v>
      </c>
      <c r="T55" s="19">
        <v>92</v>
      </c>
      <c r="U55" s="19">
        <v>572</v>
      </c>
      <c r="V55" s="19">
        <v>134</v>
      </c>
      <c r="W55" s="19">
        <v>149</v>
      </c>
      <c r="X55" s="1">
        <f>14+22.5/60</f>
        <v>14.375</v>
      </c>
      <c r="Y55" s="1">
        <f>15+3.9/60</f>
        <v>15.065</v>
      </c>
      <c r="Z55" s="1">
        <f>15+26.8/60</f>
        <v>15.446666666666667</v>
      </c>
      <c r="AA55" s="1">
        <f>60/3.7</f>
        <v>16.216216216216214</v>
      </c>
      <c r="AF55">
        <v>0</v>
      </c>
      <c r="AG55">
        <v>0</v>
      </c>
      <c r="AH55" s="18" t="s">
        <v>31</v>
      </c>
      <c r="AI55" s="18" t="s">
        <v>32</v>
      </c>
      <c r="AJ55" s="18">
        <v>0</v>
      </c>
    </row>
    <row r="56" spans="1:37" x14ac:dyDescent="0.25">
      <c r="A56">
        <f t="shared" si="3"/>
        <v>589</v>
      </c>
      <c r="B56" s="20">
        <v>43935.560416666667</v>
      </c>
      <c r="C56">
        <v>1</v>
      </c>
      <c r="E56" t="s">
        <v>33</v>
      </c>
      <c r="F56">
        <v>63</v>
      </c>
      <c r="G56">
        <v>71</v>
      </c>
      <c r="I56" s="18" t="s">
        <v>38</v>
      </c>
      <c r="J56" s="18" t="s">
        <v>34</v>
      </c>
      <c r="K56" s="1">
        <v>5.74</v>
      </c>
      <c r="N56" s="19">
        <v>12068</v>
      </c>
      <c r="O56" s="1">
        <f>91/60</f>
        <v>1.5166666666666666</v>
      </c>
      <c r="P56" s="1">
        <f t="shared" si="22"/>
        <v>3.7846153846153849</v>
      </c>
      <c r="Q56">
        <v>1</v>
      </c>
      <c r="R56" s="1">
        <f t="shared" ref="R56" si="25">K56/Q56</f>
        <v>5.74</v>
      </c>
      <c r="S56" s="1">
        <f>15+53/60</f>
        <v>15.883333333333333</v>
      </c>
      <c r="T56" s="19">
        <v>66</v>
      </c>
      <c r="U56" s="19">
        <v>648</v>
      </c>
      <c r="V56" s="19">
        <v>92</v>
      </c>
      <c r="W56" s="19">
        <v>135</v>
      </c>
      <c r="X56" s="1">
        <f>15+48.5/60</f>
        <v>15.808333333333334</v>
      </c>
      <c r="Y56" s="1">
        <f>15+48.8/60</f>
        <v>15.813333333333333</v>
      </c>
      <c r="Z56" s="1">
        <f>15+26.9/60</f>
        <v>15.448333333333334</v>
      </c>
      <c r="AA56" s="1">
        <f>15+47</f>
        <v>62</v>
      </c>
      <c r="AB56" s="1">
        <f>15+49.2/60</f>
        <v>15.82</v>
      </c>
      <c r="AC56" s="1">
        <f>60/3.8</f>
        <v>15.789473684210527</v>
      </c>
      <c r="AF56">
        <v>3</v>
      </c>
      <c r="AG56">
        <v>0</v>
      </c>
      <c r="AH56" t="s">
        <v>31</v>
      </c>
      <c r="AI56" t="s">
        <v>32</v>
      </c>
      <c r="AJ56">
        <v>0</v>
      </c>
    </row>
    <row r="57" spans="1:37" x14ac:dyDescent="0.25">
      <c r="A57">
        <f t="shared" si="3"/>
        <v>590</v>
      </c>
      <c r="B57" s="20">
        <v>43936.634722222225</v>
      </c>
      <c r="C57">
        <v>1</v>
      </c>
      <c r="E57" t="s">
        <v>33</v>
      </c>
      <c r="F57">
        <v>70</v>
      </c>
      <c r="G57">
        <v>40</v>
      </c>
      <c r="I57" s="18" t="s">
        <v>38</v>
      </c>
      <c r="J57" s="18" t="s">
        <v>37</v>
      </c>
      <c r="K57" s="1">
        <v>4.47</v>
      </c>
      <c r="N57" s="19">
        <v>9272</v>
      </c>
      <c r="O57" s="1">
        <f>(71-3)/60</f>
        <v>1.1333333333333333</v>
      </c>
      <c r="P57" s="1">
        <f t="shared" si="22"/>
        <v>3.9441176470588233</v>
      </c>
      <c r="Q57">
        <v>1</v>
      </c>
      <c r="R57" s="1">
        <f t="shared" ref="R57" si="26">K57/Q57</f>
        <v>4.47</v>
      </c>
      <c r="S57" s="1">
        <f>15+55/60</f>
        <v>15.916666666666666</v>
      </c>
      <c r="T57" s="19">
        <v>177</v>
      </c>
      <c r="U57" s="19">
        <v>632</v>
      </c>
      <c r="V57" s="19">
        <v>100</v>
      </c>
      <c r="W57" s="19">
        <v>152</v>
      </c>
      <c r="X57" s="1">
        <f>15+55.2/60</f>
        <v>15.92</v>
      </c>
      <c r="Y57" s="1">
        <f>16+14.3/60</f>
        <v>16.238333333333333</v>
      </c>
      <c r="Z57" s="1">
        <f>15+48.2/60</f>
        <v>15.803333333333333</v>
      </c>
      <c r="AA57" s="1">
        <f>15+41.1/60</f>
        <v>15.685</v>
      </c>
      <c r="AB57" s="1">
        <f>60/3.8</f>
        <v>15.789473684210527</v>
      </c>
      <c r="AF57">
        <v>3</v>
      </c>
      <c r="AG57">
        <v>1</v>
      </c>
      <c r="AH57" t="s">
        <v>31</v>
      </c>
      <c r="AI57" t="s">
        <v>32</v>
      </c>
      <c r="AJ57">
        <v>0</v>
      </c>
    </row>
    <row r="58" spans="1:37" x14ac:dyDescent="0.25">
      <c r="A58">
        <f t="shared" si="3"/>
        <v>591</v>
      </c>
      <c r="B58" s="20">
        <v>43937.55972222222</v>
      </c>
      <c r="C58">
        <v>1</v>
      </c>
      <c r="E58" t="s">
        <v>49</v>
      </c>
      <c r="F58">
        <v>53</v>
      </c>
      <c r="G58">
        <v>35</v>
      </c>
      <c r="I58" t="s">
        <v>35</v>
      </c>
      <c r="J58" s="18" t="s">
        <v>62</v>
      </c>
      <c r="K58" s="1">
        <v>2.56</v>
      </c>
      <c r="O58" s="1">
        <f>(45+45/60)/60</f>
        <v>0.76249999999999996</v>
      </c>
      <c r="P58" s="1">
        <f t="shared" si="22"/>
        <v>3.3573770491803283</v>
      </c>
      <c r="Q58">
        <v>1</v>
      </c>
      <c r="R58" s="1">
        <f t="shared" ref="R58:R59" si="27">K58/Q58</f>
        <v>2.56</v>
      </c>
      <c r="S58" s="1">
        <f>17+54/60</f>
        <v>17.899999999999999</v>
      </c>
      <c r="T58" s="19">
        <v>26.2</v>
      </c>
      <c r="U58" s="19">
        <v>427</v>
      </c>
      <c r="V58" s="19">
        <v>116</v>
      </c>
      <c r="W58" s="19">
        <v>140</v>
      </c>
      <c r="X58" s="1">
        <f>18+5.9/10</f>
        <v>18.59</v>
      </c>
      <c r="Y58" s="1">
        <f>17+9/60</f>
        <v>17.149999999999999</v>
      </c>
      <c r="Z58" s="1">
        <f>60/3.2</f>
        <v>18.75</v>
      </c>
      <c r="AF58">
        <v>0</v>
      </c>
      <c r="AG58">
        <v>0</v>
      </c>
      <c r="AH58" s="18" t="s">
        <v>31</v>
      </c>
      <c r="AI58" s="18" t="s">
        <v>32</v>
      </c>
      <c r="AJ58" s="18">
        <v>0</v>
      </c>
    </row>
    <row r="59" spans="1:37" x14ac:dyDescent="0.25">
      <c r="A59">
        <f t="shared" si="3"/>
        <v>592</v>
      </c>
      <c r="B59" s="20">
        <v>43938.547222222223</v>
      </c>
      <c r="C59">
        <v>1</v>
      </c>
      <c r="E59" t="s">
        <v>33</v>
      </c>
      <c r="F59">
        <v>63</v>
      </c>
      <c r="G59">
        <v>48</v>
      </c>
      <c r="I59" t="s">
        <v>38</v>
      </c>
      <c r="J59" t="s">
        <v>65</v>
      </c>
      <c r="K59" s="1">
        <v>5.92</v>
      </c>
      <c r="L59" s="19">
        <v>794</v>
      </c>
      <c r="M59" s="19">
        <v>14362</v>
      </c>
      <c r="N59" s="19">
        <f>M59-L59</f>
        <v>13568</v>
      </c>
      <c r="O59" s="1">
        <f>95/60</f>
        <v>1.5833333333333333</v>
      </c>
      <c r="P59" s="1">
        <f t="shared" si="22"/>
        <v>3.7389473684210528</v>
      </c>
      <c r="Q59">
        <v>1</v>
      </c>
      <c r="R59" s="1">
        <f t="shared" si="27"/>
        <v>5.92</v>
      </c>
      <c r="S59" s="1">
        <f>16+5/60</f>
        <v>16.083333333333332</v>
      </c>
      <c r="T59" s="19">
        <v>62</v>
      </c>
      <c r="U59" s="19">
        <v>1308</v>
      </c>
      <c r="V59" s="19">
        <v>142</v>
      </c>
      <c r="W59" s="19">
        <v>158</v>
      </c>
      <c r="X59" s="1">
        <f>15+5.9/60</f>
        <v>15.098333333333333</v>
      </c>
      <c r="Y59" s="1">
        <f>15+1.1/60</f>
        <v>15.018333333333333</v>
      </c>
      <c r="Z59" s="1">
        <f>15+11.2/60</f>
        <v>15.186666666666667</v>
      </c>
      <c r="AA59" s="1">
        <f>17+2.4/60</f>
        <v>17.04</v>
      </c>
      <c r="AB59" s="1">
        <f>17+5.5/60</f>
        <v>17.091666666666665</v>
      </c>
      <c r="AC59" s="1">
        <f>60/3.5</f>
        <v>17.142857142857142</v>
      </c>
      <c r="AF59">
        <v>3</v>
      </c>
      <c r="AG59">
        <v>0</v>
      </c>
      <c r="AH59" t="s">
        <v>31</v>
      </c>
      <c r="AI59" t="s">
        <v>32</v>
      </c>
      <c r="AJ59">
        <v>0</v>
      </c>
    </row>
    <row r="60" spans="1:37" x14ac:dyDescent="0.25">
      <c r="A60">
        <f t="shared" si="3"/>
        <v>593</v>
      </c>
      <c r="B60" s="20">
        <f t="shared" si="3"/>
        <v>43939.547222222223</v>
      </c>
      <c r="C60">
        <v>1</v>
      </c>
      <c r="E60" t="s">
        <v>55</v>
      </c>
      <c r="F60">
        <v>78</v>
      </c>
      <c r="G60">
        <v>61</v>
      </c>
      <c r="I60" s="18" t="s">
        <v>35</v>
      </c>
      <c r="J60" s="18" t="s">
        <v>54</v>
      </c>
      <c r="K60" s="1">
        <v>4.84</v>
      </c>
      <c r="L60" s="19">
        <v>800</v>
      </c>
      <c r="M60" s="19">
        <v>11138</v>
      </c>
      <c r="N60" s="19">
        <f>M60-L60</f>
        <v>10338</v>
      </c>
      <c r="O60" s="1">
        <f>78/60</f>
        <v>1.3</v>
      </c>
      <c r="P60" s="1">
        <f>K60/O60</f>
        <v>3.7230769230769227</v>
      </c>
      <c r="Q60">
        <v>1</v>
      </c>
      <c r="R60" s="1">
        <f>K60/Q60</f>
        <v>4.84</v>
      </c>
      <c r="S60" s="1">
        <f>16+9/60</f>
        <v>16.149999999999999</v>
      </c>
      <c r="T60" s="19">
        <v>138</v>
      </c>
      <c r="U60" s="19">
        <v>871</v>
      </c>
      <c r="V60" s="19">
        <v>127</v>
      </c>
      <c r="W60" s="19">
        <v>144</v>
      </c>
      <c r="X60" s="1">
        <f>15+25.7/60</f>
        <v>15.428333333333333</v>
      </c>
      <c r="Y60" s="1">
        <f>15+41.1/60</f>
        <v>15.685</v>
      </c>
      <c r="Z60" s="1">
        <f>15+50.5/60</f>
        <v>15.841666666666667</v>
      </c>
      <c r="AA60" s="1">
        <f>16+41.1/60</f>
        <v>16.684999999999999</v>
      </c>
      <c r="AB60" s="1">
        <f>14+35.9/60</f>
        <v>14.598333333333333</v>
      </c>
      <c r="AF60">
        <v>2</v>
      </c>
      <c r="AG60">
        <v>0</v>
      </c>
      <c r="AH60" t="s">
        <v>31</v>
      </c>
      <c r="AI60" t="s">
        <v>32</v>
      </c>
      <c r="AJ60">
        <v>0</v>
      </c>
    </row>
    <row r="61" spans="1:37" x14ac:dyDescent="0.25">
      <c r="A61">
        <f t="shared" si="3"/>
        <v>594</v>
      </c>
      <c r="B61" s="20">
        <v>43940.5625</v>
      </c>
      <c r="C61">
        <v>1</v>
      </c>
      <c r="E61" s="18" t="s">
        <v>55</v>
      </c>
      <c r="F61">
        <v>79</v>
      </c>
      <c r="G61">
        <v>61</v>
      </c>
      <c r="I61" s="18" t="s">
        <v>38</v>
      </c>
      <c r="J61" t="s">
        <v>48</v>
      </c>
      <c r="K61" s="1">
        <v>4.46</v>
      </c>
      <c r="L61" s="19">
        <v>934</v>
      </c>
      <c r="M61" s="19">
        <v>10304</v>
      </c>
      <c r="N61" s="19">
        <f>M61-L61</f>
        <v>9370</v>
      </c>
      <c r="O61" s="1">
        <f>71/60</f>
        <v>1.1833333333333333</v>
      </c>
      <c r="P61" s="1">
        <f>K61/O61</f>
        <v>3.7690140845070421</v>
      </c>
      <c r="Q61">
        <v>1</v>
      </c>
      <c r="R61" s="1">
        <f>K61/Q61</f>
        <v>4.46</v>
      </c>
      <c r="S61" s="1">
        <f>15+55/60</f>
        <v>15.916666666666666</v>
      </c>
      <c r="T61" s="19">
        <v>125</v>
      </c>
      <c r="U61" s="19">
        <v>839</v>
      </c>
      <c r="V61" s="19">
        <v>132</v>
      </c>
      <c r="W61" s="19">
        <v>145</v>
      </c>
      <c r="X61" s="1">
        <f>14+56.6/60</f>
        <v>14.943333333333333</v>
      </c>
      <c r="Y61" s="1">
        <f>16+18.7/60</f>
        <v>16.311666666666667</v>
      </c>
      <c r="Z61" s="1">
        <f>16+3.4/60</f>
        <v>16.056666666666668</v>
      </c>
      <c r="AA61" s="1">
        <f>16+0.082/60</f>
        <v>16.001366666666666</v>
      </c>
      <c r="AB61" s="1">
        <f>60/3.7</f>
        <v>16.216216216216214</v>
      </c>
      <c r="AF61">
        <v>0</v>
      </c>
      <c r="AG61">
        <v>0</v>
      </c>
      <c r="AH61" s="18" t="s">
        <v>31</v>
      </c>
      <c r="AI61" s="18" t="s">
        <v>32</v>
      </c>
      <c r="AJ61" s="18">
        <v>0</v>
      </c>
    </row>
    <row r="62" spans="1:37" x14ac:dyDescent="0.25">
      <c r="A62">
        <f t="shared" si="3"/>
        <v>595</v>
      </c>
      <c r="B62" s="20">
        <v>43941.612500000003</v>
      </c>
      <c r="C62">
        <v>1</v>
      </c>
      <c r="D62" s="18" t="s">
        <v>52</v>
      </c>
      <c r="E62" t="s">
        <v>33</v>
      </c>
      <c r="F62">
        <v>83</v>
      </c>
      <c r="G62">
        <v>64</v>
      </c>
      <c r="I62" s="18" t="s">
        <v>38</v>
      </c>
      <c r="W62" s="19"/>
      <c r="AH62" s="18"/>
      <c r="AI62" s="18"/>
      <c r="AJ62" s="18">
        <v>1</v>
      </c>
      <c r="AK62" s="18" t="s">
        <v>71</v>
      </c>
    </row>
    <row r="63" spans="1:37" x14ac:dyDescent="0.25">
      <c r="A63">
        <v>595</v>
      </c>
      <c r="B63" s="20">
        <v>43942.506944444445</v>
      </c>
      <c r="C63">
        <v>1</v>
      </c>
      <c r="E63" t="s">
        <v>33</v>
      </c>
      <c r="F63">
        <v>64</v>
      </c>
      <c r="G63">
        <v>62</v>
      </c>
      <c r="H63" s="18" t="s">
        <v>70</v>
      </c>
      <c r="I63" t="s">
        <v>35</v>
      </c>
      <c r="J63" s="18" t="s">
        <v>75</v>
      </c>
      <c r="K63" s="1">
        <v>4.6100000000000003</v>
      </c>
      <c r="L63" s="19">
        <f>AVERAGE(L59:L61)</f>
        <v>842.66666666666663</v>
      </c>
      <c r="M63" s="19">
        <v>11299</v>
      </c>
      <c r="N63" s="19">
        <f>M63-L63</f>
        <v>10456.333333333334</v>
      </c>
      <c r="O63" s="1">
        <f>78/60</f>
        <v>1.3</v>
      </c>
      <c r="P63" s="1">
        <f>K63/O63</f>
        <v>3.5461538461538464</v>
      </c>
      <c r="Q63">
        <v>1</v>
      </c>
      <c r="R63" s="1">
        <f>K63/Q63</f>
        <v>4.6100000000000003</v>
      </c>
      <c r="S63" s="1">
        <f>17+1/60</f>
        <v>17.016666666666666</v>
      </c>
      <c r="T63" s="19">
        <v>118</v>
      </c>
      <c r="U63" s="19">
        <v>506</v>
      </c>
      <c r="V63" s="19">
        <v>73</v>
      </c>
      <c r="W63" s="19">
        <v>103</v>
      </c>
      <c r="X63" s="1">
        <f>15.5</f>
        <v>15.5</v>
      </c>
      <c r="Y63" s="1">
        <f>16+18/60</f>
        <v>16.3</v>
      </c>
      <c r="Z63" s="1">
        <f>17+1/60</f>
        <v>17.016666666666666</v>
      </c>
      <c r="AA63" s="1">
        <f>17+46/60</f>
        <v>17.766666666666666</v>
      </c>
      <c r="AB63" s="1">
        <f>60/3.1</f>
        <v>19.35483870967742</v>
      </c>
      <c r="AF63">
        <v>5</v>
      </c>
      <c r="AG63">
        <v>0</v>
      </c>
      <c r="AH63" s="18" t="s">
        <v>31</v>
      </c>
      <c r="AI63" s="18" t="s">
        <v>32</v>
      </c>
      <c r="AJ63" s="18">
        <v>0</v>
      </c>
    </row>
    <row r="64" spans="1:37" x14ac:dyDescent="0.25">
      <c r="A64">
        <v>596</v>
      </c>
      <c r="B64" s="20">
        <v>43943.4375</v>
      </c>
      <c r="C64">
        <v>0</v>
      </c>
      <c r="D64" t="s">
        <v>44</v>
      </c>
      <c r="E64" t="s">
        <v>49</v>
      </c>
      <c r="F64">
        <v>69</v>
      </c>
      <c r="G64">
        <v>65</v>
      </c>
      <c r="H64" s="18" t="s">
        <v>72</v>
      </c>
    </row>
    <row r="65" spans="1:36" x14ac:dyDescent="0.25">
      <c r="A65">
        <f t="shared" ref="A65:A74" si="28">A64+1</f>
        <v>597</v>
      </c>
      <c r="B65" s="20">
        <v>43944.481249999997</v>
      </c>
      <c r="C65">
        <v>1</v>
      </c>
      <c r="E65" t="s">
        <v>33</v>
      </c>
      <c r="F65">
        <v>76</v>
      </c>
      <c r="G65">
        <v>43</v>
      </c>
      <c r="H65" s="18" t="s">
        <v>76</v>
      </c>
      <c r="I65" t="s">
        <v>35</v>
      </c>
      <c r="J65" s="18" t="s">
        <v>65</v>
      </c>
      <c r="K65" s="1">
        <v>6.01</v>
      </c>
      <c r="L65" s="19">
        <f>AVERAGE(L59:L63)</f>
        <v>842.66666666666663</v>
      </c>
      <c r="M65" s="19">
        <v>13876</v>
      </c>
      <c r="N65" s="19">
        <f>M65-L65</f>
        <v>13033.333333333334</v>
      </c>
      <c r="O65" s="1">
        <f>93/60</f>
        <v>1.55</v>
      </c>
      <c r="P65" s="1">
        <f t="shared" ref="P65:P71" si="29">K65/O65</f>
        <v>3.8774193548387093</v>
      </c>
      <c r="Q65">
        <v>1</v>
      </c>
      <c r="R65" s="1">
        <f t="shared" ref="R65:R71" si="30">K65/Q65</f>
        <v>6.01</v>
      </c>
      <c r="S65" s="1">
        <f>15+28/60</f>
        <v>15.466666666666667</v>
      </c>
      <c r="T65" s="19">
        <v>49</v>
      </c>
      <c r="U65" s="19">
        <v>802</v>
      </c>
      <c r="V65" s="19">
        <v>94</v>
      </c>
      <c r="W65" s="19">
        <v>156</v>
      </c>
      <c r="X65" s="1">
        <f>15+30.2/60</f>
        <v>15.503333333333334</v>
      </c>
      <c r="Y65" s="1">
        <f>15+34.4/60</f>
        <v>15.573333333333334</v>
      </c>
      <c r="Z65" s="1">
        <f>15+36.1/60</f>
        <v>15.601666666666667</v>
      </c>
      <c r="AA65" s="1">
        <f>15+40.6/60</f>
        <v>15.676666666666666</v>
      </c>
      <c r="AB65" s="1">
        <f>15+18.1/60</f>
        <v>15.301666666666666</v>
      </c>
      <c r="AC65" s="1">
        <f>15+7.9/60</f>
        <v>15.131666666666666</v>
      </c>
      <c r="AD65" s="1">
        <f>60/3.9</f>
        <v>15.384615384615385</v>
      </c>
      <c r="AF65">
        <v>1</v>
      </c>
      <c r="AG65">
        <v>1</v>
      </c>
      <c r="AH65" t="s">
        <v>31</v>
      </c>
      <c r="AI65" t="s">
        <v>32</v>
      </c>
      <c r="AJ65">
        <v>0</v>
      </c>
    </row>
    <row r="66" spans="1:36" x14ac:dyDescent="0.25">
      <c r="A66">
        <f t="shared" si="28"/>
        <v>598</v>
      </c>
      <c r="B66" s="20">
        <v>43945.474305555559</v>
      </c>
      <c r="C66">
        <v>1</v>
      </c>
      <c r="E66" t="s">
        <v>33</v>
      </c>
      <c r="F66">
        <v>81</v>
      </c>
      <c r="G66">
        <v>37</v>
      </c>
      <c r="H66" s="18" t="s">
        <v>73</v>
      </c>
      <c r="I66" s="18" t="s">
        <v>38</v>
      </c>
      <c r="J66" t="s">
        <v>75</v>
      </c>
      <c r="K66" s="1">
        <v>5.36</v>
      </c>
      <c r="L66" s="19">
        <f>L65</f>
        <v>842.66666666666663</v>
      </c>
      <c r="O66" s="1">
        <f>88/60</f>
        <v>1.4666666666666666</v>
      </c>
      <c r="P66" s="1">
        <f t="shared" si="29"/>
        <v>3.6545454545454552</v>
      </c>
      <c r="Q66">
        <v>1</v>
      </c>
      <c r="R66" s="1">
        <f t="shared" si="30"/>
        <v>5.36</v>
      </c>
      <c r="S66" s="1">
        <f>16+21/60</f>
        <v>16.350000000000001</v>
      </c>
      <c r="T66" s="19">
        <v>184</v>
      </c>
      <c r="U66" s="19">
        <v>802</v>
      </c>
      <c r="V66" s="19">
        <v>104</v>
      </c>
      <c r="W66" s="19">
        <v>156</v>
      </c>
      <c r="X66" s="1">
        <f>16+23.8/60</f>
        <v>16.396666666666668</v>
      </c>
      <c r="Y66" s="1">
        <f>15+43.3/60</f>
        <v>15.721666666666666</v>
      </c>
      <c r="Z66" s="1">
        <f>16+9.8/60</f>
        <v>16.163333333333334</v>
      </c>
      <c r="AA66" s="1">
        <f>15+51.5/60</f>
        <v>15.858333333333333</v>
      </c>
      <c r="AB66" s="1">
        <f>17+17.3/60</f>
        <v>17.288333333333334</v>
      </c>
      <c r="AC66" s="1">
        <f>60/3.7</f>
        <v>16.216216216216214</v>
      </c>
      <c r="AF66">
        <v>0</v>
      </c>
      <c r="AG66">
        <v>0</v>
      </c>
      <c r="AH66" s="18" t="s">
        <v>31</v>
      </c>
      <c r="AI66" s="18" t="s">
        <v>32</v>
      </c>
      <c r="AJ66">
        <v>0</v>
      </c>
    </row>
    <row r="67" spans="1:36" x14ac:dyDescent="0.25">
      <c r="A67">
        <f t="shared" si="28"/>
        <v>599</v>
      </c>
      <c r="B67" s="20">
        <v>43946.51666666667</v>
      </c>
      <c r="C67">
        <v>1</v>
      </c>
      <c r="E67" t="s">
        <v>33</v>
      </c>
      <c r="F67">
        <v>76</v>
      </c>
      <c r="G67">
        <v>37</v>
      </c>
      <c r="H67" s="18" t="s">
        <v>76</v>
      </c>
      <c r="I67" t="s">
        <v>35</v>
      </c>
      <c r="J67" t="s">
        <v>53</v>
      </c>
      <c r="K67" s="1">
        <v>7.82</v>
      </c>
      <c r="L67" s="19">
        <v>749</v>
      </c>
      <c r="M67" s="19">
        <v>17135</v>
      </c>
      <c r="N67" s="19">
        <f t="shared" ref="N67:N74" si="31">M67-L67</f>
        <v>16386</v>
      </c>
      <c r="O67" s="1">
        <f>120/60</f>
        <v>2</v>
      </c>
      <c r="P67" s="1">
        <f t="shared" si="29"/>
        <v>3.91</v>
      </c>
      <c r="Q67">
        <v>1</v>
      </c>
      <c r="R67" s="1">
        <f t="shared" si="30"/>
        <v>7.82</v>
      </c>
      <c r="S67" s="1">
        <f>15+23/60</f>
        <v>15.383333333333333</v>
      </c>
      <c r="T67" s="19">
        <v>92</v>
      </c>
      <c r="U67" s="19">
        <v>1585</v>
      </c>
      <c r="V67" s="19">
        <v>135</v>
      </c>
      <c r="W67" s="19">
        <v>156</v>
      </c>
      <c r="X67" s="1">
        <f>15+24/60</f>
        <v>15.4</v>
      </c>
      <c r="Y67" s="1">
        <f>14+41.8/60</f>
        <v>14.696666666666667</v>
      </c>
      <c r="Z67" s="1">
        <f>14+39.5/60</f>
        <v>14.658333333333333</v>
      </c>
      <c r="AA67" s="1">
        <f>15+5.8/60</f>
        <v>15.096666666666666</v>
      </c>
      <c r="AB67" s="1">
        <f>15+48.2/60</f>
        <v>15.803333333333333</v>
      </c>
      <c r="AC67" s="1">
        <f>15+6.5/60</f>
        <v>15.108333333333333</v>
      </c>
      <c r="AD67" s="1">
        <f>15+59.2/60</f>
        <v>15.986666666666666</v>
      </c>
      <c r="AE67" s="1">
        <f>60/3.9</f>
        <v>15.384615384615385</v>
      </c>
      <c r="AF67">
        <v>4</v>
      </c>
      <c r="AG67">
        <v>0</v>
      </c>
      <c r="AH67" s="18" t="s">
        <v>31</v>
      </c>
      <c r="AI67" s="18" t="s">
        <v>32</v>
      </c>
      <c r="AJ67" s="18">
        <v>0</v>
      </c>
    </row>
    <row r="68" spans="1:36" x14ac:dyDescent="0.25">
      <c r="A68">
        <f t="shared" si="28"/>
        <v>600</v>
      </c>
      <c r="B68" s="20">
        <v>43947.518055555556</v>
      </c>
      <c r="C68">
        <v>1</v>
      </c>
      <c r="E68" t="s">
        <v>33</v>
      </c>
      <c r="F68">
        <v>81</v>
      </c>
      <c r="G68">
        <v>23</v>
      </c>
      <c r="H68" s="18" t="s">
        <v>76</v>
      </c>
      <c r="I68" t="s">
        <v>38</v>
      </c>
      <c r="J68" t="s">
        <v>34</v>
      </c>
      <c r="K68" s="1">
        <v>7.11</v>
      </c>
      <c r="L68" s="19">
        <v>1025</v>
      </c>
      <c r="M68" s="19">
        <v>16621</v>
      </c>
      <c r="N68" s="19">
        <f t="shared" si="31"/>
        <v>15596</v>
      </c>
      <c r="O68" s="1">
        <f>(60+56)/60</f>
        <v>1.9333333333333333</v>
      </c>
      <c r="P68" s="1">
        <f t="shared" si="29"/>
        <v>3.6775862068965517</v>
      </c>
      <c r="Q68">
        <v>1</v>
      </c>
      <c r="R68" s="1">
        <f t="shared" si="30"/>
        <v>7.11</v>
      </c>
      <c r="S68" s="1">
        <f>16+15/60</f>
        <v>16.25</v>
      </c>
      <c r="T68" s="19">
        <v>62</v>
      </c>
      <c r="U68" s="19">
        <v>1131</v>
      </c>
      <c r="V68" s="19">
        <v>112</v>
      </c>
      <c r="W68" s="19">
        <v>147</v>
      </c>
      <c r="X68" s="1">
        <f>15+29.1/60</f>
        <v>15.484999999999999</v>
      </c>
      <c r="Y68" s="1">
        <f>15+46.1/60</f>
        <v>15.768333333333333</v>
      </c>
      <c r="Z68" s="1">
        <f>16+8.2/60</f>
        <v>16.136666666666667</v>
      </c>
      <c r="AA68" s="1">
        <f>16+20/60</f>
        <v>16.333333333333332</v>
      </c>
      <c r="AB68" s="1">
        <f>16+22.4/60</f>
        <v>16.373333333333335</v>
      </c>
      <c r="AC68" s="1">
        <f>17+8.8/60</f>
        <v>17.146666666666668</v>
      </c>
      <c r="AD68" s="1">
        <f>16+32.7/60</f>
        <v>16.545000000000002</v>
      </c>
      <c r="AE68" s="1">
        <f>60/3.8</f>
        <v>15.789473684210527</v>
      </c>
      <c r="AF68">
        <v>3</v>
      </c>
      <c r="AG68">
        <v>1</v>
      </c>
      <c r="AH68" t="s">
        <v>31</v>
      </c>
      <c r="AI68" t="s">
        <v>32</v>
      </c>
      <c r="AJ68">
        <v>0</v>
      </c>
    </row>
    <row r="69" spans="1:36" x14ac:dyDescent="0.25">
      <c r="A69">
        <f t="shared" si="28"/>
        <v>601</v>
      </c>
      <c r="B69" s="20">
        <v>43948.544444444444</v>
      </c>
      <c r="C69">
        <v>1</v>
      </c>
      <c r="E69" t="s">
        <v>33</v>
      </c>
      <c r="F69">
        <v>83</v>
      </c>
      <c r="G69">
        <v>37</v>
      </c>
      <c r="H69" s="18" t="s">
        <v>76</v>
      </c>
      <c r="J69" s="18" t="s">
        <v>50</v>
      </c>
      <c r="K69" s="1">
        <v>5.41</v>
      </c>
      <c r="L69" s="19">
        <f>AVERAGE(L59:L68)</f>
        <v>853.75</v>
      </c>
      <c r="M69" s="19">
        <v>12500</v>
      </c>
      <c r="N69" s="19">
        <f t="shared" si="31"/>
        <v>11646.25</v>
      </c>
      <c r="O69" s="1">
        <f>92/60</f>
        <v>1.5333333333333334</v>
      </c>
      <c r="P69" s="1">
        <f t="shared" si="29"/>
        <v>3.5282608695652171</v>
      </c>
      <c r="Q69">
        <v>1</v>
      </c>
      <c r="R69" s="1">
        <f t="shared" si="30"/>
        <v>5.41</v>
      </c>
      <c r="S69" s="1">
        <f>16+59/60</f>
        <v>16.983333333333334</v>
      </c>
      <c r="T69" s="19">
        <v>243</v>
      </c>
      <c r="U69" s="19">
        <v>1092</v>
      </c>
      <c r="V69" s="19">
        <v>126</v>
      </c>
      <c r="W69" s="19">
        <v>149</v>
      </c>
      <c r="X69" s="1">
        <f>15+51.6/60</f>
        <v>15.86</v>
      </c>
      <c r="Y69" s="1">
        <f>16+23.2/60</f>
        <v>16.386666666666667</v>
      </c>
      <c r="Z69" s="1">
        <f>16+31.3/60</f>
        <v>16.521666666666668</v>
      </c>
      <c r="AA69" s="1">
        <f>17+48.3/60</f>
        <v>17.805</v>
      </c>
      <c r="AB69" s="1">
        <f>17+48.3/60</f>
        <v>17.805</v>
      </c>
      <c r="AC69" s="1">
        <f>60/3.5</f>
        <v>17.142857142857142</v>
      </c>
      <c r="AF69">
        <v>3</v>
      </c>
      <c r="AG69">
        <v>2</v>
      </c>
      <c r="AH69" s="18" t="s">
        <v>31</v>
      </c>
      <c r="AI69" s="18" t="s">
        <v>32</v>
      </c>
      <c r="AJ69" s="18">
        <v>0</v>
      </c>
    </row>
    <row r="70" spans="1:36" x14ac:dyDescent="0.25">
      <c r="A70">
        <f t="shared" si="28"/>
        <v>602</v>
      </c>
      <c r="B70" s="20">
        <v>43949.481944444444</v>
      </c>
      <c r="C70">
        <v>1</v>
      </c>
      <c r="E70" t="s">
        <v>74</v>
      </c>
      <c r="F70">
        <v>84</v>
      </c>
      <c r="G70">
        <v>61</v>
      </c>
      <c r="H70" s="18" t="s">
        <v>76</v>
      </c>
      <c r="I70" t="s">
        <v>38</v>
      </c>
      <c r="J70" t="s">
        <v>45</v>
      </c>
      <c r="K70" s="1">
        <v>5.18</v>
      </c>
      <c r="L70" s="19">
        <v>918</v>
      </c>
      <c r="M70" s="19">
        <v>12208</v>
      </c>
      <c r="N70" s="19">
        <f t="shared" si="31"/>
        <v>11290</v>
      </c>
      <c r="O70" s="1">
        <f>90/60</f>
        <v>1.5</v>
      </c>
      <c r="P70" s="1">
        <f t="shared" si="29"/>
        <v>3.4533333333333331</v>
      </c>
      <c r="Q70">
        <v>1</v>
      </c>
      <c r="R70" s="1">
        <f t="shared" si="30"/>
        <v>5.18</v>
      </c>
      <c r="S70" s="1">
        <f>17+20/60</f>
        <v>17.333333333333332</v>
      </c>
      <c r="T70" s="19">
        <v>200</v>
      </c>
      <c r="U70" s="19">
        <v>1154</v>
      </c>
      <c r="V70" s="19">
        <v>133</v>
      </c>
      <c r="W70" s="19">
        <v>153</v>
      </c>
      <c r="X70" s="1">
        <f>16+4.6/60</f>
        <v>16.076666666666668</v>
      </c>
      <c r="Y70" s="1">
        <f>16+49.2/60</f>
        <v>16.82</v>
      </c>
      <c r="Z70" s="1">
        <f>16+55.5/60</f>
        <v>16.925000000000001</v>
      </c>
      <c r="AA70" s="1">
        <v>17</v>
      </c>
      <c r="AB70" s="1">
        <f>19+35/60</f>
        <v>19.583333333333332</v>
      </c>
      <c r="AC70" s="1">
        <f>60/3.5</f>
        <v>17.142857142857142</v>
      </c>
      <c r="AF70">
        <v>5</v>
      </c>
      <c r="AG70">
        <v>1</v>
      </c>
      <c r="AH70" t="s">
        <v>31</v>
      </c>
      <c r="AI70" t="s">
        <v>32</v>
      </c>
      <c r="AJ70">
        <v>0</v>
      </c>
    </row>
    <row r="71" spans="1:36" x14ac:dyDescent="0.25">
      <c r="A71">
        <f t="shared" si="28"/>
        <v>603</v>
      </c>
      <c r="B71" s="20">
        <v>43950.460416666669</v>
      </c>
      <c r="C71">
        <v>1</v>
      </c>
      <c r="E71" s="18" t="s">
        <v>33</v>
      </c>
      <c r="F71">
        <v>75</v>
      </c>
      <c r="G71">
        <v>77</v>
      </c>
      <c r="H71" s="18" t="s">
        <v>76</v>
      </c>
      <c r="I71" t="s">
        <v>35</v>
      </c>
      <c r="J71" t="s">
        <v>43</v>
      </c>
      <c r="K71" s="1">
        <v>5.24</v>
      </c>
      <c r="L71" s="19">
        <f>AVERAGE(L65:L70)</f>
        <v>871.84722222222217</v>
      </c>
      <c r="M71" s="19">
        <v>12034</v>
      </c>
      <c r="N71" s="19">
        <f t="shared" si="31"/>
        <v>11162.152777777777</v>
      </c>
      <c r="O71" s="1">
        <f>85/60</f>
        <v>1.4166666666666667</v>
      </c>
      <c r="P71" s="1">
        <f t="shared" si="29"/>
        <v>3.6988235294117646</v>
      </c>
      <c r="Q71">
        <v>1</v>
      </c>
      <c r="R71" s="1">
        <f t="shared" si="30"/>
        <v>5.24</v>
      </c>
      <c r="S71" s="1">
        <f>16+9/60</f>
        <v>16.149999999999999</v>
      </c>
      <c r="T71" s="19">
        <v>112</v>
      </c>
      <c r="U71" s="19">
        <v>663</v>
      </c>
      <c r="V71" s="19">
        <v>93</v>
      </c>
      <c r="W71" s="19">
        <v>134</v>
      </c>
      <c r="X71" s="1">
        <f>15+54/60</f>
        <v>15.9</v>
      </c>
      <c r="Y71" s="1">
        <f>15+46.2/60</f>
        <v>15.77</v>
      </c>
      <c r="Z71" s="1">
        <f>15+50.9/60</f>
        <v>15.848333333333333</v>
      </c>
      <c r="AA71" s="1">
        <f>16+27.2/60</f>
        <v>16.453333333333333</v>
      </c>
      <c r="AB71" s="1">
        <f>16+51/60</f>
        <v>16.850000000000001</v>
      </c>
      <c r="AC71" s="1">
        <f>60/3.8</f>
        <v>15.789473684210527</v>
      </c>
      <c r="AF71">
        <v>0</v>
      </c>
      <c r="AG71">
        <v>0</v>
      </c>
      <c r="AH71" s="18" t="s">
        <v>31</v>
      </c>
      <c r="AI71" s="18" t="s">
        <v>32</v>
      </c>
      <c r="AJ71" s="18">
        <v>0</v>
      </c>
    </row>
    <row r="72" spans="1:36" x14ac:dyDescent="0.25">
      <c r="A72">
        <f t="shared" si="28"/>
        <v>604</v>
      </c>
      <c r="B72" s="20">
        <v>43951.493750000001</v>
      </c>
      <c r="C72">
        <v>1</v>
      </c>
      <c r="E72" t="s">
        <v>33</v>
      </c>
      <c r="F72">
        <v>77</v>
      </c>
      <c r="G72">
        <v>32</v>
      </c>
      <c r="H72" s="18" t="s">
        <v>76</v>
      </c>
      <c r="I72" t="s">
        <v>38</v>
      </c>
      <c r="J72" t="s">
        <v>75</v>
      </c>
      <c r="K72" s="1">
        <v>5.64</v>
      </c>
      <c r="L72" s="19">
        <v>1124</v>
      </c>
      <c r="M72" s="19">
        <v>13003</v>
      </c>
      <c r="N72" s="19">
        <f t="shared" si="31"/>
        <v>11879</v>
      </c>
      <c r="O72" s="1">
        <f>92/60</f>
        <v>1.5333333333333334</v>
      </c>
      <c r="P72" s="1">
        <f t="shared" ref="P72" si="32">K72/O72</f>
        <v>3.678260869565217</v>
      </c>
      <c r="Q72" s="18">
        <v>1</v>
      </c>
      <c r="R72" s="1">
        <f t="shared" ref="R72" si="33">K72/Q72</f>
        <v>5.64</v>
      </c>
      <c r="S72" s="1">
        <f>16+19/60</f>
        <v>16.316666666666666</v>
      </c>
      <c r="T72" s="19">
        <v>220</v>
      </c>
      <c r="U72" s="19">
        <v>1024</v>
      </c>
      <c r="V72" s="19">
        <v>122</v>
      </c>
      <c r="W72" s="19">
        <v>147</v>
      </c>
      <c r="X72" s="1">
        <f>16+23.8/60</f>
        <v>16.396666666666668</v>
      </c>
      <c r="Y72" s="1">
        <f>15+29.7/60</f>
        <v>15.494999999999999</v>
      </c>
      <c r="Z72" s="1">
        <f>16+4.6/60</f>
        <v>16.076666666666668</v>
      </c>
      <c r="AA72" s="1">
        <f>16+41.7/60</f>
        <v>16.695</v>
      </c>
      <c r="AB72" s="1">
        <f>16+16.9/60</f>
        <v>16.281666666666666</v>
      </c>
      <c r="AC72" s="1">
        <f>60/3.5</f>
        <v>17.142857142857142</v>
      </c>
      <c r="AF72">
        <v>0</v>
      </c>
      <c r="AG72">
        <v>1</v>
      </c>
      <c r="AH72" s="18" t="s">
        <v>31</v>
      </c>
      <c r="AI72" s="18" t="s">
        <v>32</v>
      </c>
      <c r="AJ72">
        <v>0</v>
      </c>
    </row>
    <row r="73" spans="1:36" x14ac:dyDescent="0.25">
      <c r="A73">
        <f t="shared" si="28"/>
        <v>605</v>
      </c>
      <c r="B73" s="20">
        <v>43952.365277777775</v>
      </c>
      <c r="C73">
        <v>1</v>
      </c>
      <c r="E73" t="s">
        <v>33</v>
      </c>
      <c r="F73">
        <v>71</v>
      </c>
      <c r="G73">
        <v>53</v>
      </c>
      <c r="H73" s="18" t="s">
        <v>73</v>
      </c>
      <c r="I73" t="s">
        <v>38</v>
      </c>
      <c r="J73" t="s">
        <v>65</v>
      </c>
      <c r="K73" s="1">
        <v>6</v>
      </c>
      <c r="L73" s="19">
        <v>867</v>
      </c>
      <c r="M73" s="19">
        <v>13450</v>
      </c>
      <c r="N73" s="19">
        <f t="shared" si="31"/>
        <v>12583</v>
      </c>
      <c r="O73" s="1">
        <f>93/60</f>
        <v>1.55</v>
      </c>
      <c r="P73" s="1">
        <f t="shared" ref="P73" si="34">K73/O73</f>
        <v>3.8709677419354835</v>
      </c>
      <c r="Q73">
        <v>1</v>
      </c>
      <c r="R73" s="1">
        <f t="shared" ref="R73" si="35">K73/Q73</f>
        <v>6</v>
      </c>
      <c r="S73" s="1">
        <f>15+30/60</f>
        <v>15.5</v>
      </c>
      <c r="T73" s="19">
        <v>46</v>
      </c>
      <c r="U73" s="19">
        <v>602</v>
      </c>
      <c r="V73" s="19">
        <v>76</v>
      </c>
      <c r="W73" s="19">
        <v>119</v>
      </c>
      <c r="X73" s="1">
        <f>15+35.8/60</f>
        <v>15.596666666666666</v>
      </c>
      <c r="Y73" s="1">
        <f>15+17.4/60</f>
        <v>15.29</v>
      </c>
      <c r="Z73" s="1">
        <f>15+48.2/60</f>
        <v>15.803333333333333</v>
      </c>
      <c r="AA73" s="1">
        <f>15+12/60</f>
        <v>15.2</v>
      </c>
      <c r="AB73" s="1">
        <f>15+57.9/60</f>
        <v>15.965</v>
      </c>
      <c r="AC73" s="1">
        <f>15+57.9/60</f>
        <v>15.965</v>
      </c>
      <c r="AF73">
        <v>1</v>
      </c>
      <c r="AG73">
        <v>0</v>
      </c>
      <c r="AH73" s="18" t="s">
        <v>31</v>
      </c>
      <c r="AI73" s="18" t="s">
        <v>32</v>
      </c>
      <c r="AJ73" s="18">
        <v>0</v>
      </c>
    </row>
    <row r="74" spans="1:36" x14ac:dyDescent="0.25">
      <c r="A74">
        <f t="shared" si="28"/>
        <v>606</v>
      </c>
      <c r="B74" s="20">
        <v>43953.371527777781</v>
      </c>
      <c r="C74">
        <v>1</v>
      </c>
      <c r="E74" t="s">
        <v>74</v>
      </c>
      <c r="F74">
        <v>72</v>
      </c>
      <c r="G74">
        <v>71</v>
      </c>
      <c r="H74" s="18" t="s">
        <v>78</v>
      </c>
      <c r="I74" t="s">
        <v>35</v>
      </c>
      <c r="J74" t="s">
        <v>34</v>
      </c>
      <c r="K74" s="1">
        <v>6.52</v>
      </c>
      <c r="L74" s="19">
        <f>AVERAGE(L63:L73)</f>
        <v>893.65972222222229</v>
      </c>
      <c r="M74" s="19">
        <v>14258</v>
      </c>
      <c r="N74" s="19">
        <f t="shared" si="31"/>
        <v>13364.340277777777</v>
      </c>
      <c r="O74" s="1">
        <f>100/60</f>
        <v>1.6666666666666667</v>
      </c>
      <c r="P74" s="1">
        <f t="shared" ref="P74" si="36">K74/O74</f>
        <v>3.9119999999999995</v>
      </c>
      <c r="Q74">
        <v>1</v>
      </c>
      <c r="R74" s="1">
        <f t="shared" ref="R74" si="37">K74/Q74</f>
        <v>6.52</v>
      </c>
      <c r="S74" s="1">
        <f>15+20/30</f>
        <v>15.666666666666666</v>
      </c>
      <c r="T74" s="19">
        <v>89</v>
      </c>
      <c r="U74" s="19">
        <v>708</v>
      </c>
      <c r="V74" s="19">
        <v>80</v>
      </c>
      <c r="W74" s="19">
        <v>117</v>
      </c>
      <c r="X74" s="1">
        <f>15+23.6/60</f>
        <v>15.393333333333333</v>
      </c>
      <c r="Y74" s="1">
        <f>15+7.1/60</f>
        <v>15.118333333333334</v>
      </c>
      <c r="Z74" s="1">
        <f>14+58.5/60</f>
        <v>14.975</v>
      </c>
      <c r="AA74" s="1">
        <f>15+21.2/60</f>
        <v>15.353333333333333</v>
      </c>
      <c r="AB74" s="1">
        <f>15+14.3/60</f>
        <v>15.238333333333333</v>
      </c>
      <c r="AC74" s="1">
        <f>15+34/60</f>
        <v>15.566666666666666</v>
      </c>
      <c r="AD74" s="1">
        <f>60/3.9</f>
        <v>15.384615384615385</v>
      </c>
      <c r="AF74">
        <v>0</v>
      </c>
      <c r="AG74">
        <v>0</v>
      </c>
      <c r="AH74" t="s">
        <v>31</v>
      </c>
      <c r="AI74" t="s">
        <v>32</v>
      </c>
      <c r="AJ74">
        <v>0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2020-05-02T16:28:53Z</dcterms:modified>
</cp:coreProperties>
</file>