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<sst xmlns="http://schemas.openxmlformats.org/spreadsheetml/2006/main" count="845" uniqueCount="114">
  <si>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</si>
  <si>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</si>
  <si>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</si>
  <si>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</si>
  <si>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</si>
  <si>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</si>
  <si>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</si>
  <si>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dew_point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</si>
  <si>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</si>
  <si>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</si>
  <si>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</si>
  <si>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</si>
  <si>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</si>
  <si>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</si>
  <si>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</si>
  <si>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</si>
  <si>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</si>
  <si>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</si>
  <si>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</si>
  <si>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</si>
  <si>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</si>
  <si>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</si>
  <si>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</si>
  <si>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</si>
  <si>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</si>
  <si>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</si>
  <si>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</si>
  <si>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</si>
  <si>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</si>
  <si>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</si>
  <si>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</si>
  <si>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</si>
  <si>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</si>
  <si>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</si>
  <si>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</si>
  <si>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</si>
  <si>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</si>
  <si>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</si>
  <si>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</si>
  <si>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</si>
  <si>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</si>
  <si>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shuffles</t>
  </si>
  <si>
    <t xml:space="preserve">falls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</si>
  <si>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</si>
  <si>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</si>
  <si>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</si>
  <si>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</si>
  <si>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</si>
  <si>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</si>
  <si>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</si>
  <si>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</si>
  <si>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</si>
  <si>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</si>
  <si>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</si>
  <si>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</si>
  <si>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</si>
  <si>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</si>
  <si>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</si>
  <si>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Vanderbilt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</si>
  <si>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</si>
  <si>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</si>
  <si>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</si>
  <si>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</si>
  <si>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</si>
  <si>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</si>
  <si>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</si>
  <si>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</si>
  <si>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Medical</t>
  </si>
  <si>
    <t xml:space="preserve">Rain Light</t>
  </si>
  <si>
    <t xml:space="preserve">Enchanted Lakes</t>
  </si>
  <si>
    <t xml:space="preserve">Vandergriff Park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</si>
  <si>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</si>
  <si>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</si>
  <si>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</si>
  <si>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</si>
  <si>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</si>
  <si>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</si>
  <si>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</si>
  <si>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</si>
  <si>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</si>
  <si>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</si>
  <si>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</si>
  <si>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</si>
  <si>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</si>
  <si>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</si>
  <si>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</si>
  <si>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</si>
  <si>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</si>
  <si>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</si>
  <si>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</si>
  <si>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</si>
  <si>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</si>
  <si>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</si>
  <si>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</si>
  <si>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</si>
  <si>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</si>
  <si>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</si>
  <si>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</si>
  <si>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</si>
  <si>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</si>
  <si>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</si>
  <si>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</si>
  <si>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</si>
  <si>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</si>
  <si>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</si>
  <si>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</si>
  <si>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</si>
  <si>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</si>
  <si>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</si>
  <si>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</si>
  <si>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</si>
  <si>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Dental appointment</t>
  </si>
  <si>
    <t xml:space="preserve">SSE </t>
  </si>
  <si>
    <t xml:space="preserve">Dental surgery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</si>
</sst>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[$-409]h:mm"/>
    <numFmt numFmtId="170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  <font>
      <sz val="9"/>
      <color rgb="FF000000"/>
      <name val="Arial"/>
      <family val="2"/>
    </font>
    <font>
      <sz val="9"/>
      <color rgb="FF000000"/>
      <name val="Roboto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59"/>
  <sheetViews>
    <sheetView showFormulas="false" showGridLines="true" showRowColHeaders="true" showZeros="true" rightToLeft="false" tabSelected="true" showOutlineSymbols="true" defaultGridColor="true" view="normal" topLeftCell="C1" colorId="64" zoomScale="125" zoomScaleNormal="125" zoomScalePageLayoutView="100" workbookViewId="0">
      <pane xSplit="0" ySplit="1" topLeftCell="A155" activePane="bottomLeft" state="frozen"/>
      <selection pane="topLeft" activeCell="C1" activeCellId="0" sqref="C1"/>
      <selection pane="bottomLeft" activeCell="J159" activeCellId="0" sqref="J1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5"/>
    <col collapsed="false" customWidth="true" hidden="false" outlineLevel="0" max="2" min="2" style="1" width="14.21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6.52"/>
    <col collapsed="false" customWidth="true" hidden="false" outlineLevel="0" max="7" min="7" style="2" width="6.32"/>
    <col collapsed="false" customWidth="true" hidden="false" outlineLevel="0" max="8" min="8" style="2" width="5.02"/>
    <col collapsed="false" customWidth="true" hidden="false" outlineLevel="0" max="9" min="9" style="2" width="4.59"/>
    <col collapsed="false" customWidth="true" hidden="false" outlineLevel="0" max="10" min="10" style="2" width="8.61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7"/>
    <col collapsed="false" customWidth="true" hidden="false" outlineLevel="0" max="14" min="14" style="0" width="11.19"/>
    <col collapsed="false" customWidth="true" hidden="false" outlineLevel="0" max="15" min="15" style="0" width="26.13"/>
    <col collapsed="false" customWidth="true" hidden="false" outlineLevel="0" max="16" min="16" style="3" width="9.19"/>
    <col collapsed="false" customWidth="false" hidden="false" outlineLevel="0" max="17" min="17" style="2" width="11.48"/>
    <col collapsed="false" customWidth="true" hidden="false" outlineLevel="0" max="18" min="18" style="2" width="6.74"/>
    <col collapsed="false" customWidth="true" hidden="false" outlineLevel="0" max="19" min="19" style="2" width="6.46"/>
    <col collapsed="false" customWidth="true" hidden="false" outlineLevel="0" max="23" min="20" style="3" width="9.19"/>
    <col collapsed="false" customWidth="true" hidden="false" outlineLevel="0" max="24" min="24" style="0" width="8.71"/>
    <col collapsed="false" customWidth="true" hidden="false" outlineLevel="0" max="26" min="25" style="3" width="9.19"/>
    <col collapsed="false" customWidth="true" hidden="false" outlineLevel="0" max="29" min="27" style="2" width="9.19"/>
    <col collapsed="false" customWidth="true" hidden="false" outlineLevel="0" max="30" min="30" style="0" width="8.71"/>
    <col collapsed="false" customWidth="true" hidden="false" outlineLevel="0" max="40" min="31" style="3" width="9.19"/>
    <col collapsed="false" customWidth="true" hidden="false" outlineLevel="0" max="41" min="41" style="0" width="8.71"/>
    <col collapsed="false" customWidth="true" hidden="false" outlineLevel="0" max="43" min="42" style="0" width="7.9"/>
    <col collapsed="false" customWidth="true" hidden="false" outlineLevel="0" max="44" min="44" style="3" width="6.74"/>
    <col collapsed="false" customWidth="true" hidden="false" outlineLevel="0" max="45" min="45" style="3" width="6.89"/>
    <col collapsed="false" customWidth="true" hidden="false" outlineLevel="0" max="46" min="46" style="3" width="6.61"/>
    <col collapsed="false" customWidth="true" hidden="false" outlineLevel="0" max="48" min="47" style="3" width="6.74"/>
    <col collapsed="false" customWidth="true" hidden="false" outlineLevel="0" max="49" min="49" style="0" width="20.38"/>
    <col collapsed="false" customWidth="true" hidden="false" outlineLevel="0" max="50" min="50" style="0" width="8.71"/>
    <col collapsed="false" customWidth="true" hidden="false" outlineLevel="0" max="51" min="51" style="0" width="11.19"/>
    <col collapsed="false" customWidth="true" hidden="false" outlineLevel="0" max="52" min="52" style="0" width="17.8"/>
    <col collapsed="false" customWidth="true" hidden="false" outlineLevel="0" max="64" min="53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0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0" t="s">
        <v>40</v>
      </c>
      <c r="AP1" s="0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52</v>
      </c>
      <c r="G2" s="2" t="n">
        <v>54</v>
      </c>
      <c r="I2" s="2" t="n">
        <v>98</v>
      </c>
      <c r="N2" s="0" t="s">
        <v>53</v>
      </c>
      <c r="O2" s="0" t="s">
        <v>54</v>
      </c>
      <c r="P2" s="3" t="n">
        <v>5.19</v>
      </c>
      <c r="T2" s="3" t="n">
        <v>1.55</v>
      </c>
      <c r="W2" s="3" t="n">
        <v>3.35</v>
      </c>
      <c r="X2" s="0" t="n">
        <v>3</v>
      </c>
      <c r="Y2" s="3" t="n">
        <v>1.73</v>
      </c>
      <c r="Z2" s="3" t="n">
        <f aca="false">16+46/60</f>
        <v>16.7666666666667</v>
      </c>
      <c r="AA2" s="2" t="n">
        <v>220</v>
      </c>
      <c r="AB2" s="2" t="n">
        <v>667</v>
      </c>
      <c r="AC2" s="2" t="n">
        <v>101</v>
      </c>
      <c r="AD2" s="0" t="n">
        <v>150</v>
      </c>
      <c r="AE2" s="3" t="n">
        <f aca="false">16+11.7/60</f>
        <v>16.195</v>
      </c>
      <c r="AF2" s="3" t="n">
        <f aca="false">16+55.8/60</f>
        <v>16.93</v>
      </c>
      <c r="AG2" s="3" t="n">
        <f aca="false">16+53.8/60</f>
        <v>16.8966666666667</v>
      </c>
      <c r="AH2" s="3" t="n">
        <f aca="false">17+8.8/60</f>
        <v>17.1466666666667</v>
      </c>
      <c r="AI2" s="3" t="n">
        <f aca="false">60/3.6</f>
        <v>16.6666666666667</v>
      </c>
      <c r="AO2" s="0" t="n">
        <v>1</v>
      </c>
      <c r="AP2" s="0" t="n">
        <v>1</v>
      </c>
      <c r="AW2" s="0" t="s">
        <v>55</v>
      </c>
      <c r="AX2" s="0" t="s">
        <v>56</v>
      </c>
      <c r="AY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57</v>
      </c>
      <c r="G3" s="2" t="n">
        <v>77</v>
      </c>
      <c r="I3" s="2" t="n">
        <v>42</v>
      </c>
      <c r="N3" s="0" t="s">
        <v>53</v>
      </c>
      <c r="O3" s="0" t="s">
        <v>58</v>
      </c>
      <c r="P3" s="3" t="n">
        <v>5.62</v>
      </c>
      <c r="T3" s="3" t="n">
        <v>1.53</v>
      </c>
      <c r="W3" s="3" t="n">
        <v>3.93</v>
      </c>
      <c r="X3" s="0" t="n">
        <v>2</v>
      </c>
      <c r="Y3" s="3" t="n">
        <f aca="false">P3/X3</f>
        <v>2.81</v>
      </c>
      <c r="Z3" s="3" t="n">
        <v>16.35</v>
      </c>
      <c r="AA3" s="2" t="n">
        <v>125</v>
      </c>
      <c r="AB3" s="2" t="n">
        <v>943</v>
      </c>
      <c r="AC3" s="2" t="n">
        <v>124</v>
      </c>
      <c r="AD3" s="0" t="n">
        <v>140</v>
      </c>
      <c r="AE3" s="3" t="n">
        <v>15.62</v>
      </c>
      <c r="AF3" s="3" t="n">
        <v>16.3</v>
      </c>
      <c r="AG3" s="3" t="n">
        <v>16.08</v>
      </c>
      <c r="AH3" s="3" t="n">
        <v>15.83</v>
      </c>
      <c r="AI3" s="3" t="n">
        <v>16.5</v>
      </c>
      <c r="AJ3" s="3" t="n">
        <v>16.22</v>
      </c>
      <c r="AO3" s="0" t="n">
        <v>1</v>
      </c>
      <c r="AP3" s="0" t="n">
        <v>0</v>
      </c>
      <c r="AW3" s="0" t="s">
        <v>55</v>
      </c>
      <c r="AX3" s="0" t="s">
        <v>56</v>
      </c>
      <c r="AY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57</v>
      </c>
      <c r="G4" s="2" t="n">
        <v>74</v>
      </c>
      <c r="I4" s="2" t="n">
        <v>64</v>
      </c>
      <c r="N4" s="0" t="s">
        <v>53</v>
      </c>
      <c r="O4" s="0" t="s">
        <v>59</v>
      </c>
      <c r="P4" s="3" t="n">
        <v>4.91</v>
      </c>
      <c r="T4" s="3" t="n">
        <v>1.25</v>
      </c>
      <c r="W4" s="3" t="n">
        <v>3.93</v>
      </c>
      <c r="X4" s="0" t="n">
        <v>2</v>
      </c>
      <c r="Y4" s="3" t="n">
        <v>2.46</v>
      </c>
      <c r="Z4" s="3" t="n">
        <v>17.28</v>
      </c>
      <c r="AA4" s="2" t="n">
        <v>269</v>
      </c>
      <c r="AB4" s="2" t="n">
        <v>648</v>
      </c>
      <c r="AC4" s="2" t="n">
        <v>96</v>
      </c>
      <c r="AD4" s="0" t="n">
        <v>146</v>
      </c>
      <c r="AE4" s="3" t="n">
        <v>17.03</v>
      </c>
      <c r="AF4" s="3" t="n">
        <v>16.62</v>
      </c>
      <c r="AG4" s="3" t="n">
        <v>17.78</v>
      </c>
      <c r="AH4" s="3" t="n">
        <v>16.75</v>
      </c>
      <c r="AI4" s="3" t="n">
        <v>17.14</v>
      </c>
      <c r="AO4" s="0" t="n">
        <v>1</v>
      </c>
      <c r="AP4" s="0" t="n">
        <v>0</v>
      </c>
      <c r="AW4" s="0" t="s">
        <v>55</v>
      </c>
      <c r="AX4" s="0" t="s">
        <v>56</v>
      </c>
      <c r="AY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60</v>
      </c>
      <c r="G5" s="2" t="n">
        <v>50</v>
      </c>
      <c r="I5" s="2" t="n">
        <v>60</v>
      </c>
      <c r="N5" s="0" t="s">
        <v>53</v>
      </c>
      <c r="O5" s="0" t="s">
        <v>54</v>
      </c>
      <c r="P5" s="3" t="n">
        <v>5.47</v>
      </c>
      <c r="S5" s="2" t="n">
        <v>12521</v>
      </c>
      <c r="T5" s="3" t="n">
        <v>1.58</v>
      </c>
      <c r="W5" s="3" t="n">
        <v>3.45</v>
      </c>
      <c r="X5" s="0" t="n">
        <v>4</v>
      </c>
      <c r="Y5" s="3" t="n">
        <v>1.37</v>
      </c>
      <c r="Z5" s="3" t="n">
        <v>17.4</v>
      </c>
      <c r="AA5" s="2" t="n">
        <v>54</v>
      </c>
      <c r="AB5" s="2" t="n">
        <v>1095</v>
      </c>
      <c r="AC5" s="2" t="n">
        <v>126</v>
      </c>
      <c r="AD5" s="0" t="n">
        <v>147</v>
      </c>
      <c r="AE5" s="3" t="n">
        <v>19.12</v>
      </c>
      <c r="AF5" s="3" t="n">
        <v>20.33</v>
      </c>
      <c r="AG5" s="3" t="n">
        <v>21.63</v>
      </c>
      <c r="AH5" s="3" t="n">
        <v>20.35</v>
      </c>
      <c r="AI5" s="3" t="n">
        <v>20</v>
      </c>
      <c r="AP5" s="0" t="n">
        <v>1</v>
      </c>
      <c r="AW5" s="0" t="s">
        <v>55</v>
      </c>
      <c r="AX5" s="0" t="s">
        <v>56</v>
      </c>
      <c r="AY5" s="0" t="n">
        <v>0</v>
      </c>
      <c r="AZ5" s="0" t="s">
        <v>51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57</v>
      </c>
      <c r="G6" s="2" t="n">
        <v>62</v>
      </c>
      <c r="I6" s="2" t="n">
        <v>80</v>
      </c>
      <c r="N6" s="0" t="s">
        <v>53</v>
      </c>
      <c r="O6" s="0" t="s">
        <v>61</v>
      </c>
      <c r="P6" s="3" t="n">
        <v>5.49</v>
      </c>
      <c r="T6" s="3" t="n">
        <f aca="false">87/60</f>
        <v>1.45</v>
      </c>
      <c r="W6" s="3" t="n">
        <f aca="false">P6/T6</f>
        <v>3.78620689655172</v>
      </c>
      <c r="X6" s="0" t="n">
        <v>1</v>
      </c>
      <c r="Y6" s="3" t="n">
        <f aca="false">P6/X6</f>
        <v>5.49</v>
      </c>
      <c r="Z6" s="3" t="n">
        <f aca="false">15+45/60</f>
        <v>15.75</v>
      </c>
      <c r="AA6" s="2" t="n">
        <v>30</v>
      </c>
      <c r="AB6" s="2" t="n">
        <v>965</v>
      </c>
      <c r="AC6" s="2" t="n">
        <v>132</v>
      </c>
      <c r="AD6" s="0" t="n">
        <v>159</v>
      </c>
      <c r="AE6" s="3" t="n">
        <f aca="false">15+37/60</f>
        <v>15.6166666666667</v>
      </c>
      <c r="AF6" s="3" t="n">
        <f aca="false">15+50/60</f>
        <v>15.8333333333333</v>
      </c>
      <c r="AG6" s="3" t="n">
        <f aca="false">15+33/60</f>
        <v>15.55</v>
      </c>
      <c r="AH6" s="3" t="n">
        <f aca="false">15+27/60</f>
        <v>15.45</v>
      </c>
      <c r="AI6" s="3" t="n">
        <f aca="false">16+11/60</f>
        <v>16.1833333333333</v>
      </c>
      <c r="AJ6" s="3" t="n">
        <f aca="false">60/3.8</f>
        <v>15.7894736842105</v>
      </c>
      <c r="AO6" s="0" t="n">
        <v>0</v>
      </c>
      <c r="AP6" s="0" t="n">
        <v>0</v>
      </c>
      <c r="AW6" s="0" t="s">
        <v>55</v>
      </c>
      <c r="AX6" s="0" t="s">
        <v>56</v>
      </c>
      <c r="AY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57</v>
      </c>
      <c r="G7" s="2" t="n">
        <v>44</v>
      </c>
      <c r="I7" s="2" t="n">
        <v>45</v>
      </c>
      <c r="N7" s="0" t="s">
        <v>53</v>
      </c>
      <c r="O7" s="0" t="s">
        <v>54</v>
      </c>
      <c r="P7" s="3" t="n">
        <v>2.86</v>
      </c>
      <c r="S7" s="2" t="n">
        <f aca="false">9769-843</f>
        <v>8926</v>
      </c>
      <c r="T7" s="3" t="n">
        <f aca="false">79/60</f>
        <v>1.31666666666667</v>
      </c>
      <c r="W7" s="3" t="n">
        <f aca="false">P7/T7</f>
        <v>2.17215189873418</v>
      </c>
      <c r="X7" s="0" t="n">
        <f aca="false">2</f>
        <v>2</v>
      </c>
      <c r="Y7" s="3" t="n">
        <f aca="false">P7/X7</f>
        <v>1.43</v>
      </c>
      <c r="Z7" s="3" t="n">
        <f aca="false">27+34/60</f>
        <v>27.5666666666667</v>
      </c>
      <c r="AA7" s="2" t="n">
        <v>54</v>
      </c>
      <c r="AB7" s="2" t="n">
        <v>649</v>
      </c>
      <c r="AC7" s="2" t="n">
        <v>110</v>
      </c>
      <c r="AD7" s="0" t="n">
        <v>146</v>
      </c>
      <c r="AE7" s="3" t="n">
        <f aca="false">16+46/60</f>
        <v>16.7666666666667</v>
      </c>
      <c r="AF7" s="3" t="n">
        <f aca="false">24+41/60</f>
        <v>24.6833333333333</v>
      </c>
      <c r="AG7" s="3" t="n">
        <f aca="false">37+16/60</f>
        <v>37.2666666666667</v>
      </c>
      <c r="AO7" s="0" t="n">
        <v>0</v>
      </c>
      <c r="AP7" s="0" t="n">
        <v>0</v>
      </c>
      <c r="AW7" s="0" t="s">
        <v>55</v>
      </c>
      <c r="AX7" s="0" t="s">
        <v>56</v>
      </c>
      <c r="AY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57</v>
      </c>
      <c r="G8" s="2" t="n">
        <v>54</v>
      </c>
      <c r="I8" s="2" t="n">
        <v>29</v>
      </c>
      <c r="N8" s="0" t="s">
        <v>62</v>
      </c>
      <c r="O8" s="0" t="s">
        <v>63</v>
      </c>
      <c r="P8" s="3" t="n">
        <v>4.61</v>
      </c>
      <c r="S8" s="2" t="n">
        <v>9972</v>
      </c>
      <c r="T8" s="3" t="n">
        <f aca="false">73/60</f>
        <v>1.21666666666667</v>
      </c>
      <c r="W8" s="3" t="n">
        <f aca="false">P8/T8</f>
        <v>3.78904109589041</v>
      </c>
      <c r="X8" s="0" t="n">
        <v>1</v>
      </c>
      <c r="Y8" s="3" t="n">
        <f aca="false">P8/T8</f>
        <v>3.78904109589041</v>
      </c>
      <c r="Z8" s="3" t="n">
        <f aca="false">15+52/60</f>
        <v>15.8666666666667</v>
      </c>
      <c r="AA8" s="2" t="n">
        <v>174</v>
      </c>
      <c r="AB8" s="2" t="n">
        <v>630</v>
      </c>
      <c r="AC8" s="2" t="n">
        <v>106</v>
      </c>
      <c r="AD8" s="0" t="n">
        <v>148</v>
      </c>
      <c r="AE8" s="3" t="n">
        <f aca="false">15+26/60</f>
        <v>15.4333333333333</v>
      </c>
      <c r="AF8" s="3" t="n">
        <f aca="false">15+51/60</f>
        <v>15.85</v>
      </c>
      <c r="AG8" s="3" t="n">
        <f aca="false">16+10.1/60</f>
        <v>16.1683333333333</v>
      </c>
      <c r="AH8" s="3" t="n">
        <f aca="false">16+5/60</f>
        <v>16.0833333333333</v>
      </c>
      <c r="AI8" s="3" t="n">
        <f aca="false">60/3.8</f>
        <v>15.7894736842105</v>
      </c>
      <c r="AO8" s="0" t="n">
        <v>0</v>
      </c>
      <c r="AP8" s="0" t="n">
        <v>0</v>
      </c>
      <c r="AW8" s="0" t="s">
        <v>55</v>
      </c>
      <c r="AX8" s="0" t="s">
        <v>56</v>
      </c>
      <c r="AY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57</v>
      </c>
      <c r="G9" s="2" t="n">
        <v>52</v>
      </c>
      <c r="I9" s="2" t="n">
        <v>45</v>
      </c>
      <c r="N9" s="0" t="s">
        <v>62</v>
      </c>
      <c r="O9" s="0" t="s">
        <v>64</v>
      </c>
      <c r="P9" s="3" t="n">
        <v>4.24</v>
      </c>
      <c r="S9" s="2" t="n">
        <v>10059</v>
      </c>
      <c r="T9" s="3" t="n">
        <f aca="false">68/60</f>
        <v>1.13333333333333</v>
      </c>
      <c r="W9" s="3" t="n">
        <f aca="false">P9/T9</f>
        <v>3.74117647058824</v>
      </c>
      <c r="X9" s="0" t="n">
        <v>1</v>
      </c>
      <c r="Y9" s="3" t="n">
        <f aca="false">P9/X9</f>
        <v>4.24</v>
      </c>
      <c r="Z9" s="3" t="n">
        <f aca="false">15+56/60</f>
        <v>15.9333333333333</v>
      </c>
      <c r="AA9" s="2" t="n">
        <v>33</v>
      </c>
      <c r="AB9" s="2" t="n">
        <v>387</v>
      </c>
      <c r="AC9" s="2" t="n">
        <v>92</v>
      </c>
      <c r="AD9" s="0" t="n">
        <v>133</v>
      </c>
      <c r="AE9" s="3" t="n">
        <f aca="false">15+19/60</f>
        <v>15.3166666666667</v>
      </c>
      <c r="AF9" s="3" t="n">
        <f aca="false">15+58.5/60</f>
        <v>15.975</v>
      </c>
      <c r="AG9" s="3" t="n">
        <f aca="false">16+22.2/60</f>
        <v>16.37</v>
      </c>
      <c r="AH9" s="3" t="n">
        <f aca="false">15+56.1/60</f>
        <v>15.935</v>
      </c>
      <c r="AI9" s="3" t="n">
        <f aca="false">60/3.8</f>
        <v>15.7894736842105</v>
      </c>
      <c r="AO9" s="0" t="n">
        <v>0</v>
      </c>
      <c r="AP9" s="0" t="n">
        <v>0</v>
      </c>
      <c r="AW9" s="0" t="s">
        <v>55</v>
      </c>
      <c r="AX9" s="0" t="s">
        <v>56</v>
      </c>
      <c r="AY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57</v>
      </c>
      <c r="G10" s="2" t="n">
        <v>74</v>
      </c>
      <c r="I10" s="2" t="n">
        <v>25</v>
      </c>
      <c r="N10" s="0" t="s">
        <v>53</v>
      </c>
      <c r="AO10" s="0" t="n">
        <v>2</v>
      </c>
      <c r="AP10" s="0" t="n">
        <v>1</v>
      </c>
      <c r="AW10" s="0" t="s">
        <v>55</v>
      </c>
      <c r="AX10" s="0" t="s">
        <v>56</v>
      </c>
      <c r="AY10" s="0" t="n">
        <v>1</v>
      </c>
      <c r="AZ10" s="0" t="s">
        <v>65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66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67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4" t="s">
        <v>68</v>
      </c>
      <c r="G14" s="2" t="n">
        <v>49</v>
      </c>
      <c r="I14" s="2" t="n">
        <v>72</v>
      </c>
      <c r="N14" s="0" t="s">
        <v>53</v>
      </c>
      <c r="O14" s="0" t="s">
        <v>54</v>
      </c>
      <c r="P14" s="3" t="n">
        <v>5.05</v>
      </c>
      <c r="S14" s="2" t="n">
        <v>11922</v>
      </c>
      <c r="T14" s="3" t="n">
        <f aca="false">92/60</f>
        <v>1.53333333333333</v>
      </c>
      <c r="W14" s="3" t="n">
        <f aca="false">P14/T14</f>
        <v>3.29347826086956</v>
      </c>
      <c r="X14" s="0" t="n">
        <v>3</v>
      </c>
      <c r="Y14" s="3" t="n">
        <f aca="false">P14/X14</f>
        <v>1.68333333333333</v>
      </c>
      <c r="Z14" s="3" t="n">
        <f aca="false">18+19/60</f>
        <v>18.3166666666667</v>
      </c>
      <c r="AA14" s="2" t="n">
        <v>54</v>
      </c>
      <c r="AB14" s="2" t="n">
        <v>415</v>
      </c>
      <c r="AC14" s="2" t="n">
        <v>84</v>
      </c>
      <c r="AD14" s="0" t="n">
        <v>107</v>
      </c>
      <c r="AE14" s="3" t="n">
        <f aca="false">18+24/60</f>
        <v>18.4</v>
      </c>
      <c r="AF14" s="3" t="n">
        <f aca="false">18+15.7/60</f>
        <v>18.2616666666667</v>
      </c>
      <c r="AG14" s="3" t="n">
        <f aca="false">18+50/60</f>
        <v>18.8333333333333</v>
      </c>
      <c r="AH14" s="3" t="n">
        <f aca="false">17+51.4/60</f>
        <v>17.8566666666667</v>
      </c>
      <c r="AI14" s="3" t="n">
        <f aca="false">17+59/60</f>
        <v>17.9833333333333</v>
      </c>
      <c r="AJ14" s="3" t="n">
        <f aca="false">60/2.6</f>
        <v>23.0769230769231</v>
      </c>
      <c r="AO14" s="0" t="n">
        <v>1</v>
      </c>
      <c r="AP14" s="0" t="n">
        <v>0</v>
      </c>
      <c r="AW14" s="0" t="s">
        <v>55</v>
      </c>
      <c r="AX14" s="0" t="s">
        <v>56</v>
      </c>
      <c r="AY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57</v>
      </c>
      <c r="G15" s="2" t="n">
        <v>62</v>
      </c>
      <c r="I15" s="2" t="n">
        <v>46</v>
      </c>
      <c r="N15" s="0" t="s">
        <v>62</v>
      </c>
      <c r="O15" s="0" t="s">
        <v>69</v>
      </c>
      <c r="P15" s="3" t="n">
        <v>4.48</v>
      </c>
      <c r="S15" s="2" t="n">
        <f aca="false">10056-560</f>
        <v>9496</v>
      </c>
      <c r="T15" s="3" t="n">
        <f aca="false">72/60</f>
        <v>1.2</v>
      </c>
      <c r="W15" s="3" t="n">
        <f aca="false">P15/T15</f>
        <v>3.73333333333333</v>
      </c>
      <c r="X15" s="0" t="n">
        <v>1</v>
      </c>
      <c r="Y15" s="3" t="n">
        <f aca="false">P15/X15</f>
        <v>4.48</v>
      </c>
      <c r="Z15" s="3" t="n">
        <f aca="false">15+59/60</f>
        <v>15.9833333333333</v>
      </c>
      <c r="AA15" s="2" t="n">
        <v>105</v>
      </c>
      <c r="AB15" s="2" t="n">
        <v>515</v>
      </c>
      <c r="AC15" s="2" t="n">
        <v>78</v>
      </c>
      <c r="AD15" s="0" t="n">
        <v>143</v>
      </c>
      <c r="AE15" s="3" t="n">
        <f aca="false">15+21.4/60</f>
        <v>15.3566666666667</v>
      </c>
      <c r="AF15" s="3" t="n">
        <f aca="false">15+41.9/60</f>
        <v>15.6983333333333</v>
      </c>
      <c r="AG15" s="3" t="n">
        <f aca="false">16+4.8/60</f>
        <v>16.08</v>
      </c>
      <c r="AH15" s="3" t="n">
        <f aca="false">16+24.6/60</f>
        <v>16.41</v>
      </c>
      <c r="AI15" s="3" t="n">
        <f aca="false">60/3.8</f>
        <v>15.7894736842105</v>
      </c>
      <c r="AO15" s="0" t="n">
        <v>1</v>
      </c>
      <c r="AP15" s="0" t="n">
        <v>0</v>
      </c>
      <c r="AW15" s="0" t="s">
        <v>55</v>
      </c>
      <c r="AX15" s="0" t="s">
        <v>56</v>
      </c>
      <c r="AY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57</v>
      </c>
      <c r="G16" s="2" t="n">
        <v>64</v>
      </c>
      <c r="I16" s="2" t="n">
        <v>19</v>
      </c>
      <c r="N16" s="0" t="s">
        <v>62</v>
      </c>
      <c r="O16" s="0" t="s">
        <v>70</v>
      </c>
      <c r="P16" s="3" t="n">
        <v>5.8</v>
      </c>
      <c r="S16" s="2" t="n">
        <v>11898</v>
      </c>
      <c r="T16" s="3" t="n">
        <f aca="false">1+29/60</f>
        <v>1.48333333333333</v>
      </c>
      <c r="W16" s="3" t="n">
        <f aca="false">P16/T16</f>
        <v>3.91011235955056</v>
      </c>
      <c r="X16" s="0" t="n">
        <v>2</v>
      </c>
      <c r="Y16" s="3" t="n">
        <f aca="false">P16/X16</f>
        <v>2.9</v>
      </c>
      <c r="Z16" s="3" t="n">
        <f aca="false">15+21/60</f>
        <v>15.35</v>
      </c>
      <c r="AA16" s="2" t="n">
        <v>148</v>
      </c>
      <c r="AB16" s="2" t="n">
        <v>697</v>
      </c>
      <c r="AC16" s="2" t="n">
        <v>93</v>
      </c>
      <c r="AD16" s="0" t="n">
        <v>146</v>
      </c>
      <c r="AE16" s="3" t="n">
        <f aca="false">14+38.3/60</f>
        <v>14.6383333333333</v>
      </c>
      <c r="AF16" s="3" t="n">
        <f aca="false">15+15.3/60</f>
        <v>15.255</v>
      </c>
      <c r="AG16" s="3" t="n">
        <f aca="false">16+2/60</f>
        <v>16.0333333333333</v>
      </c>
      <c r="AH16" s="3" t="n">
        <f aca="false">14+50.8/60</f>
        <v>14.8466666666667</v>
      </c>
      <c r="AI16" s="3" t="n">
        <f aca="false">15+32.4/60</f>
        <v>15.54</v>
      </c>
      <c r="AJ16" s="3" t="n">
        <f aca="false">60/3.8</f>
        <v>15.7894736842105</v>
      </c>
      <c r="AO16" s="0" t="n">
        <v>1</v>
      </c>
      <c r="AP16" s="0" t="n">
        <v>0</v>
      </c>
      <c r="AW16" s="0" t="s">
        <v>55</v>
      </c>
      <c r="AX16" s="0" t="s">
        <v>56</v>
      </c>
      <c r="AY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57</v>
      </c>
      <c r="G17" s="2" t="n">
        <v>61</v>
      </c>
      <c r="I17" s="2" t="n">
        <v>34</v>
      </c>
      <c r="N17" s="0" t="s">
        <v>62</v>
      </c>
      <c r="O17" s="0" t="s">
        <v>71</v>
      </c>
      <c r="P17" s="3" t="n">
        <v>4.47</v>
      </c>
      <c r="S17" s="2" t="n">
        <v>9834</v>
      </c>
      <c r="T17" s="3" t="n">
        <f aca="false">(60+11)/60</f>
        <v>1.18333333333333</v>
      </c>
      <c r="W17" s="3" t="n">
        <f aca="false">P17/T17</f>
        <v>3.77746478873239</v>
      </c>
      <c r="X17" s="0" t="n">
        <v>1</v>
      </c>
      <c r="Z17" s="3" t="n">
        <f aca="false">15+52/60</f>
        <v>15.8666666666667</v>
      </c>
      <c r="AA17" s="2" t="n">
        <v>226</v>
      </c>
      <c r="AB17" s="2" t="n">
        <v>497</v>
      </c>
      <c r="AC17" s="2" t="n">
        <v>80</v>
      </c>
      <c r="AD17" s="0" t="n">
        <v>107</v>
      </c>
      <c r="AE17" s="3" t="n">
        <f aca="false">15+51.3/60</f>
        <v>15.855</v>
      </c>
      <c r="AF17" s="3" t="n">
        <f aca="false">16+12/4/60</f>
        <v>16.05</v>
      </c>
      <c r="AG17" s="3" t="n">
        <f aca="false">15+58.2/60</f>
        <v>15.97</v>
      </c>
      <c r="AH17" s="3" t="n">
        <f aca="false">15+31/60</f>
        <v>15.5166666666667</v>
      </c>
      <c r="AI17" s="3" t="n">
        <f aca="false">60/3.8</f>
        <v>15.7894736842105</v>
      </c>
      <c r="AO17" s="0" t="n">
        <v>0</v>
      </c>
      <c r="AP17" s="0" t="n">
        <v>0</v>
      </c>
      <c r="AW17" s="0" t="s">
        <v>55</v>
      </c>
      <c r="AX17" s="0" t="s">
        <v>56</v>
      </c>
      <c r="AY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66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52</v>
      </c>
      <c r="G19" s="2" t="n">
        <v>59</v>
      </c>
      <c r="I19" s="2" t="n">
        <v>87</v>
      </c>
      <c r="N19" s="0" t="s">
        <v>53</v>
      </c>
      <c r="O19" s="0" t="s">
        <v>54</v>
      </c>
      <c r="P19" s="3" t="n">
        <v>3.83</v>
      </c>
      <c r="T19" s="3" t="n">
        <f aca="false">(60+7)/60</f>
        <v>1.11666666666667</v>
      </c>
      <c r="W19" s="3" t="n">
        <f aca="false">P19/T19</f>
        <v>3.42985074626866</v>
      </c>
      <c r="X19" s="0" t="n">
        <v>2</v>
      </c>
      <c r="Y19" s="3" t="n">
        <f aca="false">P19/X19</f>
        <v>1.915</v>
      </c>
      <c r="Z19" s="3" t="n">
        <f aca="false">17+33/60</f>
        <v>17.55</v>
      </c>
      <c r="AA19" s="2" t="n">
        <v>54</v>
      </c>
      <c r="AB19" s="2" t="n">
        <v>290</v>
      </c>
      <c r="AO19" s="0" t="n">
        <v>1</v>
      </c>
      <c r="AP19" s="0" t="n">
        <v>0</v>
      </c>
      <c r="AW19" s="0" t="s">
        <v>55</v>
      </c>
      <c r="AX19" s="0" t="s">
        <v>56</v>
      </c>
      <c r="AY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57</v>
      </c>
      <c r="G20" s="2" t="n">
        <v>54</v>
      </c>
      <c r="I20" s="2" t="n">
        <v>61</v>
      </c>
      <c r="N20" s="0" t="s">
        <v>62</v>
      </c>
      <c r="O20" s="0" t="s">
        <v>72</v>
      </c>
      <c r="P20" s="3" t="n">
        <v>4.56</v>
      </c>
      <c r="S20" s="2" t="n">
        <f aca="false">10591-1210-25</f>
        <v>9356</v>
      </c>
      <c r="T20" s="3" t="n">
        <f aca="false">1+16/60+28/(60*60)</f>
        <v>1.27444444444444</v>
      </c>
      <c r="W20" s="3" t="n">
        <f aca="false">P20/T20</f>
        <v>3.57802964254577</v>
      </c>
      <c r="X20" s="0" t="n">
        <v>1</v>
      </c>
      <c r="Y20" s="3" t="n">
        <f aca="false">P20/X20</f>
        <v>4.56</v>
      </c>
      <c r="Z20" s="3" t="n">
        <f aca="false">16+46/60</f>
        <v>16.7666666666667</v>
      </c>
      <c r="AA20" s="2" t="n">
        <v>220</v>
      </c>
      <c r="AB20" s="2" t="n">
        <v>667</v>
      </c>
      <c r="AC20" s="2" t="n">
        <v>101</v>
      </c>
      <c r="AD20" s="0" t="n">
        <v>150</v>
      </c>
      <c r="AE20" s="3" t="n">
        <f aca="false">16+11.7/60</f>
        <v>16.195</v>
      </c>
      <c r="AF20" s="3" t="n">
        <f aca="false">16+55.8/60</f>
        <v>16.93</v>
      </c>
      <c r="AG20" s="3" t="n">
        <f aca="false">16+53.8/60</f>
        <v>16.8966666666667</v>
      </c>
      <c r="AH20" s="3" t="n">
        <f aca="false">17+8.8/60</f>
        <v>17.1466666666667</v>
      </c>
      <c r="AI20" s="3" t="n">
        <f aca="false">60/3.6</f>
        <v>16.6666666666667</v>
      </c>
      <c r="AO20" s="0" t="n">
        <v>0</v>
      </c>
      <c r="AP20" s="0" t="n">
        <v>0</v>
      </c>
      <c r="AW20" s="0" t="s">
        <v>55</v>
      </c>
      <c r="AX20" s="0" t="s">
        <v>56</v>
      </c>
      <c r="AY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57</v>
      </c>
      <c r="G21" s="2" t="n">
        <v>81</v>
      </c>
      <c r="I21" s="2" t="n">
        <v>64</v>
      </c>
      <c r="N21" s="0" t="s">
        <v>62</v>
      </c>
      <c r="O21" s="0" t="s">
        <v>73</v>
      </c>
      <c r="P21" s="3" t="n">
        <v>3.93</v>
      </c>
      <c r="S21" s="2" t="n">
        <v>9359</v>
      </c>
      <c r="T21" s="3" t="n">
        <f aca="false">67/60</f>
        <v>1.11666666666667</v>
      </c>
      <c r="W21" s="3" t="n">
        <f aca="false">P21/T21</f>
        <v>3.51940298507463</v>
      </c>
      <c r="X21" s="0" t="n">
        <v>1</v>
      </c>
      <c r="Y21" s="3" t="n">
        <f aca="false">P21/X21</f>
        <v>3.93</v>
      </c>
      <c r="Z21" s="3" t="n">
        <f aca="false">17+6/60</f>
        <v>17.1</v>
      </c>
      <c r="AA21" s="2" t="n">
        <v>194</v>
      </c>
      <c r="AB21" s="2" t="n">
        <v>910</v>
      </c>
      <c r="AC21" s="2" t="n">
        <v>135</v>
      </c>
      <c r="AD21" s="0" t="n">
        <v>159</v>
      </c>
      <c r="AE21" s="3" t="n">
        <f aca="false">17+22.9/60</f>
        <v>17.3816666666667</v>
      </c>
      <c r="AF21" s="3" t="n">
        <f aca="false">17+6.5/60</f>
        <v>17.1083333333333</v>
      </c>
      <c r="AG21" s="3" t="n">
        <f aca="false">16+32.4/60</f>
        <v>16.54</v>
      </c>
      <c r="AH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57</v>
      </c>
      <c r="G22" s="2" t="n">
        <v>64</v>
      </c>
      <c r="I22" s="2" t="n">
        <v>53</v>
      </c>
      <c r="N22" s="0" t="s">
        <v>62</v>
      </c>
      <c r="O22" s="0" t="s">
        <v>74</v>
      </c>
      <c r="P22" s="3" t="n">
        <v>5.76</v>
      </c>
      <c r="T22" s="3" t="n">
        <f aca="false">(94+44/60)/60</f>
        <v>1.57888888888889</v>
      </c>
      <c r="W22" s="3" t="n">
        <f aca="false">P22/T22</f>
        <v>3.64813511611541</v>
      </c>
      <c r="X22" s="0" t="n">
        <v>1</v>
      </c>
      <c r="Y22" s="3" t="n">
        <f aca="false">P22/X22</f>
        <v>5.76</v>
      </c>
      <c r="Z22" s="3" t="n">
        <f aca="false">16+27/60</f>
        <v>16.45</v>
      </c>
      <c r="AA22" s="2" t="n">
        <v>272</v>
      </c>
      <c r="AB22" s="2" t="n">
        <v>1270</v>
      </c>
      <c r="AC22" s="2" t="n">
        <v>138</v>
      </c>
      <c r="AD22" s="0" t="n">
        <v>162</v>
      </c>
      <c r="AE22" s="3" t="n">
        <f aca="false">15+19.3/60</f>
        <v>15.3216666666667</v>
      </c>
      <c r="AF22" s="3" t="n">
        <f aca="false">15+35.2/60</f>
        <v>15.5866666666667</v>
      </c>
      <c r="AG22" s="3" t="n">
        <f aca="false">15+23.2/60</f>
        <v>15.3866666666667</v>
      </c>
      <c r="AH22" s="3" t="n">
        <f aca="false">16+19.5/60</f>
        <v>16.325</v>
      </c>
      <c r="AI22" s="3" t="n">
        <f aca="false">18+16.5/60</f>
        <v>18.275</v>
      </c>
      <c r="AJ22" s="3" t="n">
        <f aca="false">60/3.3</f>
        <v>18.1818181818182</v>
      </c>
      <c r="AO22" s="0" t="n">
        <v>2</v>
      </c>
      <c r="AP22" s="0" t="n">
        <v>0</v>
      </c>
      <c r="AW22" s="0" t="s">
        <v>55</v>
      </c>
      <c r="AX22" s="0" t="s">
        <v>56</v>
      </c>
      <c r="AY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66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68</v>
      </c>
      <c r="G24" s="2" t="n">
        <v>60</v>
      </c>
      <c r="I24" s="2" t="n">
        <v>86</v>
      </c>
      <c r="N24" s="0" t="s">
        <v>53</v>
      </c>
      <c r="O24" s="0" t="s">
        <v>54</v>
      </c>
      <c r="P24" s="3" t="n">
        <v>3.18</v>
      </c>
      <c r="T24" s="3" t="n">
        <f aca="false">(60+3+47/60)/60</f>
        <v>1.06305555555556</v>
      </c>
      <c r="W24" s="3" t="n">
        <f aca="false">P24/T24</f>
        <v>2.99137705774758</v>
      </c>
      <c r="X24" s="0" t="n">
        <v>2</v>
      </c>
      <c r="Y24" s="3" t="n">
        <f aca="false">P24/X24</f>
        <v>1.59</v>
      </c>
      <c r="Z24" s="3" t="n">
        <f aca="false">20+3/60</f>
        <v>20.05</v>
      </c>
      <c r="AA24" s="2" t="n">
        <f aca="false">2*54/3</f>
        <v>36</v>
      </c>
      <c r="AB24" s="2" t="n">
        <v>351</v>
      </c>
      <c r="AC24" s="2" t="n">
        <v>90</v>
      </c>
      <c r="AD24" s="0" t="n">
        <v>118</v>
      </c>
      <c r="AE24" s="3" t="n">
        <f aca="false">19+41/60</f>
        <v>19.6833333333333</v>
      </c>
      <c r="AF24" s="3" t="n">
        <f aca="false">19+29.6/60</f>
        <v>19.4933333333333</v>
      </c>
      <c r="AG24" s="3" t="n">
        <f aca="false">21+7.8/60</f>
        <v>21.13</v>
      </c>
      <c r="AH24" s="3" t="n">
        <f aca="false">60/3.2</f>
        <v>18.75</v>
      </c>
      <c r="AO24" s="0" t="n">
        <v>1</v>
      </c>
      <c r="AP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66</v>
      </c>
      <c r="F25" s="0" t="s">
        <v>52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52</v>
      </c>
      <c r="G26" s="2" t="n">
        <v>70</v>
      </c>
      <c r="I26" s="2" t="n">
        <v>70</v>
      </c>
      <c r="N26" s="0" t="s">
        <v>62</v>
      </c>
      <c r="O26" s="0" t="s">
        <v>75</v>
      </c>
      <c r="P26" s="3" t="n">
        <v>4.97</v>
      </c>
      <c r="S26" s="2" t="n">
        <v>12897</v>
      </c>
      <c r="T26" s="3" t="n">
        <f aca="false">77/60</f>
        <v>1.28333333333333</v>
      </c>
      <c r="W26" s="3" t="n">
        <f aca="false">P26/T26</f>
        <v>3.87272727272727</v>
      </c>
      <c r="X26" s="0" t="n">
        <v>3</v>
      </c>
      <c r="Y26" s="3" t="n">
        <f aca="false">P26/X26</f>
        <v>1.65666666666667</v>
      </c>
      <c r="Z26" s="3" t="n">
        <f aca="false">15+31/60</f>
        <v>15.5166666666667</v>
      </c>
      <c r="AA26" s="2" t="n">
        <v>118</v>
      </c>
      <c r="AB26" s="2" t="n">
        <v>591</v>
      </c>
      <c r="AC26" s="2" t="n">
        <v>86</v>
      </c>
      <c r="AD26" s="0" t="n">
        <v>148</v>
      </c>
      <c r="AE26" s="3" t="n">
        <f aca="false">15+31.1/60</f>
        <v>15.5183333333333</v>
      </c>
      <c r="AF26" s="3" t="n">
        <f aca="false">15+39.1/60</f>
        <v>15.6516666666667</v>
      </c>
      <c r="AG26" s="3" t="n">
        <f aca="false">15+18.3/60</f>
        <v>15.305</v>
      </c>
      <c r="AH26" s="3" t="n">
        <f aca="false">15+20.8/60</f>
        <v>15.3466666666667</v>
      </c>
      <c r="AI26" s="3" t="n">
        <f aca="false">15+19.7/60</f>
        <v>15.3283333333333</v>
      </c>
      <c r="AO26" s="0" t="n">
        <v>1</v>
      </c>
      <c r="AP26" s="0" t="n">
        <v>1</v>
      </c>
      <c r="AW26" s="0" t="s">
        <v>55</v>
      </c>
      <c r="AX26" s="0" t="s">
        <v>56</v>
      </c>
      <c r="AY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4" t="s">
        <v>52</v>
      </c>
      <c r="G27" s="2" t="n">
        <v>67</v>
      </c>
      <c r="I27" s="2" t="n">
        <v>84</v>
      </c>
      <c r="N27" s="0" t="s">
        <v>62</v>
      </c>
      <c r="O27" s="0" t="s">
        <v>70</v>
      </c>
      <c r="P27" s="3" t="n">
        <v>6.13</v>
      </c>
      <c r="S27" s="2" t="n">
        <v>12444</v>
      </c>
      <c r="T27" s="3" t="n">
        <f aca="false">96/60</f>
        <v>1.6</v>
      </c>
      <c r="W27" s="3" t="n">
        <f aca="false">P27/T27</f>
        <v>3.83125</v>
      </c>
      <c r="X27" s="0" t="n">
        <v>2</v>
      </c>
      <c r="Y27" s="3" t="n">
        <f aca="false">P27/X27</f>
        <v>3.065</v>
      </c>
      <c r="Z27" s="3" t="n">
        <f aca="false">15+36/60</f>
        <v>15.6</v>
      </c>
      <c r="AA27" s="2" t="n">
        <v>167</v>
      </c>
      <c r="AB27" s="2" t="n">
        <v>686</v>
      </c>
      <c r="AC27" s="2" t="n">
        <v>86</v>
      </c>
      <c r="AD27" s="0" t="n">
        <v>135</v>
      </c>
      <c r="AE27" s="3" t="n">
        <f aca="false">15+16.8/60</f>
        <v>15.28</v>
      </c>
      <c r="AF27" s="3" t="n">
        <f aca="false">15+28.3/60</f>
        <v>15.4716666666667</v>
      </c>
      <c r="AG27" s="3" t="n">
        <f aca="false">15+54.6/60</f>
        <v>15.91</v>
      </c>
      <c r="AH27" s="3" t="n">
        <f aca="false">16+16.3/60</f>
        <v>16.2716666666667</v>
      </c>
      <c r="AI27" s="3" t="n">
        <f aca="false">15+20.2/60</f>
        <v>15.3366666666667</v>
      </c>
      <c r="AJ27" s="3" t="n">
        <f aca="false">60/3.8</f>
        <v>15.7894736842105</v>
      </c>
      <c r="AO27" s="0" t="n">
        <v>1</v>
      </c>
      <c r="AP27" s="0" t="n">
        <v>1</v>
      </c>
      <c r="AW27" s="0" t="s">
        <v>55</v>
      </c>
      <c r="AX27" s="0" t="s">
        <v>56</v>
      </c>
      <c r="AY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4" t="s">
        <v>76</v>
      </c>
      <c r="G28" s="2" t="n">
        <v>79</v>
      </c>
      <c r="I28" s="2" t="n">
        <v>66</v>
      </c>
      <c r="N28" s="0" t="s">
        <v>62</v>
      </c>
      <c r="O28" s="0" t="s">
        <v>59</v>
      </c>
      <c r="P28" s="3" t="n">
        <v>4.56</v>
      </c>
      <c r="S28" s="2" t="n">
        <v>9920</v>
      </c>
      <c r="T28" s="3" t="n">
        <f aca="false">(60+17+36/60)/60</f>
        <v>1.29333333333333</v>
      </c>
      <c r="W28" s="3" t="n">
        <f aca="false">P28/T28</f>
        <v>3.52577319587629</v>
      </c>
      <c r="X28" s="0" t="n">
        <v>1</v>
      </c>
      <c r="Y28" s="3" t="n">
        <f aca="false">P28/X28</f>
        <v>4.56</v>
      </c>
      <c r="Z28" s="3" t="n">
        <f aca="false">17+1/60</f>
        <v>17.0166666666667</v>
      </c>
      <c r="AA28" s="2" t="n">
        <v>325</v>
      </c>
      <c r="AB28" s="2" t="n">
        <v>995</v>
      </c>
      <c r="AC28" s="2" t="n">
        <v>133</v>
      </c>
      <c r="AD28" s="0" t="n">
        <v>156</v>
      </c>
      <c r="AE28" s="3" t="n">
        <f aca="false">16+13/60</f>
        <v>16.2166666666667</v>
      </c>
      <c r="AF28" s="3" t="n">
        <f aca="false">16+20.9/60</f>
        <v>16.3483333333333</v>
      </c>
      <c r="AG28" s="3" t="n">
        <f aca="false">16+36.9/60</f>
        <v>16.615</v>
      </c>
      <c r="AH28" s="3" t="n">
        <f aca="false">17+53.1/60</f>
        <v>17.885</v>
      </c>
      <c r="AI28" s="3" t="n">
        <f aca="false">60/3.2</f>
        <v>18.75</v>
      </c>
      <c r="AO28" s="0" t="n">
        <v>1</v>
      </c>
      <c r="AP28" s="0" t="n">
        <v>0</v>
      </c>
      <c r="AW28" s="0" t="s">
        <v>55</v>
      </c>
      <c r="AX28" s="0" t="s">
        <v>56</v>
      </c>
      <c r="AY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4" t="s">
        <v>77</v>
      </c>
      <c r="G29" s="2" t="n">
        <v>66</v>
      </c>
      <c r="I29" s="2" t="n">
        <v>64</v>
      </c>
      <c r="AY29" s="0" t="n">
        <v>1</v>
      </c>
      <c r="AZ29" s="0" t="s">
        <v>78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4" t="s">
        <v>76</v>
      </c>
      <c r="G30" s="2" t="n">
        <v>51</v>
      </c>
      <c r="I30" s="2" t="n">
        <v>68</v>
      </c>
      <c r="N30" s="0" t="s">
        <v>53</v>
      </c>
      <c r="O30" s="0" t="s">
        <v>69</v>
      </c>
      <c r="P30" s="3" t="n">
        <v>4.53</v>
      </c>
      <c r="S30" s="2" t="n">
        <v>9714</v>
      </c>
      <c r="T30" s="3" t="n">
        <f aca="false">72/60</f>
        <v>1.2</v>
      </c>
      <c r="W30" s="3" t="n">
        <f aca="false">P30/T30</f>
        <v>3.775</v>
      </c>
      <c r="X30" s="0" t="n">
        <v>1</v>
      </c>
      <c r="Y30" s="3" t="n">
        <f aca="false">P30/X30</f>
        <v>4.53</v>
      </c>
      <c r="Z30" s="3" t="n">
        <f aca="false">16+1/60</f>
        <v>16.0166666666667</v>
      </c>
      <c r="AA30" s="2" t="n">
        <v>85</v>
      </c>
      <c r="AB30" s="2" t="n">
        <v>595</v>
      </c>
      <c r="AC30" s="2" t="n">
        <v>110</v>
      </c>
      <c r="AD30" s="0" t="n">
        <v>136</v>
      </c>
      <c r="AE30" s="3" t="n">
        <f aca="false">15+39.1/60</f>
        <v>15.6516666666667</v>
      </c>
      <c r="AF30" s="3" t="n">
        <f aca="false">15+59.3/60</f>
        <v>15.9883333333333</v>
      </c>
      <c r="AG30" s="3" t="n">
        <f aca="false">15+57.9/60</f>
        <v>15.965</v>
      </c>
      <c r="AH30" s="3" t="n">
        <f aca="false">16+14.4/60</f>
        <v>16.24</v>
      </c>
      <c r="AI30" s="3" t="n">
        <f aca="false">60/3.7</f>
        <v>16.2162162162162</v>
      </c>
      <c r="AO30" s="0" t="n">
        <v>0</v>
      </c>
      <c r="AP30" s="0" t="n">
        <v>0</v>
      </c>
      <c r="AW30" s="0" t="s">
        <v>55</v>
      </c>
      <c r="AX30" s="0" t="s">
        <v>56</v>
      </c>
      <c r="AY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57</v>
      </c>
      <c r="G31" s="2" t="n">
        <v>58</v>
      </c>
      <c r="I31" s="2" t="n">
        <v>60</v>
      </c>
      <c r="N31" s="0" t="s">
        <v>53</v>
      </c>
      <c r="O31" s="0" t="s">
        <v>71</v>
      </c>
      <c r="P31" s="3" t="n">
        <v>5.29</v>
      </c>
      <c r="S31" s="2" t="n">
        <v>11153</v>
      </c>
      <c r="T31" s="3" t="n">
        <f aca="false">86/60</f>
        <v>1.43333333333333</v>
      </c>
      <c r="W31" s="3" t="n">
        <f aca="false">P31/T31</f>
        <v>3.6906976744186</v>
      </c>
      <c r="X31" s="0" t="n">
        <v>1</v>
      </c>
      <c r="Y31" s="3" t="n">
        <f aca="false">P31/X31</f>
        <v>5.29</v>
      </c>
      <c r="Z31" s="3" t="n">
        <f aca="false">16+13/60</f>
        <v>16.2166666666667</v>
      </c>
      <c r="AA31" s="2" t="n">
        <v>243</v>
      </c>
      <c r="AB31" s="2" t="n">
        <v>617</v>
      </c>
      <c r="AC31" s="2" t="n">
        <v>99</v>
      </c>
      <c r="AD31" s="0" t="n">
        <v>130</v>
      </c>
      <c r="AE31" s="3" t="n">
        <f aca="false">15+55.2/60</f>
        <v>15.92</v>
      </c>
      <c r="AF31" s="3" t="n">
        <f aca="false">16+43.7/60</f>
        <v>16.7283333333333</v>
      </c>
      <c r="AG31" s="3" t="n">
        <f aca="false">16+18.3/60</f>
        <v>16.305</v>
      </c>
      <c r="AH31" s="3" t="n">
        <f aca="false">15+49.8/60</f>
        <v>15.83</v>
      </c>
      <c r="AI31" s="3" t="n">
        <f aca="false">60/3.7</f>
        <v>16.2162162162162</v>
      </c>
      <c r="AO31" s="0" t="n">
        <v>0</v>
      </c>
      <c r="AP31" s="0" t="n">
        <v>1</v>
      </c>
      <c r="AW31" s="0" t="s">
        <v>55</v>
      </c>
      <c r="AX31" s="0" t="s">
        <v>56</v>
      </c>
      <c r="AY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52</v>
      </c>
      <c r="G32" s="2" t="n">
        <v>62</v>
      </c>
      <c r="I32" s="2" t="n">
        <v>80</v>
      </c>
      <c r="N32" s="0" t="s">
        <v>53</v>
      </c>
      <c r="O32" s="0" t="s">
        <v>72</v>
      </c>
      <c r="P32" s="3" t="n">
        <v>5.13</v>
      </c>
      <c r="S32" s="2" t="n">
        <v>10892</v>
      </c>
      <c r="T32" s="3" t="n">
        <f aca="false">82/60</f>
        <v>1.36666666666667</v>
      </c>
      <c r="W32" s="3" t="n">
        <f aca="false">P32/T32</f>
        <v>3.75365853658537</v>
      </c>
      <c r="X32" s="0" t="n">
        <v>1</v>
      </c>
      <c r="Y32" s="3" t="n">
        <f aca="false">P32/X32</f>
        <v>5.13</v>
      </c>
      <c r="Z32" s="3" t="n">
        <f aca="false">16+5/60</f>
        <v>16.0833333333333</v>
      </c>
      <c r="AA32" s="2" t="n">
        <v>217</v>
      </c>
      <c r="AB32" s="2" t="n">
        <v>673</v>
      </c>
      <c r="AC32" s="2" t="n">
        <v>104</v>
      </c>
      <c r="AD32" s="0" t="n">
        <v>143</v>
      </c>
      <c r="AE32" s="3" t="n">
        <f aca="false">15+56.6/60</f>
        <v>15.9433333333333</v>
      </c>
      <c r="AF32" s="3" t="n">
        <f aca="false">15+55.7/60</f>
        <v>15.9283333333333</v>
      </c>
      <c r="AG32" s="3" t="n">
        <f aca="false">16+6.8/60</f>
        <v>16.1133333333333</v>
      </c>
      <c r="AH32" s="3" t="n">
        <f aca="false">16+28.8/60</f>
        <v>16.48</v>
      </c>
      <c r="AI32" s="3" t="n">
        <f aca="false">60/3.7</f>
        <v>16.2162162162162</v>
      </c>
      <c r="AO32" s="0" t="n">
        <v>0</v>
      </c>
      <c r="AP32" s="0" t="n">
        <v>1</v>
      </c>
      <c r="AW32" s="0" t="s">
        <v>55</v>
      </c>
      <c r="AX32" s="0" t="s">
        <v>56</v>
      </c>
      <c r="AY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4" t="s">
        <v>52</v>
      </c>
      <c r="G33" s="2" t="n">
        <v>68</v>
      </c>
      <c r="I33" s="2" t="n">
        <v>81</v>
      </c>
      <c r="N33" s="0" t="s">
        <v>53</v>
      </c>
      <c r="O33" s="0" t="s">
        <v>75</v>
      </c>
      <c r="P33" s="3" t="n">
        <v>4.76</v>
      </c>
      <c r="S33" s="2" t="n">
        <v>9868</v>
      </c>
      <c r="T33" s="3" t="n">
        <f aca="false">75/60</f>
        <v>1.25</v>
      </c>
      <c r="W33" s="3" t="n">
        <f aca="false">P33/T33</f>
        <v>3.808</v>
      </c>
      <c r="X33" s="0" t="n">
        <v>1</v>
      </c>
      <c r="Y33" s="3" t="n">
        <f aca="false">P33/X33</f>
        <v>4.76</v>
      </c>
      <c r="Z33" s="3" t="n">
        <f aca="false">15+46/60</f>
        <v>15.7666666666667</v>
      </c>
      <c r="AA33" s="2" t="n">
        <v>95</v>
      </c>
      <c r="AB33" s="2" t="n">
        <v>513</v>
      </c>
      <c r="AC33" s="2" t="n">
        <v>80</v>
      </c>
      <c r="AD33" s="0" t="n">
        <v>111</v>
      </c>
      <c r="AE33" s="3" t="n">
        <f aca="false">15+19.9/60</f>
        <v>15.3316666666667</v>
      </c>
      <c r="AF33" s="3" t="n">
        <f aca="false">15+38/60</f>
        <v>15.6333333333333</v>
      </c>
      <c r="AG33" s="3" t="n">
        <f aca="false">15+54.7/60</f>
        <v>15.9116666666667</v>
      </c>
      <c r="AH33" s="3" t="n">
        <f aca="false">15+37.4/60</f>
        <v>15.6233333333333</v>
      </c>
      <c r="AI33" s="3" t="n">
        <f aca="false">60/3.8</f>
        <v>15.7894736842105</v>
      </c>
      <c r="AO33" s="0" t="n">
        <v>0</v>
      </c>
      <c r="AP33" s="0" t="n">
        <v>0</v>
      </c>
      <c r="AW33" s="0" t="s">
        <v>55</v>
      </c>
      <c r="AX33" s="0" t="s">
        <v>56</v>
      </c>
      <c r="AY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57</v>
      </c>
      <c r="G34" s="2" t="n">
        <v>86</v>
      </c>
      <c r="I34" s="2" t="n">
        <v>20</v>
      </c>
      <c r="N34" s="0" t="s">
        <v>62</v>
      </c>
      <c r="O34" s="0" t="s">
        <v>70</v>
      </c>
      <c r="P34" s="3" t="n">
        <v>4.75</v>
      </c>
      <c r="T34" s="3" t="n">
        <f aca="false">(60+15)/60</f>
        <v>1.25</v>
      </c>
      <c r="W34" s="3" t="n">
        <f aca="false">P34/T34</f>
        <v>3.8</v>
      </c>
      <c r="X34" s="0" t="n">
        <v>2</v>
      </c>
      <c r="Y34" s="3" t="n">
        <f aca="false">P34/X34</f>
        <v>2.375</v>
      </c>
      <c r="Z34" s="3" t="n">
        <f aca="false">15+53/60</f>
        <v>15.8833333333333</v>
      </c>
      <c r="AA34" s="2" t="n">
        <v>125</v>
      </c>
      <c r="AB34" s="2" t="n">
        <v>706</v>
      </c>
      <c r="AC34" s="2" t="n">
        <v>106</v>
      </c>
      <c r="AD34" s="0" t="n">
        <v>150</v>
      </c>
      <c r="AE34" s="3" t="n">
        <f aca="false">15+5.2/60</f>
        <v>15.0866666666667</v>
      </c>
      <c r="AF34" s="3" t="n">
        <f aca="false">15+48/60</f>
        <v>15.8</v>
      </c>
      <c r="AG34" s="3" t="n">
        <f aca="false">16+12.7/60</f>
        <v>16.2116666666667</v>
      </c>
      <c r="AH34" s="3" t="n">
        <f aca="false">15+37.3/60</f>
        <v>15.6216666666667</v>
      </c>
      <c r="AI34" s="3" t="n">
        <f aca="false">60/3.6</f>
        <v>16.6666666666667</v>
      </c>
      <c r="AO34" s="0" t="n">
        <v>2</v>
      </c>
      <c r="AP34" s="0" t="n">
        <v>0</v>
      </c>
      <c r="AW34" s="0" t="s">
        <v>55</v>
      </c>
      <c r="AX34" s="0" t="s">
        <v>56</v>
      </c>
      <c r="AY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57</v>
      </c>
      <c r="G35" s="2" t="n">
        <v>87</v>
      </c>
      <c r="I35" s="2" t="n">
        <v>40</v>
      </c>
      <c r="N35" s="0" t="s">
        <v>62</v>
      </c>
      <c r="O35" s="0" t="s">
        <v>59</v>
      </c>
      <c r="P35" s="3" t="n">
        <v>4.61</v>
      </c>
      <c r="T35" s="3" t="n">
        <f aca="false">(60+17+20/60)/60</f>
        <v>1.28888888888889</v>
      </c>
      <c r="W35" s="3" t="n">
        <f aca="false">P35/T35</f>
        <v>3.57672413793103</v>
      </c>
      <c r="X35" s="0" t="n">
        <v>1</v>
      </c>
      <c r="Y35" s="3" t="n">
        <f aca="false">P35/X35</f>
        <v>4.61</v>
      </c>
      <c r="Z35" s="3" t="n">
        <f aca="false">16+48/60</f>
        <v>16.8</v>
      </c>
      <c r="AA35" s="2" t="n">
        <v>256</v>
      </c>
      <c r="AB35" s="2" t="n">
        <v>980</v>
      </c>
      <c r="AC35" s="2" t="n">
        <v>131</v>
      </c>
      <c r="AD35" s="0" t="n">
        <v>159</v>
      </c>
      <c r="AE35" s="3" t="n">
        <f aca="false">15+37.8/60</f>
        <v>15.63</v>
      </c>
      <c r="AF35" s="3" t="n">
        <f aca="false">16+18.2/60</f>
        <v>16.3033333333333</v>
      </c>
      <c r="AG35" s="3" t="n">
        <f aca="false">15+56.2/60</f>
        <v>15.9366666666667</v>
      </c>
      <c r="AH35" s="3" t="n">
        <f aca="false">17+53.6/60</f>
        <v>17.8933333333333</v>
      </c>
      <c r="AI35" s="3" t="n">
        <f aca="false">60/3.1</f>
        <v>19.3548387096774</v>
      </c>
      <c r="AO35" s="0" t="n">
        <v>5</v>
      </c>
      <c r="AP35" s="0" t="n">
        <v>0</v>
      </c>
      <c r="AW35" s="0" t="s">
        <v>55</v>
      </c>
      <c r="AX35" s="0" t="s">
        <v>56</v>
      </c>
      <c r="AY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57</v>
      </c>
      <c r="G36" s="2" t="n">
        <v>82</v>
      </c>
      <c r="I36" s="2" t="n">
        <v>50</v>
      </c>
      <c r="N36" s="0" t="s">
        <v>62</v>
      </c>
      <c r="O36" s="0" t="s">
        <v>61</v>
      </c>
      <c r="P36" s="3" t="n">
        <v>4.87</v>
      </c>
      <c r="S36" s="2" t="n">
        <v>11631</v>
      </c>
      <c r="T36" s="3" t="n">
        <f aca="false">1+25/60</f>
        <v>1.41666666666667</v>
      </c>
      <c r="W36" s="3" t="n">
        <f aca="false">P36/T36</f>
        <v>3.43764705882353</v>
      </c>
      <c r="X36" s="0" t="n">
        <v>1</v>
      </c>
      <c r="Y36" s="3" t="n">
        <f aca="false">P36/X36</f>
        <v>4.87</v>
      </c>
      <c r="Z36" s="3" t="n">
        <f aca="false">17+27/60</f>
        <v>17.45</v>
      </c>
      <c r="AA36" s="2" t="n">
        <v>249</v>
      </c>
      <c r="AB36" s="2" t="n">
        <v>777</v>
      </c>
      <c r="AC36" s="2" t="n">
        <v>109</v>
      </c>
      <c r="AD36" s="0" t="n">
        <v>150</v>
      </c>
      <c r="AE36" s="3" t="n">
        <f aca="false">16+53.3/60</f>
        <v>16.8883333333333</v>
      </c>
      <c r="AF36" s="3" t="n">
        <f aca="false">16+27/60</f>
        <v>16.45</v>
      </c>
      <c r="AG36" s="3" t="n">
        <f aca="false">17+25.8/60</f>
        <v>17.43</v>
      </c>
      <c r="AH36" s="3" t="n">
        <f aca="false">17+1/60</f>
        <v>17.0166666666667</v>
      </c>
      <c r="AI36" s="3" t="n">
        <f aca="false">60/3</f>
        <v>20</v>
      </c>
      <c r="AO36" s="0" t="n">
        <v>5</v>
      </c>
      <c r="AP36" s="0" t="n">
        <v>0</v>
      </c>
      <c r="AW36" s="0" t="s">
        <v>55</v>
      </c>
      <c r="AX36" s="0" t="s">
        <v>56</v>
      </c>
      <c r="AY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76</v>
      </c>
      <c r="G37" s="2" t="n">
        <v>83</v>
      </c>
      <c r="I37" s="2" t="n">
        <v>56</v>
      </c>
      <c r="N37" s="0" t="s">
        <v>53</v>
      </c>
      <c r="O37" s="0" t="s">
        <v>69</v>
      </c>
      <c r="P37" s="3" t="n">
        <v>4.41</v>
      </c>
      <c r="S37" s="2" t="n">
        <v>9542</v>
      </c>
      <c r="T37" s="3" t="n">
        <f aca="false">75/60</f>
        <v>1.25</v>
      </c>
      <c r="W37" s="3" t="n">
        <f aca="false">P37/T37</f>
        <v>3.528</v>
      </c>
      <c r="X37" s="0" t="n">
        <v>1</v>
      </c>
      <c r="Y37" s="3" t="n">
        <f aca="false">P37/X37</f>
        <v>4.41</v>
      </c>
      <c r="Z37" s="3" t="n">
        <f aca="false">16+59/60</f>
        <v>16.9833333333333</v>
      </c>
      <c r="AA37" s="2" t="n">
        <v>190</v>
      </c>
      <c r="AB37" s="2" t="n">
        <v>473</v>
      </c>
      <c r="AC37" s="2" t="n">
        <v>71</v>
      </c>
      <c r="AD37" s="0" t="n">
        <v>111</v>
      </c>
      <c r="AE37" s="3" t="n">
        <f aca="false">16+7.9/60</f>
        <v>16.1316666666667</v>
      </c>
      <c r="AF37" s="3" t="n">
        <f aca="false">16+28.5/60</f>
        <v>16.475</v>
      </c>
      <c r="AG37" s="3" t="n">
        <f aca="false">16+49.9/60</f>
        <v>16.8316666666667</v>
      </c>
      <c r="AH37" s="3" t="n">
        <f aca="false">18+0.7/60</f>
        <v>18.0116666666667</v>
      </c>
      <c r="AI37" s="3" t="n">
        <f aca="false">60/3.3</f>
        <v>18.1818181818182</v>
      </c>
      <c r="AO37" s="0" t="n">
        <v>3</v>
      </c>
      <c r="AP37" s="0" t="n">
        <v>0</v>
      </c>
      <c r="AW37" s="0" t="s">
        <v>55</v>
      </c>
      <c r="AX37" s="0" t="s">
        <v>56</v>
      </c>
      <c r="AY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57</v>
      </c>
      <c r="G38" s="2" t="n">
        <v>74</v>
      </c>
      <c r="I38" s="2" t="n">
        <v>19</v>
      </c>
      <c r="N38" s="0" t="s">
        <v>62</v>
      </c>
      <c r="O38" s="0" t="s">
        <v>79</v>
      </c>
      <c r="P38" s="3" t="n">
        <v>6.55</v>
      </c>
      <c r="S38" s="2" t="n">
        <v>11504</v>
      </c>
      <c r="T38" s="3" t="n">
        <f aca="false">1+46/60</f>
        <v>1.76666666666667</v>
      </c>
      <c r="W38" s="3" t="n">
        <f aca="false">P38/T38</f>
        <v>3.70754716981132</v>
      </c>
      <c r="X38" s="0" t="n">
        <v>1</v>
      </c>
      <c r="Y38" s="3" t="n">
        <f aca="false">P38/X38</f>
        <v>6.55</v>
      </c>
      <c r="Z38" s="3" t="n">
        <f aca="false">16+13/60</f>
        <v>16.2166666666667</v>
      </c>
      <c r="AA38" s="2" t="n">
        <v>69</v>
      </c>
      <c r="AB38" s="2" t="n">
        <v>1364</v>
      </c>
      <c r="AC38" s="2" t="n">
        <v>133</v>
      </c>
      <c r="AD38" s="0" t="n">
        <v>156</v>
      </c>
      <c r="AE38" s="3" t="n">
        <f aca="false">15+17.3/60</f>
        <v>15.2883333333333</v>
      </c>
      <c r="AF38" s="3" t="n">
        <f aca="false">16+31.1/60</f>
        <v>16.5183333333333</v>
      </c>
      <c r="AG38" s="3" t="n">
        <f aca="false">16+33</f>
        <v>49</v>
      </c>
      <c r="AH38" s="3" t="n">
        <f aca="false">16+33.6/60</f>
        <v>16.56</v>
      </c>
      <c r="AI38" s="3" t="n">
        <f aca="false">17+91.3/60</f>
        <v>18.5216666666667</v>
      </c>
      <c r="AJ38" s="3" t="n">
        <f aca="false">16+3.7/60</f>
        <v>16.0616666666667</v>
      </c>
      <c r="AK38" s="3" t="n">
        <f aca="false">60/3.7</f>
        <v>16.2162162162162</v>
      </c>
      <c r="AO38" s="0" t="n">
        <v>3</v>
      </c>
      <c r="AP38" s="0" t="n">
        <v>0</v>
      </c>
      <c r="AW38" s="0" t="s">
        <v>55</v>
      </c>
      <c r="AX38" s="0" t="s">
        <v>56</v>
      </c>
      <c r="AY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66</v>
      </c>
      <c r="F39" s="4" t="s">
        <v>57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80</v>
      </c>
      <c r="F40" s="4" t="s">
        <v>81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52</v>
      </c>
      <c r="G41" s="2" t="n">
        <v>48</v>
      </c>
      <c r="I41" s="2" t="n">
        <v>55</v>
      </c>
      <c r="N41" s="0" t="s">
        <v>53</v>
      </c>
      <c r="O41" s="0" t="s">
        <v>70</v>
      </c>
      <c r="P41" s="3" t="n">
        <v>6.48</v>
      </c>
      <c r="S41" s="2" t="n">
        <v>13160</v>
      </c>
      <c r="T41" s="3" t="n">
        <f aca="false">101/60</f>
        <v>1.68333333333333</v>
      </c>
      <c r="W41" s="3" t="n">
        <f aca="false">P41/T41</f>
        <v>3.84950495049505</v>
      </c>
      <c r="X41" s="0" t="n">
        <v>1</v>
      </c>
      <c r="Y41" s="3" t="n">
        <f aca="false">P41/X41</f>
        <v>6.48</v>
      </c>
      <c r="Z41" s="3" t="n">
        <f aca="false">16+13/60</f>
        <v>16.2166666666667</v>
      </c>
      <c r="AA41" s="2" t="n">
        <v>180</v>
      </c>
      <c r="AB41" s="2" t="n">
        <v>1124</v>
      </c>
      <c r="AC41" s="2" t="n">
        <v>126</v>
      </c>
      <c r="AD41" s="0" t="n">
        <v>152</v>
      </c>
      <c r="AE41" s="3" t="n">
        <f aca="false">15+44.8/60</f>
        <v>15.7466666666667</v>
      </c>
      <c r="AF41" s="3" t="n">
        <f aca="false">15+20.8/60</f>
        <v>15.3466666666667</v>
      </c>
      <c r="AG41" s="3" t="n">
        <f aca="false">15+37.9/60</f>
        <v>15.6316666666667</v>
      </c>
      <c r="AH41" s="3" t="n">
        <f aca="false">15+55.5/60</f>
        <v>15.925</v>
      </c>
      <c r="AI41" s="3" t="n">
        <f aca="false">15+19/60</f>
        <v>15.3166666666667</v>
      </c>
      <c r="AJ41" s="3" t="n">
        <f aca="false">15+29.2/60</f>
        <v>15.4866666666667</v>
      </c>
      <c r="AK41" s="3" t="n">
        <f aca="false">60/3.9</f>
        <v>15.3846153846154</v>
      </c>
      <c r="AO41" s="0" t="n">
        <v>1</v>
      </c>
      <c r="AP41" s="0" t="n">
        <v>0</v>
      </c>
      <c r="AW41" s="0" t="s">
        <v>55</v>
      </c>
      <c r="AX41" s="0" t="s">
        <v>56</v>
      </c>
      <c r="AY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57</v>
      </c>
      <c r="G42" s="2" t="n">
        <v>72</v>
      </c>
      <c r="I42" s="2" t="n">
        <v>50</v>
      </c>
      <c r="N42" s="0" t="s">
        <v>62</v>
      </c>
      <c r="O42" s="0" t="s">
        <v>74</v>
      </c>
      <c r="P42" s="3" t="n">
        <v>6.14</v>
      </c>
      <c r="S42" s="2" t="n">
        <v>12629</v>
      </c>
      <c r="T42" s="3" t="n">
        <f aca="false">94/60</f>
        <v>1.56666666666667</v>
      </c>
      <c r="W42" s="3" t="n">
        <f aca="false">P42/T42</f>
        <v>3.91914893617021</v>
      </c>
      <c r="X42" s="0" t="n">
        <v>1</v>
      </c>
      <c r="Y42" s="3" t="n">
        <f aca="false">P42/X42</f>
        <v>6.14</v>
      </c>
      <c r="Z42" s="3" t="n">
        <f aca="false">15+15/60</f>
        <v>15.25</v>
      </c>
      <c r="AA42" s="2" t="n">
        <v>72</v>
      </c>
      <c r="AB42" s="2" t="n">
        <v>668</v>
      </c>
      <c r="AC42" s="2" t="n">
        <v>84</v>
      </c>
      <c r="AD42" s="0" t="n">
        <v>107</v>
      </c>
      <c r="AE42" s="3" t="n">
        <f aca="false">15+33.4/60</f>
        <v>15.5566666666667</v>
      </c>
      <c r="AF42" s="3" t="n">
        <f aca="false">15+6.8/60</f>
        <v>15.1133333333333</v>
      </c>
      <c r="AG42" s="3" t="n">
        <f aca="false">15+17.2/60</f>
        <v>15.2866666666667</v>
      </c>
      <c r="AH42" s="3" t="n">
        <f aca="false">15+10.1/60</f>
        <v>15.1683333333333</v>
      </c>
      <c r="AI42" s="3" t="n">
        <f aca="false">15+21.9/60</f>
        <v>15.365</v>
      </c>
      <c r="AJ42" s="3" t="n">
        <f aca="false">15+21.9/60</f>
        <v>15.365</v>
      </c>
      <c r="AK42" s="3" t="n">
        <f aca="false">60/4</f>
        <v>15</v>
      </c>
      <c r="AO42" s="0" t="n">
        <v>1</v>
      </c>
      <c r="AP42" s="0" t="n">
        <v>0</v>
      </c>
      <c r="AW42" s="0" t="s">
        <v>55</v>
      </c>
      <c r="AX42" s="0" t="s">
        <v>56</v>
      </c>
      <c r="AY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52</v>
      </c>
      <c r="G43" s="2" t="n">
        <v>69</v>
      </c>
      <c r="I43" s="2" t="n">
        <v>73</v>
      </c>
      <c r="N43" s="0" t="s">
        <v>62</v>
      </c>
      <c r="O43" s="0" t="s">
        <v>69</v>
      </c>
      <c r="P43" s="3" t="n">
        <v>4.5</v>
      </c>
      <c r="T43" s="3" t="n">
        <f aca="false">72/60</f>
        <v>1.2</v>
      </c>
      <c r="W43" s="3" t="n">
        <f aca="false">P43/T43</f>
        <v>3.75</v>
      </c>
      <c r="X43" s="0" t="n">
        <v>1</v>
      </c>
      <c r="Y43" s="3" t="n">
        <f aca="false">P43/X43</f>
        <v>4.5</v>
      </c>
      <c r="Z43" s="3" t="n">
        <f aca="false">15+59/60</f>
        <v>15.9833333333333</v>
      </c>
      <c r="AA43" s="2" t="n">
        <v>102</v>
      </c>
      <c r="AB43" s="2" t="n">
        <v>570</v>
      </c>
      <c r="AC43" s="2" t="n">
        <v>101</v>
      </c>
      <c r="AD43" s="0" t="n">
        <v>136</v>
      </c>
      <c r="AE43" s="3" t="n">
        <f aca="false">15+52/60</f>
        <v>15.8666666666667</v>
      </c>
      <c r="AF43" s="3" t="n">
        <f aca="false">15+59.6/60</f>
        <v>15.9933333333333</v>
      </c>
      <c r="AG43" s="3" t="n">
        <f aca="false">16+30.4/60</f>
        <v>16.5066666666667</v>
      </c>
      <c r="AH43" s="3" t="n">
        <f aca="false">16+28/60</f>
        <v>16.4666666666667</v>
      </c>
      <c r="AI43" s="3" t="n">
        <f aca="false">60/3.7</f>
        <v>16.2162162162162</v>
      </c>
      <c r="AO43" s="0" t="n">
        <v>0</v>
      </c>
      <c r="AP43" s="0" t="n">
        <v>0</v>
      </c>
      <c r="AW43" s="0" t="s">
        <v>55</v>
      </c>
      <c r="AX43" s="0" t="s">
        <v>56</v>
      </c>
      <c r="AY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80</v>
      </c>
      <c r="F44" s="0" t="s">
        <v>52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80</v>
      </c>
      <c r="F45" s="0" t="s">
        <v>52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80</v>
      </c>
      <c r="F46" s="0" t="s">
        <v>52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57</v>
      </c>
      <c r="G47" s="2" t="n">
        <v>71</v>
      </c>
      <c r="I47" s="2" t="n">
        <v>70</v>
      </c>
      <c r="N47" s="0" t="s">
        <v>62</v>
      </c>
      <c r="O47" s="0" t="s">
        <v>71</v>
      </c>
      <c r="P47" s="3" t="n">
        <v>5.12</v>
      </c>
      <c r="T47" s="3" t="n">
        <f aca="false">(60+23)/60</f>
        <v>1.38333333333333</v>
      </c>
      <c r="W47" s="3" t="n">
        <f aca="false">P47/T47</f>
        <v>3.70120481927711</v>
      </c>
      <c r="X47" s="0" t="n">
        <v>1</v>
      </c>
      <c r="Y47" s="3" t="n">
        <f aca="false">P47/X47</f>
        <v>5.12</v>
      </c>
      <c r="Z47" s="3" t="n">
        <f aca="false">16+8/60</f>
        <v>16.1333333333333</v>
      </c>
      <c r="AA47" s="2" t="n">
        <v>203</v>
      </c>
      <c r="AB47" s="2" t="n">
        <v>842</v>
      </c>
      <c r="AC47" s="2" t="n">
        <v>120</v>
      </c>
      <c r="AD47" s="0" t="n">
        <v>151</v>
      </c>
      <c r="AE47" s="3" t="n">
        <f aca="false">15+49.1/60</f>
        <v>15.8183333333333</v>
      </c>
      <c r="AF47" s="3" t="n">
        <f aca="false">16+46.2/60</f>
        <v>16.77</v>
      </c>
      <c r="AG47" s="3" t="n">
        <f aca="false">16+5/60</f>
        <v>16.0833333333333</v>
      </c>
      <c r="AH47" s="3" t="n">
        <f aca="false">16+5.4/60</f>
        <v>16.09</v>
      </c>
      <c r="AI47" s="3" t="n">
        <f aca="false">16+9/60</f>
        <v>16.15</v>
      </c>
      <c r="AJ47" s="3" t="n">
        <f aca="false">60/4.3</f>
        <v>13.953488372093</v>
      </c>
      <c r="AO47" s="0" t="n">
        <v>0</v>
      </c>
      <c r="AP47" s="0" t="n">
        <v>0</v>
      </c>
      <c r="AW47" s="0" t="s">
        <v>55</v>
      </c>
      <c r="AX47" s="0" t="s">
        <v>56</v>
      </c>
      <c r="AY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5" t="s">
        <v>57</v>
      </c>
      <c r="G48" s="2" t="n">
        <v>86</v>
      </c>
      <c r="I48" s="2" t="n">
        <v>43</v>
      </c>
      <c r="N48" s="0" t="s">
        <v>53</v>
      </c>
      <c r="O48" s="0" t="s">
        <v>72</v>
      </c>
      <c r="P48" s="3" t="n">
        <v>4.78</v>
      </c>
      <c r="S48" s="2" t="n">
        <v>10730</v>
      </c>
      <c r="T48" s="3" t="n">
        <f aca="false">(60+23)/60</f>
        <v>1.38333333333333</v>
      </c>
      <c r="W48" s="3" t="n">
        <f aca="false">P48/T48</f>
        <v>3.45542168674699</v>
      </c>
      <c r="X48" s="0" t="n">
        <v>1</v>
      </c>
      <c r="Y48" s="3" t="n">
        <f aca="false">P48/X48</f>
        <v>4.78</v>
      </c>
      <c r="Z48" s="3" t="n">
        <f aca="false">17+2/60</f>
        <v>17.0333333333333</v>
      </c>
      <c r="AA48" s="2" t="n">
        <v>190</v>
      </c>
      <c r="AB48" s="2" t="n">
        <v>1000</v>
      </c>
      <c r="AC48" s="2" t="n">
        <v>134</v>
      </c>
      <c r="AD48" s="0" t="n">
        <v>164</v>
      </c>
      <c r="AE48" s="3" t="n">
        <f aca="false">15+58.8/60</f>
        <v>15.98</v>
      </c>
      <c r="AF48" s="3" t="n">
        <f aca="false">15+59.1/60</f>
        <v>15.985</v>
      </c>
      <c r="AG48" s="3" t="n">
        <f aca="false">17+38.5/60</f>
        <v>17.6416666666667</v>
      </c>
      <c r="AH48" s="3" t="n">
        <f aca="false">17+38.5/60</f>
        <v>17.6416666666667</v>
      </c>
      <c r="AI48" s="3" t="n">
        <f aca="false">60/3.5</f>
        <v>17.1428571428571</v>
      </c>
      <c r="AO48" s="0" t="n">
        <v>5</v>
      </c>
      <c r="AP48" s="0" t="n">
        <v>1</v>
      </c>
      <c r="AW48" s="0" t="s">
        <v>55</v>
      </c>
      <c r="AX48" s="0" t="s">
        <v>56</v>
      </c>
      <c r="AY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57</v>
      </c>
      <c r="G49" s="2" t="n">
        <v>85</v>
      </c>
      <c r="I49" s="2" t="n">
        <v>55</v>
      </c>
      <c r="N49" s="0" t="s">
        <v>62</v>
      </c>
      <c r="O49" s="0" t="s">
        <v>82</v>
      </c>
      <c r="P49" s="3" t="n">
        <v>3.52</v>
      </c>
      <c r="T49" s="3" t="n">
        <f aca="false">78/60</f>
        <v>1.3</v>
      </c>
      <c r="W49" s="3" t="n">
        <f aca="false">(60+23)/60</f>
        <v>1.38333333333333</v>
      </c>
      <c r="X49" s="0" t="n">
        <v>2</v>
      </c>
      <c r="Y49" s="3" t="n">
        <v>1</v>
      </c>
      <c r="Z49" s="3" t="n">
        <f aca="false">22+6/60</f>
        <v>22.1</v>
      </c>
      <c r="AA49" s="2" t="n">
        <v>59</v>
      </c>
      <c r="AB49" s="2" t="n">
        <v>688</v>
      </c>
      <c r="AC49" s="2" t="n">
        <v>115</v>
      </c>
      <c r="AD49" s="2" t="n">
        <v>142</v>
      </c>
      <c r="AE49" s="3" t="n">
        <f aca="false">20+23.6/60</f>
        <v>20.3933333333333</v>
      </c>
      <c r="AF49" s="3" t="n">
        <f aca="false">24+49.2/60</f>
        <v>24.82</v>
      </c>
      <c r="AG49" s="3" t="n">
        <f aca="false">21+18.9/60</f>
        <v>21.315</v>
      </c>
      <c r="AH49" s="3" t="n">
        <f aca="false">60/2.7</f>
        <v>22.2222222222222</v>
      </c>
      <c r="AO49" s="0" t="n">
        <v>0</v>
      </c>
      <c r="AP49" s="0" t="n">
        <v>0</v>
      </c>
      <c r="AW49" s="0" t="s">
        <v>55</v>
      </c>
      <c r="AX49" s="0" t="s">
        <v>56</v>
      </c>
      <c r="AY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57</v>
      </c>
      <c r="G50" s="2" t="n">
        <v>88</v>
      </c>
      <c r="I50" s="2" t="n">
        <v>49</v>
      </c>
      <c r="N50" s="0" t="s">
        <v>53</v>
      </c>
      <c r="O50" s="0" t="s">
        <v>83</v>
      </c>
      <c r="P50" s="3" t="n">
        <v>4.8</v>
      </c>
      <c r="S50" s="2" t="n">
        <v>10730</v>
      </c>
      <c r="T50" s="3" t="n">
        <f aca="false">(60+14)/60</f>
        <v>1.23333333333333</v>
      </c>
      <c r="W50" s="3" t="n">
        <f aca="false">P50/T50</f>
        <v>3.89189189189189</v>
      </c>
      <c r="X50" s="0" t="n">
        <v>1</v>
      </c>
      <c r="Y50" s="3" t="n">
        <f aca="false">P50/X50</f>
        <v>4.8</v>
      </c>
      <c r="Z50" s="3" t="n">
        <f aca="false">15+24/60</f>
        <v>15.4</v>
      </c>
      <c r="AA50" s="2" t="n">
        <v>43</v>
      </c>
      <c r="AB50" s="2" t="n">
        <v>555</v>
      </c>
      <c r="AC50" s="2" t="n">
        <v>107</v>
      </c>
      <c r="AD50" s="2" t="n">
        <v>133</v>
      </c>
      <c r="AE50" s="3" t="n">
        <f aca="false">15+15.9/60</f>
        <v>15.265</v>
      </c>
      <c r="AF50" s="3" t="n">
        <f aca="false">15+35.7/60</f>
        <v>15.595</v>
      </c>
      <c r="AG50" s="3" t="n">
        <f aca="false">15+33.1/60</f>
        <v>15.5516666666667</v>
      </c>
      <c r="AH50" s="3" t="n">
        <f aca="false">15+15.3/60</f>
        <v>15.255</v>
      </c>
      <c r="AI50" s="3" t="n">
        <f aca="false">60/3.9</f>
        <v>15.3846153846154</v>
      </c>
      <c r="AO50" s="0" t="n">
        <v>0</v>
      </c>
      <c r="AP50" s="0" t="n">
        <v>1</v>
      </c>
      <c r="AW50" s="0" t="s">
        <v>55</v>
      </c>
      <c r="AX50" s="0" t="s">
        <v>56</v>
      </c>
      <c r="AY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57</v>
      </c>
      <c r="G51" s="2" t="n">
        <v>77</v>
      </c>
      <c r="I51" s="2" t="n">
        <v>71</v>
      </c>
      <c r="N51" s="0" t="s">
        <v>62</v>
      </c>
      <c r="O51" s="0" t="s">
        <v>69</v>
      </c>
      <c r="P51" s="3" t="n">
        <v>4.48</v>
      </c>
      <c r="S51" s="2" t="n">
        <f aca="false">10135-726</f>
        <v>9409</v>
      </c>
      <c r="T51" s="3" t="n">
        <f aca="false">71/60</f>
        <v>1.18333333333333</v>
      </c>
      <c r="W51" s="3" t="n">
        <f aca="false">P51/T51</f>
        <v>3.78591549295775</v>
      </c>
      <c r="X51" s="0" t="n">
        <v>1</v>
      </c>
      <c r="Y51" s="3" t="n">
        <f aca="false">P51/X51</f>
        <v>4.48</v>
      </c>
      <c r="Z51" s="3" t="n">
        <f aca="false">15+46/60</f>
        <v>15.7666666666667</v>
      </c>
      <c r="AA51" s="2" t="n">
        <v>98</v>
      </c>
      <c r="AB51" s="2" t="n">
        <v>628</v>
      </c>
      <c r="AC51" s="2" t="n">
        <f aca="false">111</f>
        <v>111</v>
      </c>
      <c r="AD51" s="2" t="n">
        <v>144</v>
      </c>
      <c r="AE51" s="3" t="n">
        <f aca="false">15+42.1/60</f>
        <v>15.7016666666667</v>
      </c>
      <c r="AF51" s="3" t="n">
        <f aca="false">15+34.9/60</f>
        <v>15.5816666666667</v>
      </c>
      <c r="AG51" s="3" t="n">
        <f aca="false">15+24.4/60</f>
        <v>15.4066666666667</v>
      </c>
      <c r="AH51" s="3" t="n">
        <f aca="false">16+23.6/60</f>
        <v>16.3933333333333</v>
      </c>
      <c r="AI51" s="3" t="n">
        <f aca="false">60/3.8</f>
        <v>15.7894736842105</v>
      </c>
      <c r="AO51" s="0" t="n">
        <v>1</v>
      </c>
      <c r="AP51" s="0" t="n">
        <v>1</v>
      </c>
      <c r="AW51" s="0" t="s">
        <v>55</v>
      </c>
      <c r="AX51" s="0" t="s">
        <v>56</v>
      </c>
      <c r="AY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66</v>
      </c>
      <c r="F52" s="0" t="s">
        <v>52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84</v>
      </c>
      <c r="F53" s="0" t="s">
        <v>76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57</v>
      </c>
      <c r="G54" s="2" t="n">
        <v>54</v>
      </c>
      <c r="I54" s="2" t="n">
        <v>45</v>
      </c>
      <c r="N54" s="0" t="s">
        <v>53</v>
      </c>
      <c r="O54" s="0" t="s">
        <v>85</v>
      </c>
      <c r="P54" s="3" t="n">
        <v>4.48</v>
      </c>
      <c r="S54" s="2" t="n">
        <v>9655</v>
      </c>
      <c r="T54" s="3" t="n">
        <f aca="false">74/60</f>
        <v>1.23333333333333</v>
      </c>
      <c r="W54" s="3" t="n">
        <f aca="false">P54/T54</f>
        <v>3.63243243243243</v>
      </c>
      <c r="X54" s="0" t="n">
        <v>1</v>
      </c>
      <c r="Y54" s="3" t="n">
        <f aca="false">P54/X54</f>
        <v>4.48</v>
      </c>
      <c r="Z54" s="3" t="n">
        <f aca="false">16+20/60</f>
        <v>16.3333333333333</v>
      </c>
      <c r="AA54" s="2" t="n">
        <v>223</v>
      </c>
      <c r="AB54" s="2" t="n">
        <v>850</v>
      </c>
      <c r="AC54" s="2" t="n">
        <v>132</v>
      </c>
      <c r="AD54" s="2" t="n">
        <v>150</v>
      </c>
      <c r="AE54" s="3" t="n">
        <f aca="false">15+52/60</f>
        <v>15.8666666666667</v>
      </c>
      <c r="AF54" s="3" t="n">
        <f aca="false">15+53.3/60</f>
        <v>15.8883333333333</v>
      </c>
      <c r="AG54" s="3" t="n">
        <f aca="false">16+29.4/60</f>
        <v>16.49</v>
      </c>
      <c r="AH54" s="3" t="n">
        <f aca="false">16+50.6/60</f>
        <v>16.8433333333333</v>
      </c>
      <c r="AI54" s="3" t="n">
        <f aca="false">60/3.7</f>
        <v>16.2162162162162</v>
      </c>
      <c r="AO54" s="0" t="n">
        <v>0</v>
      </c>
      <c r="AP54" s="0" t="n">
        <v>0</v>
      </c>
      <c r="AW54" s="0" t="s">
        <v>55</v>
      </c>
      <c r="AX54" s="0" t="s">
        <v>56</v>
      </c>
      <c r="AY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76</v>
      </c>
      <c r="G55" s="2" t="n">
        <v>55</v>
      </c>
      <c r="I55" s="2" t="n">
        <v>51</v>
      </c>
      <c r="N55" s="0" t="s">
        <v>62</v>
      </c>
      <c r="O55" s="0" t="s">
        <v>70</v>
      </c>
      <c r="P55" s="3" t="n">
        <v>3.48</v>
      </c>
      <c r="S55" s="2" t="n">
        <v>7199</v>
      </c>
      <c r="T55" s="3" t="n">
        <f aca="false">(52+34/60)/60</f>
        <v>0.876111111111111</v>
      </c>
      <c r="W55" s="3" t="n">
        <f aca="false">P55/T55</f>
        <v>3.9720989220038</v>
      </c>
      <c r="X55" s="0" t="n">
        <v>1</v>
      </c>
      <c r="Y55" s="3" t="n">
        <f aca="false">P55/X55</f>
        <v>3.48</v>
      </c>
      <c r="Z55" s="3" t="n">
        <f aca="false">15+7/60</f>
        <v>15.1166666666667</v>
      </c>
      <c r="AA55" s="2" t="n">
        <v>92</v>
      </c>
      <c r="AB55" s="2" t="n">
        <v>572</v>
      </c>
      <c r="AC55" s="2" t="n">
        <v>134</v>
      </c>
      <c r="AD55" s="2" t="n">
        <v>149</v>
      </c>
      <c r="AE55" s="3" t="n">
        <f aca="false">14+22.5/60</f>
        <v>14.375</v>
      </c>
      <c r="AF55" s="3" t="n">
        <f aca="false">15+3.9/60</f>
        <v>15.065</v>
      </c>
      <c r="AG55" s="3" t="n">
        <f aca="false">15+26.8/60</f>
        <v>15.4466666666667</v>
      </c>
      <c r="AH55" s="3" t="n">
        <f aca="false">60/3.7</f>
        <v>16.2162162162162</v>
      </c>
      <c r="AO55" s="0" t="n">
        <v>0</v>
      </c>
      <c r="AP55" s="0" t="n">
        <v>0</v>
      </c>
      <c r="AW55" s="0" t="s">
        <v>55</v>
      </c>
      <c r="AX55" s="0" t="s">
        <v>56</v>
      </c>
      <c r="AY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57</v>
      </c>
      <c r="G56" s="2" t="n">
        <v>63</v>
      </c>
      <c r="I56" s="2" t="n">
        <v>71</v>
      </c>
      <c r="N56" s="0" t="s">
        <v>62</v>
      </c>
      <c r="O56" s="0" t="s">
        <v>61</v>
      </c>
      <c r="P56" s="3" t="n">
        <v>5.74</v>
      </c>
      <c r="S56" s="2" t="n">
        <v>12068</v>
      </c>
      <c r="T56" s="3" t="n">
        <f aca="false">91/60</f>
        <v>1.51666666666667</v>
      </c>
      <c r="W56" s="3" t="n">
        <f aca="false">P56/T56</f>
        <v>3.78461538461538</v>
      </c>
      <c r="X56" s="0" t="n">
        <v>1</v>
      </c>
      <c r="Y56" s="3" t="n">
        <f aca="false">P56/X56</f>
        <v>5.74</v>
      </c>
      <c r="Z56" s="3" t="n">
        <f aca="false">15+53/60</f>
        <v>15.8833333333333</v>
      </c>
      <c r="AA56" s="2" t="n">
        <v>66</v>
      </c>
      <c r="AB56" s="2" t="n">
        <v>648</v>
      </c>
      <c r="AC56" s="2" t="n">
        <v>92</v>
      </c>
      <c r="AD56" s="2" t="n">
        <v>135</v>
      </c>
      <c r="AE56" s="3" t="n">
        <f aca="false">15+48.5/60</f>
        <v>15.8083333333333</v>
      </c>
      <c r="AF56" s="3" t="n">
        <f aca="false">15+48.8/60</f>
        <v>15.8133333333333</v>
      </c>
      <c r="AG56" s="3" t="n">
        <f aca="false">15+26.9/60</f>
        <v>15.4483333333333</v>
      </c>
      <c r="AH56" s="3" t="n">
        <f aca="false">15+47</f>
        <v>62</v>
      </c>
      <c r="AI56" s="3" t="n">
        <f aca="false">15+49.2/60</f>
        <v>15.82</v>
      </c>
      <c r="AJ56" s="3" t="n">
        <f aca="false">60/3.8</f>
        <v>15.7894736842105</v>
      </c>
      <c r="AO56" s="0" t="n">
        <v>3</v>
      </c>
      <c r="AP56" s="0" t="n">
        <v>0</v>
      </c>
      <c r="AW56" s="0" t="s">
        <v>55</v>
      </c>
      <c r="AX56" s="0" t="s">
        <v>56</v>
      </c>
      <c r="AY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57</v>
      </c>
      <c r="G57" s="2" t="n">
        <v>70</v>
      </c>
      <c r="I57" s="2" t="n">
        <v>40</v>
      </c>
      <c r="N57" s="0" t="s">
        <v>62</v>
      </c>
      <c r="O57" s="0" t="s">
        <v>63</v>
      </c>
      <c r="P57" s="3" t="n">
        <v>4.47</v>
      </c>
      <c r="S57" s="2" t="n">
        <v>9272</v>
      </c>
      <c r="T57" s="3" t="n">
        <f aca="false">(71-3)/60</f>
        <v>1.13333333333333</v>
      </c>
      <c r="W57" s="3" t="n">
        <f aca="false">P57/T57</f>
        <v>3.94411764705882</v>
      </c>
      <c r="X57" s="0" t="n">
        <v>1</v>
      </c>
      <c r="Y57" s="3" t="n">
        <f aca="false">P57/X57</f>
        <v>4.47</v>
      </c>
      <c r="Z57" s="3" t="n">
        <f aca="false">15+55/60</f>
        <v>15.9166666666667</v>
      </c>
      <c r="AA57" s="2" t="n">
        <v>177</v>
      </c>
      <c r="AB57" s="2" t="n">
        <v>632</v>
      </c>
      <c r="AC57" s="2" t="n">
        <v>100</v>
      </c>
      <c r="AD57" s="2" t="n">
        <v>152</v>
      </c>
      <c r="AE57" s="3" t="n">
        <f aca="false">15+55.2/60</f>
        <v>15.92</v>
      </c>
      <c r="AF57" s="3" t="n">
        <f aca="false">16+14.3/60</f>
        <v>16.2383333333333</v>
      </c>
      <c r="AG57" s="3" t="n">
        <f aca="false">15+48.2/60</f>
        <v>15.8033333333333</v>
      </c>
      <c r="AH57" s="3" t="n">
        <f aca="false">15+41.1/60</f>
        <v>15.685</v>
      </c>
      <c r="AI57" s="3" t="n">
        <f aca="false">60/3.8</f>
        <v>15.7894736842105</v>
      </c>
      <c r="AO57" s="0" t="n">
        <v>3</v>
      </c>
      <c r="AP57" s="0" t="n">
        <v>1</v>
      </c>
      <c r="AW57" s="0" t="s">
        <v>55</v>
      </c>
      <c r="AX57" s="0" t="s">
        <v>56</v>
      </c>
      <c r="AY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52</v>
      </c>
      <c r="G58" s="2" t="n">
        <v>53</v>
      </c>
      <c r="I58" s="2" t="n">
        <v>35</v>
      </c>
      <c r="N58" s="0" t="s">
        <v>53</v>
      </c>
      <c r="O58" s="0" t="s">
        <v>82</v>
      </c>
      <c r="P58" s="3" t="n">
        <v>2.56</v>
      </c>
      <c r="T58" s="3" t="n">
        <f aca="false">(45+45/60)/60</f>
        <v>0.7625</v>
      </c>
      <c r="W58" s="3" t="n">
        <f aca="false">P58/T58</f>
        <v>3.35737704918033</v>
      </c>
      <c r="X58" s="0" t="n">
        <v>1</v>
      </c>
      <c r="Y58" s="3" t="n">
        <f aca="false">P58/X58</f>
        <v>2.56</v>
      </c>
      <c r="Z58" s="3" t="n">
        <f aca="false">17+54/60</f>
        <v>17.9</v>
      </c>
      <c r="AA58" s="2" t="n">
        <v>26.2</v>
      </c>
      <c r="AB58" s="2" t="n">
        <v>427</v>
      </c>
      <c r="AC58" s="2" t="n">
        <v>116</v>
      </c>
      <c r="AD58" s="2" t="n">
        <v>140</v>
      </c>
      <c r="AE58" s="3" t="n">
        <f aca="false">18+5.9/10</f>
        <v>18.59</v>
      </c>
      <c r="AF58" s="3" t="n">
        <f aca="false">17+9/60</f>
        <v>17.15</v>
      </c>
      <c r="AG58" s="3" t="n">
        <f aca="false">60/3.2</f>
        <v>18.75</v>
      </c>
      <c r="AO58" s="0" t="n">
        <v>0</v>
      </c>
      <c r="AP58" s="0" t="n">
        <v>0</v>
      </c>
      <c r="AW58" s="0" t="s">
        <v>55</v>
      </c>
      <c r="AX58" s="0" t="s">
        <v>56</v>
      </c>
      <c r="AY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57</v>
      </c>
      <c r="G59" s="2" t="n">
        <v>63</v>
      </c>
      <c r="I59" s="2" t="n">
        <v>48</v>
      </c>
      <c r="N59" s="0" t="s">
        <v>62</v>
      </c>
      <c r="O59" s="0" t="s">
        <v>79</v>
      </c>
      <c r="P59" s="3" t="n">
        <v>5.92</v>
      </c>
      <c r="Q59" s="2" t="n">
        <v>794</v>
      </c>
      <c r="R59" s="2" t="n">
        <v>14362</v>
      </c>
      <c r="S59" s="2" t="n">
        <f aca="false">R59-Q59</f>
        <v>13568</v>
      </c>
      <c r="T59" s="3" t="n">
        <f aca="false">95/60</f>
        <v>1.58333333333333</v>
      </c>
      <c r="W59" s="3" t="n">
        <f aca="false">P59/T59</f>
        <v>3.73894736842105</v>
      </c>
      <c r="X59" s="0" t="n">
        <v>1</v>
      </c>
      <c r="Y59" s="3" t="n">
        <f aca="false">P59/X59</f>
        <v>5.92</v>
      </c>
      <c r="Z59" s="3" t="n">
        <f aca="false">16+5/60</f>
        <v>16.0833333333333</v>
      </c>
      <c r="AA59" s="2" t="n">
        <v>62</v>
      </c>
      <c r="AB59" s="2" t="n">
        <v>1308</v>
      </c>
      <c r="AC59" s="2" t="n">
        <v>142</v>
      </c>
      <c r="AD59" s="2" t="n">
        <v>158</v>
      </c>
      <c r="AE59" s="3" t="n">
        <f aca="false">15+5.9/60</f>
        <v>15.0983333333333</v>
      </c>
      <c r="AF59" s="3" t="n">
        <f aca="false">15+1.1/60</f>
        <v>15.0183333333333</v>
      </c>
      <c r="AG59" s="3" t="n">
        <f aca="false">15+11.2/60</f>
        <v>15.1866666666667</v>
      </c>
      <c r="AH59" s="3" t="n">
        <f aca="false">17+2.4/60</f>
        <v>17.04</v>
      </c>
      <c r="AI59" s="3" t="n">
        <f aca="false">17+5.5/60</f>
        <v>17.0916666666667</v>
      </c>
      <c r="AJ59" s="3" t="n">
        <f aca="false">60/3.5</f>
        <v>17.1428571428571</v>
      </c>
      <c r="AO59" s="0" t="n">
        <v>3</v>
      </c>
      <c r="AP59" s="0" t="n">
        <v>0</v>
      </c>
      <c r="AW59" s="0" t="s">
        <v>55</v>
      </c>
      <c r="AX59" s="0" t="s">
        <v>56</v>
      </c>
      <c r="AY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76</v>
      </c>
      <c r="G60" s="2" t="n">
        <v>78</v>
      </c>
      <c r="I60" s="2" t="n">
        <v>61</v>
      </c>
      <c r="N60" s="0" t="s">
        <v>53</v>
      </c>
      <c r="O60" s="0" t="s">
        <v>75</v>
      </c>
      <c r="P60" s="3" t="n">
        <v>4.84</v>
      </c>
      <c r="Q60" s="2" t="n">
        <v>800</v>
      </c>
      <c r="R60" s="2" t="n">
        <v>11138</v>
      </c>
      <c r="S60" s="2" t="n">
        <f aca="false">R60-Q60</f>
        <v>10338</v>
      </c>
      <c r="T60" s="3" t="n">
        <f aca="false">78/60</f>
        <v>1.3</v>
      </c>
      <c r="W60" s="3" t="n">
        <f aca="false">P60/T60</f>
        <v>3.72307692307692</v>
      </c>
      <c r="X60" s="0" t="n">
        <v>1</v>
      </c>
      <c r="Y60" s="3" t="n">
        <f aca="false">P60/X60</f>
        <v>4.84</v>
      </c>
      <c r="Z60" s="3" t="n">
        <f aca="false">16+9/60</f>
        <v>16.15</v>
      </c>
      <c r="AA60" s="2" t="n">
        <v>138</v>
      </c>
      <c r="AB60" s="2" t="n">
        <v>871</v>
      </c>
      <c r="AC60" s="2" t="n">
        <v>127</v>
      </c>
      <c r="AD60" s="2" t="n">
        <v>144</v>
      </c>
      <c r="AE60" s="3" t="n">
        <f aca="false">15+25.7/60</f>
        <v>15.4283333333333</v>
      </c>
      <c r="AF60" s="3" t="n">
        <f aca="false">15+41.1/60</f>
        <v>15.685</v>
      </c>
      <c r="AG60" s="3" t="n">
        <f aca="false">15+50.5/60</f>
        <v>15.8416666666667</v>
      </c>
      <c r="AH60" s="3" t="n">
        <f aca="false">16+41.1/60</f>
        <v>16.685</v>
      </c>
      <c r="AI60" s="3" t="n">
        <f aca="false">14+35.9/60</f>
        <v>14.5983333333333</v>
      </c>
      <c r="AO60" s="0" t="n">
        <v>2</v>
      </c>
      <c r="AP60" s="0" t="n">
        <v>0</v>
      </c>
      <c r="AW60" s="0" t="s">
        <v>55</v>
      </c>
      <c r="AX60" s="0" t="s">
        <v>56</v>
      </c>
      <c r="AY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76</v>
      </c>
      <c r="G61" s="2" t="n">
        <v>79</v>
      </c>
      <c r="I61" s="2" t="n">
        <v>61</v>
      </c>
      <c r="N61" s="0" t="s">
        <v>62</v>
      </c>
      <c r="O61" s="0" t="s">
        <v>70</v>
      </c>
      <c r="P61" s="3" t="n">
        <v>4.46</v>
      </c>
      <c r="Q61" s="2" t="n">
        <v>934</v>
      </c>
      <c r="R61" s="2" t="n">
        <v>10304</v>
      </c>
      <c r="S61" s="2" t="n">
        <f aca="false">R61-Q61</f>
        <v>9370</v>
      </c>
      <c r="T61" s="3" t="n">
        <f aca="false">71/60</f>
        <v>1.18333333333333</v>
      </c>
      <c r="W61" s="3" t="n">
        <f aca="false">P61/T61</f>
        <v>3.76901408450704</v>
      </c>
      <c r="X61" s="0" t="n">
        <v>1</v>
      </c>
      <c r="Y61" s="3" t="n">
        <f aca="false">P61/X61</f>
        <v>4.46</v>
      </c>
      <c r="Z61" s="3" t="n">
        <f aca="false">15+55/60</f>
        <v>15.9166666666667</v>
      </c>
      <c r="AA61" s="2" t="n">
        <v>125</v>
      </c>
      <c r="AB61" s="2" t="n">
        <v>839</v>
      </c>
      <c r="AC61" s="2" t="n">
        <v>132</v>
      </c>
      <c r="AD61" s="2" t="n">
        <v>145</v>
      </c>
      <c r="AE61" s="3" t="n">
        <f aca="false">14+56.6/60</f>
        <v>14.9433333333333</v>
      </c>
      <c r="AF61" s="3" t="n">
        <f aca="false">16+18.7/60</f>
        <v>16.3116666666667</v>
      </c>
      <c r="AG61" s="3" t="n">
        <f aca="false">16+3.4/60</f>
        <v>16.0566666666667</v>
      </c>
      <c r="AH61" s="3" t="n">
        <f aca="false">16+0.082/60</f>
        <v>16.0013666666667</v>
      </c>
      <c r="AI61" s="3" t="n">
        <f aca="false">60/3.7</f>
        <v>16.2162162162162</v>
      </c>
      <c r="AO61" s="0" t="n">
        <v>0</v>
      </c>
      <c r="AP61" s="0" t="n">
        <v>0</v>
      </c>
      <c r="AW61" s="0" t="s">
        <v>55</v>
      </c>
      <c r="AX61" s="0" t="s">
        <v>56</v>
      </c>
      <c r="AY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57</v>
      </c>
      <c r="G62" s="2" t="n">
        <v>83</v>
      </c>
      <c r="I62" s="2" t="n">
        <v>64</v>
      </c>
      <c r="N62" s="0" t="s">
        <v>62</v>
      </c>
      <c r="AD62" s="2"/>
      <c r="AY62" s="0" t="n">
        <v>1</v>
      </c>
      <c r="AZ62" s="0" t="s">
        <v>78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57</v>
      </c>
      <c r="G63" s="2" t="n">
        <v>64</v>
      </c>
      <c r="I63" s="2" t="n">
        <v>62</v>
      </c>
      <c r="M63" s="0" t="s">
        <v>86</v>
      </c>
      <c r="N63" s="0" t="s">
        <v>53</v>
      </c>
      <c r="O63" s="0" t="s">
        <v>59</v>
      </c>
      <c r="P63" s="3" t="n">
        <v>4.61</v>
      </c>
      <c r="Q63" s="2" t="n">
        <f aca="false">AVERAGE(Q59:Q61)</f>
        <v>842.666666666667</v>
      </c>
      <c r="R63" s="2" t="n">
        <v>11299</v>
      </c>
      <c r="S63" s="2" t="n">
        <f aca="false">R63-Q63</f>
        <v>10456.3333333333</v>
      </c>
      <c r="T63" s="3" t="n">
        <f aca="false">78/60</f>
        <v>1.3</v>
      </c>
      <c r="W63" s="3" t="n">
        <f aca="false">P63/T63</f>
        <v>3.54615384615385</v>
      </c>
      <c r="X63" s="0" t="n">
        <v>1</v>
      </c>
      <c r="Y63" s="3" t="n">
        <f aca="false">P63/X63</f>
        <v>4.61</v>
      </c>
      <c r="Z63" s="3" t="n">
        <f aca="false">17+1/60</f>
        <v>17.0166666666667</v>
      </c>
      <c r="AA63" s="2" t="n">
        <v>118</v>
      </c>
      <c r="AB63" s="2" t="n">
        <v>506</v>
      </c>
      <c r="AC63" s="2" t="n">
        <v>73</v>
      </c>
      <c r="AD63" s="2" t="n">
        <v>103</v>
      </c>
      <c r="AE63" s="3" t="n">
        <f aca="false">15.5</f>
        <v>15.5</v>
      </c>
      <c r="AF63" s="3" t="n">
        <f aca="false">16+18/60</f>
        <v>16.3</v>
      </c>
      <c r="AG63" s="3" t="n">
        <f aca="false">17+1/60</f>
        <v>17.0166666666667</v>
      </c>
      <c r="AH63" s="3" t="n">
        <f aca="false">17+46/60</f>
        <v>17.7666666666667</v>
      </c>
      <c r="AI63" s="3" t="n">
        <f aca="false">60/3.1</f>
        <v>19.3548387096774</v>
      </c>
      <c r="AO63" s="0" t="n">
        <v>5</v>
      </c>
      <c r="AP63" s="0" t="n">
        <v>0</v>
      </c>
      <c r="AW63" s="0" t="s">
        <v>55</v>
      </c>
      <c r="AX63" s="0" t="s">
        <v>56</v>
      </c>
      <c r="AY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80</v>
      </c>
      <c r="F64" s="0" t="s">
        <v>52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57</v>
      </c>
      <c r="G65" s="2" t="n">
        <v>76</v>
      </c>
      <c r="I65" s="2" t="n">
        <v>43</v>
      </c>
      <c r="M65" s="0" t="s">
        <v>87</v>
      </c>
      <c r="N65" s="0" t="s">
        <v>53</v>
      </c>
      <c r="O65" s="0" t="s">
        <v>79</v>
      </c>
      <c r="P65" s="3" t="n">
        <v>6.01</v>
      </c>
      <c r="Q65" s="2" t="n">
        <f aca="false">AVERAGE(Q59:Q63)</f>
        <v>842.666666666667</v>
      </c>
      <c r="R65" s="2" t="n">
        <v>13876</v>
      </c>
      <c r="S65" s="2" t="n">
        <f aca="false">R65-Q65</f>
        <v>13033.3333333333</v>
      </c>
      <c r="T65" s="3" t="n">
        <f aca="false">93/60</f>
        <v>1.55</v>
      </c>
      <c r="W65" s="3" t="n">
        <f aca="false">P65/T65</f>
        <v>3.87741935483871</v>
      </c>
      <c r="X65" s="0" t="n">
        <v>1</v>
      </c>
      <c r="Y65" s="3" t="n">
        <f aca="false">P65/X65</f>
        <v>6.01</v>
      </c>
      <c r="Z65" s="3" t="n">
        <f aca="false">15+28/60</f>
        <v>15.4666666666667</v>
      </c>
      <c r="AA65" s="2" t="n">
        <v>49</v>
      </c>
      <c r="AB65" s="2" t="n">
        <v>802</v>
      </c>
      <c r="AC65" s="2" t="n">
        <v>94</v>
      </c>
      <c r="AD65" s="2" t="n">
        <v>156</v>
      </c>
      <c r="AE65" s="3" t="n">
        <f aca="false">15+30.2/60</f>
        <v>15.5033333333333</v>
      </c>
      <c r="AF65" s="3" t="n">
        <f aca="false">15+34.4/60</f>
        <v>15.5733333333333</v>
      </c>
      <c r="AG65" s="3" t="n">
        <f aca="false">15+36.1/60</f>
        <v>15.6016666666667</v>
      </c>
      <c r="AH65" s="3" t="n">
        <f aca="false">15+40.6/60</f>
        <v>15.6766666666667</v>
      </c>
      <c r="AI65" s="3" t="n">
        <f aca="false">15+18.1/60</f>
        <v>15.3016666666667</v>
      </c>
      <c r="AJ65" s="3" t="n">
        <f aca="false">15+7.9/60</f>
        <v>15.1316666666667</v>
      </c>
      <c r="AK65" s="3" t="n">
        <f aca="false">60/3.9</f>
        <v>15.3846153846154</v>
      </c>
      <c r="AO65" s="0" t="n">
        <v>1</v>
      </c>
      <c r="AP65" s="0" t="n">
        <v>1</v>
      </c>
      <c r="AW65" s="0" t="s">
        <v>55</v>
      </c>
      <c r="AX65" s="0" t="s">
        <v>56</v>
      </c>
      <c r="AY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57</v>
      </c>
      <c r="G66" s="2" t="n">
        <v>81</v>
      </c>
      <c r="I66" s="2" t="n">
        <v>37</v>
      </c>
      <c r="M66" s="0" t="s">
        <v>87</v>
      </c>
      <c r="N66" s="0" t="s">
        <v>62</v>
      </c>
      <c r="O66" s="0" t="s">
        <v>85</v>
      </c>
      <c r="P66" s="3" t="n">
        <v>5.36</v>
      </c>
      <c r="Q66" s="2" t="n">
        <f aca="false">Q65</f>
        <v>842.666666666667</v>
      </c>
      <c r="T66" s="3" t="n">
        <f aca="false">88/60</f>
        <v>1.46666666666667</v>
      </c>
      <c r="W66" s="3" t="n">
        <f aca="false">P66/T66</f>
        <v>3.65454545454546</v>
      </c>
      <c r="X66" s="0" t="n">
        <v>1</v>
      </c>
      <c r="Y66" s="3" t="n">
        <f aca="false">P66/X66</f>
        <v>5.36</v>
      </c>
      <c r="Z66" s="3" t="n">
        <f aca="false">16+21/60</f>
        <v>16.35</v>
      </c>
      <c r="AA66" s="2" t="n">
        <v>184</v>
      </c>
      <c r="AB66" s="2" t="n">
        <v>802</v>
      </c>
      <c r="AC66" s="2" t="n">
        <v>104</v>
      </c>
      <c r="AD66" s="2" t="n">
        <v>156</v>
      </c>
      <c r="AE66" s="3" t="n">
        <f aca="false">16+23.8/60</f>
        <v>16.3966666666667</v>
      </c>
      <c r="AF66" s="3" t="n">
        <f aca="false">15+43.3/60</f>
        <v>15.7216666666667</v>
      </c>
      <c r="AG66" s="3" t="n">
        <f aca="false">16+9.8/60</f>
        <v>16.1633333333333</v>
      </c>
      <c r="AH66" s="3" t="n">
        <f aca="false">15+51.5/60</f>
        <v>15.8583333333333</v>
      </c>
      <c r="AI66" s="3" t="n">
        <f aca="false">17+17.3/60</f>
        <v>17.2883333333333</v>
      </c>
      <c r="AJ66" s="3" t="n">
        <f aca="false">60/3.7</f>
        <v>16.2162162162162</v>
      </c>
      <c r="AO66" s="0" t="n">
        <v>0</v>
      </c>
      <c r="AP66" s="0" t="n">
        <v>0</v>
      </c>
      <c r="AW66" s="0" t="s">
        <v>55</v>
      </c>
      <c r="AX66" s="0" t="s">
        <v>56</v>
      </c>
      <c r="AY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57</v>
      </c>
      <c r="G67" s="2" t="n">
        <v>76</v>
      </c>
      <c r="I67" s="2" t="n">
        <v>37</v>
      </c>
      <c r="M67" s="0" t="s">
        <v>87</v>
      </c>
      <c r="N67" s="0" t="s">
        <v>53</v>
      </c>
      <c r="O67" s="0" t="s">
        <v>74</v>
      </c>
      <c r="P67" s="3" t="n">
        <v>7.82</v>
      </c>
      <c r="Q67" s="2" t="n">
        <v>749</v>
      </c>
      <c r="R67" s="2" t="n">
        <v>17135</v>
      </c>
      <c r="S67" s="2" t="n">
        <f aca="false">R67-Q67</f>
        <v>16386</v>
      </c>
      <c r="T67" s="3" t="n">
        <f aca="false">120/60</f>
        <v>2</v>
      </c>
      <c r="W67" s="3" t="n">
        <f aca="false">P67/T67</f>
        <v>3.91</v>
      </c>
      <c r="X67" s="0" t="n">
        <v>1</v>
      </c>
      <c r="Y67" s="3" t="n">
        <f aca="false">P67/X67</f>
        <v>7.82</v>
      </c>
      <c r="Z67" s="3" t="n">
        <f aca="false">15+23/60</f>
        <v>15.3833333333333</v>
      </c>
      <c r="AA67" s="2" t="n">
        <v>92</v>
      </c>
      <c r="AB67" s="2" t="n">
        <v>1585</v>
      </c>
      <c r="AC67" s="2" t="n">
        <v>135</v>
      </c>
      <c r="AD67" s="2" t="n">
        <v>156</v>
      </c>
      <c r="AE67" s="3" t="n">
        <f aca="false">15+24/60</f>
        <v>15.4</v>
      </c>
      <c r="AF67" s="3" t="n">
        <f aca="false">14+41.8/60</f>
        <v>14.6966666666667</v>
      </c>
      <c r="AG67" s="3" t="n">
        <f aca="false">14+39.5/60</f>
        <v>14.6583333333333</v>
      </c>
      <c r="AH67" s="3" t="n">
        <f aca="false">15+5.8/60</f>
        <v>15.0966666666667</v>
      </c>
      <c r="AI67" s="3" t="n">
        <f aca="false">15+48.2/60</f>
        <v>15.8033333333333</v>
      </c>
      <c r="AJ67" s="3" t="n">
        <f aca="false">15+6.5/60</f>
        <v>15.1083333333333</v>
      </c>
      <c r="AK67" s="3" t="n">
        <f aca="false">15+59.2/60</f>
        <v>15.9866666666667</v>
      </c>
      <c r="AL67" s="3" t="n">
        <f aca="false">60/3.9</f>
        <v>15.3846153846154</v>
      </c>
      <c r="AO67" s="0" t="n">
        <v>4</v>
      </c>
      <c r="AP67" s="0" t="n">
        <v>0</v>
      </c>
      <c r="AW67" s="0" t="s">
        <v>55</v>
      </c>
      <c r="AX67" s="0" t="s">
        <v>56</v>
      </c>
      <c r="AY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57</v>
      </c>
      <c r="G68" s="2" t="n">
        <v>81</v>
      </c>
      <c r="I68" s="2" t="n">
        <v>23</v>
      </c>
      <c r="M68" s="0" t="s">
        <v>87</v>
      </c>
      <c r="N68" s="0" t="s">
        <v>62</v>
      </c>
      <c r="O68" s="0" t="s">
        <v>61</v>
      </c>
      <c r="P68" s="3" t="n">
        <v>7.11</v>
      </c>
      <c r="Q68" s="2" t="n">
        <v>1025</v>
      </c>
      <c r="R68" s="2" t="n">
        <v>16621</v>
      </c>
      <c r="S68" s="2" t="n">
        <f aca="false">R68-Q68</f>
        <v>15596</v>
      </c>
      <c r="T68" s="3" t="n">
        <f aca="false">(60+56)/60</f>
        <v>1.93333333333333</v>
      </c>
      <c r="W68" s="3" t="n">
        <f aca="false">P68/T68</f>
        <v>3.67758620689655</v>
      </c>
      <c r="X68" s="0" t="n">
        <v>1</v>
      </c>
      <c r="Y68" s="3" t="n">
        <f aca="false">P68/X68</f>
        <v>7.11</v>
      </c>
      <c r="Z68" s="3" t="n">
        <f aca="false">16+15/60</f>
        <v>16.25</v>
      </c>
      <c r="AA68" s="2" t="n">
        <v>62</v>
      </c>
      <c r="AB68" s="2" t="n">
        <v>1131</v>
      </c>
      <c r="AC68" s="2" t="n">
        <v>112</v>
      </c>
      <c r="AD68" s="2" t="n">
        <v>147</v>
      </c>
      <c r="AE68" s="3" t="n">
        <f aca="false">15+29.1/60</f>
        <v>15.485</v>
      </c>
      <c r="AF68" s="3" t="n">
        <f aca="false">15+46.1/60</f>
        <v>15.7683333333333</v>
      </c>
      <c r="AG68" s="3" t="n">
        <f aca="false">16+8.2/60</f>
        <v>16.1366666666667</v>
      </c>
      <c r="AH68" s="3" t="n">
        <f aca="false">16+20/60</f>
        <v>16.3333333333333</v>
      </c>
      <c r="AI68" s="3" t="n">
        <f aca="false">16+22.4/60</f>
        <v>16.3733333333333</v>
      </c>
      <c r="AJ68" s="3" t="n">
        <f aca="false">17+8.8/60</f>
        <v>17.1466666666667</v>
      </c>
      <c r="AK68" s="3" t="n">
        <f aca="false">16+32.7/60</f>
        <v>16.545</v>
      </c>
      <c r="AL68" s="3" t="n">
        <f aca="false">60/3.8</f>
        <v>15.7894736842105</v>
      </c>
      <c r="AO68" s="0" t="n">
        <v>3</v>
      </c>
      <c r="AP68" s="0" t="n">
        <v>1</v>
      </c>
      <c r="AW68" s="0" t="s">
        <v>55</v>
      </c>
      <c r="AX68" s="0" t="s">
        <v>56</v>
      </c>
      <c r="AY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57</v>
      </c>
      <c r="G69" s="2" t="n">
        <v>83</v>
      </c>
      <c r="I69" s="2" t="n">
        <v>37</v>
      </c>
      <c r="M69" s="0" t="s">
        <v>87</v>
      </c>
      <c r="O69" s="0" t="s">
        <v>72</v>
      </c>
      <c r="P69" s="3" t="n">
        <v>5.41</v>
      </c>
      <c r="Q69" s="2" t="n">
        <f aca="false">AVERAGE(Q59:Q68)</f>
        <v>853.75</v>
      </c>
      <c r="R69" s="2" t="n">
        <v>12500</v>
      </c>
      <c r="S69" s="2" t="n">
        <f aca="false">R69-Q69</f>
        <v>11646.25</v>
      </c>
      <c r="T69" s="3" t="n">
        <f aca="false">92/60</f>
        <v>1.53333333333333</v>
      </c>
      <c r="W69" s="3" t="n">
        <f aca="false">P69/T69</f>
        <v>3.52826086956522</v>
      </c>
      <c r="X69" s="0" t="n">
        <v>1</v>
      </c>
      <c r="Y69" s="3" t="n">
        <f aca="false">P69/X69</f>
        <v>5.41</v>
      </c>
      <c r="Z69" s="3" t="n">
        <f aca="false">16+59/60</f>
        <v>16.9833333333333</v>
      </c>
      <c r="AA69" s="2" t="n">
        <v>243</v>
      </c>
      <c r="AB69" s="2" t="n">
        <v>1092</v>
      </c>
      <c r="AC69" s="2" t="n">
        <v>126</v>
      </c>
      <c r="AD69" s="2" t="n">
        <v>149</v>
      </c>
      <c r="AE69" s="3" t="n">
        <f aca="false">15+51.6/60</f>
        <v>15.86</v>
      </c>
      <c r="AF69" s="3" t="n">
        <f aca="false">16+23.2/60</f>
        <v>16.3866666666667</v>
      </c>
      <c r="AG69" s="3" t="n">
        <f aca="false">16+31.3/60</f>
        <v>16.5216666666667</v>
      </c>
      <c r="AH69" s="3" t="n">
        <f aca="false">17+48.3/60</f>
        <v>17.805</v>
      </c>
      <c r="AI69" s="3" t="n">
        <f aca="false">17+48.3/60</f>
        <v>17.805</v>
      </c>
      <c r="AJ69" s="3" t="n">
        <f aca="false">60/3.5</f>
        <v>17.1428571428571</v>
      </c>
      <c r="AO69" s="0" t="n">
        <v>3</v>
      </c>
      <c r="AP69" s="0" t="n">
        <v>2</v>
      </c>
      <c r="AW69" s="0" t="s">
        <v>55</v>
      </c>
      <c r="AX69" s="0" t="s">
        <v>56</v>
      </c>
      <c r="AY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77</v>
      </c>
      <c r="G70" s="2" t="n">
        <v>84</v>
      </c>
      <c r="I70" s="2" t="n">
        <v>61</v>
      </c>
      <c r="M70" s="0" t="s">
        <v>87</v>
      </c>
      <c r="N70" s="0" t="s">
        <v>62</v>
      </c>
      <c r="O70" s="0" t="s">
        <v>71</v>
      </c>
      <c r="P70" s="3" t="n">
        <v>5.18</v>
      </c>
      <c r="Q70" s="2" t="n">
        <v>918</v>
      </c>
      <c r="R70" s="2" t="n">
        <v>12208</v>
      </c>
      <c r="S70" s="2" t="n">
        <f aca="false">R70-Q70</f>
        <v>11290</v>
      </c>
      <c r="T70" s="3" t="n">
        <f aca="false">90/60</f>
        <v>1.5</v>
      </c>
      <c r="W70" s="3" t="n">
        <f aca="false">P70/T70</f>
        <v>3.45333333333333</v>
      </c>
      <c r="X70" s="0" t="n">
        <v>1</v>
      </c>
      <c r="Y70" s="3" t="n">
        <f aca="false">P70/X70</f>
        <v>5.18</v>
      </c>
      <c r="Z70" s="3" t="n">
        <f aca="false">17+20/60</f>
        <v>17.3333333333333</v>
      </c>
      <c r="AA70" s="2" t="n">
        <v>200</v>
      </c>
      <c r="AB70" s="2" t="n">
        <v>1154</v>
      </c>
      <c r="AC70" s="2" t="n">
        <v>133</v>
      </c>
      <c r="AD70" s="2" t="n">
        <v>153</v>
      </c>
      <c r="AE70" s="3" t="n">
        <f aca="false">16+4.6/60</f>
        <v>16.0766666666667</v>
      </c>
      <c r="AF70" s="3" t="n">
        <f aca="false">16+49.2/60</f>
        <v>16.82</v>
      </c>
      <c r="AG70" s="3" t="n">
        <f aca="false">16+55.5/60</f>
        <v>16.925</v>
      </c>
      <c r="AH70" s="3" t="n">
        <v>17</v>
      </c>
      <c r="AI70" s="3" t="n">
        <f aca="false">19+35/60</f>
        <v>19.5833333333333</v>
      </c>
      <c r="AJ70" s="3" t="n">
        <f aca="false">60/3.5</f>
        <v>17.1428571428571</v>
      </c>
      <c r="AO70" s="0" t="n">
        <v>5</v>
      </c>
      <c r="AP70" s="0" t="n">
        <v>1</v>
      </c>
      <c r="AW70" s="0" t="s">
        <v>55</v>
      </c>
      <c r="AX70" s="0" t="s">
        <v>56</v>
      </c>
      <c r="AY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57</v>
      </c>
      <c r="G71" s="2" t="n">
        <v>75</v>
      </c>
      <c r="I71" s="2" t="n">
        <v>77</v>
      </c>
      <c r="M71" s="0" t="s">
        <v>87</v>
      </c>
      <c r="N71" s="0" t="s">
        <v>53</v>
      </c>
      <c r="O71" s="0" t="s">
        <v>69</v>
      </c>
      <c r="P71" s="3" t="n">
        <v>5.24</v>
      </c>
      <c r="Q71" s="2" t="n">
        <f aca="false">AVERAGE(Q65:Q70)</f>
        <v>871.847222222222</v>
      </c>
      <c r="R71" s="2" t="n">
        <v>12034</v>
      </c>
      <c r="S71" s="2" t="n">
        <f aca="false">R71-Q71</f>
        <v>11162.1527777778</v>
      </c>
      <c r="T71" s="3" t="n">
        <f aca="false">85/60</f>
        <v>1.41666666666667</v>
      </c>
      <c r="W71" s="3" t="n">
        <f aca="false">P71/T71</f>
        <v>3.69882352941176</v>
      </c>
      <c r="X71" s="0" t="n">
        <v>1</v>
      </c>
      <c r="Y71" s="3" t="n">
        <f aca="false">P71/X71</f>
        <v>5.24</v>
      </c>
      <c r="Z71" s="3" t="n">
        <f aca="false">16+9/60</f>
        <v>16.15</v>
      </c>
      <c r="AA71" s="2" t="n">
        <v>112</v>
      </c>
      <c r="AB71" s="2" t="n">
        <v>663</v>
      </c>
      <c r="AC71" s="2" t="n">
        <v>93</v>
      </c>
      <c r="AD71" s="2" t="n">
        <v>134</v>
      </c>
      <c r="AE71" s="3" t="n">
        <f aca="false">15+54/60</f>
        <v>15.9</v>
      </c>
      <c r="AF71" s="3" t="n">
        <f aca="false">15+46.2/60</f>
        <v>15.77</v>
      </c>
      <c r="AG71" s="3" t="n">
        <f aca="false">15+50.9/60</f>
        <v>15.8483333333333</v>
      </c>
      <c r="AH71" s="3" t="n">
        <f aca="false">16+27.2/60</f>
        <v>16.4533333333333</v>
      </c>
      <c r="AI71" s="3" t="n">
        <f aca="false">16+51/60</f>
        <v>16.85</v>
      </c>
      <c r="AJ71" s="3" t="n">
        <f aca="false">60/3.8</f>
        <v>15.7894736842105</v>
      </c>
      <c r="AO71" s="0" t="n">
        <v>0</v>
      </c>
      <c r="AP71" s="0" t="n">
        <v>0</v>
      </c>
      <c r="AW71" s="0" t="s">
        <v>55</v>
      </c>
      <c r="AX71" s="0" t="s">
        <v>56</v>
      </c>
      <c r="AY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57</v>
      </c>
      <c r="G72" s="2" t="n">
        <v>77</v>
      </c>
      <c r="I72" s="2" t="n">
        <v>32</v>
      </c>
      <c r="M72" s="0" t="s">
        <v>87</v>
      </c>
      <c r="N72" s="0" t="s">
        <v>62</v>
      </c>
      <c r="O72" s="0" t="s">
        <v>59</v>
      </c>
      <c r="P72" s="3" t="n">
        <v>5.64</v>
      </c>
      <c r="Q72" s="2" t="n">
        <v>1124</v>
      </c>
      <c r="R72" s="2" t="n">
        <v>13003</v>
      </c>
      <c r="S72" s="2" t="n">
        <f aca="false">R72-Q72</f>
        <v>11879</v>
      </c>
      <c r="T72" s="3" t="n">
        <f aca="false">92/60</f>
        <v>1.53333333333333</v>
      </c>
      <c r="W72" s="3" t="n">
        <f aca="false">P72/T72</f>
        <v>3.67826086956522</v>
      </c>
      <c r="X72" s="0" t="n">
        <v>1</v>
      </c>
      <c r="Y72" s="3" t="n">
        <f aca="false">P72/X72</f>
        <v>5.64</v>
      </c>
      <c r="Z72" s="3" t="n">
        <f aca="false">16+19/60</f>
        <v>16.3166666666667</v>
      </c>
      <c r="AA72" s="2" t="n">
        <v>220</v>
      </c>
      <c r="AB72" s="2" t="n">
        <v>1024</v>
      </c>
      <c r="AC72" s="2" t="n">
        <v>122</v>
      </c>
      <c r="AD72" s="2" t="n">
        <v>147</v>
      </c>
      <c r="AE72" s="3" t="n">
        <f aca="false">16+23.8/60</f>
        <v>16.3966666666667</v>
      </c>
      <c r="AF72" s="3" t="n">
        <f aca="false">15+29.7/60</f>
        <v>15.495</v>
      </c>
      <c r="AG72" s="3" t="n">
        <f aca="false">16+4.6/60</f>
        <v>16.0766666666667</v>
      </c>
      <c r="AH72" s="3" t="n">
        <f aca="false">16+41.7/60</f>
        <v>16.695</v>
      </c>
      <c r="AI72" s="3" t="n">
        <f aca="false">16+16.9/60</f>
        <v>16.2816666666667</v>
      </c>
      <c r="AJ72" s="3" t="n">
        <f aca="false">60/3.5</f>
        <v>17.1428571428571</v>
      </c>
      <c r="AO72" s="0" t="n">
        <v>0</v>
      </c>
      <c r="AP72" s="0" t="n">
        <v>1</v>
      </c>
      <c r="AW72" s="0" t="s">
        <v>55</v>
      </c>
      <c r="AX72" s="0" t="s">
        <v>56</v>
      </c>
      <c r="AY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57</v>
      </c>
      <c r="G73" s="2" t="n">
        <v>71</v>
      </c>
      <c r="I73" s="2" t="n">
        <v>53</v>
      </c>
      <c r="M73" s="0" t="s">
        <v>87</v>
      </c>
      <c r="N73" s="0" t="s">
        <v>62</v>
      </c>
      <c r="O73" s="0" t="s">
        <v>79</v>
      </c>
      <c r="P73" s="3" t="n">
        <v>6</v>
      </c>
      <c r="Q73" s="2" t="n">
        <v>867</v>
      </c>
      <c r="R73" s="2" t="n">
        <v>13450</v>
      </c>
      <c r="S73" s="2" t="n">
        <f aca="false">R73-Q73</f>
        <v>12583</v>
      </c>
      <c r="T73" s="3" t="n">
        <f aca="false">93/60</f>
        <v>1.55</v>
      </c>
      <c r="W73" s="3" t="n">
        <f aca="false">P73/T73</f>
        <v>3.87096774193548</v>
      </c>
      <c r="X73" s="0" t="n">
        <v>1</v>
      </c>
      <c r="Y73" s="3" t="n">
        <f aca="false">P73/X73</f>
        <v>6</v>
      </c>
      <c r="Z73" s="3" t="n">
        <f aca="false">15+30/60</f>
        <v>15.5</v>
      </c>
      <c r="AA73" s="2" t="n">
        <v>46</v>
      </c>
      <c r="AB73" s="2" t="n">
        <v>602</v>
      </c>
      <c r="AC73" s="2" t="n">
        <v>76</v>
      </c>
      <c r="AD73" s="2" t="n">
        <v>119</v>
      </c>
      <c r="AE73" s="3" t="n">
        <f aca="false">15+35.8/60</f>
        <v>15.5966666666667</v>
      </c>
      <c r="AF73" s="3" t="n">
        <f aca="false">15+17.4/60</f>
        <v>15.29</v>
      </c>
      <c r="AG73" s="3" t="n">
        <f aca="false">15+48.2/60</f>
        <v>15.8033333333333</v>
      </c>
      <c r="AH73" s="3" t="n">
        <f aca="false">15+12/60</f>
        <v>15.2</v>
      </c>
      <c r="AI73" s="3" t="n">
        <f aca="false">15+57.9/60</f>
        <v>15.965</v>
      </c>
      <c r="AJ73" s="3" t="n">
        <f aca="false">15+57.9/60</f>
        <v>15.965</v>
      </c>
      <c r="AO73" s="0" t="n">
        <v>1</v>
      </c>
      <c r="AP73" s="0" t="n">
        <v>0</v>
      </c>
      <c r="AW73" s="0" t="s">
        <v>55</v>
      </c>
      <c r="AX73" s="0" t="s">
        <v>56</v>
      </c>
      <c r="AY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77</v>
      </c>
      <c r="G74" s="2" t="n">
        <v>72</v>
      </c>
      <c r="I74" s="2" t="n">
        <v>71</v>
      </c>
      <c r="M74" s="0" t="s">
        <v>87</v>
      </c>
      <c r="N74" s="0" t="s">
        <v>53</v>
      </c>
      <c r="O74" s="0" t="s">
        <v>61</v>
      </c>
      <c r="P74" s="3" t="n">
        <v>6.52</v>
      </c>
      <c r="Q74" s="2" t="n">
        <f aca="false">AVERAGE(Q63:Q73)</f>
        <v>893.659722222222</v>
      </c>
      <c r="R74" s="2" t="n">
        <v>14258</v>
      </c>
      <c r="S74" s="2" t="n">
        <f aca="false">R74-Q74</f>
        <v>13364.3402777778</v>
      </c>
      <c r="T74" s="3" t="n">
        <f aca="false">100/60</f>
        <v>1.66666666666667</v>
      </c>
      <c r="W74" s="3" t="n">
        <f aca="false">P74/T74</f>
        <v>3.912</v>
      </c>
      <c r="X74" s="0" t="n">
        <v>1</v>
      </c>
      <c r="Y74" s="3" t="n">
        <f aca="false">P74/X74</f>
        <v>6.52</v>
      </c>
      <c r="Z74" s="3" t="n">
        <f aca="false">15+20/30</f>
        <v>15.6666666666667</v>
      </c>
      <c r="AA74" s="2" t="n">
        <v>89</v>
      </c>
      <c r="AB74" s="2" t="n">
        <v>708</v>
      </c>
      <c r="AC74" s="2" t="n">
        <v>80</v>
      </c>
      <c r="AD74" s="2" t="n">
        <v>117</v>
      </c>
      <c r="AE74" s="3" t="n">
        <f aca="false">15+23.6/60</f>
        <v>15.3933333333333</v>
      </c>
      <c r="AF74" s="3" t="n">
        <f aca="false">15+7.1/60</f>
        <v>15.1183333333333</v>
      </c>
      <c r="AG74" s="3" t="n">
        <f aca="false">14+58.5/60</f>
        <v>14.975</v>
      </c>
      <c r="AH74" s="3" t="n">
        <f aca="false">15+21.2/60</f>
        <v>15.3533333333333</v>
      </c>
      <c r="AI74" s="3" t="n">
        <f aca="false">15+14.3/60</f>
        <v>15.2383333333333</v>
      </c>
      <c r="AJ74" s="3" t="n">
        <f aca="false">15+34/60</f>
        <v>15.5666666666667</v>
      </c>
      <c r="AK74" s="3" t="n">
        <f aca="false">60/3.9</f>
        <v>15.3846153846154</v>
      </c>
      <c r="AO74" s="0" t="n">
        <v>0</v>
      </c>
      <c r="AP74" s="0" t="n">
        <v>0</v>
      </c>
      <c r="AW74" s="0" t="s">
        <v>55</v>
      </c>
      <c r="AX74" s="0" t="s">
        <v>56</v>
      </c>
      <c r="AY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57</v>
      </c>
      <c r="G75" s="2" t="n">
        <v>84</v>
      </c>
      <c r="I75" s="2" t="n">
        <v>55</v>
      </c>
      <c r="M75" s="0" t="s">
        <v>87</v>
      </c>
      <c r="N75" s="0" t="s">
        <v>53</v>
      </c>
      <c r="O75" s="0" t="s">
        <v>70</v>
      </c>
      <c r="P75" s="3" t="n">
        <v>5.38</v>
      </c>
      <c r="Q75" s="2" t="n">
        <v>1074</v>
      </c>
      <c r="R75" s="2" t="n">
        <v>12286</v>
      </c>
      <c r="S75" s="2" t="n">
        <f aca="false">R75-Q75</f>
        <v>11212</v>
      </c>
      <c r="T75" s="3" t="n">
        <f aca="false">87/60</f>
        <v>1.45</v>
      </c>
      <c r="W75" s="3" t="n">
        <f aca="false">P75/T75</f>
        <v>3.71034482758621</v>
      </c>
      <c r="X75" s="0" t="n">
        <v>4</v>
      </c>
      <c r="Y75" s="3" t="n">
        <f aca="false">P75/X75</f>
        <v>1.345</v>
      </c>
      <c r="Z75" s="3" t="n">
        <f aca="false">16+14/60</f>
        <v>16.2333333333333</v>
      </c>
      <c r="AA75" s="2" t="n">
        <v>112</v>
      </c>
      <c r="AB75" s="2" t="n">
        <v>1081</v>
      </c>
      <c r="AC75" s="2" t="n">
        <v>125</v>
      </c>
      <c r="AD75" s="2" t="n">
        <v>143</v>
      </c>
      <c r="AE75" s="3" t="n">
        <f aca="false">15+25.3/60</f>
        <v>15.4216666666667</v>
      </c>
      <c r="AF75" s="3" t="n">
        <f aca="false">16+16.4/60</f>
        <v>16.2733333333333</v>
      </c>
      <c r="AG75" s="3" t="n">
        <f aca="false">16+17.7/60</f>
        <v>16.295</v>
      </c>
      <c r="AH75" s="3" t="n">
        <f aca="false">16+12/7/60</f>
        <v>16.0285714285714</v>
      </c>
      <c r="AI75" s="3" t="n">
        <f aca="false">60/3.7</f>
        <v>16.2162162162162</v>
      </c>
      <c r="AO75" s="0" t="n">
        <v>0</v>
      </c>
      <c r="AP75" s="0" t="n">
        <v>0</v>
      </c>
      <c r="AW75" s="0" t="s">
        <v>55</v>
      </c>
      <c r="AX75" s="0" t="s">
        <v>56</v>
      </c>
      <c r="AY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57</v>
      </c>
      <c r="G76" s="2" t="n">
        <v>55</v>
      </c>
      <c r="I76" s="2" t="n">
        <v>60</v>
      </c>
      <c r="M76" s="0" t="s">
        <v>87</v>
      </c>
      <c r="N76" s="0" t="s">
        <v>62</v>
      </c>
      <c r="O76" s="0" t="s">
        <v>74</v>
      </c>
      <c r="P76" s="3" t="n">
        <v>7.91</v>
      </c>
      <c r="Q76" s="2" t="n">
        <v>444</v>
      </c>
      <c r="T76" s="3" t="n">
        <f aca="false">(120+12)/60</f>
        <v>2.2</v>
      </c>
      <c r="W76" s="3" t="n">
        <f aca="false">P76/T76</f>
        <v>3.59545454545455</v>
      </c>
      <c r="X76" s="0" t="n">
        <v>1</v>
      </c>
      <c r="Y76" s="3" t="n">
        <f aca="false">P76/X76</f>
        <v>7.91</v>
      </c>
      <c r="Z76" s="3" t="n">
        <f aca="false">16+38/60</f>
        <v>16.6333333333333</v>
      </c>
      <c r="AA76" s="2" t="n">
        <v>76</v>
      </c>
      <c r="AB76" s="2" t="n">
        <v>847</v>
      </c>
      <c r="AC76" s="2" t="n">
        <v>72</v>
      </c>
      <c r="AD76" s="2" t="n">
        <v>117</v>
      </c>
      <c r="AE76" s="3" t="n">
        <f aca="false">16+23.1/60</f>
        <v>16.385</v>
      </c>
      <c r="AF76" s="3" t="n">
        <f aca="false">16+53.7/60</f>
        <v>16.895</v>
      </c>
      <c r="AG76" s="3" t="n">
        <f aca="false">16+36.3/60</f>
        <v>16.605</v>
      </c>
      <c r="AH76" s="3" t="n">
        <f aca="false">16+26/60</f>
        <v>16.4333333333333</v>
      </c>
      <c r="AI76" s="3" t="n">
        <f aca="false">16+14.5/60</f>
        <v>16.2416666666667</v>
      </c>
      <c r="AJ76" s="3" t="n">
        <f aca="false">16+13.7/60</f>
        <v>16.2283333333333</v>
      </c>
      <c r="AK76" s="3" t="n">
        <f aca="false">17+3/60</f>
        <v>17.05</v>
      </c>
      <c r="AL76" s="3" t="n">
        <f aca="false">60/3.5</f>
        <v>17.1428571428571</v>
      </c>
      <c r="AO76" s="0" t="n">
        <v>1</v>
      </c>
      <c r="AP76" s="0" t="n">
        <v>1</v>
      </c>
      <c r="AW76" s="0" t="s">
        <v>55</v>
      </c>
      <c r="AX76" s="0" t="s">
        <v>56</v>
      </c>
      <c r="AY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76</v>
      </c>
      <c r="G77" s="2" t="n">
        <v>76</v>
      </c>
      <c r="I77" s="2" t="n">
        <v>53</v>
      </c>
      <c r="M77" s="0" t="s">
        <v>87</v>
      </c>
      <c r="N77" s="0" t="s">
        <v>53</v>
      </c>
      <c r="O77" s="0" t="s">
        <v>70</v>
      </c>
      <c r="P77" s="3" t="n">
        <v>4.61</v>
      </c>
      <c r="Q77" s="2" t="n">
        <v>1419</v>
      </c>
      <c r="R77" s="2" t="n">
        <v>11400</v>
      </c>
      <c r="S77" s="2" t="n">
        <f aca="false">R77-Q77</f>
        <v>9981</v>
      </c>
      <c r="T77" s="3" t="n">
        <f aca="false">95/60</f>
        <v>1.58333333333333</v>
      </c>
      <c r="W77" s="3" t="n">
        <f aca="false">P77/T77</f>
        <v>2.91157894736842</v>
      </c>
      <c r="X77" s="0" t="n">
        <v>1</v>
      </c>
      <c r="Y77" s="3" t="n">
        <f aca="false">P77/X77</f>
        <v>4.61</v>
      </c>
      <c r="Z77" s="3" t="n">
        <f aca="false">16+18/60</f>
        <v>16.3</v>
      </c>
      <c r="AA77" s="2" t="n">
        <v>164</v>
      </c>
      <c r="AB77" s="2" t="n">
        <v>526</v>
      </c>
      <c r="AC77" s="2" t="n">
        <v>87</v>
      </c>
      <c r="AD77" s="2" t="n">
        <v>139</v>
      </c>
      <c r="AE77" s="3" t="n">
        <f aca="false">15+58.4/60</f>
        <v>15.9733333333333</v>
      </c>
      <c r="AF77" s="3" t="n">
        <f aca="false">16+20.7/60</f>
        <v>16.345</v>
      </c>
      <c r="AG77" s="3" t="n">
        <f aca="false">16+49.5/60</f>
        <v>16.825</v>
      </c>
      <c r="AH77" s="3" t="n">
        <f aca="false">15+59/60</f>
        <v>15.9833333333333</v>
      </c>
      <c r="AI77" s="3" t="n">
        <f aca="false">60/3.7</f>
        <v>16.2162162162162</v>
      </c>
      <c r="AO77" s="0" t="n">
        <v>0</v>
      </c>
      <c r="AP77" s="0" t="n">
        <v>0</v>
      </c>
      <c r="AW77" s="0" t="s">
        <v>55</v>
      </c>
      <c r="AX77" s="0" t="s">
        <v>56</v>
      </c>
      <c r="AY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57</v>
      </c>
      <c r="G78" s="2" t="n">
        <v>77</v>
      </c>
      <c r="I78" s="2" t="n">
        <v>31</v>
      </c>
      <c r="M78" s="0" t="s">
        <v>87</v>
      </c>
      <c r="N78" s="0" t="s">
        <v>62</v>
      </c>
      <c r="O78" s="0" t="s">
        <v>83</v>
      </c>
      <c r="P78" s="3" t="n">
        <v>6.65</v>
      </c>
      <c r="Q78" s="2" t="n">
        <v>1581</v>
      </c>
      <c r="R78" s="2" t="n">
        <v>15491</v>
      </c>
      <c r="S78" s="2" t="n">
        <f aca="false">R78-Q78</f>
        <v>13910</v>
      </c>
      <c r="T78" s="3" t="n">
        <f aca="false">106/60</f>
        <v>1.76666666666667</v>
      </c>
      <c r="W78" s="3" t="n">
        <f aca="false">P78/T78</f>
        <v>3.76415094339623</v>
      </c>
      <c r="X78" s="0" t="n">
        <v>1</v>
      </c>
      <c r="Y78" s="3" t="n">
        <f aca="false">P78/X78</f>
        <v>6.65</v>
      </c>
      <c r="Z78" s="3" t="n">
        <f aca="false">15+54/60</f>
        <v>15.9</v>
      </c>
      <c r="AA78" s="2" t="n">
        <v>26</v>
      </c>
      <c r="AB78" s="2" t="n">
        <v>708</v>
      </c>
      <c r="AC78" s="2" t="n">
        <v>72</v>
      </c>
      <c r="AD78" s="2" t="n">
        <v>115</v>
      </c>
      <c r="AE78" s="3" t="n">
        <f aca="false">15+16.5/60</f>
        <v>15.275</v>
      </c>
      <c r="AF78" s="3" t="n">
        <f aca="false">16+18.2/60</f>
        <v>16.3033333333333</v>
      </c>
      <c r="AG78" s="3" t="n">
        <f aca="false">16+7.8/60</f>
        <v>16.13</v>
      </c>
      <c r="AH78" s="3" t="n">
        <f aca="false">16+6.6/60</f>
        <v>16.11</v>
      </c>
      <c r="AI78" s="3" t="n">
        <f aca="false">16+14/60</f>
        <v>16.2333333333333</v>
      </c>
      <c r="AJ78" s="3" t="n">
        <f aca="false">15+22.6/60</f>
        <v>15.3766666666667</v>
      </c>
      <c r="AK78" s="3" t="n">
        <f aca="false">60/3.8</f>
        <v>15.7894736842105</v>
      </c>
      <c r="AO78" s="0" t="n">
        <v>0</v>
      </c>
      <c r="AP78" s="0" t="n">
        <v>0</v>
      </c>
      <c r="AW78" s="0" t="s">
        <v>55</v>
      </c>
      <c r="AX78" s="0" t="s">
        <v>56</v>
      </c>
      <c r="AY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76</v>
      </c>
      <c r="G79" s="2" t="n">
        <v>81</v>
      </c>
      <c r="I79" s="2" t="n">
        <v>38</v>
      </c>
      <c r="M79" s="0" t="s">
        <v>87</v>
      </c>
      <c r="N79" s="0" t="s">
        <v>53</v>
      </c>
      <c r="O79" s="0" t="s">
        <v>59</v>
      </c>
      <c r="P79" s="3" t="n">
        <v>5.65</v>
      </c>
      <c r="Q79" s="2" t="n">
        <v>774</v>
      </c>
      <c r="R79" s="2" t="n">
        <v>12767</v>
      </c>
      <c r="S79" s="2" t="n">
        <f aca="false">R79-Q79</f>
        <v>11993</v>
      </c>
      <c r="T79" s="3" t="n">
        <f aca="false">91/60</f>
        <v>1.51666666666667</v>
      </c>
      <c r="W79" s="3" t="n">
        <f aca="false">P79/T79</f>
        <v>3.72527472527473</v>
      </c>
      <c r="X79" s="0" t="n">
        <v>1</v>
      </c>
      <c r="Y79" s="3" t="n">
        <f aca="false">P79/X79</f>
        <v>5.65</v>
      </c>
      <c r="Z79" s="3" t="n">
        <f aca="false">16+5/60</f>
        <v>16.0833333333333</v>
      </c>
      <c r="AA79" s="2" t="n">
        <v>253</v>
      </c>
      <c r="AB79" s="2" t="n">
        <v>1265</v>
      </c>
      <c r="AC79" s="2" t="n">
        <v>131</v>
      </c>
      <c r="AD79" s="2" t="n">
        <v>152</v>
      </c>
      <c r="AE79" s="3" t="n">
        <f aca="false">15+36.8/60</f>
        <v>15.6133333333333</v>
      </c>
      <c r="AF79" s="3" t="n">
        <f aca="false">16+32.2/60</f>
        <v>16.5366666666667</v>
      </c>
      <c r="AG79" s="3" t="n">
        <f aca="false">15+55/60</f>
        <v>15.9166666666667</v>
      </c>
      <c r="AH79" s="3" t="n">
        <f aca="false">17+3.3/60</f>
        <v>17.055</v>
      </c>
      <c r="AI79" s="3" t="n">
        <f aca="false">15+37.6/60</f>
        <v>15.6266666666667</v>
      </c>
      <c r="AJ79" s="3" t="n">
        <f aca="false">60/3.7</f>
        <v>16.2162162162162</v>
      </c>
      <c r="AO79" s="0" t="n">
        <v>0</v>
      </c>
      <c r="AP79" s="0" t="n">
        <v>0</v>
      </c>
      <c r="AW79" s="0" t="s">
        <v>55</v>
      </c>
      <c r="AX79" s="0" t="s">
        <v>56</v>
      </c>
      <c r="AY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52</v>
      </c>
      <c r="G80" s="2" t="n">
        <v>68</v>
      </c>
      <c r="I80" s="2" t="n">
        <v>56</v>
      </c>
      <c r="M80" s="0" t="s">
        <v>87</v>
      </c>
      <c r="N80" s="0" t="s">
        <v>53</v>
      </c>
      <c r="O80" s="0" t="s">
        <v>69</v>
      </c>
      <c r="P80" s="3" t="n">
        <v>5.58</v>
      </c>
      <c r="Q80" s="2" t="n">
        <v>1020</v>
      </c>
      <c r="T80" s="3" t="n">
        <f aca="false">92/60</f>
        <v>1.53333333333333</v>
      </c>
      <c r="W80" s="3" t="n">
        <f aca="false">P80/T80</f>
        <v>3.63913043478261</v>
      </c>
      <c r="X80" s="0" t="n">
        <v>1</v>
      </c>
      <c r="Y80" s="3" t="n">
        <f aca="false">P80/X80</f>
        <v>5.58</v>
      </c>
      <c r="Z80" s="3" t="n">
        <f aca="false">16+32/60</f>
        <v>16.5333333333333</v>
      </c>
      <c r="AA80" s="2" t="n">
        <v>144</v>
      </c>
      <c r="AB80" s="2" t="n">
        <v>630</v>
      </c>
      <c r="AC80" s="2" t="n">
        <v>85</v>
      </c>
      <c r="AD80" s="2" t="n">
        <v>117</v>
      </c>
      <c r="AE80" s="3" t="n">
        <f aca="false">16+17.6/60</f>
        <v>16.2933333333333</v>
      </c>
      <c r="AF80" s="3" t="n">
        <f aca="false">16+41.8/60</f>
        <v>16.6966666666667</v>
      </c>
      <c r="AG80" s="3" t="n">
        <f aca="false">16+21.4/60</f>
        <v>16.3566666666667</v>
      </c>
      <c r="AH80" s="3" t="n">
        <f aca="false">16+46.3/60</f>
        <v>16.7716666666667</v>
      </c>
      <c r="AI80" s="3" t="n">
        <f aca="false">16+49.8/60</f>
        <v>16.83</v>
      </c>
      <c r="AJ80" s="3" t="n">
        <v>8</v>
      </c>
      <c r="AO80" s="0" t="n">
        <v>0</v>
      </c>
      <c r="AP80" s="0" t="n">
        <v>0</v>
      </c>
      <c r="AW80" s="0" t="s">
        <v>55</v>
      </c>
      <c r="AX80" s="0" t="s">
        <v>56</v>
      </c>
      <c r="AY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57</v>
      </c>
      <c r="G81" s="2" t="n">
        <v>70</v>
      </c>
      <c r="M81" s="0" t="s">
        <v>87</v>
      </c>
      <c r="N81" s="0" t="s">
        <v>62</v>
      </c>
      <c r="O81" s="0" t="s">
        <v>88</v>
      </c>
      <c r="P81" s="3" t="n">
        <v>4.58</v>
      </c>
      <c r="T81" s="3" t="n">
        <f aca="false">74/60</f>
        <v>1.23333333333333</v>
      </c>
      <c r="W81" s="3" t="n">
        <f aca="false">P81/T81</f>
        <v>3.71351351351351</v>
      </c>
      <c r="X81" s="0" t="n">
        <v>1</v>
      </c>
      <c r="Y81" s="3" t="n">
        <f aca="false">P81/X81</f>
        <v>4.58</v>
      </c>
      <c r="Z81" s="3" t="n">
        <f aca="false">19+1/60</f>
        <v>19.0166666666667</v>
      </c>
      <c r="AA81" s="2" t="n">
        <v>7</v>
      </c>
      <c r="AB81" s="2" t="n">
        <v>810</v>
      </c>
      <c r="AC81" s="2" t="n">
        <v>118</v>
      </c>
      <c r="AD81" s="2" t="n">
        <v>136</v>
      </c>
      <c r="AE81" s="3" t="n">
        <f aca="false">16+1.8/60</f>
        <v>16.03</v>
      </c>
      <c r="AF81" s="3" t="n">
        <f aca="false">16+26/60</f>
        <v>16.4333333333333</v>
      </c>
      <c r="AG81" s="3" t="n">
        <f aca="false">16+9.8/60</f>
        <v>16.1633333333333</v>
      </c>
      <c r="AH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57</v>
      </c>
      <c r="G82" s="2" t="n">
        <v>75</v>
      </c>
      <c r="I82" s="2" t="n">
        <v>36</v>
      </c>
      <c r="M82" s="0" t="s">
        <v>87</v>
      </c>
      <c r="N82" s="0" t="s">
        <v>62</v>
      </c>
      <c r="O82" s="0" t="s">
        <v>74</v>
      </c>
      <c r="P82" s="3" t="n">
        <v>8.9</v>
      </c>
      <c r="Q82" s="2" t="n">
        <v>1203</v>
      </c>
      <c r="R82" s="2" t="n">
        <v>19953</v>
      </c>
      <c r="S82" s="2" t="n">
        <f aca="false">R82-Q82</f>
        <v>18750</v>
      </c>
      <c r="T82" s="3" t="n">
        <f aca="false">(120+24)/60</f>
        <v>2.4</v>
      </c>
      <c r="W82" s="3" t="n">
        <f aca="false">P82/T82</f>
        <v>3.70833333333333</v>
      </c>
      <c r="X82" s="0" t="n">
        <v>1</v>
      </c>
      <c r="Y82" s="3" t="n">
        <f aca="false">P82/X82</f>
        <v>8.9</v>
      </c>
      <c r="Z82" s="3" t="n">
        <f aca="false">16+12/60</f>
        <v>16.2</v>
      </c>
      <c r="AA82" s="2" t="n">
        <v>108</v>
      </c>
      <c r="AB82" s="2" t="n">
        <v>973</v>
      </c>
      <c r="AC82" s="2" t="n">
        <v>84</v>
      </c>
      <c r="AD82" s="2" t="n">
        <v>112</v>
      </c>
      <c r="AE82" s="3" t="n">
        <f aca="false">16+20.4/60</f>
        <v>16.34</v>
      </c>
      <c r="AF82" s="3" t="n">
        <f aca="false">15+38.5/60</f>
        <v>15.6416666666667</v>
      </c>
      <c r="AG82" s="3" t="n">
        <f aca="false">15+29.4/60</f>
        <v>15.49</v>
      </c>
      <c r="AH82" s="3" t="n">
        <f aca="false">15+53.7/60</f>
        <v>15.895</v>
      </c>
      <c r="AI82" s="3" t="n">
        <f aca="false">16+54.6/60</f>
        <v>16.91</v>
      </c>
      <c r="AJ82" s="3" t="n">
        <f aca="false">15+49.8/60</f>
        <v>15.83</v>
      </c>
      <c r="AK82" s="3" t="n">
        <f aca="false">15+58.2/60</f>
        <v>15.97</v>
      </c>
      <c r="AL82" s="3" t="n">
        <f aca="false">16+26.7/60</f>
        <v>16.445</v>
      </c>
      <c r="AM82" s="3" t="n">
        <f aca="false">60/3.4</f>
        <v>17.6470588235294</v>
      </c>
      <c r="AO82" s="0" t="n">
        <v>3</v>
      </c>
      <c r="AW82" s="0" t="s">
        <v>55</v>
      </c>
      <c r="AX82" s="0" t="s">
        <v>56</v>
      </c>
      <c r="AY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57</v>
      </c>
      <c r="G83" s="2" t="n">
        <v>64</v>
      </c>
      <c r="I83" s="2" t="n">
        <v>56</v>
      </c>
      <c r="M83" s="0" t="s">
        <v>87</v>
      </c>
      <c r="N83" s="0" t="s">
        <v>53</v>
      </c>
      <c r="O83" s="0" t="s">
        <v>70</v>
      </c>
      <c r="P83" s="3" t="n">
        <v>3.37</v>
      </c>
      <c r="Q83" s="2" t="n">
        <v>1529</v>
      </c>
      <c r="R83" s="2" t="n">
        <v>14380</v>
      </c>
      <c r="S83" s="2" t="n">
        <f aca="false">R83-Q83</f>
        <v>12851</v>
      </c>
      <c r="T83" s="3" t="n">
        <f aca="false">54/60</f>
        <v>0.9</v>
      </c>
      <c r="W83" s="3" t="n">
        <f aca="false">P83/T83</f>
        <v>3.74444444444444</v>
      </c>
      <c r="X83" s="0" t="n">
        <v>1</v>
      </c>
      <c r="Y83" s="3" t="n">
        <f aca="false">W83/T83</f>
        <v>4.16049382716049</v>
      </c>
      <c r="Z83" s="3" t="n">
        <f aca="false">16+0/60</f>
        <v>16</v>
      </c>
      <c r="AA83" s="2" t="n">
        <v>103</v>
      </c>
      <c r="AB83" s="2" t="n">
        <v>516</v>
      </c>
      <c r="AC83" s="2" t="n">
        <v>108</v>
      </c>
      <c r="AD83" s="2" t="n">
        <v>134</v>
      </c>
      <c r="AE83" s="3" t="n">
        <f aca="false">16+15.8/60</f>
        <v>16.2633333333333</v>
      </c>
      <c r="AF83" s="3" t="n">
        <f aca="false">15+36.2/60</f>
        <v>15.6033333333333</v>
      </c>
      <c r="AG83" s="3" t="n">
        <f aca="false">15+52.7/60</f>
        <v>15.8783333333333</v>
      </c>
      <c r="AH83" s="3" t="n">
        <f aca="false">60/3.6</f>
        <v>16.6666666666667</v>
      </c>
      <c r="AO83" s="0" t="n">
        <v>0</v>
      </c>
      <c r="AP83" s="0" t="n">
        <v>0</v>
      </c>
      <c r="AW83" s="0" t="s">
        <v>55</v>
      </c>
      <c r="AX83" s="0" t="s">
        <v>56</v>
      </c>
      <c r="AY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80</v>
      </c>
      <c r="F84" s="0" t="s">
        <v>68</v>
      </c>
      <c r="G84" s="2" t="n">
        <v>70</v>
      </c>
      <c r="I84" s="2" t="n">
        <v>100</v>
      </c>
      <c r="M84" s="0" t="s">
        <v>86</v>
      </c>
      <c r="X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52</v>
      </c>
      <c r="G85" s="2" t="n">
        <v>73</v>
      </c>
      <c r="I85" s="2" t="n">
        <v>76</v>
      </c>
      <c r="M85" s="0" t="s">
        <v>86</v>
      </c>
      <c r="N85" s="0" t="s">
        <v>53</v>
      </c>
      <c r="O85" s="0" t="s">
        <v>59</v>
      </c>
      <c r="P85" s="3" t="n">
        <v>5.64</v>
      </c>
      <c r="Q85" s="2" t="n">
        <v>313</v>
      </c>
      <c r="R85" s="2" t="n">
        <v>12562</v>
      </c>
      <c r="S85" s="2" t="n">
        <f aca="false">R85-Q85</f>
        <v>12249</v>
      </c>
      <c r="T85" s="3" t="n">
        <f aca="false">94/60</f>
        <v>1.56666666666667</v>
      </c>
      <c r="W85" s="3" t="n">
        <f aca="false">P85/T85</f>
        <v>3.6</v>
      </c>
      <c r="X85" s="0" t="n">
        <v>1</v>
      </c>
      <c r="Y85" s="3" t="n">
        <f aca="false">P85/X85</f>
        <v>5.64</v>
      </c>
      <c r="Z85" s="3" t="n">
        <f aca="false">16+39/60</f>
        <v>16.65</v>
      </c>
      <c r="AA85" s="2" t="n">
        <v>217</v>
      </c>
      <c r="AB85" s="2" t="n">
        <v>624</v>
      </c>
      <c r="AC85" s="2" t="n">
        <v>78</v>
      </c>
      <c r="AD85" s="2" t="n">
        <v>109</v>
      </c>
      <c r="AE85" s="3" t="n">
        <f aca="false">16+11.1/60</f>
        <v>16.185</v>
      </c>
      <c r="AF85" s="3" t="n">
        <f aca="false">16+6.2/60</f>
        <v>16.1033333333333</v>
      </c>
      <c r="AG85" s="3" t="n">
        <f aca="false">16+27.2/60</f>
        <v>16.4533333333333</v>
      </c>
      <c r="AH85" s="3" t="n">
        <f aca="false">18+3/0.5/60</f>
        <v>18.1</v>
      </c>
      <c r="AI85" s="3" t="n">
        <f aca="false">16+41.5/60</f>
        <v>16.6916666666667</v>
      </c>
      <c r="AJ85" s="3" t="n">
        <f aca="false">60/3.7</f>
        <v>16.2162162162162</v>
      </c>
      <c r="AO85" s="0" t="n">
        <v>5</v>
      </c>
      <c r="AP85" s="0" t="n">
        <v>0</v>
      </c>
      <c r="AW85" s="0" t="s">
        <v>55</v>
      </c>
      <c r="AX85" s="0" t="s">
        <v>56</v>
      </c>
      <c r="AY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89</v>
      </c>
      <c r="G86" s="2" t="n">
        <v>85</v>
      </c>
      <c r="I86" s="2" t="n">
        <v>55</v>
      </c>
      <c r="M86" s="0" t="s">
        <v>87</v>
      </c>
      <c r="N86" s="0" t="s">
        <v>62</v>
      </c>
      <c r="O86" s="0" t="s">
        <v>79</v>
      </c>
      <c r="P86" s="3" t="n">
        <v>6.01</v>
      </c>
      <c r="Q86" s="2" t="n">
        <v>1116</v>
      </c>
      <c r="R86" s="2" t="n">
        <v>14151</v>
      </c>
      <c r="S86" s="2" t="n">
        <f aca="false">R86-Q86</f>
        <v>13035</v>
      </c>
      <c r="T86" s="3" t="n">
        <f aca="false">95/60</f>
        <v>1.58333333333333</v>
      </c>
      <c r="U86" s="3" t="n">
        <f aca="false">1+51/60</f>
        <v>1.85</v>
      </c>
      <c r="V86" s="3" t="n">
        <f aca="false">U86-T86</f>
        <v>0.266666666666667</v>
      </c>
      <c r="W86" s="3" t="n">
        <f aca="false">P86/T86</f>
        <v>3.79578947368421</v>
      </c>
      <c r="X86" s="0" t="n">
        <v>1</v>
      </c>
      <c r="Y86" s="3" t="n">
        <f aca="false">P86/X86</f>
        <v>6.01</v>
      </c>
      <c r="Z86" s="3" t="n">
        <f aca="false">15+43/60</f>
        <v>15.7166666666667</v>
      </c>
      <c r="AA86" s="2" t="n">
        <v>92</v>
      </c>
      <c r="AB86" s="2" t="n">
        <v>1206</v>
      </c>
      <c r="AC86" s="2" t="n">
        <v>133</v>
      </c>
      <c r="AD86" s="2" t="n">
        <v>169</v>
      </c>
      <c r="AE86" s="3" t="n">
        <f aca="false">15+8.1/60</f>
        <v>15.135</v>
      </c>
      <c r="AF86" s="3" t="n">
        <f aca="false">15+8.2/60</f>
        <v>15.1366666666667</v>
      </c>
      <c r="AG86" s="3" t="n">
        <f aca="false">15+27.2/60</f>
        <v>15.4533333333333</v>
      </c>
      <c r="AH86" s="3" t="n">
        <f aca="false">16+17.7/60</f>
        <v>16.295</v>
      </c>
      <c r="AI86" s="3" t="n">
        <f aca="false">16+7.7/60</f>
        <v>16.1283333333333</v>
      </c>
      <c r="AJ86" s="3" t="n">
        <f aca="false">16+5.6/60</f>
        <v>16.0933333333333</v>
      </c>
      <c r="AK86" s="3" t="n">
        <f aca="false">60/3.8</f>
        <v>15.7894736842105</v>
      </c>
      <c r="AO86" s="0" t="n">
        <v>6</v>
      </c>
      <c r="AP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52</v>
      </c>
      <c r="G87" s="2" t="n">
        <v>81</v>
      </c>
      <c r="I87" s="2" t="n">
        <v>62</v>
      </c>
      <c r="M87" s="0" t="s">
        <v>86</v>
      </c>
      <c r="N87" s="0" t="s">
        <v>53</v>
      </c>
      <c r="O87" s="0" t="s">
        <v>74</v>
      </c>
      <c r="P87" s="3" t="n">
        <v>7.53</v>
      </c>
      <c r="Q87" s="2" t="n">
        <v>1129</v>
      </c>
      <c r="R87" s="2" t="n">
        <v>17488</v>
      </c>
      <c r="S87" s="2" t="n">
        <v>16539</v>
      </c>
      <c r="T87" s="3" t="n">
        <f aca="false">120/60</f>
        <v>2</v>
      </c>
      <c r="U87" s="3" t="n">
        <f aca="false">2+22/60</f>
        <v>2.36666666666667</v>
      </c>
      <c r="V87" s="3" t="n">
        <f aca="false">U87-T87</f>
        <v>0.366666666666667</v>
      </c>
      <c r="W87" s="3" t="n">
        <f aca="false">P87/T87</f>
        <v>3.765</v>
      </c>
      <c r="X87" s="0" t="n">
        <v>1</v>
      </c>
      <c r="Y87" s="3" t="n">
        <f aca="false">P87/X87</f>
        <v>7.53</v>
      </c>
      <c r="Z87" s="3" t="n">
        <f aca="false">15+55/60</f>
        <v>15.9166666666667</v>
      </c>
      <c r="AA87" s="2" t="n">
        <v>371</v>
      </c>
      <c r="AB87" s="2" t="n">
        <v>983</v>
      </c>
      <c r="AC87" s="2" t="n">
        <v>107</v>
      </c>
      <c r="AD87" s="2" t="n">
        <v>139</v>
      </c>
      <c r="AE87" s="3" t="n">
        <f aca="false">15+24/60</f>
        <v>15.4</v>
      </c>
      <c r="AF87" s="3" t="n">
        <f aca="false">15+18.6/60</f>
        <v>15.31</v>
      </c>
      <c r="AG87" s="3" t="n">
        <f aca="false">15+12.2/60</f>
        <v>15.2033333333333</v>
      </c>
      <c r="AH87" s="3" t="n">
        <f aca="false">16+4.6/60</f>
        <v>16.0766666666667</v>
      </c>
      <c r="AI87" s="3" t="n">
        <f aca="false">15+56.6</f>
        <v>71.6</v>
      </c>
      <c r="AJ87" s="3" t="n">
        <f aca="false">16+19.8/60</f>
        <v>16.33</v>
      </c>
      <c r="AK87" s="3" t="n">
        <f aca="false">16+42.6/60</f>
        <v>16.71</v>
      </c>
      <c r="AL87" s="3" t="n">
        <f aca="false">60/3.8</f>
        <v>15.7894736842105</v>
      </c>
      <c r="AO87" s="0" t="n">
        <v>7</v>
      </c>
      <c r="AP87" s="0" t="n">
        <v>0</v>
      </c>
      <c r="AW87" s="0" t="s">
        <v>55</v>
      </c>
      <c r="AX87" s="0" t="s">
        <v>56</v>
      </c>
      <c r="AY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80</v>
      </c>
      <c r="F88" s="0" t="s">
        <v>52</v>
      </c>
      <c r="G88" s="2" t="n">
        <v>68</v>
      </c>
      <c r="I88" s="2" t="n">
        <v>87</v>
      </c>
      <c r="M88" s="0" t="s">
        <v>86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57</v>
      </c>
      <c r="G89" s="2" t="n">
        <v>80</v>
      </c>
      <c r="I89" s="2" t="n">
        <v>54</v>
      </c>
      <c r="M89" s="0" t="s">
        <v>87</v>
      </c>
      <c r="N89" s="0" t="s">
        <v>62</v>
      </c>
      <c r="O89" s="0" t="s">
        <v>70</v>
      </c>
      <c r="P89" s="3" t="n">
        <v>5.18</v>
      </c>
      <c r="Q89" s="2" t="n">
        <f aca="false">AVERAGE(Q65:Q80)</f>
        <v>956.224392361111</v>
      </c>
      <c r="R89" s="2" t="n">
        <v>11451</v>
      </c>
      <c r="S89" s="2" t="n">
        <f aca="false">R89-Q89</f>
        <v>10494.7756076389</v>
      </c>
      <c r="T89" s="3" t="n">
        <f aca="false">83/60</f>
        <v>1.38333333333333</v>
      </c>
      <c r="U89" s="3" t="n">
        <f aca="false">88/60</f>
        <v>1.46666666666667</v>
      </c>
      <c r="V89" s="3" t="n">
        <f aca="false">U89-T89</f>
        <v>0.0833333333333333</v>
      </c>
      <c r="W89" s="3" t="n">
        <f aca="false">P89/T89</f>
        <v>3.74457831325301</v>
      </c>
      <c r="X89" s="0" t="n">
        <v>1</v>
      </c>
      <c r="Y89" s="3" t="n">
        <f aca="false">P89/X89</f>
        <v>5.18</v>
      </c>
      <c r="Z89" s="3" t="n">
        <f aca="false">16+1/60</f>
        <v>16.0166666666667</v>
      </c>
      <c r="AA89" s="2" t="n">
        <v>562</v>
      </c>
      <c r="AB89" s="2" t="n">
        <v>859</v>
      </c>
      <c r="AC89" s="2" t="n">
        <v>117</v>
      </c>
      <c r="AD89" s="2" t="n">
        <v>154</v>
      </c>
      <c r="AE89" s="3" t="n">
        <f aca="false">15+24.8/60</f>
        <v>15.4133333333333</v>
      </c>
      <c r="AF89" s="3" t="n">
        <f aca="false">15+55.7/60</f>
        <v>15.9283333333333</v>
      </c>
      <c r="AG89" s="3" t="n">
        <f aca="false">15+40.5/60</f>
        <v>15.675</v>
      </c>
      <c r="AH89" s="3" t="n">
        <f aca="false">16+35.5/60</f>
        <v>16.5916666666667</v>
      </c>
      <c r="AI89" s="3" t="n">
        <f aca="false">16+31.8/60</f>
        <v>16.53</v>
      </c>
      <c r="AJ89" s="3" t="n">
        <f aca="false">80/3.8</f>
        <v>21.0526315789474</v>
      </c>
      <c r="AO89" s="0" t="n">
        <v>1</v>
      </c>
      <c r="AP89" s="0" t="n">
        <v>0</v>
      </c>
      <c r="AR89" s="3" t="n">
        <f aca="false">4+50/60</f>
        <v>4.83333333333333</v>
      </c>
      <c r="AS89" s="3" t="n">
        <f aca="false">13+36/60</f>
        <v>13.6</v>
      </c>
      <c r="AT89" s="3" t="n">
        <f aca="false">20+25/60</f>
        <v>20.4166666666667</v>
      </c>
      <c r="AU89" s="3" t="n">
        <f aca="false">30+52/60</f>
        <v>30.8666666666667</v>
      </c>
      <c r="AV89" s="3" t="n">
        <f aca="false">13+18/60</f>
        <v>13.3</v>
      </c>
      <c r="AW89" s="0" t="s">
        <v>55</v>
      </c>
      <c r="AX89" s="0" t="s">
        <v>56</v>
      </c>
      <c r="AY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57</v>
      </c>
      <c r="G90" s="2" t="n">
        <v>89</v>
      </c>
      <c r="I90" s="2" t="n">
        <v>43</v>
      </c>
      <c r="M90" s="0" t="s">
        <v>87</v>
      </c>
      <c r="N90" s="0" t="s">
        <v>53</v>
      </c>
      <c r="O90" s="0" t="s">
        <v>88</v>
      </c>
      <c r="P90" s="3" t="n">
        <v>5.38</v>
      </c>
      <c r="Q90" s="2" t="n">
        <f aca="false">AVERAGE(Q59:Q89)</f>
        <v>958.326205261752</v>
      </c>
      <c r="R90" s="2" t="n">
        <v>13259</v>
      </c>
      <c r="S90" s="2" t="n">
        <f aca="false">R90-Q90</f>
        <v>12300.6737947382</v>
      </c>
      <c r="T90" s="3" t="n">
        <f aca="false">91/60</f>
        <v>1.51666666666667</v>
      </c>
      <c r="U90" s="3" t="n">
        <v>1.66666666666667</v>
      </c>
      <c r="V90" s="3" t="n">
        <f aca="false">U90-T90</f>
        <v>0.150000000000003</v>
      </c>
      <c r="W90" s="3" t="n">
        <f aca="false">P90/T90</f>
        <v>3.54725274725275</v>
      </c>
      <c r="X90" s="0" t="n">
        <v>1</v>
      </c>
      <c r="Y90" s="3" t="n">
        <f aca="false">P90/X90</f>
        <v>5.38</v>
      </c>
      <c r="Z90" s="3" t="n">
        <f aca="false">16+51/60</f>
        <v>16.85</v>
      </c>
      <c r="AA90" s="2" t="n">
        <v>354</v>
      </c>
      <c r="AB90" s="2" t="n">
        <v>1038</v>
      </c>
      <c r="AC90" s="2" t="n">
        <v>122</v>
      </c>
      <c r="AD90" s="2" t="n">
        <v>144</v>
      </c>
      <c r="AE90" s="3" t="n">
        <f aca="false">15+39.2/60</f>
        <v>15.6533333333333</v>
      </c>
      <c r="AF90" s="3" t="n">
        <f aca="false">16+40.2/60</f>
        <v>16.67</v>
      </c>
      <c r="AG90" s="3" t="n">
        <f aca="false">17+1.7/60</f>
        <v>17.0283333333333</v>
      </c>
      <c r="AH90" s="3" t="n">
        <f aca="false">17+20/60</f>
        <v>17.3333333333333</v>
      </c>
      <c r="AI90" s="3" t="n">
        <f aca="false">17+0.9/60</f>
        <v>17.015</v>
      </c>
      <c r="AJ90" s="3" t="n">
        <f aca="false">60/3.6</f>
        <v>16.6666666666667</v>
      </c>
      <c r="AO90" s="0" t="n">
        <v>4</v>
      </c>
      <c r="AP90" s="0" t="n">
        <v>0</v>
      </c>
      <c r="AR90" s="3" t="n">
        <f aca="false">7+18/60</f>
        <v>7.3</v>
      </c>
      <c r="AS90" s="3" t="n">
        <f aca="false">8+18/60</f>
        <v>8.3</v>
      </c>
      <c r="AT90" s="3" t="n">
        <v>1</v>
      </c>
      <c r="AU90" s="3" t="n">
        <f aca="false">54+50/60</f>
        <v>54.8333333333333</v>
      </c>
      <c r="AV90" s="3" t="n">
        <f aca="false">19+6/60</f>
        <v>19.1</v>
      </c>
      <c r="AW90" s="0" t="s">
        <v>55</v>
      </c>
      <c r="AX90" s="0" t="s">
        <v>56</v>
      </c>
      <c r="AY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57</v>
      </c>
      <c r="G91" s="2" t="n">
        <f aca="false">AVERAGE(77,81,85)</f>
        <v>81</v>
      </c>
      <c r="I91" s="2" t="n">
        <f aca="false">AVERAGE(69,72,57)</f>
        <v>66</v>
      </c>
      <c r="M91" s="0" t="s">
        <v>87</v>
      </c>
      <c r="N91" s="0" t="s">
        <v>62</v>
      </c>
      <c r="O91" s="0" t="s">
        <v>79</v>
      </c>
      <c r="P91" s="3" t="n">
        <v>6.41</v>
      </c>
      <c r="Q91" s="2" t="n">
        <v>991</v>
      </c>
      <c r="R91" s="2" t="n">
        <v>14461</v>
      </c>
      <c r="S91" s="2" t="n">
        <f aca="false">R91-Q91</f>
        <v>13470</v>
      </c>
      <c r="T91" s="3" t="n">
        <f aca="false">(99+29/60)/60</f>
        <v>1.65805555555556</v>
      </c>
      <c r="U91" s="3" t="n">
        <f aca="false">(60+44+9/60)/60</f>
        <v>1.73583333333333</v>
      </c>
      <c r="V91" s="3" t="n">
        <f aca="false">U91-T91</f>
        <v>0.0777777777777777</v>
      </c>
      <c r="W91" s="3" t="n">
        <f aca="false">P91/T91</f>
        <v>3.86597420003351</v>
      </c>
      <c r="X91" s="0" t="n">
        <v>1</v>
      </c>
      <c r="Y91" s="3" t="n">
        <f aca="false">P91/X91</f>
        <v>6.41</v>
      </c>
      <c r="Z91" s="3" t="n">
        <f aca="false">15+31/60</f>
        <v>15.5166666666667</v>
      </c>
      <c r="AA91" s="2" t="n">
        <v>213</v>
      </c>
      <c r="AB91" s="2" t="n">
        <v>1071</v>
      </c>
      <c r="AC91" s="2" t="n">
        <v>121</v>
      </c>
      <c r="AD91" s="2" t="n">
        <v>143</v>
      </c>
      <c r="AE91" s="3" t="n">
        <f aca="false">16+11/60</f>
        <v>16.1833333333333</v>
      </c>
      <c r="AF91" s="3" t="n">
        <f aca="false">15+23.9/60</f>
        <v>15.3983333333333</v>
      </c>
      <c r="AG91" s="3" t="n">
        <f aca="false">15+44.7/60</f>
        <v>15.745</v>
      </c>
      <c r="AH91" s="3" t="n">
        <f aca="false">15+44.7/60</f>
        <v>15.745</v>
      </c>
      <c r="AI91" s="3" t="n">
        <f aca="false">15+5.3/70</f>
        <v>15.0757142857143</v>
      </c>
      <c r="AJ91" s="3" t="n">
        <f aca="false">15+4.3/60</f>
        <v>15.0716666666667</v>
      </c>
      <c r="AK91" s="3" t="n">
        <f aca="false">60/3.9</f>
        <v>15.3846153846154</v>
      </c>
      <c r="AO91" s="0" t="n">
        <v>1</v>
      </c>
      <c r="AP91" s="0" t="n">
        <v>0</v>
      </c>
      <c r="AR91" s="3" t="n">
        <f aca="false">1+16/60</f>
        <v>1.26666666666667</v>
      </c>
      <c r="AS91" s="3" t="n">
        <f aca="false">14+28/60</f>
        <v>14.4666666666667</v>
      </c>
      <c r="AT91" s="3" t="n">
        <f aca="false">16+20/60</f>
        <v>16.3333333333333</v>
      </c>
      <c r="AU91" s="3" t="n">
        <f aca="false">58+46/60</f>
        <v>58.7666666666667</v>
      </c>
      <c r="AV91" s="3" t="n">
        <f aca="false">8+40/60</f>
        <v>8.66666666666667</v>
      </c>
      <c r="AW91" s="0" t="s">
        <v>55</v>
      </c>
      <c r="AX91" s="0" t="s">
        <v>56</v>
      </c>
      <c r="AY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52</v>
      </c>
      <c r="G92" s="2" t="n">
        <v>74</v>
      </c>
      <c r="I92" s="2" t="n">
        <v>71</v>
      </c>
      <c r="M92" s="0" t="s">
        <v>87</v>
      </c>
      <c r="N92" s="0" t="s">
        <v>62</v>
      </c>
      <c r="O92" s="0" t="s">
        <v>61</v>
      </c>
      <c r="P92" s="3" t="n">
        <v>8.06</v>
      </c>
      <c r="Q92" s="2" t="n">
        <v>1526</v>
      </c>
      <c r="R92" s="2" t="n">
        <v>18458</v>
      </c>
      <c r="S92" s="2" t="n">
        <f aca="false">R92-Q92</f>
        <v>16932</v>
      </c>
      <c r="T92" s="3" t="n">
        <f aca="false">(123+3/60)/60</f>
        <v>2.05083333333333</v>
      </c>
      <c r="U92" s="3" t="n">
        <f aca="false">(133+31/60)/60</f>
        <v>2.22527777777778</v>
      </c>
      <c r="V92" s="3" t="n">
        <f aca="false">U92-T92</f>
        <v>0.174444444444445</v>
      </c>
      <c r="W92" s="3" t="n">
        <f aca="false">P92/T92</f>
        <v>3.93010971149939</v>
      </c>
      <c r="X92" s="0" t="n">
        <v>1</v>
      </c>
      <c r="Y92" s="3" t="n">
        <f aca="false">P92/X92</f>
        <v>8.06</v>
      </c>
      <c r="Z92" s="3" t="n">
        <f aca="false">15+18/60</f>
        <v>15.3</v>
      </c>
      <c r="AA92" s="2" t="n">
        <v>830</v>
      </c>
      <c r="AB92" s="2" t="n">
        <v>1021</v>
      </c>
      <c r="AC92" s="2" t="n">
        <v>102</v>
      </c>
      <c r="AD92" s="2" t="n">
        <v>154</v>
      </c>
      <c r="AE92" s="3" t="n">
        <f aca="false">15+46/60</f>
        <v>15.7666666666667</v>
      </c>
      <c r="AF92" s="3" t="n">
        <f aca="false">16+2.7/60</f>
        <v>16.045</v>
      </c>
      <c r="AG92" s="3" t="n">
        <f aca="false">15+10.5/60</f>
        <v>15.175</v>
      </c>
      <c r="AH92" s="3" t="n">
        <f aca="false">15+16.2/60</f>
        <v>15.27</v>
      </c>
      <c r="AI92" s="3" t="n">
        <f aca="false">14+46.9/60</f>
        <v>14.7816666666667</v>
      </c>
      <c r="AJ92" s="3" t="n">
        <f aca="false">15+12.3/60</f>
        <v>15.205</v>
      </c>
      <c r="AK92" s="3" t="n">
        <f aca="false">15+33.9/60</f>
        <v>15.565</v>
      </c>
      <c r="AL92" s="3" t="n">
        <f aca="false">15+26.9/60</f>
        <v>15.4483333333333</v>
      </c>
      <c r="AM92" s="3" t="n">
        <f aca="false">60/3.9</f>
        <v>15.3846153846154</v>
      </c>
      <c r="AO92" s="0" t="n">
        <v>3</v>
      </c>
      <c r="AP92" s="0" t="n">
        <v>0</v>
      </c>
      <c r="AR92" s="3" t="n">
        <f aca="false">27+50/60</f>
        <v>27.8333333333333</v>
      </c>
      <c r="AS92" s="3" t="n">
        <f aca="false">36+21/60</f>
        <v>36.35</v>
      </c>
      <c r="AT92" s="3" t="n">
        <f aca="false">20+56/60</f>
        <v>20.9333333333333</v>
      </c>
      <c r="AU92" s="3" t="n">
        <f aca="false">17+21/60</f>
        <v>17.35</v>
      </c>
      <c r="AV92" s="3" t="n">
        <f aca="false">8+12/60</f>
        <v>8.2</v>
      </c>
      <c r="AW92" s="0" t="s">
        <v>55</v>
      </c>
      <c r="AX92" s="0" t="s">
        <v>56</v>
      </c>
      <c r="AY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52</v>
      </c>
      <c r="G93" s="2" t="n">
        <v>76</v>
      </c>
      <c r="I93" s="2" t="n">
        <v>74</v>
      </c>
      <c r="M93" s="0" t="s">
        <v>87</v>
      </c>
      <c r="N93" s="0" t="s">
        <v>53</v>
      </c>
      <c r="O93" s="0" t="s">
        <v>59</v>
      </c>
      <c r="P93" s="3" t="n">
        <v>5.96</v>
      </c>
      <c r="Q93" s="2" t="n">
        <v>1075</v>
      </c>
      <c r="R93" s="2" t="n">
        <v>13081</v>
      </c>
      <c r="S93" s="2" t="n">
        <f aca="false">R93-Q93</f>
        <v>12006</v>
      </c>
      <c r="T93" s="3" t="n">
        <f aca="false">100/60</f>
        <v>1.66666666666667</v>
      </c>
      <c r="U93" s="3" t="n">
        <v>1.76666666666667</v>
      </c>
      <c r="V93" s="3" t="n">
        <f aca="false">U93-T93</f>
        <v>0.100000000000003</v>
      </c>
      <c r="W93" s="3" t="n">
        <f aca="false">P93/T93</f>
        <v>3.576</v>
      </c>
      <c r="X93" s="0" t="n">
        <v>1</v>
      </c>
      <c r="Y93" s="3" t="n">
        <f aca="false">P93/X93</f>
        <v>5.96</v>
      </c>
      <c r="Z93" s="3" t="n">
        <f aca="false">16+47/60</f>
        <v>16.7833333333333</v>
      </c>
      <c r="AA93" s="2" t="n">
        <v>671</v>
      </c>
      <c r="AB93" s="2" t="n">
        <v>671</v>
      </c>
      <c r="AC93" s="2" t="n">
        <v>90</v>
      </c>
      <c r="AD93" s="2" t="n">
        <v>123</v>
      </c>
      <c r="AE93" s="3" t="n">
        <f aca="false">16+12.5/60</f>
        <v>16.2083333333333</v>
      </c>
      <c r="AF93" s="3" t="n">
        <f aca="false">16+6.1/60</f>
        <v>16.1016666666667</v>
      </c>
      <c r="AG93" s="3" t="n">
        <f aca="false">16+19.4/60</f>
        <v>16.3233333333333</v>
      </c>
      <c r="AH93" s="3" t="n">
        <f aca="false">16+44.3/60</f>
        <v>16.7383333333333</v>
      </c>
      <c r="AI93" s="3" t="n">
        <f aca="false">17+0.3/60</f>
        <v>17.005</v>
      </c>
      <c r="AJ93" s="3" t="n">
        <f aca="false">60/3.6</f>
        <v>16.6666666666667</v>
      </c>
      <c r="AO93" s="0" t="n">
        <v>2</v>
      </c>
      <c r="AP93" s="0" t="n">
        <v>0</v>
      </c>
      <c r="AR93" s="3" t="n">
        <f aca="false">41+4/60</f>
        <v>41.0666666666667</v>
      </c>
      <c r="AS93" s="3" t="n">
        <f aca="false">54+30/60</f>
        <v>54.5</v>
      </c>
      <c r="AT93" s="3" t="n">
        <f aca="false">3+58/60</f>
        <v>3.96666666666667</v>
      </c>
      <c r="AU93" s="3" t="n">
        <f aca="false">30/60</f>
        <v>0.5</v>
      </c>
      <c r="AV93" s="3" t="n">
        <v>0</v>
      </c>
      <c r="AW93" s="0" t="s">
        <v>55</v>
      </c>
      <c r="AX93" s="0" t="s">
        <v>56</v>
      </c>
      <c r="AY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57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87</v>
      </c>
      <c r="N94" s="0" t="s">
        <v>62</v>
      </c>
      <c r="O94" s="0" t="s">
        <v>74</v>
      </c>
      <c r="P94" s="3" t="n">
        <v>9.77</v>
      </c>
      <c r="Q94" s="2" t="n">
        <v>646</v>
      </c>
      <c r="R94" s="2" t="n">
        <v>21466</v>
      </c>
      <c r="S94" s="2" t="n">
        <f aca="false">R94-Q94</f>
        <v>20820</v>
      </c>
      <c r="T94" s="3" t="n">
        <f aca="false">(120+37+14/60)/60</f>
        <v>2.62055555555556</v>
      </c>
      <c r="U94" s="3" t="n">
        <f aca="false">(120+43+37/60)/60</f>
        <v>2.72694444444444</v>
      </c>
      <c r="V94" s="3" t="n">
        <f aca="false">U94-T94</f>
        <v>0.106388888888889</v>
      </c>
      <c r="W94" s="3" t="n">
        <f aca="false">P94/T94</f>
        <v>3.72821708713165</v>
      </c>
      <c r="X94" s="0" t="n">
        <v>1</v>
      </c>
      <c r="Y94" s="3" t="n">
        <f aca="false">P94/X94</f>
        <v>9.77</v>
      </c>
      <c r="Z94" s="3" t="n">
        <f aca="false">16+5/60</f>
        <v>16.0833333333333</v>
      </c>
      <c r="AA94" s="2" t="n">
        <v>335</v>
      </c>
      <c r="AB94" s="2" t="n">
        <v>1565</v>
      </c>
      <c r="AC94" s="2" t="n">
        <v>110</v>
      </c>
      <c r="AD94" s="2" t="n">
        <v>147</v>
      </c>
      <c r="AE94" s="3" t="n">
        <f aca="false">15+42.6/60</f>
        <v>15.71</v>
      </c>
      <c r="AF94" s="3" t="n">
        <f aca="false">15+36.9/60</f>
        <v>15.615</v>
      </c>
      <c r="AG94" s="3" t="n">
        <f aca="false">15+37.1/60</f>
        <v>15.6183333333333</v>
      </c>
      <c r="AH94" s="3" t="n">
        <f aca="false">15+54.3/60</f>
        <v>15.905</v>
      </c>
      <c r="AI94" s="3" t="n">
        <f aca="false">16+17.5/60</f>
        <v>16.2916666666667</v>
      </c>
      <c r="AJ94" s="3" t="n">
        <f aca="false">16+35.4/60</f>
        <v>16.59</v>
      </c>
      <c r="AK94" s="3" t="n">
        <f aca="false">16+25.5/60</f>
        <v>16.425</v>
      </c>
      <c r="AL94" s="3" t="n">
        <f aca="false">15+43.4/60</f>
        <v>15.7233333333333</v>
      </c>
      <c r="AM94" s="3" t="n">
        <f aca="false">16+7.7/60</f>
        <v>16.1283333333333</v>
      </c>
      <c r="AN94" s="3" t="n">
        <f aca="false">60/3.5</f>
        <v>17.1428571428571</v>
      </c>
      <c r="AO94" s="0" t="n">
        <v>4</v>
      </c>
      <c r="AP94" s="0" t="n">
        <v>1</v>
      </c>
      <c r="AR94" s="3" t="n">
        <f aca="false">17+9/60</f>
        <v>17.15</v>
      </c>
      <c r="AS94" s="3" t="n">
        <f aca="false">25</f>
        <v>25</v>
      </c>
      <c r="AT94" s="3" t="n">
        <f aca="false">14+8/60</f>
        <v>14.1333333333333</v>
      </c>
      <c r="AU94" s="3" t="n">
        <f aca="false">27+43/60</f>
        <v>27.7166666666667</v>
      </c>
      <c r="AV94" s="3" t="n">
        <f aca="false">48+56/60</f>
        <v>48.9333333333333</v>
      </c>
      <c r="AW94" s="0" t="s">
        <v>55</v>
      </c>
      <c r="AX94" s="0" t="s">
        <v>56</v>
      </c>
      <c r="AY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57</v>
      </c>
      <c r="G95" s="2" t="n">
        <v>87</v>
      </c>
      <c r="I95" s="2" t="n">
        <v>0.56</v>
      </c>
      <c r="M95" s="0" t="s">
        <v>87</v>
      </c>
      <c r="N95" s="0" t="s">
        <v>53</v>
      </c>
      <c r="O95" s="0" t="s">
        <v>90</v>
      </c>
      <c r="P95" s="3" t="n">
        <v>6.75</v>
      </c>
      <c r="Q95" s="2" t="n">
        <v>1268</v>
      </c>
      <c r="R95" s="2" t="n">
        <v>15181</v>
      </c>
      <c r="S95" s="2" t="n">
        <f aca="false">R95-Q95</f>
        <v>13913</v>
      </c>
      <c r="T95" s="3" t="n">
        <f aca="false">(55+60)/60</f>
        <v>1.91666666666667</v>
      </c>
      <c r="U95" s="3" t="n">
        <f aca="false">(60+58)/60</f>
        <v>1.96666666666667</v>
      </c>
      <c r="V95" s="3" t="n">
        <f aca="false">U95-T95</f>
        <v>0.0499999999999998</v>
      </c>
      <c r="W95" s="3" t="n">
        <f aca="false">P95/T95</f>
        <v>3.52173913043478</v>
      </c>
      <c r="X95" s="0" t="n">
        <v>1</v>
      </c>
      <c r="Y95" s="3" t="n">
        <f aca="false">P95/X95</f>
        <v>6.75</v>
      </c>
      <c r="Z95" s="3" t="n">
        <f aca="false">16+54/60</f>
        <v>16.9</v>
      </c>
      <c r="AA95" s="2" t="n">
        <v>558</v>
      </c>
      <c r="AB95" s="2" t="n">
        <v>1227</v>
      </c>
      <c r="AC95" s="2" t="n">
        <v>119</v>
      </c>
      <c r="AD95" s="2" t="n">
        <v>149</v>
      </c>
      <c r="AE95" s="3" t="n">
        <f aca="false">16+32.5/60</f>
        <v>16.5416666666667</v>
      </c>
      <c r="AF95" s="3" t="n">
        <f aca="false">17+6.2/60</f>
        <v>17.1033333333333</v>
      </c>
      <c r="AG95" s="3" t="n">
        <f aca="false">17+33.8/60</f>
        <v>17.5633333333333</v>
      </c>
      <c r="AH95" s="3" t="n">
        <f aca="false">16+21.2/60</f>
        <v>16.3533333333333</v>
      </c>
      <c r="AI95" s="3" t="n">
        <f aca="false">16+43.8/60</f>
        <v>16.73</v>
      </c>
      <c r="AJ95" s="3" t="n">
        <f aca="false">16+56.1/60</f>
        <v>16.935</v>
      </c>
      <c r="AK95" s="3" t="n">
        <f aca="false">60/3.5</f>
        <v>17.1428571428571</v>
      </c>
      <c r="AO95" s="0" t="n">
        <v>1</v>
      </c>
      <c r="AP95" s="0" t="n">
        <v>2</v>
      </c>
      <c r="AR95" s="3" t="n">
        <f aca="false">6+4/60</f>
        <v>6.06666666666667</v>
      </c>
      <c r="AS95" s="3" t="n">
        <f aca="false">26+21/60</f>
        <v>26.35</v>
      </c>
      <c r="AT95" s="3" t="n">
        <f aca="false">13+33/60</f>
        <v>13.55</v>
      </c>
      <c r="AU95" s="3" t="n">
        <f aca="false">32+14/60</f>
        <v>32.2333333333333</v>
      </c>
      <c r="AV95" s="3" t="n">
        <f aca="false">35+52/60</f>
        <v>35.8666666666667</v>
      </c>
      <c r="AW95" s="0" t="s">
        <v>55</v>
      </c>
      <c r="AX95" s="0" t="s">
        <v>56</v>
      </c>
      <c r="AY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66</v>
      </c>
      <c r="F96" s="0" t="s">
        <v>52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52</v>
      </c>
      <c r="G97" s="2" t="n">
        <v>71</v>
      </c>
      <c r="I97" s="2" t="n">
        <v>59</v>
      </c>
      <c r="M97" s="0" t="s">
        <v>87</v>
      </c>
      <c r="N97" s="0" t="s">
        <v>53</v>
      </c>
      <c r="O97" s="0" t="s">
        <v>61</v>
      </c>
      <c r="P97" s="3" t="n">
        <v>8.93</v>
      </c>
      <c r="Q97" s="2" t="n">
        <v>1026</v>
      </c>
      <c r="R97" s="2" t="n">
        <v>19808</v>
      </c>
      <c r="S97" s="2" t="n">
        <v>18782</v>
      </c>
      <c r="T97" s="3" t="n">
        <f aca="false">( 120+18+34/60)/60</f>
        <v>2.30944444444444</v>
      </c>
      <c r="U97" s="3" t="n">
        <f aca="false">(120+31)/60</f>
        <v>2.51666666666667</v>
      </c>
      <c r="V97" s="3" t="n">
        <f aca="false">U97-T97</f>
        <v>0.207222222222222</v>
      </c>
      <c r="W97" s="3" t="n">
        <f aca="false">P97/T97</f>
        <v>3.86673081549194</v>
      </c>
      <c r="X97" s="0" t="n">
        <v>1</v>
      </c>
      <c r="Y97" s="3" t="n">
        <f aca="false">P97/X97</f>
        <v>8.93</v>
      </c>
      <c r="Z97" s="3" t="n">
        <f aca="false">15+27/60</f>
        <v>15.45</v>
      </c>
      <c r="AA97" s="2" t="n">
        <v>220</v>
      </c>
      <c r="AB97" s="2" t="n">
        <v>1258</v>
      </c>
      <c r="AC97" s="2" t="n">
        <v>109</v>
      </c>
      <c r="AD97" s="2" t="n">
        <v>163</v>
      </c>
      <c r="AE97" s="3" t="n">
        <f aca="false">15+27.2/60</f>
        <v>15.4533333333333</v>
      </c>
      <c r="AF97" s="3" t="n">
        <f aca="false">15+21.9/60</f>
        <v>15.365</v>
      </c>
      <c r="AG97" s="3" t="n">
        <f aca="false">16+16.1/60</f>
        <v>16.2683333333333</v>
      </c>
      <c r="AH97" s="3" t="n">
        <f aca="false">15+27.1/60</f>
        <v>15.4516666666667</v>
      </c>
      <c r="AI97" s="3" t="n">
        <f aca="false">17+3/60</f>
        <v>17.05</v>
      </c>
      <c r="AJ97" s="3" t="n">
        <f aca="false">15+34.8/60</f>
        <v>15.58</v>
      </c>
      <c r="AK97" s="3" t="n">
        <f aca="false">15+24.3/60</f>
        <v>15.405</v>
      </c>
      <c r="AL97" s="3" t="n">
        <f aca="false">14+45.6/60</f>
        <v>14.76</v>
      </c>
      <c r="AM97" s="3" t="n">
        <f aca="false">14+3.4/60</f>
        <v>14.0566666666667</v>
      </c>
      <c r="AN97" s="3" t="n">
        <v>15</v>
      </c>
      <c r="AO97" s="0" t="n">
        <v>2</v>
      </c>
      <c r="AP97" s="0" t="n">
        <v>1</v>
      </c>
      <c r="AR97" s="3" t="n">
        <f aca="false">27+11/60</f>
        <v>27.1833333333333</v>
      </c>
      <c r="AS97" s="3" t="n">
        <f aca="false">44+1/6</f>
        <v>44.1666666666667</v>
      </c>
      <c r="AT97" s="3" t="n">
        <f aca="false">25+24/60</f>
        <v>25.4</v>
      </c>
      <c r="AU97" s="3" t="n">
        <f aca="false">11+32/60</f>
        <v>11.5333333333333</v>
      </c>
      <c r="AV97" s="3" t="n">
        <f aca="false">28+9/60</f>
        <v>28.15</v>
      </c>
      <c r="AW97" s="0" t="s">
        <v>55</v>
      </c>
      <c r="AX97" s="0" t="s">
        <v>56</v>
      </c>
      <c r="AY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57</v>
      </c>
      <c r="G98" s="2" t="n">
        <f aca="false">AVERAGE(79,82)</f>
        <v>80.5</v>
      </c>
      <c r="I98" s="2" t="n">
        <f aca="false">AVERAGE(47+37)</f>
        <v>84</v>
      </c>
      <c r="M98" s="0" t="s">
        <v>87</v>
      </c>
      <c r="N98" s="0" t="s">
        <v>53</v>
      </c>
      <c r="O98" s="0" t="s">
        <v>70</v>
      </c>
      <c r="P98" s="3" t="n">
        <v>6.98</v>
      </c>
      <c r="Q98" s="2" t="n">
        <v>925</v>
      </c>
      <c r="R98" s="2" t="n">
        <v>16250</v>
      </c>
      <c r="S98" s="2" t="n">
        <f aca="false">R98-Q98</f>
        <v>15325</v>
      </c>
      <c r="T98" s="3" t="n">
        <f aca="false">(60+51+29/60)/60</f>
        <v>1.85805555555556</v>
      </c>
      <c r="U98" s="3" t="n">
        <f aca="false">(60+57)/60</f>
        <v>1.95</v>
      </c>
      <c r="V98" s="3" t="n">
        <f aca="false">U98-T98</f>
        <v>0.0919444444444444</v>
      </c>
      <c r="W98" s="3" t="n">
        <f aca="false">P98/T98</f>
        <v>3.75661533861564</v>
      </c>
      <c r="X98" s="0" t="n">
        <v>1</v>
      </c>
      <c r="Y98" s="3" t="n">
        <f aca="false">P98/X98</f>
        <v>6.98</v>
      </c>
      <c r="Z98" s="3" t="n">
        <f aca="false">15+59/60</f>
        <v>15.9833333333333</v>
      </c>
      <c r="AA98" s="2" t="n">
        <f aca="false">282</f>
        <v>282</v>
      </c>
      <c r="AB98" s="2" t="n">
        <v>1053</v>
      </c>
      <c r="AC98" s="2" t="n">
        <v>119</v>
      </c>
      <c r="AD98" s="2" t="n">
        <v>141</v>
      </c>
      <c r="AE98" s="3" t="n">
        <f aca="false">15+38.1/60</f>
        <v>15.635</v>
      </c>
      <c r="AF98" s="3" t="n">
        <f aca="false">15+33.1/60</f>
        <v>15.5516666666667</v>
      </c>
      <c r="AG98" s="3" t="n">
        <f aca="false">16+11.2/60</f>
        <v>16.1866666666667</v>
      </c>
      <c r="AH98" s="3" t="n">
        <f aca="false">15+28.2/60</f>
        <v>15.47</v>
      </c>
      <c r="AI98" s="3" t="n">
        <f aca="false">16+13/60</f>
        <v>16.2166666666667</v>
      </c>
      <c r="AJ98" s="3" t="n">
        <f aca="false">16+21.6/60</f>
        <v>16.36</v>
      </c>
      <c r="AK98" s="3" t="n">
        <f aca="false">60/3.7</f>
        <v>16.2162162162162</v>
      </c>
      <c r="AO98" s="0" t="n">
        <v>1</v>
      </c>
      <c r="AP98" s="0" t="n">
        <v>1</v>
      </c>
      <c r="AR98" s="3" t="n">
        <f aca="false">22/60</f>
        <v>0.366666666666667</v>
      </c>
      <c r="AS98" s="3" t="n">
        <f aca="false">5+2/60</f>
        <v>5.03333333333333</v>
      </c>
      <c r="AT98" s="3" t="n">
        <f aca="false">36+57/60</f>
        <v>36.95</v>
      </c>
      <c r="AU98" s="3" t="n">
        <f aca="false">60+6/60</f>
        <v>60.1</v>
      </c>
      <c r="AV98" s="3" t="n">
        <f aca="false">3.08/60</f>
        <v>0.0513333333333333</v>
      </c>
      <c r="AW98" s="0" t="s">
        <v>55</v>
      </c>
      <c r="AX98" s="0" t="s">
        <v>56</v>
      </c>
      <c r="AY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66</v>
      </c>
      <c r="F99" s="0" t="s">
        <v>57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91</v>
      </c>
      <c r="F100" s="0" t="s">
        <v>57</v>
      </c>
      <c r="G100" s="2" t="n">
        <f aca="false">AVERAGE(84,87)</f>
        <v>85.5</v>
      </c>
      <c r="I100" s="2" t="n">
        <f aca="false">AVERAGE(40,32)</f>
        <v>36</v>
      </c>
      <c r="M100" s="0" t="s">
        <v>87</v>
      </c>
      <c r="N100" s="0" t="s">
        <v>62</v>
      </c>
      <c r="O100" s="0" t="s">
        <v>88</v>
      </c>
      <c r="P100" s="3" t="n">
        <v>6.46</v>
      </c>
      <c r="Q100" s="2" t="n">
        <v>898</v>
      </c>
      <c r="R100" s="2" t="n">
        <v>14956</v>
      </c>
      <c r="S100" s="2" t="n">
        <f aca="false">R100-Q100</f>
        <v>14058</v>
      </c>
      <c r="T100" s="3" t="n">
        <f aca="false">(60+51)/60</f>
        <v>1.85</v>
      </c>
      <c r="U100" s="3" t="n">
        <f aca="false">(60+53)/60</f>
        <v>1.88333333333333</v>
      </c>
      <c r="V100" s="3" t="n">
        <f aca="false">U100-T100</f>
        <v>0.0333333333333332</v>
      </c>
      <c r="W100" s="3" t="n">
        <f aca="false">P100/T100</f>
        <v>3.49189189189189</v>
      </c>
      <c r="X100" s="0" t="n">
        <v>1</v>
      </c>
      <c r="Y100" s="3" t="n">
        <f aca="false">P100/X100</f>
        <v>6.46</v>
      </c>
      <c r="Z100" s="3" t="n">
        <f aca="false">17+17/60</f>
        <v>17.2833333333333</v>
      </c>
      <c r="AA100" s="2" t="n">
        <v>177</v>
      </c>
      <c r="AB100" s="2" t="n">
        <v>905</v>
      </c>
      <c r="AC100" s="2" t="n">
        <v>112</v>
      </c>
      <c r="AD100" s="2" t="n">
        <v>139</v>
      </c>
      <c r="AE100" s="3" t="n">
        <f aca="false">16+5.3/60</f>
        <v>16.0883333333333</v>
      </c>
      <c r="AF100" s="3" t="n">
        <f aca="false">16+6.9/70</f>
        <v>16.0985714285714</v>
      </c>
      <c r="AG100" s="3" t="n">
        <f aca="false">16+57.4/60</f>
        <v>16.9566666666667</v>
      </c>
      <c r="AH100" s="3" t="n">
        <f aca="false">19+16.7/60</f>
        <v>19.2783333333333</v>
      </c>
      <c r="AI100" s="3" t="n">
        <f aca="false">17+29.2/60</f>
        <v>17.4866666666667</v>
      </c>
      <c r="AJ100" s="3" t="n">
        <f aca="false">17+26.3/60</f>
        <v>17.4383333333333</v>
      </c>
      <c r="AK100" s="3" t="n">
        <f aca="false">60/3.5</f>
        <v>17.1428571428571</v>
      </c>
      <c r="AO100" s="0" t="n">
        <v>1</v>
      </c>
      <c r="AP100" s="0" t="n">
        <v>1</v>
      </c>
      <c r="AR100" s="3" t="n">
        <f aca="false">13/60</f>
        <v>0.216666666666667</v>
      </c>
      <c r="AS100" s="3" t="n">
        <f aca="false">28*37/60</f>
        <v>17.2666666666667</v>
      </c>
      <c r="AT100" s="3" t="n">
        <f aca="false">47+14/60</f>
        <v>47.2333333333333</v>
      </c>
      <c r="AU100" s="3" t="n">
        <f aca="false">34+46/60</f>
        <v>34.7666666666667</v>
      </c>
      <c r="AV100" s="3" t="n">
        <f aca="false">0.53/60</f>
        <v>0.00883333333333333</v>
      </c>
      <c r="AW100" s="0" t="s">
        <v>55</v>
      </c>
      <c r="AX100" s="0" t="s">
        <v>56</v>
      </c>
      <c r="AY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91</v>
      </c>
      <c r="F101" s="0" t="s">
        <v>57</v>
      </c>
      <c r="G101" s="2" t="n">
        <f aca="false">AVERAGE(86,87)</f>
        <v>86.5</v>
      </c>
      <c r="I101" s="2" t="n">
        <f aca="false">AVERAGE(36,35)</f>
        <v>35.5</v>
      </c>
      <c r="M101" s="0" t="s">
        <v>87</v>
      </c>
      <c r="N101" s="0" t="s">
        <v>62</v>
      </c>
      <c r="O101" s="0" t="s">
        <v>59</v>
      </c>
      <c r="P101" s="3" t="n">
        <v>6.45</v>
      </c>
      <c r="Q101" s="2" t="n">
        <v>287</v>
      </c>
      <c r="R101" s="2" t="n">
        <v>15039</v>
      </c>
      <c r="S101" s="2" t="n">
        <f aca="false">R101-Q101</f>
        <v>14752</v>
      </c>
      <c r="T101" s="3" t="n">
        <f aca="false">(60+55 + 19/60)/60</f>
        <v>1.92194444444444</v>
      </c>
      <c r="U101" s="3" t="n">
        <f aca="false">(60+59+35/60)/60</f>
        <v>1.99305555555556</v>
      </c>
      <c r="V101" s="3" t="n">
        <f aca="false">U101-T101</f>
        <v>0.0711111111111111</v>
      </c>
      <c r="W101" s="3" t="n">
        <f aca="false">P101/T101</f>
        <v>3.35597629715277</v>
      </c>
      <c r="X101" s="0" t="n">
        <v>1</v>
      </c>
      <c r="Y101" s="3" t="n">
        <f aca="false">P101/X101</f>
        <v>6.45</v>
      </c>
      <c r="Z101" s="3" t="n">
        <f aca="false">17+53/60</f>
        <v>17.8833333333333</v>
      </c>
      <c r="AA101" s="2" t="n">
        <v>308</v>
      </c>
      <c r="AB101" s="2" t="n">
        <v>893</v>
      </c>
      <c r="AC101" s="2" t="n">
        <v>106</v>
      </c>
      <c r="AD101" s="2" t="n">
        <v>138</v>
      </c>
      <c r="AE101" s="3" t="n">
        <f aca="false">16+50.8/60</f>
        <v>16.8466666666667</v>
      </c>
      <c r="AF101" s="3" t="n">
        <f aca="false">16+59/60</f>
        <v>16.9833333333333</v>
      </c>
      <c r="AG101" s="3" t="n">
        <f aca="false">17+18.4/60</f>
        <v>17.3066666666667</v>
      </c>
      <c r="AH101" s="3" t="n">
        <f aca="false">17+11.8/60</f>
        <v>17.1966666666667</v>
      </c>
      <c r="AI101" s="3" t="n">
        <f aca="false">20+0.9</f>
        <v>20.9</v>
      </c>
      <c r="AJ101" s="3" t="n">
        <f aca="false">18+22.7/60</f>
        <v>18.3783333333333</v>
      </c>
      <c r="AK101" s="3" t="n">
        <f aca="false">60/3.5</f>
        <v>17.1428571428571</v>
      </c>
      <c r="AO101" s="0" t="n">
        <v>2</v>
      </c>
      <c r="AP101" s="0" t="n">
        <v>0</v>
      </c>
      <c r="AR101" s="3" t="n">
        <f aca="false">1+26/60</f>
        <v>1.43333333333333</v>
      </c>
      <c r="AS101" s="3" t="n">
        <f aca="false">65+39/60</f>
        <v>65.65</v>
      </c>
      <c r="AT101" s="3" t="n">
        <f aca="false">20+35/60</f>
        <v>20.5833333333333</v>
      </c>
      <c r="AU101" s="3" t="n">
        <f aca="false">25+54/60</f>
        <v>25.9</v>
      </c>
      <c r="AV101" s="3" t="n">
        <f aca="false">1+48/60</f>
        <v>1.8</v>
      </c>
      <c r="AW101" s="0" t="s">
        <v>55</v>
      </c>
      <c r="AX101" s="0" t="s">
        <v>56</v>
      </c>
      <c r="AY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77</v>
      </c>
      <c r="G102" s="2" t="n">
        <f aca="false">AVERAGE(86,88)</f>
        <v>87</v>
      </c>
      <c r="I102" s="2" t="n">
        <f aca="false">AVERAGE(38,35)</f>
        <v>36.5</v>
      </c>
      <c r="M102" s="0" t="s">
        <v>87</v>
      </c>
      <c r="N102" s="0" t="s">
        <v>62</v>
      </c>
      <c r="O102" s="0" t="s">
        <v>74</v>
      </c>
      <c r="P102" s="3" t="n">
        <v>7.1</v>
      </c>
      <c r="Q102" s="2" t="n">
        <v>341</v>
      </c>
      <c r="R102" s="2" t="n">
        <v>15990</v>
      </c>
      <c r="S102" s="2" t="n">
        <f aca="false">R102-Q102</f>
        <v>15649</v>
      </c>
      <c r="T102" s="3" t="n">
        <f aca="false">(60+53)/60</f>
        <v>1.88333333333333</v>
      </c>
      <c r="U102" s="3" t="n">
        <f aca="false">(120+20/60)/60</f>
        <v>2.00555555555556</v>
      </c>
      <c r="V102" s="3" t="n">
        <f aca="false">U102-T102</f>
        <v>0.122222222222222</v>
      </c>
      <c r="W102" s="3" t="n">
        <f aca="false">P102/T102</f>
        <v>3.76991150442478</v>
      </c>
      <c r="X102" s="0" t="n">
        <v>1</v>
      </c>
      <c r="Y102" s="3" t="n">
        <f aca="false">P102/X102</f>
        <v>7.1</v>
      </c>
      <c r="Z102" s="3" t="n">
        <f aca="false">15+57/60</f>
        <v>15.95</v>
      </c>
      <c r="AA102" s="2" t="n">
        <v>840</v>
      </c>
      <c r="AB102" s="2" t="n">
        <v>876</v>
      </c>
      <c r="AC102" s="2" t="n">
        <v>92</v>
      </c>
      <c r="AD102" s="2" t="n">
        <v>151</v>
      </c>
      <c r="AE102" s="3" t="n">
        <f aca="false">14+58.7/60</f>
        <v>14.9783333333333</v>
      </c>
      <c r="AF102" s="3" t="n">
        <f aca="false">15+19.4/60</f>
        <v>15.3233333333333</v>
      </c>
      <c r="AG102" s="3" t="n">
        <f aca="false">15+43.3/60</f>
        <v>15.7216666666667</v>
      </c>
      <c r="AH102" s="3" t="n">
        <f aca="false">16+23.2/60</f>
        <v>16.3866666666667</v>
      </c>
      <c r="AI102" s="3" t="n">
        <f aca="false">16+17/60</f>
        <v>16.2833333333333</v>
      </c>
      <c r="AJ102" s="3" t="n">
        <f aca="false">16+48/60</f>
        <v>16.8</v>
      </c>
      <c r="AK102" s="3" t="n">
        <f aca="false">16+9.3/60</f>
        <v>16.155</v>
      </c>
      <c r="AL102" s="3" t="n">
        <f aca="false">60/3.8</f>
        <v>15.7894736842105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76</v>
      </c>
      <c r="G103" s="2" t="n">
        <v>73</v>
      </c>
      <c r="I103" s="2" t="n">
        <f aca="false">AVERAGE(90,79)</f>
        <v>84.5</v>
      </c>
      <c r="M103" s="0" t="s">
        <v>86</v>
      </c>
      <c r="N103" s="0" t="s">
        <v>62</v>
      </c>
      <c r="O103" s="0" t="s">
        <v>90</v>
      </c>
      <c r="P103" s="3" t="n">
        <v>6.71</v>
      </c>
      <c r="R103" s="2" t="n">
        <v>15412</v>
      </c>
      <c r="T103" s="3" t="n">
        <f aca="false">(60+59)/60</f>
        <v>1.98333333333333</v>
      </c>
      <c r="U103" s="3" t="n">
        <f aca="false">127/60</f>
        <v>2.11666666666667</v>
      </c>
      <c r="V103" s="3" t="n">
        <f aca="false">U103-T103</f>
        <v>0.133333333333333</v>
      </c>
      <c r="W103" s="3" t="n">
        <f aca="false">P103/T103</f>
        <v>3.38319327731092</v>
      </c>
      <c r="X103" s="0" t="n">
        <v>1</v>
      </c>
      <c r="Y103" s="3" t="n">
        <f aca="false">P103/X103</f>
        <v>6.71</v>
      </c>
      <c r="Z103" s="3" t="n">
        <f aca="false">17.67</f>
        <v>17.67</v>
      </c>
      <c r="AA103" s="2" t="n">
        <v>282</v>
      </c>
      <c r="AB103" s="2" t="n">
        <v>799</v>
      </c>
      <c r="AC103" s="2" t="n">
        <v>82</v>
      </c>
      <c r="AD103" s="2" t="n">
        <v>126</v>
      </c>
      <c r="AE103" s="3" t="n">
        <f aca="false">17+5.1/60</f>
        <v>17.085</v>
      </c>
      <c r="AF103" s="3" t="n">
        <f aca="false">16+27.3/60</f>
        <v>16.455</v>
      </c>
      <c r="AG103" s="3" t="n">
        <f aca="false">17+32/60</f>
        <v>17.5333333333333</v>
      </c>
      <c r="AH103" s="3" t="n">
        <f aca="false">17+45.1/60</f>
        <v>17.7516666666667</v>
      </c>
      <c r="AI103" s="3" t="n">
        <f aca="false">18+1/60</f>
        <v>18.0166666666667</v>
      </c>
      <c r="AJ103" s="3" t="n">
        <f aca="false">18+21/60</f>
        <v>18.35</v>
      </c>
      <c r="AK103" s="3" t="n">
        <f aca="false">60/3.4</f>
        <v>17.6470588235294</v>
      </c>
      <c r="AO103" s="0" t="n">
        <v>1</v>
      </c>
      <c r="AP103" s="0" t="n">
        <v>3</v>
      </c>
      <c r="AR103" s="3" t="n">
        <f aca="false">27.25</f>
        <v>27.25</v>
      </c>
      <c r="AS103" s="3" t="n">
        <f aca="false">13+43/60</f>
        <v>13.7166666666667</v>
      </c>
      <c r="AT103" s="3" t="n">
        <f aca="false">14+50/60</f>
        <v>14.8333333333333</v>
      </c>
      <c r="AU103" s="3" t="n">
        <f aca="false">6+13/60</f>
        <v>6.21666666666667</v>
      </c>
      <c r="AV103" s="3" t="n">
        <v>0</v>
      </c>
      <c r="AW103" s="0" t="s">
        <v>55</v>
      </c>
      <c r="AX103" s="0" t="s">
        <v>56</v>
      </c>
      <c r="AY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76</v>
      </c>
      <c r="G104" s="2" t="n">
        <v>86</v>
      </c>
      <c r="I104" s="2" t="n">
        <v>53</v>
      </c>
      <c r="M104" s="0" t="s">
        <v>87</v>
      </c>
      <c r="N104" s="0" t="s">
        <v>62</v>
      </c>
      <c r="O104" s="0" t="s">
        <v>88</v>
      </c>
      <c r="P104" s="3" t="n">
        <v>7.04</v>
      </c>
      <c r="Q104" s="2" t="n">
        <v>1392</v>
      </c>
      <c r="R104" s="2" t="n">
        <v>16929</v>
      </c>
      <c r="S104" s="2" t="n">
        <f aca="false">R104-Q104</f>
        <v>15537</v>
      </c>
      <c r="T104" s="3" t="n">
        <f aca="false">(60+59)/60</f>
        <v>1.98333333333333</v>
      </c>
      <c r="U104" s="3" t="n">
        <f aca="false">(120+26)/60</f>
        <v>2.43333333333333</v>
      </c>
      <c r="V104" s="3" t="n">
        <f aca="false">U104-T104</f>
        <v>0.45</v>
      </c>
      <c r="W104" s="3" t="n">
        <f aca="false">P104/T104</f>
        <v>3.54957983193277</v>
      </c>
      <c r="X104" s="0" t="n">
        <v>1</v>
      </c>
      <c r="Y104" s="3" t="n">
        <f aca="false">P104/X104</f>
        <v>7.04</v>
      </c>
      <c r="Z104" s="3" t="n">
        <f aca="false">16+53/60</f>
        <v>16.8833333333333</v>
      </c>
      <c r="AA104" s="2" t="n">
        <v>840</v>
      </c>
      <c r="AB104" s="2" t="n">
        <v>1174</v>
      </c>
      <c r="AC104" s="2" t="n">
        <v>118</v>
      </c>
      <c r="AD104" s="2" t="n">
        <v>154</v>
      </c>
      <c r="AE104" s="3" t="n">
        <f aca="false">15+43/60</f>
        <v>15.7166666666667</v>
      </c>
      <c r="AF104" s="3" t="n">
        <f aca="false">15+47/60</f>
        <v>15.7833333333333</v>
      </c>
      <c r="AG104" s="3" t="n">
        <f aca="false">17+4/60</f>
        <v>17.0666666666667</v>
      </c>
      <c r="AH104" s="3" t="n">
        <f aca="false">17+17/60</f>
        <v>17.2833333333333</v>
      </c>
      <c r="AI104" s="3" t="n">
        <f aca="false">17+44/60</f>
        <v>17.7333333333333</v>
      </c>
      <c r="AJ104" s="3" t="n">
        <f aca="false">17+38/60</f>
        <v>17.6333333333333</v>
      </c>
      <c r="AK104" s="3" t="n">
        <f aca="false">16+51/60</f>
        <v>16.85</v>
      </c>
      <c r="AL104" s="3" t="n">
        <f aca="false">60/3.6</f>
        <v>16.6666666666667</v>
      </c>
      <c r="AO104" s="0" t="n">
        <v>4</v>
      </c>
      <c r="AP104" s="0" t="n">
        <v>0</v>
      </c>
      <c r="AR104" s="3" t="n">
        <f aca="false">3+28/60</f>
        <v>3.46666666666667</v>
      </c>
      <c r="AS104" s="3" t="n">
        <f aca="false">36+3/60</f>
        <v>36.05</v>
      </c>
      <c r="AT104" s="3" t="n">
        <f aca="false">25+52/60</f>
        <v>25.8666666666667</v>
      </c>
      <c r="AU104" s="3" t="n">
        <f aca="false">15+28/60</f>
        <v>15.4666666666667</v>
      </c>
      <c r="AV104" s="3" t="n">
        <f aca="false">37+54/60</f>
        <v>37.9</v>
      </c>
      <c r="AW104" s="0" t="s">
        <v>55</v>
      </c>
      <c r="AX104" s="0" t="s">
        <v>56</v>
      </c>
      <c r="AY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57</v>
      </c>
      <c r="G105" s="2" t="n">
        <v>93</v>
      </c>
      <c r="I105" s="2" t="n">
        <v>47</v>
      </c>
      <c r="M105" s="0" t="s">
        <v>86</v>
      </c>
      <c r="N105" s="0" t="s">
        <v>53</v>
      </c>
      <c r="O105" s="0" t="s">
        <v>54</v>
      </c>
      <c r="P105" s="3" t="n">
        <v>4.62</v>
      </c>
      <c r="T105" s="3" t="n">
        <f aca="false">102/60</f>
        <v>1.7</v>
      </c>
      <c r="U105" s="3" t="n">
        <f aca="false">102/60</f>
        <v>1.7</v>
      </c>
      <c r="V105" s="3" t="n">
        <f aca="false">U105-T105</f>
        <v>0</v>
      </c>
      <c r="W105" s="3" t="n">
        <f aca="false">P105/T105</f>
        <v>2.71764705882353</v>
      </c>
      <c r="X105" s="0" t="n">
        <v>2</v>
      </c>
      <c r="Y105" s="3" t="n">
        <f aca="false">P105/X105</f>
        <v>2.31</v>
      </c>
      <c r="Z105" s="3" t="n">
        <f aca="false">22+1/60</f>
        <v>22.0166666666667</v>
      </c>
      <c r="AA105" s="2" t="n">
        <v>253</v>
      </c>
      <c r="AB105" s="2" t="n">
        <v>1044</v>
      </c>
      <c r="AC105" s="2" t="n">
        <v>118</v>
      </c>
      <c r="AD105" s="2" t="n">
        <v>134</v>
      </c>
      <c r="AE105" s="3" t="n">
        <f aca="false">22+49/60</f>
        <v>22.8166666666667</v>
      </c>
      <c r="AF105" s="3" t="n">
        <f aca="false">22+34/60</f>
        <v>22.5666666666667</v>
      </c>
      <c r="AG105" s="3" t="n">
        <f aca="false">22+29.7/60</f>
        <v>22.495</v>
      </c>
      <c r="AH105" s="3" t="n">
        <f aca="false">21+10.3/60</f>
        <v>21.1716666666667</v>
      </c>
      <c r="AI105" s="3" t="n">
        <f aca="false">60/2.9</f>
        <v>20.6896551724138</v>
      </c>
      <c r="AO105" s="0" t="n">
        <v>0</v>
      </c>
      <c r="AP105" s="0" t="n">
        <v>0</v>
      </c>
      <c r="AR105" s="3" t="n">
        <v>3.25</v>
      </c>
      <c r="AS105" s="3" t="n">
        <f aca="false">19+33/60</f>
        <v>19.55</v>
      </c>
      <c r="AT105" s="3" t="n">
        <f aca="false">6+2/60</f>
        <v>6.03333333333333</v>
      </c>
      <c r="AU105" s="3" t="n">
        <f aca="false">70+13/60</f>
        <v>70.2166666666667</v>
      </c>
      <c r="AV105" s="3" t="n">
        <f aca="false">2.5</f>
        <v>2.5</v>
      </c>
      <c r="AW105" s="0" t="s">
        <v>55</v>
      </c>
      <c r="AX105" s="0" t="s">
        <v>56</v>
      </c>
      <c r="AY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57</v>
      </c>
      <c r="G106" s="2" t="n">
        <f aca="false">AVERAGE(83,86)</f>
        <v>84.5</v>
      </c>
      <c r="I106" s="2" t="n">
        <f aca="false">AVERAGE(72,67)</f>
        <v>69.5</v>
      </c>
      <c r="M106" s="0" t="s">
        <v>86</v>
      </c>
      <c r="N106" s="0" t="s">
        <v>62</v>
      </c>
      <c r="O106" s="0" t="s">
        <v>54</v>
      </c>
      <c r="P106" s="3" t="n">
        <v>4.06</v>
      </c>
      <c r="Q106" s="2" t="n">
        <v>1196</v>
      </c>
      <c r="R106" s="2" t="n">
        <v>12451</v>
      </c>
      <c r="S106" s="2" t="n">
        <f aca="false">R106-Q106</f>
        <v>11255</v>
      </c>
      <c r="T106" s="3" t="n">
        <f aca="false">91/60</f>
        <v>1.51666666666667</v>
      </c>
      <c r="U106" s="3" t="n">
        <f aca="false">97/60</f>
        <v>1.61666666666667</v>
      </c>
      <c r="V106" s="3" t="n">
        <f aca="false">U106-T106</f>
        <v>0.1</v>
      </c>
      <c r="W106" s="3" t="n">
        <f aca="false">P106/T106</f>
        <v>2.67692307692308</v>
      </c>
      <c r="X106" s="0" t="n">
        <v>2</v>
      </c>
      <c r="Y106" s="3" t="n">
        <f aca="false">P106/X106</f>
        <v>2.03</v>
      </c>
      <c r="Z106" s="3" t="n">
        <f aca="false">22+19/60</f>
        <v>22.3166666666667</v>
      </c>
      <c r="AA106" s="2" t="n">
        <v>62</v>
      </c>
      <c r="AB106" s="2" t="n">
        <v>824</v>
      </c>
      <c r="AC106" s="2" t="n">
        <v>112</v>
      </c>
      <c r="AD106" s="2" t="n">
        <v>128</v>
      </c>
      <c r="AE106" s="3" t="n">
        <f aca="false">20+42/60</f>
        <v>20.7</v>
      </c>
      <c r="AF106" s="3" t="n">
        <f aca="false">23+10/60</f>
        <v>23.1666666666667</v>
      </c>
      <c r="AG106" s="3" t="n">
        <f aca="false">23+37/60</f>
        <v>23.6166666666667</v>
      </c>
      <c r="AH106" s="3" t="n">
        <f aca="false">21+49/60</f>
        <v>21.8166666666667</v>
      </c>
      <c r="AI106" s="3" t="n">
        <f aca="false">60/2.7</f>
        <v>22.2222222222222</v>
      </c>
      <c r="AO106" s="0" t="n">
        <v>1</v>
      </c>
      <c r="AP106" s="0" t="n">
        <v>0</v>
      </c>
      <c r="AR106" s="3" t="n">
        <f aca="false">5+38/60</f>
        <v>5.63333333333333</v>
      </c>
      <c r="AS106" s="3" t="n">
        <f aca="false">10+45/60</f>
        <v>10.75</v>
      </c>
      <c r="AT106" s="3" t="n">
        <f aca="false">53+46/60</f>
        <v>53.7666666666667</v>
      </c>
      <c r="AU106" s="3" t="n">
        <f aca="false">20</f>
        <v>20</v>
      </c>
      <c r="AV106" s="3" t="n">
        <v>0</v>
      </c>
      <c r="AW106" s="0" t="s">
        <v>55</v>
      </c>
      <c r="AX106" s="0" t="s">
        <v>56</v>
      </c>
      <c r="AY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92</v>
      </c>
      <c r="F107" s="0" t="s">
        <v>57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57</v>
      </c>
      <c r="G108" s="2" t="n">
        <f aca="false">AVERAGE(90,91)</f>
        <v>90.5</v>
      </c>
      <c r="I108" s="2" t="n">
        <f aca="false">AVERAGE(50,48)</f>
        <v>49</v>
      </c>
      <c r="M108" s="0" t="s">
        <v>86</v>
      </c>
      <c r="N108" s="0" t="s">
        <v>62</v>
      </c>
      <c r="O108" s="0" t="s">
        <v>54</v>
      </c>
      <c r="P108" s="3" t="n">
        <v>5.87</v>
      </c>
      <c r="T108" s="3" t="n">
        <f aca="false">123/60</f>
        <v>2.05</v>
      </c>
      <c r="U108" s="3" t="n">
        <f aca="false">124/60</f>
        <v>2.06666666666667</v>
      </c>
      <c r="V108" s="3" t="n">
        <f aca="false">U108-T108</f>
        <v>0.0166666666666671</v>
      </c>
      <c r="W108" s="3" t="n">
        <f aca="false">P108/T108</f>
        <v>2.86341463414634</v>
      </c>
      <c r="X108" s="0" t="n">
        <v>2</v>
      </c>
      <c r="Y108" s="3" t="n">
        <f aca="false">P108/X108</f>
        <v>2.935</v>
      </c>
      <c r="Z108" s="3" t="n">
        <f aca="false">20+53/60</f>
        <v>20.8833333333333</v>
      </c>
      <c r="AA108" s="2" t="n">
        <v>302</v>
      </c>
      <c r="AB108" s="2" t="n">
        <v>1491</v>
      </c>
      <c r="AC108" s="2" t="n">
        <v>130</v>
      </c>
      <c r="AD108" s="2" t="n">
        <v>150</v>
      </c>
      <c r="AE108" s="3" t="n">
        <f aca="false">18+29/60</f>
        <v>18.4833333333333</v>
      </c>
      <c r="AF108" s="3" t="n">
        <f aca="false">22+8/60</f>
        <v>22.1333333333333</v>
      </c>
      <c r="AG108" s="3" t="n">
        <f aca="false">22+17/60</f>
        <v>22.2833333333333</v>
      </c>
      <c r="AH108" s="3" t="n">
        <f aca="false">19+3/50</f>
        <v>19.06</v>
      </c>
      <c r="AI108" s="3" t="n">
        <f aca="false">20+59/60</f>
        <v>20.9833333333333</v>
      </c>
      <c r="AJ108" s="3" t="n">
        <f aca="false">60/2.6</f>
        <v>23.0769230769231</v>
      </c>
      <c r="AO108" s="0" t="n">
        <v>0</v>
      </c>
      <c r="AP108" s="0" t="n">
        <v>0</v>
      </c>
      <c r="AR108" s="3" t="n">
        <v>0</v>
      </c>
      <c r="AS108" s="3" t="n">
        <f aca="false">25/60</f>
        <v>0.416666666666667</v>
      </c>
      <c r="AT108" s="3" t="n">
        <f aca="false">5+33/60</f>
        <v>5.55</v>
      </c>
      <c r="AU108" s="3" t="n">
        <f aca="false">81+3/60</f>
        <v>81.05</v>
      </c>
      <c r="AV108" s="3" t="n">
        <f aca="false">35+41/60</f>
        <v>35.6833333333333</v>
      </c>
      <c r="AW108" s="0" t="s">
        <v>55</v>
      </c>
      <c r="AX108" s="0" t="s">
        <v>56</v>
      </c>
      <c r="AY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66</v>
      </c>
      <c r="F109" s="0" t="s">
        <v>57</v>
      </c>
      <c r="G109" s="2" t="n">
        <v>91</v>
      </c>
      <c r="I109" s="2" t="n">
        <v>50</v>
      </c>
      <c r="M109" s="0" t="s">
        <v>86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57</v>
      </c>
      <c r="G110" s="2" t="n">
        <v>95</v>
      </c>
      <c r="I110" s="2" t="n">
        <v>41</v>
      </c>
      <c r="M110" s="0" t="s">
        <v>86</v>
      </c>
      <c r="N110" s="0" t="s">
        <v>62</v>
      </c>
      <c r="O110" s="0" t="s">
        <v>54</v>
      </c>
      <c r="P110" s="3" t="n">
        <v>5.78</v>
      </c>
      <c r="Q110" s="2" t="n">
        <v>1718</v>
      </c>
      <c r="R110" s="2" t="n">
        <v>17665</v>
      </c>
      <c r="S110" s="2" t="n">
        <f aca="false">R110-Q110</f>
        <v>15947</v>
      </c>
      <c r="T110" s="3" t="n">
        <f aca="false">126/60</f>
        <v>2.1</v>
      </c>
      <c r="U110" s="3" t="n">
        <f aca="false">128/60</f>
        <v>2.13333333333333</v>
      </c>
      <c r="V110" s="3" t="n">
        <f aca="false">U110-T110</f>
        <v>0.0333333333333332</v>
      </c>
      <c r="W110" s="3" t="n">
        <f aca="false">P110/T110</f>
        <v>2.75238095238095</v>
      </c>
      <c r="X110" s="0" t="n">
        <v>2</v>
      </c>
      <c r="Y110" s="3" t="n">
        <f aca="false">P110/X110</f>
        <v>2.89</v>
      </c>
      <c r="Z110" s="3" t="n">
        <f aca="false">21+49/60</f>
        <v>21.8166666666667</v>
      </c>
      <c r="AA110" s="2" t="n">
        <v>177</v>
      </c>
      <c r="AB110" s="2" t="n">
        <v>1313</v>
      </c>
      <c r="AC110" s="2" t="n">
        <v>122</v>
      </c>
      <c r="AD110" s="2" t="n">
        <v>151</v>
      </c>
      <c r="AE110" s="3" t="n">
        <f aca="false">18+28/60</f>
        <v>18.4666666666667</v>
      </c>
      <c r="AF110" s="3" t="n">
        <f aca="false">22+8/60</f>
        <v>22.1333333333333</v>
      </c>
      <c r="AG110" s="3" t="n">
        <f aca="false">23+53/60</f>
        <v>23.8833333333333</v>
      </c>
      <c r="AH110" s="3" t="n">
        <f aca="false">21+19/60</f>
        <v>21.3166666666667</v>
      </c>
      <c r="AI110" s="3" t="n">
        <f aca="false">21+8/60</f>
        <v>21.1333333333333</v>
      </c>
      <c r="AJ110" s="3" t="n">
        <f aca="false">60/2.7</f>
        <v>22.2222222222222</v>
      </c>
      <c r="AO110" s="0" t="n">
        <v>1</v>
      </c>
      <c r="AP110" s="0" t="n">
        <v>1</v>
      </c>
      <c r="AR110" s="3" t="n">
        <f aca="false">4+27/60</f>
        <v>4.45</v>
      </c>
      <c r="AS110" s="3" t="n">
        <f aca="false">20+54/60</f>
        <v>20.9</v>
      </c>
      <c r="AT110" s="3" t="n">
        <f aca="false">9+35/60</f>
        <v>9.58333333333333</v>
      </c>
      <c r="AU110" s="3" t="n">
        <f aca="false">67+24/60</f>
        <v>67.4</v>
      </c>
      <c r="AV110" s="3" t="n">
        <f aca="false">23+55/60</f>
        <v>23.9166666666667</v>
      </c>
      <c r="AW110" s="0" t="s">
        <v>55</v>
      </c>
      <c r="AX110" s="0" t="s">
        <v>56</v>
      </c>
      <c r="AY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57</v>
      </c>
      <c r="G111" s="2" t="n">
        <v>90</v>
      </c>
      <c r="I111" s="2" t="n">
        <v>57</v>
      </c>
      <c r="M111" s="0" t="s">
        <v>86</v>
      </c>
      <c r="N111" s="0" t="s">
        <v>62</v>
      </c>
      <c r="O111" s="0" t="s">
        <v>54</v>
      </c>
      <c r="P111" s="3" t="n">
        <v>2.97</v>
      </c>
      <c r="T111" s="3" t="n">
        <f aca="false">64/60</f>
        <v>1.06666666666667</v>
      </c>
      <c r="U111" s="3" t="n">
        <f aca="false">T111</f>
        <v>1.06666666666667</v>
      </c>
      <c r="V111" s="3" t="n">
        <f aca="false">U111-T111</f>
        <v>0</v>
      </c>
      <c r="W111" s="3" t="n">
        <f aca="false">P111/T111</f>
        <v>2.784375</v>
      </c>
      <c r="X111" s="0" t="n">
        <v>1</v>
      </c>
      <c r="Y111" s="3" t="n">
        <f aca="false">P111/X111</f>
        <v>2.97</v>
      </c>
      <c r="Z111" s="3" t="n">
        <f aca="false">21+31/60</f>
        <v>21.5166666666667</v>
      </c>
      <c r="AA111" s="2" t="n">
        <v>210</v>
      </c>
      <c r="AB111" s="2" t="n">
        <v>649</v>
      </c>
      <c r="AC111" s="2" t="n">
        <v>119</v>
      </c>
      <c r="AD111" s="2" t="n">
        <v>137</v>
      </c>
      <c r="AE111" s="3" t="n">
        <f aca="false">20+46/60</f>
        <v>20.7666666666667</v>
      </c>
      <c r="AF111" s="3" t="n">
        <f aca="false">20+15/60</f>
        <v>20.25</v>
      </c>
      <c r="AG111" s="3" t="n">
        <f aca="false">60/2.8</f>
        <v>21.4285714285714</v>
      </c>
      <c r="AO111" s="0" t="n">
        <v>0</v>
      </c>
      <c r="AP111" s="0" t="n">
        <v>0</v>
      </c>
      <c r="AR111" s="3" t="n">
        <f aca="false">19/60</f>
        <v>0.316666666666667</v>
      </c>
      <c r="AS111" s="3" t="n">
        <f aca="false">9+11/60</f>
        <v>9.18333333333333</v>
      </c>
      <c r="AT111" s="3" t="n">
        <f aca="false">14+1/60</f>
        <v>14.0166666666667</v>
      </c>
      <c r="AU111" s="3" t="n">
        <f aca="false">39+45/60</f>
        <v>39.75</v>
      </c>
      <c r="AV111" s="3" t="n">
        <f aca="false">41/60</f>
        <v>0.683333333333333</v>
      </c>
      <c r="AW111" s="0" t="s">
        <v>55</v>
      </c>
      <c r="AX111" s="0" t="s">
        <v>56</v>
      </c>
      <c r="AY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57</v>
      </c>
      <c r="G112" s="2" t="n">
        <v>97</v>
      </c>
      <c r="I112" s="2" t="n">
        <v>26</v>
      </c>
      <c r="M112" s="0" t="s">
        <v>86</v>
      </c>
      <c r="N112" s="0" t="s">
        <v>62</v>
      </c>
      <c r="O112" s="0" t="s">
        <v>93</v>
      </c>
      <c r="P112" s="3" t="n">
        <v>1.25</v>
      </c>
      <c r="T112" s="3" t="n">
        <f aca="false">31/60</f>
        <v>0.516666666666667</v>
      </c>
      <c r="U112" s="3" t="n">
        <f aca="false">32/60</f>
        <v>0.533333333333333</v>
      </c>
      <c r="V112" s="3" t="n">
        <f aca="false">U112-T112</f>
        <v>0.0166666666666666</v>
      </c>
      <c r="W112" s="3" t="n">
        <f aca="false">P112/T112</f>
        <v>2.41935483870968</v>
      </c>
      <c r="X112" s="0" t="n">
        <v>1</v>
      </c>
      <c r="Y112" s="3" t="n">
        <f aca="false">P112/X112</f>
        <v>1.25</v>
      </c>
      <c r="Z112" s="3" t="n">
        <f aca="false">24+54/60</f>
        <v>24.9</v>
      </c>
      <c r="AA112" s="2" t="n">
        <v>16</v>
      </c>
      <c r="AB112" s="2" t="n">
        <v>279</v>
      </c>
      <c r="AC112" s="2" t="n">
        <v>108</v>
      </c>
      <c r="AD112" s="2" t="n">
        <v>120</v>
      </c>
      <c r="AE112" s="3" t="n">
        <f aca="false">24+17/60</f>
        <v>24.2833333333333</v>
      </c>
      <c r="AF112" s="3" t="n">
        <f aca="false">60/2.4</f>
        <v>25</v>
      </c>
      <c r="AO112" s="0" t="n">
        <v>0</v>
      </c>
      <c r="AP112" s="0" t="n">
        <v>0</v>
      </c>
      <c r="AR112" s="3" t="n">
        <v>0</v>
      </c>
      <c r="AS112" s="3" t="n">
        <f aca="false">9+20/60</f>
        <v>9.33333333333333</v>
      </c>
      <c r="AT112" s="3" t="n">
        <f aca="false">21+26/60</f>
        <v>21.4333333333333</v>
      </c>
      <c r="AU112" s="3" t="n">
        <v>0.333333333333333</v>
      </c>
      <c r="AV112" s="3" t="n">
        <v>0</v>
      </c>
      <c r="AW112" s="0" t="s">
        <v>55</v>
      </c>
      <c r="AX112" s="0" t="s">
        <v>56</v>
      </c>
      <c r="AY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57</v>
      </c>
      <c r="G113" s="2" t="n">
        <v>76</v>
      </c>
      <c r="H113" s="2" t="n">
        <v>43</v>
      </c>
      <c r="I113" s="2" t="n">
        <v>23</v>
      </c>
      <c r="J113" s="2" t="s">
        <v>94</v>
      </c>
      <c r="K113" s="2" t="n">
        <v>12</v>
      </c>
      <c r="L113" s="2" t="n">
        <v>25</v>
      </c>
      <c r="M113" s="0" t="s">
        <v>87</v>
      </c>
      <c r="N113" s="0" t="s">
        <v>53</v>
      </c>
      <c r="O113" s="0" t="s">
        <v>61</v>
      </c>
      <c r="P113" s="3" t="n">
        <v>7.53</v>
      </c>
      <c r="Q113" s="2" t="n">
        <v>1541</v>
      </c>
      <c r="R113" s="2" t="n">
        <v>17850</v>
      </c>
      <c r="S113" s="2" t="n">
        <f aca="false">R113-Q113</f>
        <v>16309</v>
      </c>
      <c r="T113" s="3" t="n">
        <f aca="false">119/60</f>
        <v>1.98333333333333</v>
      </c>
      <c r="U113" s="3" t="n">
        <v>2.28333333333333</v>
      </c>
      <c r="V113" s="3" t="n">
        <f aca="false">U113-T113</f>
        <v>0.299999999999997</v>
      </c>
      <c r="W113" s="3" t="n">
        <f aca="false">P113/T113</f>
        <v>3.79663865546218</v>
      </c>
      <c r="X113" s="0" t="n">
        <v>1</v>
      </c>
      <c r="Y113" s="3" t="n">
        <f aca="false">P113/X113</f>
        <v>7.53</v>
      </c>
      <c r="Z113" s="3" t="n">
        <f aca="false">15+49/60</f>
        <v>15.8166666666667</v>
      </c>
      <c r="AA113" s="2" t="n">
        <v>151</v>
      </c>
      <c r="AB113" s="2" t="n">
        <v>1211</v>
      </c>
      <c r="AC113" s="2" t="n">
        <v>122</v>
      </c>
      <c r="AD113" s="2" t="n">
        <v>151</v>
      </c>
      <c r="AE113" s="3" t="n">
        <f aca="false">15+17/60</f>
        <v>15.2833333333333</v>
      </c>
      <c r="AF113" s="3" t="n">
        <f aca="false">15+2/60</f>
        <v>15.0333333333333</v>
      </c>
      <c r="AG113" s="3" t="n">
        <f aca="false">15+10/60</f>
        <v>15.1666666666667</v>
      </c>
      <c r="AH113" s="3" t="n">
        <f aca="false">15+49/60</f>
        <v>15.8166666666667</v>
      </c>
      <c r="AI113" s="3" t="n">
        <f aca="false">16+56/60</f>
        <v>16.9333333333333</v>
      </c>
      <c r="AJ113" s="3" t="n">
        <f aca="false">16+42/60</f>
        <v>16.7</v>
      </c>
      <c r="AK113" s="3" t="n">
        <f aca="false">16+42/60</f>
        <v>16.7</v>
      </c>
      <c r="AL113" s="3" t="n">
        <f aca="false">60/3.7</f>
        <v>16.2162162162162</v>
      </c>
      <c r="AO113" s="0" t="n">
        <v>5</v>
      </c>
      <c r="AP113" s="0" t="n">
        <v>1</v>
      </c>
      <c r="AR113" s="3" t="n">
        <f aca="false">51/60</f>
        <v>0.85</v>
      </c>
      <c r="AS113" s="3" t="n">
        <f aca="false">(33+3/60)</f>
        <v>33.05</v>
      </c>
      <c r="AT113" s="3" t="n">
        <f aca="false">17/60</f>
        <v>0.283333333333333</v>
      </c>
      <c r="AU113" s="3" t="n">
        <f aca="false">(14+54/60)/60</f>
        <v>0.248333333333333</v>
      </c>
      <c r="AV113" s="3" t="n">
        <f aca="false">(53+18/60)/60</f>
        <v>0.888333333333333</v>
      </c>
      <c r="AW113" s="0" t="s">
        <v>55</v>
      </c>
      <c r="AX113" s="0" t="s">
        <v>56</v>
      </c>
      <c r="AY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57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95</v>
      </c>
      <c r="K114" s="2" t="n">
        <v>7</v>
      </c>
      <c r="L114" s="2" t="n">
        <v>0</v>
      </c>
      <c r="M114" s="0" t="s">
        <v>87</v>
      </c>
      <c r="N114" s="0" t="s">
        <v>53</v>
      </c>
      <c r="O114" s="0" t="s">
        <v>88</v>
      </c>
      <c r="P114" s="3" t="n">
        <v>5.23</v>
      </c>
      <c r="Q114" s="2" t="n">
        <v>1265</v>
      </c>
      <c r="R114" s="2" t="n">
        <v>12504</v>
      </c>
      <c r="S114" s="2" t="n">
        <f aca="false">R114-Q114</f>
        <v>11239</v>
      </c>
      <c r="T114" s="3" t="n">
        <f aca="false">87/60</f>
        <v>1.45</v>
      </c>
      <c r="U114" s="3" t="n">
        <f aca="false">95/60</f>
        <v>1.58333333333333</v>
      </c>
      <c r="V114" s="3" t="n">
        <f aca="false">U114-T114</f>
        <v>0.133333333333333</v>
      </c>
      <c r="W114" s="3" t="n">
        <f aca="false">P114/T114</f>
        <v>3.60689655172414</v>
      </c>
      <c r="X114" s="0" t="n">
        <v>1</v>
      </c>
      <c r="Y114" s="3" t="n">
        <f aca="false">P114/X114</f>
        <v>5.23</v>
      </c>
      <c r="Z114" s="3" t="n">
        <f aca="false">16+34/60</f>
        <v>16.5666666666667</v>
      </c>
      <c r="AA114" s="2" t="n">
        <v>135</v>
      </c>
      <c r="AB114" s="2" t="n">
        <v>745</v>
      </c>
      <c r="AC114" s="2" t="n">
        <v>119</v>
      </c>
      <c r="AD114" s="2" t="n">
        <v>131</v>
      </c>
      <c r="AE114" s="3" t="n">
        <f aca="false">15+45/60</f>
        <v>15.75</v>
      </c>
      <c r="AF114" s="3" t="n">
        <f aca="false">17+9/60</f>
        <v>17.15</v>
      </c>
      <c r="AG114" s="3" t="n">
        <f aca="false">16+56/60</f>
        <v>16.9333333333333</v>
      </c>
      <c r="AH114" s="3" t="n">
        <f aca="false">16+36/60</f>
        <v>16.6</v>
      </c>
      <c r="AI114" s="3" t="n">
        <f aca="false">16+24/60</f>
        <v>16.4</v>
      </c>
      <c r="AJ114" s="3" t="n">
        <f aca="false">60/3.6</f>
        <v>16.6666666666667</v>
      </c>
      <c r="AO114" s="0" t="n">
        <v>0</v>
      </c>
      <c r="AP114" s="0" t="n">
        <v>0</v>
      </c>
      <c r="AR114" s="3" t="n">
        <v>0</v>
      </c>
      <c r="AS114" s="3" t="n">
        <f aca="false">7+16/60</f>
        <v>7.26666666666667</v>
      </c>
      <c r="AT114" s="3" t="n">
        <f aca="false">25+43/60</f>
        <v>25.7166666666667</v>
      </c>
      <c r="AU114" s="3" t="n">
        <f aca="false">53+38/60</f>
        <v>53.6333333333333</v>
      </c>
      <c r="AV114" s="3" t="n">
        <v>0</v>
      </c>
      <c r="AW114" s="0" t="s">
        <v>55</v>
      </c>
      <c r="AX114" s="0" t="s">
        <v>56</v>
      </c>
      <c r="AY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57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96</v>
      </c>
      <c r="K115" s="2" t="n">
        <v>15</v>
      </c>
      <c r="L115" s="2" t="n">
        <v>29</v>
      </c>
      <c r="M115" s="0" t="s">
        <v>87</v>
      </c>
      <c r="N115" s="0" t="s">
        <v>62</v>
      </c>
      <c r="O115" s="0" t="s">
        <v>74</v>
      </c>
      <c r="P115" s="3" t="n">
        <v>7.84</v>
      </c>
      <c r="Q115" s="2" t="n">
        <v>591</v>
      </c>
      <c r="R115" s="2" t="n">
        <v>18113</v>
      </c>
      <c r="S115" s="2" t="n">
        <f aca="false">R115-Q115</f>
        <v>17522</v>
      </c>
      <c r="T115" s="3" t="n">
        <f aca="false">(120+12)/60</f>
        <v>2.2</v>
      </c>
      <c r="U115" s="3" t="n">
        <f aca="false">(120+44)/60</f>
        <v>2.73333333333333</v>
      </c>
      <c r="V115" s="3" t="n">
        <f aca="false">U115-T115</f>
        <v>0.533333333333333</v>
      </c>
      <c r="W115" s="3" t="n">
        <f aca="false">P115/T115</f>
        <v>3.56363636363636</v>
      </c>
      <c r="X115" s="0" t="n">
        <v>1</v>
      </c>
      <c r="Y115" s="3" t="n">
        <f aca="false">P115/X115</f>
        <v>7.84</v>
      </c>
      <c r="Z115" s="3" t="n">
        <f aca="false">16+51/60</f>
        <v>16.85</v>
      </c>
      <c r="AA115" s="2" t="n">
        <v>515</v>
      </c>
      <c r="AB115" s="2" t="n">
        <v>1333</v>
      </c>
      <c r="AC115" s="2" t="n">
        <v>123</v>
      </c>
      <c r="AD115" s="2" t="n">
        <v>151</v>
      </c>
      <c r="AE115" s="3" t="n">
        <f aca="false">15+3/60</f>
        <v>15.05</v>
      </c>
      <c r="AF115" s="3" t="n">
        <f aca="false">14+57/60</f>
        <v>14.95</v>
      </c>
      <c r="AG115" s="3" t="n">
        <f aca="false">15+38/60</f>
        <v>15.6333333333333</v>
      </c>
      <c r="AH115" s="3" t="n">
        <f aca="false">16+28/60</f>
        <v>16.4666666666667</v>
      </c>
      <c r="AI115" s="3" t="n">
        <f aca="false">18+22/60</f>
        <v>18.3666666666667</v>
      </c>
      <c r="AJ115" s="3" t="n">
        <f aca="false">18+54/60</f>
        <v>18.9</v>
      </c>
      <c r="AK115" s="3" t="n">
        <f aca="false">18+13/60</f>
        <v>18.2166666666667</v>
      </c>
      <c r="AL115" s="3" t="n">
        <f aca="false">60/3.6</f>
        <v>16.6666666666667</v>
      </c>
      <c r="AO115" s="0" t="n">
        <v>6</v>
      </c>
      <c r="AP115" s="0" t="n">
        <v>0</v>
      </c>
      <c r="AR115" s="3" t="n">
        <f aca="false">1+20/60</f>
        <v>1.33333333333333</v>
      </c>
      <c r="AS115" s="3" t="n">
        <f aca="false">23+7/60</f>
        <v>23.1166666666667</v>
      </c>
      <c r="AT115" s="3" t="n">
        <f aca="false">16+33/60</f>
        <v>16.55</v>
      </c>
      <c r="AU115" s="3" t="n">
        <f aca="false">49+58/60</f>
        <v>49.9666666666667</v>
      </c>
      <c r="AV115" s="3" t="n">
        <f aca="false">(41+16/60)/60</f>
        <v>0.687777777777778</v>
      </c>
      <c r="AW115" s="0" t="s">
        <v>55</v>
      </c>
      <c r="AX115" s="0" t="s">
        <v>56</v>
      </c>
      <c r="AY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57</v>
      </c>
      <c r="G116" s="2" t="n">
        <v>92</v>
      </c>
      <c r="H116" s="2" t="n">
        <v>56</v>
      </c>
      <c r="I116" s="2" t="n">
        <v>30</v>
      </c>
      <c r="J116" s="2" t="s">
        <v>96</v>
      </c>
      <c r="K116" s="2" t="n">
        <v>13</v>
      </c>
      <c r="L116" s="2" t="n">
        <v>22</v>
      </c>
      <c r="M116" s="0" t="s">
        <v>87</v>
      </c>
      <c r="N116" s="0" t="s">
        <v>53</v>
      </c>
      <c r="O116" s="0" t="s">
        <v>93</v>
      </c>
      <c r="P116" s="3" t="n">
        <v>5.32</v>
      </c>
      <c r="T116" s="3" t="n">
        <f aca="false">131/60</f>
        <v>2.18333333333333</v>
      </c>
      <c r="U116" s="3" t="n">
        <f aca="false">132/60</f>
        <v>2.2</v>
      </c>
      <c r="V116" s="3" t="n">
        <f aca="false">U116-T116</f>
        <v>0.0166666666666671</v>
      </c>
      <c r="W116" s="3" t="n">
        <f aca="false">P116/T116</f>
        <v>2.43664122137405</v>
      </c>
      <c r="X116" s="0" t="n">
        <v>4</v>
      </c>
      <c r="Y116" s="3" t="n">
        <f aca="false">P116/X116</f>
        <v>1.33</v>
      </c>
      <c r="Z116" s="3" t="n">
        <f aca="false">24+35/60</f>
        <v>24.5833333333333</v>
      </c>
      <c r="AA116" s="2" t="n">
        <v>89</v>
      </c>
      <c r="AB116" s="2" t="n">
        <v>641</v>
      </c>
      <c r="AC116" s="2" t="n">
        <v>84</v>
      </c>
      <c r="AD116" s="2" t="n">
        <v>124</v>
      </c>
      <c r="AE116" s="3" t="n">
        <f aca="false">24+53/60</f>
        <v>24.8833333333333</v>
      </c>
      <c r="AF116" s="3" t="n">
        <f aca="false">21+45/60</f>
        <v>21.75</v>
      </c>
      <c r="AG116" s="3" t="n">
        <f aca="false">22+46/60</f>
        <v>22.7666666666667</v>
      </c>
      <c r="AH116" s="3" t="n">
        <f aca="false">28+29/60</f>
        <v>28.4833333333333</v>
      </c>
      <c r="AI116" s="3" t="n">
        <f aca="false">25+33/60</f>
        <v>25.55</v>
      </c>
      <c r="AJ116" s="3" t="n">
        <f aca="false">60/2.6</f>
        <v>23.0769230769231</v>
      </c>
      <c r="AO116" s="0" t="n">
        <v>0</v>
      </c>
      <c r="AP116" s="0" t="n">
        <v>0</v>
      </c>
      <c r="AR116" s="3" t="n">
        <f aca="false">52+36/60</f>
        <v>52.6</v>
      </c>
      <c r="AS116" s="3" t="n">
        <f aca="false">15+57/60</f>
        <v>15.95</v>
      </c>
      <c r="AT116" s="3" t="n">
        <f aca="false">20+35/60</f>
        <v>20.5833333333333</v>
      </c>
      <c r="AU116" s="3" t="n">
        <f aca="false">59/60</f>
        <v>0.983333333333333</v>
      </c>
      <c r="AV116" s="3" t="n">
        <v>0</v>
      </c>
      <c r="AW116" s="0" t="s">
        <v>55</v>
      </c>
      <c r="AX116" s="0" t="s">
        <v>56</v>
      </c>
      <c r="AY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57</v>
      </c>
      <c r="G117" s="2" t="n">
        <v>92</v>
      </c>
      <c r="H117" s="2" t="n">
        <v>57</v>
      </c>
      <c r="I117" s="2" t="n">
        <v>31</v>
      </c>
      <c r="J117" s="2" t="s">
        <v>97</v>
      </c>
      <c r="K117" s="2" t="n">
        <v>13</v>
      </c>
      <c r="L117" s="2" t="n">
        <v>18</v>
      </c>
      <c r="M117" s="0" t="s">
        <v>87</v>
      </c>
      <c r="N117" s="0" t="s">
        <v>62</v>
      </c>
      <c r="O117" s="0" t="s">
        <v>93</v>
      </c>
      <c r="P117" s="3" t="n">
        <v>4.32</v>
      </c>
      <c r="Q117" s="2" t="n">
        <v>1624</v>
      </c>
      <c r="R117" s="2" t="n">
        <v>15611</v>
      </c>
      <c r="S117" s="2" t="n">
        <f aca="false">R117-Q117</f>
        <v>13987</v>
      </c>
      <c r="T117" s="3" t="n">
        <f aca="false">109/60</f>
        <v>1.81666666666667</v>
      </c>
      <c r="U117" s="3" t="n">
        <f aca="false">111/60</f>
        <v>1.85</v>
      </c>
      <c r="V117" s="3" t="n">
        <f aca="false">U117-T117</f>
        <v>0.0333333333333334</v>
      </c>
      <c r="W117" s="3" t="n">
        <f aca="false">P117/T117</f>
        <v>2.37798165137615</v>
      </c>
      <c r="X117" s="0" t="n">
        <v>3</v>
      </c>
      <c r="Y117" s="3" t="n">
        <f aca="false">P117/X117</f>
        <v>1.44</v>
      </c>
      <c r="Z117" s="3" t="n">
        <f aca="false">25+22/60</f>
        <v>25.3666666666667</v>
      </c>
      <c r="AA117" s="2" t="n">
        <v>72</v>
      </c>
      <c r="AB117" s="2" t="n">
        <v>679</v>
      </c>
      <c r="AC117" s="2" t="n">
        <v>101</v>
      </c>
      <c r="AD117" s="2" t="n">
        <v>133</v>
      </c>
      <c r="AE117" s="3" t="n">
        <f aca="false">25+58/60</f>
        <v>25.9666666666667</v>
      </c>
      <c r="AF117" s="3" t="n">
        <f aca="false">26+32/60</f>
        <v>26.5333333333333</v>
      </c>
      <c r="AG117" s="3" t="n">
        <f aca="false">24+21/60</f>
        <v>24.35</v>
      </c>
      <c r="AH117" s="3" t="n">
        <f aca="false">24+56/60</f>
        <v>24.9333333333333</v>
      </c>
      <c r="AI117" s="3" t="n">
        <f aca="false">60/2.8</f>
        <v>21.4285714285714</v>
      </c>
      <c r="AO117" s="0" t="n">
        <v>0</v>
      </c>
      <c r="AP117" s="0" t="n">
        <v>0</v>
      </c>
      <c r="AR117" s="3" t="n">
        <f aca="false">9+3/60</f>
        <v>9.05</v>
      </c>
      <c r="AS117" s="3" t="n">
        <f aca="false">62+3/60</f>
        <v>62.05</v>
      </c>
      <c r="AT117" s="3" t="n">
        <f aca="false">32+42/60</f>
        <v>32.7</v>
      </c>
      <c r="AU117" s="3" t="n">
        <f aca="false">5+2/60</f>
        <v>5.03333333333333</v>
      </c>
      <c r="AV117" s="3" t="n">
        <v>0</v>
      </c>
      <c r="AW117" s="0" t="s">
        <v>55</v>
      </c>
      <c r="AX117" s="0" t="s">
        <v>56</v>
      </c>
      <c r="AY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57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96</v>
      </c>
      <c r="K118" s="2" t="n">
        <v>7</v>
      </c>
      <c r="L118" s="2" t="n">
        <v>0</v>
      </c>
      <c r="M118" s="0" t="s">
        <v>87</v>
      </c>
      <c r="N118" s="0" t="s">
        <v>53</v>
      </c>
      <c r="O118" s="0" t="s">
        <v>93</v>
      </c>
      <c r="P118" s="3" t="n">
        <v>4.39</v>
      </c>
      <c r="Q118" s="2" t="n">
        <v>829</v>
      </c>
      <c r="R118" s="2" t="n">
        <v>14530</v>
      </c>
      <c r="S118" s="2" t="n">
        <f aca="false">R118-Q118</f>
        <v>13701</v>
      </c>
      <c r="T118" s="3" t="n">
        <f aca="false">(60+43)/60</f>
        <v>1.71666666666667</v>
      </c>
      <c r="U118" s="3" t="n">
        <f aca="false">(60+44)/60</f>
        <v>1.73333333333333</v>
      </c>
      <c r="V118" s="3" t="n">
        <f aca="false">U118-T118</f>
        <v>0.0166666666666668</v>
      </c>
      <c r="W118" s="3" t="n">
        <f aca="false">P118/T118</f>
        <v>2.55728155339806</v>
      </c>
      <c r="X118" s="0" t="n">
        <v>3</v>
      </c>
      <c r="Y118" s="3" t="n">
        <f aca="false">P118/X118</f>
        <v>1.46333333333333</v>
      </c>
      <c r="Z118" s="3" t="n">
        <f aca="false">23+28/60</f>
        <v>23.4666666666667</v>
      </c>
      <c r="AA118" s="2" t="n">
        <v>312</v>
      </c>
      <c r="AB118" s="2" t="n">
        <v>1053</v>
      </c>
      <c r="AC118" s="2" t="n">
        <v>124</v>
      </c>
      <c r="AD118" s="2" t="n">
        <v>145</v>
      </c>
      <c r="AE118" s="3" t="n">
        <f aca="false">20+27/60</f>
        <v>20.45</v>
      </c>
      <c r="AF118" s="3" t="n">
        <f aca="false">20+40/60</f>
        <v>20.6666666666667</v>
      </c>
      <c r="AG118" s="3" t="n">
        <f aca="false">24+24/60</f>
        <v>24.4</v>
      </c>
      <c r="AH118" s="3" t="n">
        <f aca="false">27+13/60</f>
        <v>27.2166666666667</v>
      </c>
      <c r="AI118" s="3" t="n">
        <f aca="false">60/2.6</f>
        <v>23.0769230769231</v>
      </c>
      <c r="AO118" s="0" t="n">
        <v>0</v>
      </c>
      <c r="AP118" s="0" t="n">
        <v>1</v>
      </c>
      <c r="AR118" s="3" t="n">
        <f aca="false">0+12/60</f>
        <v>0.2</v>
      </c>
      <c r="AS118" s="3" t="n">
        <f aca="false">5+24/60</f>
        <v>5.4</v>
      </c>
      <c r="AT118" s="3" t="n">
        <f aca="false">7+26/60</f>
        <v>7.43333333333333</v>
      </c>
      <c r="AU118" s="3" t="n">
        <f aca="false">87+58/60</f>
        <v>87.9666666666667</v>
      </c>
      <c r="AV118" s="3" t="n">
        <v>2</v>
      </c>
      <c r="AW118" s="0" t="s">
        <v>55</v>
      </c>
      <c r="AX118" s="0" t="s">
        <v>56</v>
      </c>
      <c r="AY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57</v>
      </c>
      <c r="G119" s="2" t="n">
        <v>92</v>
      </c>
      <c r="H119" s="2" t="n">
        <v>63</v>
      </c>
      <c r="I119" s="2" t="n">
        <v>39</v>
      </c>
      <c r="J119" s="2" t="s">
        <v>98</v>
      </c>
      <c r="K119" s="2" t="n">
        <v>11</v>
      </c>
      <c r="L119" s="2" t="n">
        <v>0</v>
      </c>
      <c r="M119" s="0" t="s">
        <v>87</v>
      </c>
      <c r="N119" s="0" t="s">
        <v>62</v>
      </c>
      <c r="O119" s="0" t="s">
        <v>54</v>
      </c>
      <c r="P119" s="3" t="n">
        <v>6.22</v>
      </c>
      <c r="Q119" s="2" t="n">
        <v>1004</v>
      </c>
      <c r="R119" s="2" t="n">
        <v>17209</v>
      </c>
      <c r="S119" s="2" t="n">
        <f aca="false">R119-Q119</f>
        <v>16205</v>
      </c>
      <c r="T119" s="3" t="n">
        <f aca="false">124/60</f>
        <v>2.06666666666667</v>
      </c>
      <c r="U119" s="3" t="n">
        <f aca="false">131/60</f>
        <v>2.18333333333333</v>
      </c>
      <c r="V119" s="3" t="n">
        <f aca="false">U119-T119</f>
        <v>0.116666666666666</v>
      </c>
      <c r="W119" s="3" t="n">
        <f aca="false">P119/T119</f>
        <v>3.00967741935484</v>
      </c>
      <c r="X119" s="0" t="n">
        <v>2</v>
      </c>
      <c r="Y119" s="3" t="n">
        <f aca="false">P119/X119</f>
        <v>3.11</v>
      </c>
      <c r="Z119" s="3" t="n">
        <f aca="false">19+59/60</f>
        <v>19.9833333333333</v>
      </c>
      <c r="AA119" s="2" t="n">
        <v>164</v>
      </c>
      <c r="AB119" s="2" t="n">
        <v>1419</v>
      </c>
      <c r="AC119" s="2" t="n">
        <v>132</v>
      </c>
      <c r="AD119" s="2" t="n">
        <v>156</v>
      </c>
      <c r="AE119" s="3" t="n">
        <f aca="false">16+56/60</f>
        <v>16.9333333333333</v>
      </c>
      <c r="AF119" s="3" t="n">
        <f aca="false">21+2/60</f>
        <v>21.0333333333333</v>
      </c>
      <c r="AG119" s="3" t="n">
        <f aca="false">20+51/60</f>
        <v>20.85</v>
      </c>
      <c r="AH119" s="3" t="n">
        <f aca="false">19+20/60</f>
        <v>19.3333333333333</v>
      </c>
      <c r="AI119" s="3" t="n">
        <f aca="false">20+24/60</f>
        <v>20.4</v>
      </c>
      <c r="AJ119" s="3" t="n">
        <f aca="false">20+58.9/60</f>
        <v>20.9816666666667</v>
      </c>
      <c r="AK119" s="3" t="n">
        <f aca="false">60/2.8</f>
        <v>21.4285714285714</v>
      </c>
      <c r="AO119" s="0" t="n">
        <v>2</v>
      </c>
      <c r="AP119" s="0" t="n">
        <v>0</v>
      </c>
      <c r="AR119" s="3" t="n">
        <v>0</v>
      </c>
      <c r="AS119" s="3" t="n">
        <f aca="false">1+27/60</f>
        <v>1.45</v>
      </c>
      <c r="AT119" s="3" t="n">
        <f aca="false">11+15/60</f>
        <v>11.25</v>
      </c>
      <c r="AU119" s="3" t="n">
        <f aca="false">37+4/60</f>
        <v>37.0666666666667</v>
      </c>
      <c r="AV119" s="3" t="n">
        <f aca="false">74+33/60</f>
        <v>74.55</v>
      </c>
      <c r="AW119" s="0" t="s">
        <v>55</v>
      </c>
      <c r="AX119" s="0" t="s">
        <v>56</v>
      </c>
      <c r="AY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57</v>
      </c>
      <c r="G120" s="2" t="n">
        <v>93</v>
      </c>
      <c r="H120" s="2" t="n">
        <v>54</v>
      </c>
      <c r="I120" s="2" t="n">
        <v>28</v>
      </c>
      <c r="J120" s="2" t="s">
        <v>98</v>
      </c>
      <c r="K120" s="2" t="n">
        <v>17</v>
      </c>
      <c r="L120" s="2" t="n">
        <v>28</v>
      </c>
      <c r="M120" s="0" t="s">
        <v>87</v>
      </c>
      <c r="N120" s="0" t="s">
        <v>53</v>
      </c>
      <c r="O120" s="0" t="s">
        <v>54</v>
      </c>
      <c r="P120" s="3" t="n">
        <v>6.45</v>
      </c>
      <c r="Q120" s="2" t="n">
        <v>813</v>
      </c>
      <c r="R120" s="2" t="n">
        <v>17264</v>
      </c>
      <c r="S120" s="2" t="n">
        <f aca="false">R120-Q120</f>
        <v>16451</v>
      </c>
      <c r="T120" s="3" t="n">
        <f aca="false">135/60</f>
        <v>2.25</v>
      </c>
      <c r="U120" s="3" t="n">
        <f aca="false">156/60</f>
        <v>2.6</v>
      </c>
      <c r="V120" s="3" t="n">
        <f aca="false">U120-T120</f>
        <v>0.35</v>
      </c>
      <c r="W120" s="3" t="n">
        <f aca="false">P120/T120</f>
        <v>2.86666666666667</v>
      </c>
      <c r="X120" s="0" t="n">
        <v>2</v>
      </c>
      <c r="Y120" s="3" t="n">
        <f aca="false">P120/X120</f>
        <v>3.225</v>
      </c>
      <c r="Z120" s="3" t="n">
        <f aca="false">20+55/60</f>
        <v>20.9166666666667</v>
      </c>
      <c r="AA120" s="2" t="n">
        <v>138</v>
      </c>
      <c r="AB120" s="2" t="n">
        <v>1200</v>
      </c>
      <c r="AC120" s="2" t="n">
        <v>121</v>
      </c>
      <c r="AD120" s="2" t="n">
        <v>143</v>
      </c>
      <c r="AE120" s="3" t="n">
        <f aca="false">18+57/60</f>
        <v>18.95</v>
      </c>
      <c r="AF120" s="3" t="n">
        <f aca="false">21+51/60</f>
        <v>21.85</v>
      </c>
      <c r="AG120" s="3" t="n">
        <f aca="false">21+55/60</f>
        <v>21.9166666666667</v>
      </c>
      <c r="AH120" s="3" t="n">
        <f aca="false">21+30/60</f>
        <v>21.5</v>
      </c>
      <c r="AI120" s="3" t="n">
        <f aca="false">20+6/60</f>
        <v>20.1</v>
      </c>
      <c r="AJ120" s="3" t="n">
        <f aca="false">21+45/60</f>
        <v>21.75</v>
      </c>
      <c r="AK120" s="3" t="n">
        <f aca="false">60/2.9</f>
        <v>20.6896551724138</v>
      </c>
      <c r="AO120" s="0" t="n">
        <v>3</v>
      </c>
      <c r="AP120" s="0" t="n">
        <v>1</v>
      </c>
      <c r="AR120" s="3" t="n">
        <v>0</v>
      </c>
      <c r="AS120" s="3" t="n">
        <f aca="false">11+9/60</f>
        <v>11.15</v>
      </c>
      <c r="AT120" s="3" t="n">
        <f aca="false">34+10/60</f>
        <v>34.1666666666667</v>
      </c>
      <c r="AU120" s="3" t="n">
        <f aca="false">78+24/60</f>
        <v>78.4</v>
      </c>
      <c r="AV120" s="3" t="n">
        <f aca="false">11+23/60</f>
        <v>11.3833333333333</v>
      </c>
      <c r="AW120" s="0" t="s">
        <v>55</v>
      </c>
      <c r="AX120" s="0" t="s">
        <v>56</v>
      </c>
      <c r="AY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57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96</v>
      </c>
      <c r="K121" s="2" t="n">
        <v>14</v>
      </c>
      <c r="L121" s="2" t="n">
        <v>23</v>
      </c>
      <c r="M121" s="0" t="s">
        <v>87</v>
      </c>
      <c r="N121" s="0" t="s">
        <v>53</v>
      </c>
      <c r="O121" s="0" t="s">
        <v>54</v>
      </c>
      <c r="P121" s="3" t="n">
        <v>6.64</v>
      </c>
      <c r="Q121" s="2" t="n">
        <v>808</v>
      </c>
      <c r="R121" s="2" t="n">
        <v>18058</v>
      </c>
      <c r="S121" s="2" t="n">
        <f aca="false">R121-Q121</f>
        <v>17250</v>
      </c>
      <c r="T121" s="3" t="n">
        <f aca="false">133/60</f>
        <v>2.21666666666667</v>
      </c>
      <c r="U121" s="3" t="n">
        <f aca="false">140/60</f>
        <v>2.33333333333333</v>
      </c>
      <c r="V121" s="3" t="n">
        <f aca="false">U121-T121</f>
        <v>0.116666666666667</v>
      </c>
      <c r="W121" s="3" t="n">
        <f aca="false">P121/T121</f>
        <v>2.99548872180451</v>
      </c>
      <c r="X121" s="0" t="n">
        <v>2</v>
      </c>
      <c r="Y121" s="3" t="n">
        <f aca="false">P121/X121</f>
        <v>3.32</v>
      </c>
      <c r="Z121" s="3" t="n">
        <f aca="false">20+2/60</f>
        <v>20.0333333333333</v>
      </c>
      <c r="AA121" s="2" t="n">
        <v>395</v>
      </c>
      <c r="AB121" s="2" t="n">
        <v>1266</v>
      </c>
      <c r="AC121" s="2" t="n">
        <v>126</v>
      </c>
      <c r="AD121" s="2" t="n">
        <v>149</v>
      </c>
      <c r="AE121" s="3" t="n">
        <f aca="false">18+17/60</f>
        <v>18.2833333333333</v>
      </c>
      <c r="AF121" s="3" t="n">
        <f aca="false">21+13/60</f>
        <v>21.2166666666667</v>
      </c>
      <c r="AG121" s="3" t="n">
        <f aca="false">20+43/60</f>
        <v>20.7166666666667</v>
      </c>
      <c r="AH121" s="3" t="n">
        <f aca="false">19+2/60</f>
        <v>19.0333333333333</v>
      </c>
      <c r="AI121" s="3" t="n">
        <f aca="false">18+55/60</f>
        <v>18.9166666666667</v>
      </c>
      <c r="AJ121" s="3" t="n">
        <f aca="false">20+16/60</f>
        <v>20.2666666666667</v>
      </c>
      <c r="AK121" s="3" t="n">
        <f aca="false">60/2.6</f>
        <v>23.0769230769231</v>
      </c>
      <c r="AO121" s="0" t="n">
        <v>2</v>
      </c>
      <c r="AP121" s="0" t="n">
        <v>0</v>
      </c>
      <c r="AR121" s="3" t="n">
        <f aca="false">0.11/60</f>
        <v>0.00183333333333333</v>
      </c>
      <c r="AS121" s="3" t="n">
        <f aca="false">3+57/60</f>
        <v>3.95</v>
      </c>
      <c r="AT121" s="3" t="n">
        <v>25</v>
      </c>
      <c r="AU121" s="3" t="n">
        <f aca="false">71+42/60</f>
        <v>71.7</v>
      </c>
      <c r="AV121" s="3" t="n">
        <f aca="false">32+14/60</f>
        <v>32.2333333333333</v>
      </c>
      <c r="AW121" s="0" t="s">
        <v>55</v>
      </c>
      <c r="AX121" s="0" t="s">
        <v>56</v>
      </c>
      <c r="AY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66</v>
      </c>
      <c r="F122" s="0" t="s">
        <v>57</v>
      </c>
      <c r="G122" s="2" t="n">
        <v>88</v>
      </c>
      <c r="H122" s="2" t="n">
        <v>68</v>
      </c>
      <c r="I122" s="2" t="n">
        <v>52</v>
      </c>
      <c r="J122" s="2" t="s">
        <v>99</v>
      </c>
      <c r="K122" s="2" t="n">
        <v>16</v>
      </c>
      <c r="L122" s="2" t="n">
        <v>0</v>
      </c>
      <c r="M122" s="0" t="s">
        <v>86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57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96</v>
      </c>
      <c r="K123" s="2" t="n">
        <f aca="false">AVERAGE(9,6)</f>
        <v>7.5</v>
      </c>
      <c r="L123" s="2" t="n">
        <v>0</v>
      </c>
      <c r="M123" s="0" t="s">
        <v>87</v>
      </c>
      <c r="N123" s="0" t="s">
        <v>53</v>
      </c>
      <c r="O123" s="0" t="s">
        <v>54</v>
      </c>
      <c r="P123" s="3" t="n">
        <v>7.04</v>
      </c>
      <c r="T123" s="3" t="n">
        <f aca="false">(120+23)/60</f>
        <v>2.38333333333333</v>
      </c>
      <c r="U123" s="3" t="n">
        <f aca="false">(120+30)/60</f>
        <v>2.5</v>
      </c>
      <c r="V123" s="3" t="n">
        <f aca="false">U123-T123</f>
        <v>0.116666666666667</v>
      </c>
      <c r="W123" s="3" t="n">
        <f aca="false">P123/T123</f>
        <v>2.95384615384615</v>
      </c>
      <c r="X123" s="0" t="n">
        <v>2</v>
      </c>
      <c r="Y123" s="3" t="n">
        <f aca="false">P123/X123</f>
        <v>3.52</v>
      </c>
      <c r="Z123" s="3" t="n">
        <f aca="false">20+19/60</f>
        <v>20.3166666666667</v>
      </c>
      <c r="AA123" s="2" t="n">
        <v>128</v>
      </c>
      <c r="AB123" s="2" t="n">
        <v>785</v>
      </c>
      <c r="AC123" s="2" t="n">
        <v>94</v>
      </c>
      <c r="AD123" s="2" t="n">
        <v>127</v>
      </c>
      <c r="AE123" s="3" t="n">
        <f aca="false">19+33/60</f>
        <v>19.55</v>
      </c>
      <c r="AF123" s="3" t="n">
        <f aca="false">19+18/60</f>
        <v>19.3</v>
      </c>
      <c r="AG123" s="3" t="n">
        <f aca="false">19+37/60</f>
        <v>19.6166666666667</v>
      </c>
      <c r="AH123" s="3" t="n">
        <f aca="false">21+54/60</f>
        <v>21.9</v>
      </c>
      <c r="AI123" s="3" t="n">
        <f aca="false">20+16/60</f>
        <v>20.2666666666667</v>
      </c>
      <c r="AJ123" s="3" t="n">
        <f aca="false">19+34/60</f>
        <v>19.5666666666667</v>
      </c>
      <c r="AK123" s="3" t="n">
        <f aca="false">21+17/60</f>
        <v>21.2833333333333</v>
      </c>
      <c r="AO123" s="0" t="n">
        <v>3</v>
      </c>
      <c r="AP123" s="0" t="n">
        <v>3</v>
      </c>
      <c r="AR123" s="3" t="n">
        <f aca="false">35+11/60</f>
        <v>35.1833333333333</v>
      </c>
      <c r="AS123" s="3" t="n">
        <f aca="false">86+30/60</f>
        <v>86.5</v>
      </c>
      <c r="AT123" s="3" t="n">
        <f aca="false">18+2/60</f>
        <v>18.0333333333333</v>
      </c>
      <c r="AU123" s="3" t="n">
        <f aca="false">57/60</f>
        <v>0.95</v>
      </c>
      <c r="AV123" s="3" t="n">
        <v>0</v>
      </c>
      <c r="AW123" s="0" t="s">
        <v>55</v>
      </c>
      <c r="AX123" s="0" t="s">
        <v>56</v>
      </c>
      <c r="AY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57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100</v>
      </c>
      <c r="K124" s="2" t="n">
        <v>9</v>
      </c>
      <c r="L124" s="2" t="n">
        <v>0</v>
      </c>
      <c r="M124" s="0" t="s">
        <v>86</v>
      </c>
      <c r="N124" s="0" t="s">
        <v>53</v>
      </c>
      <c r="O124" s="0" t="s">
        <v>54</v>
      </c>
      <c r="P124" s="3" t="n">
        <v>3</v>
      </c>
      <c r="Q124" s="2" t="n">
        <v>1025</v>
      </c>
      <c r="R124" s="2" t="n">
        <v>9200</v>
      </c>
      <c r="S124" s="2" t="n">
        <f aca="false">R124-Q124</f>
        <v>8175</v>
      </c>
      <c r="T124" s="3" t="n">
        <f aca="false">63/60</f>
        <v>1.05</v>
      </c>
      <c r="U124" s="3" t="n">
        <f aca="false">1+4/60</f>
        <v>1.06666666666667</v>
      </c>
      <c r="V124" s="3" t="n">
        <f aca="false">U124-T124</f>
        <v>0.0166666666666666</v>
      </c>
      <c r="W124" s="3" t="n">
        <f aca="false">P124/T124</f>
        <v>2.85714285714286</v>
      </c>
      <c r="X124" s="0" t="n">
        <v>2</v>
      </c>
      <c r="Y124" s="3" t="n">
        <f aca="false">P124/X124</f>
        <v>1.5</v>
      </c>
      <c r="Z124" s="3" t="n">
        <f aca="false">19+5/60</f>
        <v>19.0833333333333</v>
      </c>
      <c r="AA124" s="2" t="n">
        <v>75</v>
      </c>
      <c r="AB124" s="2" t="n">
        <v>614</v>
      </c>
      <c r="AC124" s="2" t="n">
        <v>122</v>
      </c>
      <c r="AD124" s="2" t="n">
        <v>143</v>
      </c>
      <c r="AE124" s="3" t="n">
        <f aca="false">16+28/60</f>
        <v>16.4666666666667</v>
      </c>
      <c r="AF124" s="3" t="n">
        <f aca="false">18+2/60</f>
        <v>18.0333333333333</v>
      </c>
      <c r="AG124" s="3" t="n">
        <f aca="false">21+32/60</f>
        <v>21.5333333333333</v>
      </c>
      <c r="AH124" s="3" t="n">
        <f aca="false">60/2.6</f>
        <v>23.0769230769231</v>
      </c>
      <c r="AO124" s="0" t="n">
        <v>1</v>
      </c>
      <c r="AP124" s="0" t="n">
        <v>0</v>
      </c>
      <c r="AR124" s="3" t="n">
        <v>0</v>
      </c>
      <c r="AS124" s="3" t="n">
        <f aca="false">6+55/60</f>
        <v>6.91666666666667</v>
      </c>
      <c r="AT124" s="3" t="n">
        <f aca="false">10.5</f>
        <v>10.5</v>
      </c>
      <c r="AU124" s="3" t="n">
        <f aca="false">40+15/60</f>
        <v>40.25</v>
      </c>
      <c r="AV124" s="3" t="n">
        <f aca="false">5+17/60</f>
        <v>5.28333333333333</v>
      </c>
      <c r="AW124" s="0" t="s">
        <v>55</v>
      </c>
      <c r="AX124" s="0" t="s">
        <v>56</v>
      </c>
      <c r="AY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57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96</v>
      </c>
      <c r="K125" s="2" t="n">
        <f aca="false">AVERAGE(16,0,19)</f>
        <v>11.6666666666667</v>
      </c>
      <c r="L125" s="2" t="n">
        <f aca="false">AVERAGE(24,0,0)</f>
        <v>8</v>
      </c>
      <c r="M125" s="0" t="s">
        <v>86</v>
      </c>
      <c r="N125" s="0" t="s">
        <v>53</v>
      </c>
      <c r="O125" s="0" t="s">
        <v>54</v>
      </c>
      <c r="P125" s="3" t="n">
        <v>6.8</v>
      </c>
      <c r="Q125" s="2" t="n">
        <v>1277</v>
      </c>
      <c r="R125" s="2" t="n">
        <v>18696</v>
      </c>
      <c r="S125" s="2" t="n">
        <f aca="false">R125-Q125</f>
        <v>17419</v>
      </c>
      <c r="T125" s="3" t="n">
        <f aca="false">(120+17)/60</f>
        <v>2.28333333333333</v>
      </c>
      <c r="U125" s="3" t="n">
        <f aca="false">(120+24)/60</f>
        <v>2.4</v>
      </c>
      <c r="V125" s="3" t="n">
        <f aca="false">U125-T125</f>
        <v>0.116666666666667</v>
      </c>
      <c r="W125" s="3" t="n">
        <f aca="false">P125/T125</f>
        <v>2.97810218978102</v>
      </c>
      <c r="X125" s="0" t="n">
        <v>2</v>
      </c>
      <c r="Y125" s="3" t="n">
        <f aca="false">P125/X125</f>
        <v>3.4</v>
      </c>
      <c r="Z125" s="3" t="n">
        <f aca="false">20+11/60</f>
        <v>20.1833333333333</v>
      </c>
      <c r="AA125" s="2" t="n">
        <v>358</v>
      </c>
      <c r="AB125" s="2" t="n">
        <v>730</v>
      </c>
      <c r="AC125" s="2" t="n">
        <v>93</v>
      </c>
      <c r="AD125" s="2" t="n">
        <v>130</v>
      </c>
      <c r="AE125" s="3" t="n">
        <f aca="false">17+39/60</f>
        <v>17.65</v>
      </c>
      <c r="AF125" s="3" t="n">
        <f aca="false">19+41/60</f>
        <v>19.6833333333333</v>
      </c>
      <c r="AG125" s="3" t="n">
        <f aca="false">19+57/60</f>
        <v>19.95</v>
      </c>
      <c r="AH125" s="3" t="n">
        <f aca="false">20+38/60</f>
        <v>20.6333333333333</v>
      </c>
      <c r="AI125" s="3" t="n">
        <f aca="false">19+41/60</f>
        <v>19.6833333333333</v>
      </c>
      <c r="AJ125" s="3" t="n">
        <f aca="false">19+32/60</f>
        <v>19.5333333333333</v>
      </c>
      <c r="AK125" s="3" t="n">
        <f aca="false">60/2.4</f>
        <v>25</v>
      </c>
      <c r="AO125" s="0" t="n">
        <v>2</v>
      </c>
      <c r="AP125" s="0" t="n">
        <v>1</v>
      </c>
      <c r="AR125" s="3" t="n">
        <f aca="false">39+18/60</f>
        <v>39.3</v>
      </c>
      <c r="AS125" s="3" t="n">
        <f aca="false">86+17/60</f>
        <v>86.2833333333333</v>
      </c>
      <c r="AT125" s="3" t="n">
        <f aca="false">10+39/60</f>
        <v>10.65</v>
      </c>
      <c r="AU125" s="3" t="n">
        <f aca="false">0.75</f>
        <v>0.75</v>
      </c>
      <c r="AV125" s="3" t="n">
        <v>0</v>
      </c>
      <c r="AW125" s="0" t="s">
        <v>55</v>
      </c>
      <c r="AX125" s="0" t="s">
        <v>56</v>
      </c>
      <c r="AY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76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100</v>
      </c>
      <c r="K126" s="2" t="n">
        <v>5</v>
      </c>
      <c r="L126" s="2" t="n">
        <v>0</v>
      </c>
      <c r="M126" s="0" t="s">
        <v>86</v>
      </c>
      <c r="N126" s="0" t="s">
        <v>53</v>
      </c>
      <c r="O126" s="0" t="s">
        <v>93</v>
      </c>
      <c r="P126" s="3" t="n">
        <v>4.33</v>
      </c>
      <c r="Q126" s="2" t="n">
        <v>994</v>
      </c>
      <c r="R126" s="2" t="n">
        <v>15491</v>
      </c>
      <c r="S126" s="2" t="n">
        <f aca="false">R126-Q126</f>
        <v>14497</v>
      </c>
      <c r="T126" s="3" t="n">
        <f aca="false">(60+48)/60</f>
        <v>1.8</v>
      </c>
      <c r="U126" s="3" t="n">
        <v>1.83333333333333</v>
      </c>
      <c r="V126" s="3" t="n">
        <f aca="false">U126-T126</f>
        <v>0.0333333333333299</v>
      </c>
      <c r="W126" s="3" t="n">
        <f aca="false">P126/T126</f>
        <v>2.40555555555556</v>
      </c>
      <c r="X126" s="0" t="n">
        <v>3</v>
      </c>
      <c r="Y126" s="3" t="n">
        <f aca="false">P126/X126</f>
        <v>1.44333333333333</v>
      </c>
      <c r="Z126" s="3" t="n">
        <f aca="false">25+8/60</f>
        <v>25.1333333333333</v>
      </c>
      <c r="AA126" s="2" t="n">
        <v>36</v>
      </c>
      <c r="AB126" s="2" t="n">
        <v>773</v>
      </c>
      <c r="AC126" s="2" t="n">
        <v>108</v>
      </c>
      <c r="AD126" s="2" t="n">
        <v>136</v>
      </c>
      <c r="AE126" s="3" t="n">
        <f aca="false">24+34/60</f>
        <v>24.5666666666667</v>
      </c>
      <c r="AF126" s="3" t="n">
        <f aca="false">26+22/60</f>
        <v>26.3666666666667</v>
      </c>
      <c r="AG126" s="3" t="n">
        <f aca="false">23+16/60</f>
        <v>23.2666666666667</v>
      </c>
      <c r="AH126" s="3" t="n">
        <f aca="false">25+39/60</f>
        <v>25.65</v>
      </c>
      <c r="AI126" s="3" t="n">
        <f aca="false">60/2.4</f>
        <v>25</v>
      </c>
      <c r="AO126" s="0" t="n">
        <v>0</v>
      </c>
      <c r="AP126" s="0" t="n">
        <v>1</v>
      </c>
      <c r="AR126" s="3" t="n">
        <f aca="false">5+27/60</f>
        <v>5.45</v>
      </c>
      <c r="AS126" s="3" t="n">
        <f aca="false">31+9/60</f>
        <v>31.15</v>
      </c>
      <c r="AT126" s="3" t="n">
        <f aca="false">47+1/60</f>
        <v>47.0166666666667</v>
      </c>
      <c r="AU126" s="3" t="n">
        <f aca="false">24+47/60</f>
        <v>24.7833333333333</v>
      </c>
      <c r="AV126" s="3" t="n">
        <f aca="false">16/60</f>
        <v>0.266666666666667</v>
      </c>
      <c r="AW126" s="0" t="s">
        <v>55</v>
      </c>
      <c r="AX126" s="0" t="s">
        <v>56</v>
      </c>
      <c r="AY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57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101</v>
      </c>
      <c r="K127" s="2" t="n">
        <f aca="false">AVERAGE(12,9)</f>
        <v>10.5</v>
      </c>
      <c r="L127" s="2" t="n">
        <v>0</v>
      </c>
      <c r="M127" s="0" t="s">
        <v>86</v>
      </c>
      <c r="N127" s="0" t="s">
        <v>62</v>
      </c>
      <c r="O127" s="0" t="s">
        <v>54</v>
      </c>
      <c r="P127" s="3" t="n">
        <v>7.18</v>
      </c>
      <c r="Q127" s="2" t="n">
        <v>1763</v>
      </c>
      <c r="R127" s="2" t="n">
        <v>19883</v>
      </c>
      <c r="S127" s="2" t="n">
        <f aca="false">R127-Q127</f>
        <v>18120</v>
      </c>
      <c r="T127" s="3" t="n">
        <f aca="false">(120+28)/60</f>
        <v>2.46666666666667</v>
      </c>
      <c r="U127" s="3" t="n">
        <f aca="false">(120+40)/60</f>
        <v>2.66666666666667</v>
      </c>
      <c r="V127" s="3" t="n">
        <f aca="false">U127-T127</f>
        <v>0.2</v>
      </c>
      <c r="W127" s="3" t="n">
        <f aca="false">P127/T127</f>
        <v>2.91081081081081</v>
      </c>
      <c r="X127" s="0" t="n">
        <v>3</v>
      </c>
      <c r="Y127" s="3" t="n">
        <f aca="false">P127/X127</f>
        <v>2.39333333333333</v>
      </c>
      <c r="Z127" s="3" t="n">
        <f aca="false">20+36/60</f>
        <v>20.6</v>
      </c>
      <c r="AA127" s="2" t="n">
        <v>187</v>
      </c>
      <c r="AB127" s="2" t="n">
        <v>788</v>
      </c>
      <c r="AC127" s="2" t="n">
        <v>82</v>
      </c>
      <c r="AD127" s="2" t="n">
        <v>117</v>
      </c>
      <c r="AE127" s="3" t="n">
        <f aca="false">17+30/60</f>
        <v>17.5</v>
      </c>
      <c r="AF127" s="3" t="n">
        <f aca="false">20+47/60</f>
        <v>20.7833333333333</v>
      </c>
      <c r="AG127" s="3" t="n">
        <f aca="false">20+48/60</f>
        <v>20.8</v>
      </c>
      <c r="AH127" s="3" t="n">
        <f aca="false">22+5/60</f>
        <v>22.0833333333333</v>
      </c>
      <c r="AI127" s="3" t="n">
        <f aca="false">16+57/60</f>
        <v>16.95</v>
      </c>
      <c r="AJ127" s="3" t="n">
        <f aca="false">21+31/60</f>
        <v>21.5166666666667</v>
      </c>
      <c r="AK127" s="3" t="n">
        <f aca="false">23+32/60</f>
        <v>23.5333333333333</v>
      </c>
      <c r="AL127" s="3" t="n">
        <f aca="false">60/2.5</f>
        <v>24</v>
      </c>
      <c r="AO127" s="0" t="n">
        <v>2</v>
      </c>
      <c r="AP127" s="0" t="n">
        <v>0</v>
      </c>
      <c r="AR127" s="3" t="n">
        <f aca="false">41+7/60</f>
        <v>41.1166666666667</v>
      </c>
      <c r="AS127" s="3" t="n">
        <f aca="false">26+16/60</f>
        <v>26.2666666666667</v>
      </c>
      <c r="AT127" s="3" t="n">
        <f aca="false">20+31/60</f>
        <v>20.5166666666667</v>
      </c>
      <c r="AU127" s="3" t="n">
        <v>0</v>
      </c>
      <c r="AV127" s="3" t="n">
        <v>0</v>
      </c>
      <c r="AW127" s="0" t="s">
        <v>55</v>
      </c>
      <c r="AX127" s="0" t="s">
        <v>56</v>
      </c>
      <c r="AY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57</v>
      </c>
      <c r="G128" s="2" t="n">
        <v>85</v>
      </c>
      <c r="H128" s="2" t="n">
        <v>70</v>
      </c>
      <c r="I128" s="2" t="n">
        <v>61</v>
      </c>
      <c r="J128" s="2" t="s">
        <v>102</v>
      </c>
      <c r="K128" s="2" t="n">
        <v>9</v>
      </c>
      <c r="L128" s="2" t="n">
        <v>0</v>
      </c>
      <c r="M128" s="0" t="s">
        <v>86</v>
      </c>
      <c r="N128" s="0" t="s">
        <v>53</v>
      </c>
      <c r="O128" s="0" t="s">
        <v>93</v>
      </c>
      <c r="P128" s="3" t="n">
        <v>4.51</v>
      </c>
      <c r="T128" s="3" t="n">
        <f aca="false">106/60</f>
        <v>1.76666666666667</v>
      </c>
      <c r="U128" s="3" t="n">
        <f aca="false">108/60</f>
        <v>1.8</v>
      </c>
      <c r="V128" s="3" t="n">
        <f aca="false">U128-T128</f>
        <v>0.0333333333333334</v>
      </c>
      <c r="W128" s="3" t="n">
        <f aca="false">P128/T128</f>
        <v>2.55283018867925</v>
      </c>
      <c r="X128" s="0" t="n">
        <v>3</v>
      </c>
      <c r="Y128" s="3" t="n">
        <f aca="false">P128/X128</f>
        <v>1.50333333333333</v>
      </c>
      <c r="Z128" s="3" t="n">
        <f aca="false">23+34/60</f>
        <v>23.5666666666667</v>
      </c>
      <c r="AA128" s="2" t="n">
        <v>56</v>
      </c>
      <c r="AB128" s="2" t="n">
        <v>995</v>
      </c>
      <c r="AC128" s="2" t="n">
        <v>116</v>
      </c>
      <c r="AD128" s="2" t="n">
        <v>143</v>
      </c>
      <c r="AE128" s="3" t="n">
        <f aca="false">24+18/60</f>
        <v>24.3</v>
      </c>
      <c r="AF128" s="3" t="n">
        <f aca="false">24+21/60</f>
        <v>24.35</v>
      </c>
      <c r="AG128" s="3" t="n">
        <f aca="false">22+57/60</f>
        <v>22.95</v>
      </c>
      <c r="AH128" s="3" t="n">
        <f aca="false">24+11/60</f>
        <v>24.1833333333333</v>
      </c>
      <c r="AI128" s="3" t="n">
        <f aca="false">60/2.9</f>
        <v>20.6896551724138</v>
      </c>
      <c r="AO128" s="0" t="n">
        <v>0</v>
      </c>
      <c r="AP128" s="0" t="n">
        <v>1</v>
      </c>
      <c r="AR128" s="3" t="n">
        <v>0</v>
      </c>
      <c r="AS128" s="3" t="n">
        <f aca="false">15+31/60</f>
        <v>15.5166666666667</v>
      </c>
      <c r="AT128" s="3" t="n">
        <f aca="false">34+5/60</f>
        <v>34.0833333333333</v>
      </c>
      <c r="AU128" s="3" t="n">
        <f aca="false">55+49/60</f>
        <v>55.8166666666667</v>
      </c>
      <c r="AV128" s="3" t="n">
        <f aca="false">49/60</f>
        <v>0.816666666666667</v>
      </c>
      <c r="AW128" s="0" t="s">
        <v>55</v>
      </c>
      <c r="AX128" s="0" t="s">
        <v>56</v>
      </c>
      <c r="AY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52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96</v>
      </c>
      <c r="K129" s="2" t="n">
        <v>15</v>
      </c>
      <c r="L129" s="2" t="n">
        <v>23</v>
      </c>
      <c r="M129" s="0" t="s">
        <v>86</v>
      </c>
      <c r="N129" s="0" t="s">
        <v>103</v>
      </c>
      <c r="O129" s="0" t="s">
        <v>104</v>
      </c>
      <c r="P129" s="3" t="n">
        <v>5.85</v>
      </c>
      <c r="Q129" s="2" t="n">
        <v>720</v>
      </c>
      <c r="R129" s="2" t="n">
        <v>19311</v>
      </c>
      <c r="S129" s="2" t="n">
        <f aca="false">R129-Q129</f>
        <v>18591</v>
      </c>
      <c r="T129" s="3" t="n">
        <f aca="false">(120+27)/60</f>
        <v>2.45</v>
      </c>
      <c r="U129" s="3" t="n">
        <f aca="false">(120+33)/60</f>
        <v>2.55</v>
      </c>
      <c r="V129" s="3" t="n">
        <f aca="false">U129-T129</f>
        <v>0.0999999999999996</v>
      </c>
      <c r="W129" s="3" t="n">
        <f aca="false">P129/T129</f>
        <v>2.38775510204082</v>
      </c>
      <c r="X129" s="0" t="n">
        <v>4</v>
      </c>
      <c r="Y129" s="3" t="n">
        <f aca="false">P129/X129</f>
        <v>1.4625</v>
      </c>
      <c r="Z129" s="3" t="n">
        <f aca="false">25+4/60</f>
        <v>25.0666666666667</v>
      </c>
      <c r="AA129" s="2" t="n">
        <v>85</v>
      </c>
      <c r="AB129" s="2" t="n">
        <v>647</v>
      </c>
      <c r="AC129" s="2" t="n">
        <v>82</v>
      </c>
      <c r="AD129" s="2" t="n">
        <v>111</v>
      </c>
      <c r="AE129" s="3" t="n">
        <f aca="false">26+37/60</f>
        <v>26.6166666666667</v>
      </c>
      <c r="AF129" s="3" t="n">
        <f aca="false">25+6/60</f>
        <v>25.1</v>
      </c>
      <c r="AG129" s="3" t="n">
        <f aca="false">25+34/60</f>
        <v>25.5666666666667</v>
      </c>
      <c r="AH129" s="3" t="n">
        <f aca="false">22+3/60</f>
        <v>22.05</v>
      </c>
      <c r="AI129" s="3" t="n">
        <f aca="false">24+49/60</f>
        <v>24.8166666666667</v>
      </c>
      <c r="AJ129" s="3" t="n">
        <f aca="false">60/2.3</f>
        <v>26.0869565217391</v>
      </c>
      <c r="AO129" s="0" t="n">
        <v>2</v>
      </c>
      <c r="AP129" s="0" t="n">
        <v>0</v>
      </c>
      <c r="AR129" s="3" t="n">
        <f aca="false">60+3/60</f>
        <v>60.05</v>
      </c>
      <c r="AS129" s="3" t="n">
        <f aca="false">42+38/60</f>
        <v>42.6333333333333</v>
      </c>
      <c r="AT129" s="3" t="n">
        <f aca="false">3+29/60</f>
        <v>3.48333333333333</v>
      </c>
      <c r="AU129" s="3" t="n">
        <v>0</v>
      </c>
      <c r="AV129" s="3" t="n">
        <v>0</v>
      </c>
      <c r="AW129" s="0" t="s">
        <v>55</v>
      </c>
      <c r="AX129" s="0" t="s">
        <v>56</v>
      </c>
      <c r="AY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6" t="s">
        <v>105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96</v>
      </c>
      <c r="K130" s="2" t="n">
        <v>14</v>
      </c>
      <c r="L130" s="2" t="n">
        <v>26</v>
      </c>
      <c r="M130" s="0" t="s">
        <v>86</v>
      </c>
      <c r="N130" s="0" t="s">
        <v>53</v>
      </c>
      <c r="O130" s="0" t="s">
        <v>93</v>
      </c>
      <c r="P130" s="3" t="n">
        <v>4.56</v>
      </c>
      <c r="Q130" s="2" t="n">
        <v>751</v>
      </c>
      <c r="R130" s="2" t="n">
        <v>14944</v>
      </c>
      <c r="S130" s="2" t="n">
        <f aca="false">R130-Q130</f>
        <v>14193</v>
      </c>
      <c r="T130" s="3" t="n">
        <f aca="false">(60+45)/60</f>
        <v>1.75</v>
      </c>
      <c r="U130" s="3" t="n">
        <f aca="false">(60+ 47)/60</f>
        <v>1.78333333333333</v>
      </c>
      <c r="V130" s="3" t="n">
        <f aca="false">U130-T130</f>
        <v>0.0333333333333334</v>
      </c>
      <c r="W130" s="3" t="n">
        <f aca="false">P130/T130</f>
        <v>2.60571428571429</v>
      </c>
      <c r="X130" s="0" t="n">
        <v>3</v>
      </c>
      <c r="Y130" s="3" t="n">
        <f aca="false">P130/X130</f>
        <v>1.52</v>
      </c>
      <c r="Z130" s="3" t="n">
        <f aca="false">22+59/60</f>
        <v>22.9833333333333</v>
      </c>
      <c r="AA130" s="2" t="n">
        <v>171</v>
      </c>
      <c r="AB130" s="2" t="n">
        <v>817</v>
      </c>
      <c r="AC130" s="2" t="n">
        <v>113</v>
      </c>
      <c r="AD130" s="2" t="n">
        <v>147</v>
      </c>
      <c r="AE130" s="3" t="n">
        <f aca="false">26+9/60</f>
        <v>26.15</v>
      </c>
      <c r="AF130" s="3" t="n">
        <f aca="false">26+3/60</f>
        <v>26.05</v>
      </c>
      <c r="AG130" s="3" t="n">
        <f aca="false">20+30/60</f>
        <v>20.5</v>
      </c>
      <c r="AH130" s="3" t="n">
        <f aca="false">19+2/60</f>
        <v>19.0333333333333</v>
      </c>
      <c r="AI130" s="3" t="n">
        <f aca="false">60/2.6</f>
        <v>23.0769230769231</v>
      </c>
      <c r="AO130" s="0" t="n">
        <v>1</v>
      </c>
      <c r="AP130" s="0" t="n">
        <v>2</v>
      </c>
      <c r="AR130" s="3" t="n">
        <f aca="false">0+52/60</f>
        <v>0.866666666666667</v>
      </c>
      <c r="AS130" s="3" t="n">
        <f aca="false">36+30/60</f>
        <v>36.5</v>
      </c>
      <c r="AT130" s="3" t="n">
        <f aca="false">25+38/50</f>
        <v>25.76</v>
      </c>
      <c r="AU130" s="3" t="n">
        <f aca="false">35+22/60</f>
        <v>35.3666666666667</v>
      </c>
      <c r="AV130" s="3" t="n">
        <f aca="false">6+30/60</f>
        <v>6.5</v>
      </c>
      <c r="AW130" s="0" t="s">
        <v>55</v>
      </c>
      <c r="AX130" s="0" t="s">
        <v>56</v>
      </c>
      <c r="AY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66</v>
      </c>
      <c r="F131" s="0" t="s">
        <v>76</v>
      </c>
      <c r="G131" s="2" t="n">
        <v>88</v>
      </c>
      <c r="H131" s="2" t="n">
        <v>72</v>
      </c>
      <c r="I131" s="2" t="n">
        <v>58</v>
      </c>
      <c r="J131" s="2" t="s">
        <v>96</v>
      </c>
      <c r="K131" s="2" t="n">
        <v>15</v>
      </c>
      <c r="L131" s="2" t="n">
        <v>33</v>
      </c>
      <c r="M131" s="0" t="s">
        <v>86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57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96</v>
      </c>
      <c r="K132" s="2" t="n">
        <f aca="false">AVERAGE(16,17)</f>
        <v>16.5</v>
      </c>
      <c r="L132" s="2" t="n">
        <f aca="false">AVERAGE(29,30)</f>
        <v>29.5</v>
      </c>
      <c r="M132" s="0" t="s">
        <v>86</v>
      </c>
      <c r="N132" s="0" t="s">
        <v>103</v>
      </c>
      <c r="O132" s="0" t="s">
        <v>93</v>
      </c>
      <c r="P132" s="3" t="n">
        <v>4.25</v>
      </c>
      <c r="Q132" s="2" t="n">
        <v>854</v>
      </c>
      <c r="R132" s="2" t="n">
        <v>14500</v>
      </c>
      <c r="S132" s="2" t="n">
        <f aca="false">R132-Q132</f>
        <v>13646</v>
      </c>
      <c r="T132" s="3" t="n">
        <f aca="false">(60+49)/60</f>
        <v>1.81666666666667</v>
      </c>
      <c r="U132" s="3" t="n">
        <f aca="false">(60+53)/60</f>
        <v>1.88333333333333</v>
      </c>
      <c r="V132" s="3" t="n">
        <f aca="false">U132-T132</f>
        <v>0.0666666666666667</v>
      </c>
      <c r="W132" s="3" t="n">
        <f aca="false">P132/T132</f>
        <v>2.3394495412844</v>
      </c>
      <c r="X132" s="0" t="n">
        <v>3</v>
      </c>
      <c r="Y132" s="3" t="n">
        <f aca="false">P132/X132</f>
        <v>1.41666666666667</v>
      </c>
      <c r="Z132" s="3" t="n">
        <f aca="false">25+37/60</f>
        <v>25.6166666666667</v>
      </c>
      <c r="AA132" s="2" t="n">
        <v>56</v>
      </c>
      <c r="AB132" s="2" t="n">
        <v>546</v>
      </c>
      <c r="AC132" s="2" t="n">
        <v>93</v>
      </c>
      <c r="AD132" s="2" t="n">
        <v>127</v>
      </c>
      <c r="AE132" s="3" t="n">
        <f aca="false">24+27/60</f>
        <v>24.45</v>
      </c>
      <c r="AF132" s="3" t="n">
        <f aca="false">23+23/60</f>
        <v>23.3833333333333</v>
      </c>
      <c r="AG132" s="3" t="n">
        <f aca="false">26+58/60</f>
        <v>26.9666666666667</v>
      </c>
      <c r="AH132" s="3" t="n">
        <f aca="false">27+5/60</f>
        <v>27.0833333333333</v>
      </c>
      <c r="AI132" s="3" t="n">
        <f aca="false">60/2.2</f>
        <v>27.2727272727273</v>
      </c>
      <c r="AO132" s="0" t="n">
        <v>1</v>
      </c>
      <c r="AP132" s="0" t="n">
        <v>0</v>
      </c>
      <c r="AQ132" s="0" t="n">
        <v>0</v>
      </c>
      <c r="AR132" s="3" t="n">
        <f aca="false">42+15/60</f>
        <v>42.25</v>
      </c>
      <c r="AS132" s="3" t="n">
        <f aca="false">48+32/60</f>
        <v>48.5333333333333</v>
      </c>
      <c r="AT132" s="3" t="n">
        <f aca="false">15+22/60</f>
        <v>15.3666666666667</v>
      </c>
      <c r="AU132" s="3" t="n">
        <f aca="false">2+6/60</f>
        <v>2.1</v>
      </c>
      <c r="AV132" s="3" t="n">
        <v>0</v>
      </c>
      <c r="AW132" s="0" t="s">
        <v>55</v>
      </c>
      <c r="AX132" s="0" t="s">
        <v>56</v>
      </c>
      <c r="AY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76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96</v>
      </c>
      <c r="K133" s="2" t="n">
        <f aca="false">AVERAGE(18,21)</f>
        <v>19.5</v>
      </c>
      <c r="L133" s="2" t="n">
        <v>20</v>
      </c>
      <c r="M133" s="0" t="s">
        <v>86</v>
      </c>
      <c r="N133" s="0" t="s">
        <v>103</v>
      </c>
      <c r="O133" s="0" t="s">
        <v>93</v>
      </c>
      <c r="P133" s="3" t="n">
        <v>4.33</v>
      </c>
      <c r="Q133" s="2" t="n">
        <v>2862</v>
      </c>
      <c r="R133" s="2" t="n">
        <v>17088</v>
      </c>
      <c r="S133" s="2" t="n">
        <f aca="false">R133-Q133</f>
        <v>14226</v>
      </c>
      <c r="T133" s="3" t="n">
        <f aca="false">(60+52)/60</f>
        <v>1.86666666666667</v>
      </c>
      <c r="U133" s="3" t="n">
        <f aca="false">(60+52)/60</f>
        <v>1.86666666666667</v>
      </c>
      <c r="V133" s="3" t="n">
        <f aca="false">U133-T133</f>
        <v>0</v>
      </c>
      <c r="W133" s="3" t="n">
        <f aca="false">P133/T133</f>
        <v>2.31964285714286</v>
      </c>
      <c r="X133" s="0" t="n">
        <v>3</v>
      </c>
      <c r="Y133" s="3" t="n">
        <f aca="false">P133/X133</f>
        <v>1.44333333333333</v>
      </c>
      <c r="Z133" s="3" t="n">
        <f aca="false">25+46/60</f>
        <v>25.7666666666667</v>
      </c>
      <c r="AA133" s="2" t="n">
        <v>177</v>
      </c>
      <c r="AB133" s="2" t="n">
        <v>492</v>
      </c>
      <c r="AC133" s="2" t="n">
        <v>82</v>
      </c>
      <c r="AD133" s="2" t="n">
        <v>116</v>
      </c>
      <c r="AE133" s="3" t="n">
        <f aca="false">23+45/60</f>
        <v>23.75</v>
      </c>
      <c r="AF133" s="3" t="n">
        <f aca="false">23+27/60</f>
        <v>23.45</v>
      </c>
      <c r="AG133" s="3" t="n">
        <f aca="false">25+19/60</f>
        <v>25.3166666666667</v>
      </c>
      <c r="AH133" s="3" t="n">
        <f aca="false">20+19/60</f>
        <v>20.3166666666667</v>
      </c>
      <c r="AI133" s="3" t="n">
        <f aca="false">60/2</f>
        <v>30</v>
      </c>
      <c r="AO133" s="0" t="n">
        <v>0</v>
      </c>
      <c r="AP133" s="0" t="n">
        <v>1</v>
      </c>
      <c r="AQ133" s="0" t="n">
        <v>1</v>
      </c>
      <c r="AR133" s="3" t="n">
        <f aca="false">52+17/60</f>
        <v>52.2833333333333</v>
      </c>
      <c r="AS133" s="3" t="n">
        <f aca="false">18+48/60</f>
        <v>18.8</v>
      </c>
      <c r="AT133" s="3" t="n">
        <f aca="false">8+37/60</f>
        <v>8.61666666666667</v>
      </c>
      <c r="AU133" s="3" t="n">
        <v>0</v>
      </c>
      <c r="AV133" s="3" t="n">
        <v>0</v>
      </c>
      <c r="AW133" s="0" t="s">
        <v>55</v>
      </c>
      <c r="AX133" s="0" t="s">
        <v>56</v>
      </c>
      <c r="AY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76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96</v>
      </c>
      <c r="K134" s="2" t="n">
        <f aca="false">AVERAGE(15,13,13)</f>
        <v>13.6666666666667</v>
      </c>
      <c r="L134" s="2" t="n">
        <v>25</v>
      </c>
      <c r="M134" s="0" t="s">
        <v>86</v>
      </c>
      <c r="N134" s="0" t="s">
        <v>53</v>
      </c>
      <c r="O134" s="0" t="s">
        <v>93</v>
      </c>
      <c r="P134" s="3" t="n">
        <v>4.88</v>
      </c>
      <c r="Q134" s="2" t="n">
        <v>1252</v>
      </c>
      <c r="R134" s="2" t="n">
        <v>16054</v>
      </c>
      <c r="S134" s="2" t="n">
        <f aca="false">R134-Q134</f>
        <v>14802</v>
      </c>
      <c r="T134" s="3" t="n">
        <f aca="false">(60+52)/60</f>
        <v>1.86666666666667</v>
      </c>
      <c r="U134" s="3" t="n">
        <f aca="false">(60+58)/60</f>
        <v>1.96666666666667</v>
      </c>
      <c r="V134" s="3" t="n">
        <f aca="false">U134-T134</f>
        <v>0.0999999999999999</v>
      </c>
      <c r="W134" s="3" t="n">
        <f aca="false">P134/T134</f>
        <v>2.61428571428571</v>
      </c>
      <c r="X134" s="0" t="n">
        <v>3</v>
      </c>
      <c r="Y134" s="3" t="n">
        <f aca="false">P134/X134</f>
        <v>1.62666666666667</v>
      </c>
      <c r="Z134" s="3" t="n">
        <f aca="false">22+57/60</f>
        <v>22.95</v>
      </c>
      <c r="AA134" s="2" t="n">
        <v>469</v>
      </c>
      <c r="AB134" s="2" t="n">
        <v>999</v>
      </c>
      <c r="AC134" s="2" t="n">
        <v>116</v>
      </c>
      <c r="AD134" s="2" t="n">
        <v>157</v>
      </c>
      <c r="AE134" s="3" t="n">
        <f aca="false">24+43/60</f>
        <v>24.7166666666667</v>
      </c>
      <c r="AF134" s="3" t="n">
        <f aca="false">12+6/60</f>
        <v>12.1</v>
      </c>
      <c r="AG134" s="3" t="n">
        <f aca="false">22+54/60</f>
        <v>22.9</v>
      </c>
      <c r="AH134" s="3" t="n">
        <f aca="false">60/2.8</f>
        <v>21.4285714285714</v>
      </c>
      <c r="AO134" s="0" t="n">
        <v>2</v>
      </c>
      <c r="AP134" s="0" t="n">
        <v>1</v>
      </c>
      <c r="AQ134" s="0" t="n">
        <v>0</v>
      </c>
      <c r="AR134" s="3" t="n">
        <f aca="false">1+23/60</f>
        <v>1.38333333333333</v>
      </c>
      <c r="AS134" s="3" t="n">
        <f aca="false">22+44/60</f>
        <v>22.7333333333333</v>
      </c>
      <c r="AT134" s="3" t="n">
        <f aca="false">27+52/60</f>
        <v>27.8666666666667</v>
      </c>
      <c r="AU134" s="3" t="n">
        <f aca="false">57+46/60</f>
        <v>57.7666666666667</v>
      </c>
      <c r="AV134" s="3" t="n">
        <f aca="false">2+12/60</f>
        <v>2.2</v>
      </c>
      <c r="AW134" s="0" t="s">
        <v>55</v>
      </c>
      <c r="AX134" s="0" t="s">
        <v>56</v>
      </c>
      <c r="AY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52</v>
      </c>
      <c r="G135" s="2" t="n">
        <v>92</v>
      </c>
      <c r="H135" s="2" t="n">
        <v>76</v>
      </c>
      <c r="I135" s="2" t="n">
        <v>59</v>
      </c>
      <c r="J135" s="2" t="s">
        <v>106</v>
      </c>
      <c r="K135" s="2" t="n">
        <v>10</v>
      </c>
      <c r="L135" s="2" t="n">
        <v>0</v>
      </c>
      <c r="M135" s="0" t="s">
        <v>86</v>
      </c>
      <c r="N135" s="0" t="s">
        <v>53</v>
      </c>
      <c r="O135" s="0" t="s">
        <v>93</v>
      </c>
      <c r="P135" s="3" t="n">
        <v>2.52</v>
      </c>
      <c r="T135" s="3" t="n">
        <f aca="false">64/60</f>
        <v>1.06666666666667</v>
      </c>
      <c r="U135" s="3" t="n">
        <f aca="false">64/60</f>
        <v>1.06666666666667</v>
      </c>
      <c r="V135" s="3" t="n">
        <f aca="false">U135-T135</f>
        <v>0</v>
      </c>
      <c r="W135" s="3" t="n">
        <f aca="false">P135/T135</f>
        <v>2.3625</v>
      </c>
      <c r="X135" s="0" t="n">
        <v>2</v>
      </c>
      <c r="Y135" s="3" t="n">
        <f aca="false">P135/X135</f>
        <v>1.26</v>
      </c>
      <c r="Z135" s="3" t="n">
        <f aca="false">25+28/60</f>
        <v>25.4666666666667</v>
      </c>
      <c r="AA135" s="2" t="n">
        <v>79</v>
      </c>
      <c r="AB135" s="2" t="n">
        <v>277</v>
      </c>
      <c r="AC135" s="2" t="n">
        <v>79</v>
      </c>
      <c r="AD135" s="2" t="n">
        <v>110</v>
      </c>
      <c r="AE135" s="3" t="n">
        <f aca="false">25+18/60</f>
        <v>25.3</v>
      </c>
      <c r="AF135" s="3" t="n">
        <f aca="false">24+59/60</f>
        <v>24.9833333333333</v>
      </c>
      <c r="AG135" s="3" t="n">
        <f aca="false">60/2.4</f>
        <v>25</v>
      </c>
      <c r="AO135" s="0" t="n">
        <v>0</v>
      </c>
      <c r="AP135" s="0" t="n">
        <v>0</v>
      </c>
      <c r="AQ135" s="0" t="n">
        <v>0</v>
      </c>
      <c r="AR135" s="3" t="n">
        <f aca="false">13+23/60</f>
        <v>13.3833333333333</v>
      </c>
      <c r="AS135" s="3" t="n">
        <f aca="false">23+15/60</f>
        <v>23.25</v>
      </c>
      <c r="AT135" s="3" t="n">
        <f aca="false">39/60</f>
        <v>0.65</v>
      </c>
      <c r="AU135" s="3" t="n">
        <v>0</v>
      </c>
      <c r="AV135" s="3" t="n">
        <v>0</v>
      </c>
      <c r="AW135" s="0" t="s">
        <v>55</v>
      </c>
      <c r="AX135" s="0" t="s">
        <v>56</v>
      </c>
      <c r="AY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57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98</v>
      </c>
      <c r="K136" s="2" t="n">
        <v>3</v>
      </c>
      <c r="L136" s="2" t="n">
        <v>0</v>
      </c>
      <c r="M136" s="0" t="s">
        <v>86</v>
      </c>
      <c r="N136" s="0" t="s">
        <v>103</v>
      </c>
      <c r="O136" s="0" t="s">
        <v>104</v>
      </c>
      <c r="P136" s="3" t="n">
        <v>5.08</v>
      </c>
      <c r="Q136" s="2" t="n">
        <v>995</v>
      </c>
      <c r="R136" s="2" t="n">
        <v>16402</v>
      </c>
      <c r="S136" s="2" t="n">
        <f aca="false">R136-Q136</f>
        <v>15407</v>
      </c>
      <c r="T136" s="3" t="n">
        <f aca="false">122/60</f>
        <v>2.03333333333333</v>
      </c>
      <c r="U136" s="3" t="n">
        <f aca="false">122/60</f>
        <v>2.03333333333333</v>
      </c>
      <c r="V136" s="3" t="n">
        <f aca="false">U136-T136</f>
        <v>0</v>
      </c>
      <c r="W136" s="3" t="n">
        <f aca="false">P136/T136</f>
        <v>2.4983606557377</v>
      </c>
      <c r="X136" s="0" t="n">
        <v>4</v>
      </c>
      <c r="Y136" s="3" t="n">
        <f aca="false">P136/X136</f>
        <v>1.27</v>
      </c>
      <c r="Z136" s="3" t="n">
        <f aca="false">24+2/60</f>
        <v>24.0333333333333</v>
      </c>
      <c r="AA136" s="2" t="n">
        <v>62</v>
      </c>
      <c r="AB136" s="2" t="n">
        <v>709</v>
      </c>
      <c r="AC136" s="2" t="n">
        <v>97</v>
      </c>
      <c r="AD136" s="2" t="n">
        <v>129</v>
      </c>
      <c r="AE136" s="3" t="n">
        <f aca="false">23+25/60</f>
        <v>23.4166666666667</v>
      </c>
      <c r="AF136" s="3" t="n">
        <f aca="false">22+45/60</f>
        <v>22.75</v>
      </c>
      <c r="AG136" s="3" t="n">
        <f aca="false">28+21/60</f>
        <v>28.35</v>
      </c>
      <c r="AH136" s="3" t="n">
        <f aca="false">25+59/60</f>
        <v>25.9833333333333</v>
      </c>
      <c r="AI136" s="3" t="n">
        <f aca="false">19+52/60</f>
        <v>19.8666666666667</v>
      </c>
      <c r="AJ136" s="3" t="n">
        <f aca="false">60/2.8</f>
        <v>21.4285714285714</v>
      </c>
      <c r="AO136" s="0" t="n">
        <v>0</v>
      </c>
      <c r="AP136" s="0" t="n">
        <v>0</v>
      </c>
      <c r="AQ136" s="0" t="n">
        <v>0</v>
      </c>
      <c r="AR136" s="3" t="n">
        <f aca="false">16+9/60</f>
        <v>16.15</v>
      </c>
      <c r="AS136" s="3" t="n">
        <f aca="false">39+14/60</f>
        <v>39.2333333333333</v>
      </c>
      <c r="AT136" s="3" t="n">
        <f aca="false">27+38/60</f>
        <v>27.6333333333333</v>
      </c>
      <c r="AU136" s="3" t="n">
        <v>0</v>
      </c>
      <c r="AV136" s="3" t="n">
        <v>0</v>
      </c>
      <c r="AW136" s="0" t="s">
        <v>55</v>
      </c>
      <c r="AX136" s="0" t="s">
        <v>56</v>
      </c>
      <c r="AY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412910.367361111</v>
      </c>
      <c r="C137" s="0" t="n">
        <v>1</v>
      </c>
      <c r="F137" s="0" t="s">
        <v>57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96</v>
      </c>
      <c r="K137" s="2" t="n">
        <f aca="false">AVERAGE(5,6)</f>
        <v>5.5</v>
      </c>
      <c r="L137" s="2" t="n">
        <v>0</v>
      </c>
      <c r="M137" s="0" t="s">
        <v>86</v>
      </c>
      <c r="N137" s="0" t="s">
        <v>53</v>
      </c>
      <c r="O137" s="0" t="s">
        <v>93</v>
      </c>
      <c r="P137" s="3" t="n">
        <v>3.36</v>
      </c>
      <c r="Q137" s="2" t="n">
        <v>349</v>
      </c>
      <c r="R137" s="2" t="n">
        <v>12124</v>
      </c>
      <c r="S137" s="2" t="n">
        <f aca="false">R137-Q137</f>
        <v>11775</v>
      </c>
      <c r="T137" s="3" t="n">
        <f aca="false">(60+27)/60</f>
        <v>1.45</v>
      </c>
      <c r="U137" s="3" t="n">
        <f aca="false">(60+27)/60</f>
        <v>1.45</v>
      </c>
      <c r="V137" s="3" t="n">
        <f aca="false">U137-T137</f>
        <v>0</v>
      </c>
      <c r="W137" s="3" t="n">
        <f aca="false">P137/T137</f>
        <v>2.31724137931034</v>
      </c>
      <c r="X137" s="0" t="n">
        <v>3</v>
      </c>
      <c r="Y137" s="3" t="n">
        <f aca="false">P137/X137</f>
        <v>1.12</v>
      </c>
      <c r="Z137" s="3" t="n">
        <f aca="false">25+52/60</f>
        <v>25.8666666666667</v>
      </c>
      <c r="AA137" s="2" t="n">
        <v>46</v>
      </c>
      <c r="AB137" s="2" t="n">
        <v>996</v>
      </c>
      <c r="AC137" s="2" t="n">
        <v>129</v>
      </c>
      <c r="AD137" s="2" t="n">
        <v>149</v>
      </c>
      <c r="AE137" s="3" t="n">
        <f aca="false">24+44/60</f>
        <v>24.7333333333333</v>
      </c>
      <c r="AF137" s="3" t="n">
        <f aca="false">25+48/60</f>
        <v>25.8</v>
      </c>
      <c r="AG137" s="3" t="n">
        <f aca="false">25+59/60</f>
        <v>25.9833333333333</v>
      </c>
      <c r="AH137" s="3" t="n">
        <f aca="false">60/2.1</f>
        <v>28.5714285714286</v>
      </c>
      <c r="AO137" s="0" t="n">
        <v>0</v>
      </c>
      <c r="AP137" s="0" t="n">
        <v>1</v>
      </c>
      <c r="AR137" s="3" t="n">
        <f aca="false">2/60</f>
        <v>0.0333333333333333</v>
      </c>
      <c r="AS137" s="3" t="n">
        <f aca="false">2</f>
        <v>2</v>
      </c>
      <c r="AT137" s="3" t="n">
        <f aca="false">8+43/60</f>
        <v>8.71666666666667</v>
      </c>
      <c r="AU137" s="3" t="n">
        <f aca="false">51+31/60</f>
        <v>51.5166666666667</v>
      </c>
      <c r="AV137" s="3" t="n">
        <f aca="false">24+31/60</f>
        <v>24.5166666666667</v>
      </c>
      <c r="AW137" s="0" t="s">
        <v>55</v>
      </c>
      <c r="AX137" s="0" t="s">
        <v>56</v>
      </c>
      <c r="AY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57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101</v>
      </c>
      <c r="K138" s="2" t="n">
        <v>5</v>
      </c>
      <c r="L138" s="2" t="n">
        <v>0</v>
      </c>
      <c r="M138" s="0" t="s">
        <v>86</v>
      </c>
      <c r="N138" s="0" t="s">
        <v>103</v>
      </c>
      <c r="O138" s="0" t="s">
        <v>104</v>
      </c>
      <c r="P138" s="3" t="n">
        <v>5.08</v>
      </c>
      <c r="Q138" s="2" t="n">
        <v>1593</v>
      </c>
      <c r="R138" s="2" t="n">
        <v>18923</v>
      </c>
      <c r="S138" s="2" t="n">
        <f aca="false">R138-Q138</f>
        <v>17330</v>
      </c>
      <c r="T138" s="3" t="n">
        <f aca="false">(120+9)/60</f>
        <v>2.15</v>
      </c>
      <c r="U138" s="3" t="n">
        <f aca="false">(120+10)/60</f>
        <v>2.16666666666667</v>
      </c>
      <c r="V138" s="3" t="n">
        <f aca="false">U138-T138</f>
        <v>0.0166666666666666</v>
      </c>
      <c r="W138" s="3" t="n">
        <f aca="false">P138/T138</f>
        <v>2.36279069767442</v>
      </c>
      <c r="X138" s="0" t="n">
        <v>4</v>
      </c>
      <c r="Y138" s="3" t="n">
        <f aca="false">P138/X138</f>
        <v>1.27</v>
      </c>
      <c r="Z138" s="3" t="n">
        <f aca="false">25+25/60</f>
        <v>25.4166666666667</v>
      </c>
      <c r="AA138" s="2" t="n">
        <v>79</v>
      </c>
      <c r="AB138" s="2" t="n">
        <v>680</v>
      </c>
      <c r="AC138" s="2" t="n">
        <v>97</v>
      </c>
      <c r="AD138" s="2" t="n">
        <v>132</v>
      </c>
      <c r="AE138" s="3" t="n">
        <f aca="false">25+50/60</f>
        <v>25.8333333333333</v>
      </c>
      <c r="AF138" s="3" t="n">
        <f aca="false">28+40/60</f>
        <v>28.6666666666667</v>
      </c>
      <c r="AG138" s="3" t="n">
        <f aca="false">24+18/60</f>
        <v>24.3</v>
      </c>
      <c r="AH138" s="3" t="n">
        <f aca="false">23+41/60</f>
        <v>23.6833333333333</v>
      </c>
      <c r="AI138" s="3" t="n">
        <f aca="false">24+48/60</f>
        <v>24.8</v>
      </c>
      <c r="AJ138" s="3" t="n">
        <f aca="false">60/2.6</f>
        <v>23.0769230769231</v>
      </c>
      <c r="AO138" s="0" t="n">
        <v>0</v>
      </c>
      <c r="AP138" s="0" t="n">
        <v>0</v>
      </c>
      <c r="AQ138" s="0" t="n">
        <v>0</v>
      </c>
      <c r="AR138" s="3" t="n">
        <f aca="false">38+56/60</f>
        <v>38.9333333333333</v>
      </c>
      <c r="AS138" s="3" t="n">
        <f aca="false">46+46/60</f>
        <v>46.7666666666667</v>
      </c>
      <c r="AT138" s="3" t="n">
        <f aca="false">18+40/60</f>
        <v>18.6666666666667</v>
      </c>
      <c r="AU138" s="3" t="n">
        <f aca="false">18+38/60</f>
        <v>18.6333333333333</v>
      </c>
      <c r="AV138" s="3" t="n">
        <v>0</v>
      </c>
      <c r="AW138" s="0" t="s">
        <v>55</v>
      </c>
      <c r="AX138" s="0" t="s">
        <v>56</v>
      </c>
      <c r="AY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76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99</v>
      </c>
      <c r="K139" s="2" t="n">
        <v>0</v>
      </c>
      <c r="L139" s="2" t="n">
        <v>0</v>
      </c>
      <c r="M139" s="0" t="s">
        <v>86</v>
      </c>
      <c r="N139" s="0" t="s">
        <v>53</v>
      </c>
      <c r="O139" s="0" t="s">
        <v>104</v>
      </c>
      <c r="P139" s="3" t="n">
        <v>5.16</v>
      </c>
      <c r="Q139" s="2" t="n">
        <v>904</v>
      </c>
      <c r="R139" s="2" t="n">
        <v>16075</v>
      </c>
      <c r="S139" s="2" t="n">
        <f aca="false">R139-Q139</f>
        <v>15171</v>
      </c>
      <c r="T139" s="3" t="n">
        <f aca="false">(120+1)/60</f>
        <v>2.01666666666667</v>
      </c>
      <c r="U139" s="3" t="n">
        <f aca="false">(120+2)/60</f>
        <v>2.03333333333333</v>
      </c>
      <c r="V139" s="3" t="n">
        <f aca="false">U139-T139</f>
        <v>0.0166666666666666</v>
      </c>
      <c r="W139" s="3" t="n">
        <f aca="false">P139/T139</f>
        <v>2.55867768595041</v>
      </c>
      <c r="X139" s="0" t="n">
        <v>4</v>
      </c>
      <c r="Y139" s="3" t="n">
        <f aca="false">P139/X139</f>
        <v>1.29</v>
      </c>
      <c r="Z139" s="3" t="n">
        <f aca="false">23+28/60</f>
        <v>23.4666666666667</v>
      </c>
      <c r="AA139" s="2" t="n">
        <v>121</v>
      </c>
      <c r="AB139" s="2" t="n">
        <v>611</v>
      </c>
      <c r="AC139" s="2" t="n">
        <v>88</v>
      </c>
      <c r="AD139" s="2" t="n">
        <v>133</v>
      </c>
      <c r="AE139" s="3" t="n">
        <f aca="false">21+5/60</f>
        <v>21.0833333333333</v>
      </c>
      <c r="AF139" s="3" t="n">
        <f aca="false">25+37/60</f>
        <v>25.6166666666667</v>
      </c>
      <c r="AG139" s="3" t="n">
        <f aca="false">22+29/60</f>
        <v>22.4833333333333</v>
      </c>
      <c r="AH139" s="3" t="n">
        <f aca="false">23+14/60</f>
        <v>23.2333333333333</v>
      </c>
      <c r="AI139" s="3" t="n">
        <f aca="false">24+49/60</f>
        <v>24.8166666666667</v>
      </c>
      <c r="AJ139" s="3" t="n">
        <f aca="false">60/2.5</f>
        <v>24</v>
      </c>
      <c r="AO139" s="0" t="n">
        <v>1</v>
      </c>
      <c r="AP139" s="0" t="n">
        <v>3</v>
      </c>
      <c r="AQ139" s="0" t="n">
        <v>0</v>
      </c>
      <c r="AR139" s="3" t="n">
        <f aca="false">68+50/60</f>
        <v>68.8333333333333</v>
      </c>
      <c r="AS139" s="3" t="n">
        <f aca="false">29+24/60</f>
        <v>29.4</v>
      </c>
      <c r="AT139" s="3" t="n">
        <f aca="false">11</f>
        <v>11</v>
      </c>
      <c r="AU139" s="3" t="n">
        <f aca="false">4+49/60</f>
        <v>4.81666666666667</v>
      </c>
      <c r="AV139" s="3" t="n">
        <v>0</v>
      </c>
      <c r="AW139" s="0" t="s">
        <v>55</v>
      </c>
      <c r="AX139" s="0" t="s">
        <v>56</v>
      </c>
      <c r="AY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76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99</v>
      </c>
      <c r="K140" s="2" t="n">
        <v>0</v>
      </c>
      <c r="L140" s="2" t="n">
        <v>0</v>
      </c>
      <c r="M140" s="0" t="s">
        <v>86</v>
      </c>
      <c r="N140" s="0" t="s">
        <v>103</v>
      </c>
      <c r="O140" s="0" t="s">
        <v>104</v>
      </c>
      <c r="P140" s="3" t="n">
        <v>5.16</v>
      </c>
      <c r="Q140" s="2" t="n">
        <v>904</v>
      </c>
      <c r="R140" s="2" t="n">
        <v>16075</v>
      </c>
      <c r="S140" s="2" t="n">
        <f aca="false">R140-Q140</f>
        <v>15171</v>
      </c>
      <c r="T140" s="3" t="n">
        <f aca="false">(120+1)/60</f>
        <v>2.01666666666667</v>
      </c>
      <c r="U140" s="3" t="n">
        <f aca="false">(120+2)/60</f>
        <v>2.03333333333333</v>
      </c>
      <c r="V140" s="3" t="n">
        <f aca="false">U140-T140</f>
        <v>0.0166666666666666</v>
      </c>
      <c r="W140" s="3" t="n">
        <f aca="false">P140/T140</f>
        <v>2.55867768595041</v>
      </c>
      <c r="X140" s="0" t="n">
        <v>4</v>
      </c>
      <c r="Y140" s="3" t="n">
        <f aca="false">P140/X140</f>
        <v>1.29</v>
      </c>
      <c r="Z140" s="3" t="n">
        <f aca="false">23+28/60</f>
        <v>23.4666666666667</v>
      </c>
      <c r="AA140" s="2" t="n">
        <v>121</v>
      </c>
      <c r="AB140" s="2" t="n">
        <v>611</v>
      </c>
      <c r="AC140" s="2" t="n">
        <v>88</v>
      </c>
      <c r="AD140" s="0" t="n">
        <v>133</v>
      </c>
      <c r="AE140" s="3" t="n">
        <f aca="false">21+5/60</f>
        <v>21.0833333333333</v>
      </c>
      <c r="AF140" s="3" t="n">
        <f aca="false">25+37/60</f>
        <v>25.6166666666667</v>
      </c>
      <c r="AG140" s="3" t="n">
        <f aca="false">22+29/60</f>
        <v>22.4833333333333</v>
      </c>
      <c r="AH140" s="3" t="n">
        <f aca="false">23+14/60</f>
        <v>23.2333333333333</v>
      </c>
      <c r="AI140" s="3" t="n">
        <f aca="false">24+49/60</f>
        <v>24.8166666666667</v>
      </c>
      <c r="AJ140" s="3" t="n">
        <f aca="false">60/2.5</f>
        <v>24</v>
      </c>
      <c r="AO140" s="0" t="n">
        <v>1</v>
      </c>
      <c r="AP140" s="0" t="n">
        <v>3</v>
      </c>
      <c r="AQ140" s="0" t="n">
        <v>1</v>
      </c>
      <c r="AR140" s="3" t="n">
        <f aca="false">68+50/60</f>
        <v>68.8333333333333</v>
      </c>
      <c r="AS140" s="3" t="n">
        <f aca="false">29+24/60</f>
        <v>29.4</v>
      </c>
      <c r="AT140" s="3" t="n">
        <f aca="false">11</f>
        <v>11</v>
      </c>
      <c r="AU140" s="3" t="n">
        <f aca="false">4+49/60</f>
        <v>4.81666666666667</v>
      </c>
      <c r="AV140" s="3" t="n">
        <v>0</v>
      </c>
      <c r="AW140" s="0" t="s">
        <v>55</v>
      </c>
      <c r="AX140" s="0" t="s">
        <v>56</v>
      </c>
      <c r="AY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107</v>
      </c>
      <c r="F141" s="0" t="s">
        <v>52</v>
      </c>
      <c r="G141" s="2" t="n">
        <v>79</v>
      </c>
      <c r="H141" s="2" t="n">
        <v>75</v>
      </c>
      <c r="I141" s="2" t="n">
        <v>88</v>
      </c>
      <c r="J141" s="2" t="s">
        <v>99</v>
      </c>
      <c r="K141" s="2" t="n">
        <v>10</v>
      </c>
      <c r="L141" s="2" t="n">
        <v>0</v>
      </c>
      <c r="M141" s="0" t="s">
        <v>86</v>
      </c>
      <c r="O141" s="0" t="s">
        <v>93</v>
      </c>
      <c r="AW141" s="0" t="s">
        <v>55</v>
      </c>
      <c r="AX141" s="0" t="s">
        <v>56</v>
      </c>
      <c r="AY141" s="0" t="n">
        <v>1</v>
      </c>
      <c r="AZ141" s="0" t="s">
        <v>78</v>
      </c>
    </row>
    <row r="142" customFormat="false" ht="12.8" hidden="false" customHeight="false" outlineLevel="0" collapsed="false">
      <c r="A142" s="0" t="n">
        <v>674</v>
      </c>
      <c r="B142" s="1" t="n">
        <v>39637.575</v>
      </c>
      <c r="C142" s="0" t="n">
        <v>1</v>
      </c>
      <c r="F142" s="0" t="s">
        <v>76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98</v>
      </c>
      <c r="K142" s="2" t="n">
        <v>15</v>
      </c>
      <c r="L142" s="2" t="n">
        <v>0</v>
      </c>
      <c r="M142" s="0" t="s">
        <v>86</v>
      </c>
      <c r="N142" s="0" t="s">
        <v>103</v>
      </c>
      <c r="O142" s="0" t="s">
        <v>104</v>
      </c>
      <c r="P142" s="3" t="n">
        <v>4.88</v>
      </c>
      <c r="Q142" s="2" t="n">
        <v>3071</v>
      </c>
      <c r="R142" s="2" t="n">
        <v>18579</v>
      </c>
      <c r="S142" s="2" t="n">
        <f aca="false">R142-Q142</f>
        <v>15508</v>
      </c>
      <c r="T142" s="3" t="n">
        <f aca="false">(60+59)/60</f>
        <v>1.98333333333333</v>
      </c>
      <c r="U142" s="3" t="n">
        <v>2</v>
      </c>
      <c r="V142" s="3" t="n">
        <f aca="false">U142-T142</f>
        <v>0.0166666666666666</v>
      </c>
      <c r="W142" s="3" t="n">
        <f aca="false">P142/T142</f>
        <v>2.46050420168067</v>
      </c>
      <c r="X142" s="0" t="n">
        <v>4</v>
      </c>
      <c r="Y142" s="3" t="n">
        <f aca="false">P142/X142</f>
        <v>1.22</v>
      </c>
      <c r="Z142" s="3" t="n">
        <f aca="false">24+27/60</f>
        <v>24.45</v>
      </c>
      <c r="AA142" s="2" t="n">
        <v>69</v>
      </c>
      <c r="AB142" s="2" t="n">
        <v>557</v>
      </c>
      <c r="AC142" s="2" t="n">
        <v>82</v>
      </c>
      <c r="AD142" s="2" t="n">
        <v>121</v>
      </c>
      <c r="AE142" s="3" t="n">
        <f aca="false">24+13/60</f>
        <v>24.2166666666667</v>
      </c>
      <c r="AF142" s="3" t="n">
        <f aca="false">23+45/60</f>
        <v>23.75</v>
      </c>
      <c r="AG142" s="3" t="n">
        <f aca="false">24+34/60</f>
        <v>24.5666666666667</v>
      </c>
      <c r="AH142" s="3" t="n">
        <f aca="false">25+41/60</f>
        <v>25.6833333333333</v>
      </c>
      <c r="AI142" s="3" t="n">
        <f aca="false">60/2.3</f>
        <v>26.0869565217391</v>
      </c>
      <c r="AO142" s="0" t="n">
        <v>0</v>
      </c>
      <c r="AP142" s="0" t="n">
        <v>0</v>
      </c>
      <c r="AQ142" s="0" t="n">
        <v>0</v>
      </c>
      <c r="AR142" s="3" t="n">
        <f aca="false">60+41/60</f>
        <v>60.6833333333333</v>
      </c>
      <c r="AS142" s="3" t="n">
        <f aca="false">22+43/60</f>
        <v>22.7166666666667</v>
      </c>
      <c r="AT142" s="3" t="n">
        <f aca="false">5</f>
        <v>5</v>
      </c>
      <c r="AU142" s="3" t="n">
        <v>0.266666666666667</v>
      </c>
      <c r="AV142" s="3" t="n">
        <v>0</v>
      </c>
      <c r="AW142" s="0" t="s">
        <v>55</v>
      </c>
      <c r="AX142" s="0" t="s">
        <v>56</v>
      </c>
      <c r="AY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57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96</v>
      </c>
      <c r="K143" s="2" t="n">
        <f aca="false">AVERAGE(14,13,9)</f>
        <v>12</v>
      </c>
      <c r="L143" s="2" t="n">
        <v>24</v>
      </c>
      <c r="M143" s="0" t="s">
        <v>86</v>
      </c>
      <c r="N143" s="0" t="s">
        <v>53</v>
      </c>
      <c r="O143" s="0" t="s">
        <v>104</v>
      </c>
      <c r="P143" s="3" t="n">
        <v>4.99</v>
      </c>
      <c r="Q143" s="2" t="n">
        <v>1331</v>
      </c>
      <c r="R143" s="2" t="n">
        <v>17122</v>
      </c>
      <c r="S143" s="2" t="n">
        <f aca="false">R143-Q143</f>
        <v>15791</v>
      </c>
      <c r="T143" s="3" t="n">
        <v>2</v>
      </c>
      <c r="U143" s="3" t="n">
        <f aca="false">122/60</f>
        <v>2.03333333333333</v>
      </c>
      <c r="V143" s="3" t="n">
        <f aca="false">U143-T143</f>
        <v>0.0333333333333332</v>
      </c>
      <c r="W143" s="3" t="n">
        <f aca="false">P143/T143</f>
        <v>2.495</v>
      </c>
      <c r="X143" s="0" t="n">
        <v>4</v>
      </c>
      <c r="Y143" s="3" t="n">
        <f aca="false">P143/X143</f>
        <v>1.2475</v>
      </c>
      <c r="Z143" s="3" t="n">
        <f aca="false">24+1/60</f>
        <v>24.0166666666667</v>
      </c>
      <c r="AA143" s="2" t="n">
        <v>33</v>
      </c>
      <c r="AB143" s="2" t="n">
        <v>612</v>
      </c>
      <c r="AC143" s="2" t="n">
        <v>90</v>
      </c>
      <c r="AD143" s="2" t="n">
        <v>136</v>
      </c>
      <c r="AE143" s="3" t="n">
        <f aca="false">24+20/60</f>
        <v>24.3333333333333</v>
      </c>
      <c r="AF143" s="3" t="n">
        <f aca="false">21+53/60</f>
        <v>21.8833333333333</v>
      </c>
      <c r="AG143" s="3" t="n">
        <f aca="false">22+59/60</f>
        <v>22.9833333333333</v>
      </c>
      <c r="AH143" s="3" t="n">
        <f aca="false">24+6/60</f>
        <v>24.1</v>
      </c>
      <c r="AI143" s="3" t="n">
        <f aca="false">60/2.2</f>
        <v>27.2727272727273</v>
      </c>
      <c r="AO143" s="0" t="n">
        <v>1</v>
      </c>
      <c r="AP143" s="0" t="n">
        <v>0</v>
      </c>
      <c r="AQ143" s="0" t="n">
        <v>0</v>
      </c>
      <c r="AR143" s="3" t="n">
        <f aca="false">60+47/60</f>
        <v>60.7833333333333</v>
      </c>
      <c r="AS143" s="3" t="n">
        <f aca="false">37+38/60</f>
        <v>37.6333333333333</v>
      </c>
      <c r="AT143" s="3" t="n">
        <f aca="false">11+6/60</f>
        <v>11.1</v>
      </c>
      <c r="AU143" s="3" t="n">
        <f aca="false">5+11/60</f>
        <v>5.18333333333333</v>
      </c>
      <c r="AV143" s="3" t="n">
        <f aca="false">14/60</f>
        <v>0.233333333333333</v>
      </c>
      <c r="AW143" s="0" t="s">
        <v>55</v>
      </c>
      <c r="AX143" s="0" t="s">
        <v>56</v>
      </c>
      <c r="AY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77</v>
      </c>
      <c r="G144" s="2" t="n">
        <v>91</v>
      </c>
      <c r="H144" s="2" t="n">
        <v>76</v>
      </c>
      <c r="I144" s="2" t="n">
        <f aca="false">(65+59)/2</f>
        <v>62</v>
      </c>
      <c r="J144" s="7" t="s">
        <v>108</v>
      </c>
      <c r="K144" s="2" t="n">
        <v>8</v>
      </c>
      <c r="L144" s="2" t="n">
        <v>0</v>
      </c>
      <c r="M144" s="0" t="s">
        <v>86</v>
      </c>
      <c r="N144" s="0" t="s">
        <v>103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57</v>
      </c>
      <c r="G145" s="2" t="n">
        <v>94</v>
      </c>
      <c r="H145" s="2" t="n">
        <v>78</v>
      </c>
      <c r="I145" s="2" t="n">
        <f aca="false">(68+72)/2</f>
        <v>70</v>
      </c>
      <c r="J145" s="2" t="s">
        <v>109</v>
      </c>
      <c r="K145" s="2" t="n">
        <f aca="false">(7+13)/2</f>
        <v>10</v>
      </c>
      <c r="L145" s="2" t="n">
        <v>0</v>
      </c>
      <c r="M145" s="0" t="s">
        <v>86</v>
      </c>
      <c r="N145" s="0" t="s">
        <v>53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77</v>
      </c>
      <c r="G146" s="2" t="n">
        <v>96</v>
      </c>
      <c r="H146" s="2" t="n">
        <v>71</v>
      </c>
      <c r="I146" s="2" t="n">
        <v>42</v>
      </c>
      <c r="J146" s="2" t="s">
        <v>110</v>
      </c>
      <c r="K146" s="2" t="n">
        <v>13</v>
      </c>
      <c r="L146" s="2" t="n">
        <v>17</v>
      </c>
      <c r="M146" s="0" t="s">
        <v>86</v>
      </c>
      <c r="N146" s="0" t="s">
        <v>103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77</v>
      </c>
      <c r="G147" s="2" t="n">
        <f aca="false">(96+99)/2</f>
        <v>97.5</v>
      </c>
      <c r="H147" s="2" t="n">
        <v>73</v>
      </c>
      <c r="I147" s="2" t="n">
        <v>42</v>
      </c>
      <c r="J147" s="2" t="s">
        <v>96</v>
      </c>
      <c r="K147" s="2" t="n">
        <v>15</v>
      </c>
      <c r="L147" s="2" t="n">
        <v>25</v>
      </c>
      <c r="M147" s="0" t="s">
        <v>86</v>
      </c>
      <c r="N147" s="0" t="s">
        <v>53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77</v>
      </c>
      <c r="G148" s="2" t="n">
        <v>94</v>
      </c>
      <c r="H148" s="2" t="n">
        <v>72</v>
      </c>
      <c r="I148" s="2" t="n">
        <v>50</v>
      </c>
      <c r="J148" s="2" t="s">
        <v>96</v>
      </c>
      <c r="K148" s="2" t="n">
        <v>16</v>
      </c>
      <c r="L148" s="2" t="n">
        <v>0</v>
      </c>
      <c r="M148" s="0" t="s">
        <v>86</v>
      </c>
      <c r="N148" s="0" t="s">
        <v>103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76</v>
      </c>
      <c r="G149" s="2" t="n">
        <v>92</v>
      </c>
      <c r="H149" s="2" t="n">
        <v>71</v>
      </c>
      <c r="I149" s="2" t="n">
        <v>52</v>
      </c>
      <c r="J149" s="2" t="s">
        <v>96</v>
      </c>
      <c r="K149" s="2" t="n">
        <v>16</v>
      </c>
      <c r="L149" s="2" t="n">
        <v>0</v>
      </c>
      <c r="M149" s="0" t="s">
        <v>86</v>
      </c>
      <c r="N149" s="0" t="s">
        <v>53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57</v>
      </c>
      <c r="G150" s="2" t="n">
        <v>94</v>
      </c>
      <c r="H150" s="2" t="n">
        <v>73</v>
      </c>
      <c r="I150" s="2" t="n">
        <f aca="false">(52+49)/2</f>
        <v>50.5</v>
      </c>
      <c r="J150" s="2" t="s">
        <v>96</v>
      </c>
      <c r="K150" s="2" t="n">
        <f aca="false">AVERAGE(9+6)/2</f>
        <v>7.5</v>
      </c>
      <c r="L150" s="2" t="n">
        <v>27</v>
      </c>
      <c r="M150" s="0" t="s">
        <v>86</v>
      </c>
      <c r="N150" s="0" t="s">
        <v>103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77</v>
      </c>
      <c r="G151" s="2" t="n">
        <v>95</v>
      </c>
      <c r="H151" s="2" t="n">
        <v>74</v>
      </c>
      <c r="I151" s="2" t="n">
        <f aca="false">(52+49)/2</f>
        <v>50.5</v>
      </c>
      <c r="J151" s="2" t="s">
        <v>102</v>
      </c>
      <c r="K151" s="2" t="n">
        <v>8</v>
      </c>
      <c r="L151" s="2" t="n">
        <v>0</v>
      </c>
      <c r="M151" s="0" t="s">
        <v>86</v>
      </c>
      <c r="N151" s="0" t="s">
        <v>53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57</v>
      </c>
      <c r="G152" s="2" t="n">
        <v>90</v>
      </c>
      <c r="H152" s="2" t="n">
        <v>53</v>
      </c>
      <c r="I152" s="2" t="n">
        <f aca="false">(59+53)/2</f>
        <v>56</v>
      </c>
      <c r="J152" s="2" t="s">
        <v>96</v>
      </c>
      <c r="K152" s="2" t="n">
        <v>9</v>
      </c>
      <c r="L152" s="2" t="n">
        <v>20</v>
      </c>
      <c r="M152" s="0" t="s">
        <v>86</v>
      </c>
      <c r="N152" s="0" t="s">
        <v>103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77</v>
      </c>
      <c r="G153" s="2" t="n">
        <v>91</v>
      </c>
      <c r="H153" s="2" t="n">
        <v>71</v>
      </c>
      <c r="I153" s="2" t="n">
        <v>51</v>
      </c>
      <c r="J153" s="2" t="s">
        <v>96</v>
      </c>
      <c r="K153" s="2" t="n">
        <v>9</v>
      </c>
      <c r="L153" s="2" t="n">
        <v>16</v>
      </c>
      <c r="M153" s="0" t="s">
        <v>86</v>
      </c>
      <c r="N153" s="0" t="s">
        <v>53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77</v>
      </c>
      <c r="G154" s="2" t="n">
        <v>92</v>
      </c>
      <c r="H154" s="2" t="n">
        <v>72</v>
      </c>
      <c r="I154" s="2" t="n">
        <v>53</v>
      </c>
      <c r="J154" s="2" t="s">
        <v>96</v>
      </c>
      <c r="K154" s="2" t="n">
        <v>7</v>
      </c>
      <c r="L154" s="2" t="n">
        <v>0</v>
      </c>
      <c r="M154" s="0" t="s">
        <v>86</v>
      </c>
      <c r="N154" s="0" t="s">
        <v>103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76</v>
      </c>
      <c r="G155" s="2" t="n">
        <v>87</v>
      </c>
      <c r="H155" s="2" t="n">
        <v>73</v>
      </c>
      <c r="I155" s="2" t="n">
        <f aca="false">(72+65)/2</f>
        <v>68.5</v>
      </c>
      <c r="J155" s="2" t="s">
        <v>99</v>
      </c>
      <c r="K155" s="2" t="n">
        <v>7</v>
      </c>
      <c r="L155" s="2" t="n">
        <v>0</v>
      </c>
      <c r="M155" s="0" t="s">
        <v>86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44034.5</v>
      </c>
      <c r="C156" s="0" t="n">
        <v>0</v>
      </c>
      <c r="D156" s="0" t="s">
        <v>111</v>
      </c>
      <c r="F156" s="0" t="s">
        <v>77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7" t="s">
        <v>112</v>
      </c>
      <c r="K156" s="2" t="n">
        <v>7</v>
      </c>
      <c r="L156" s="2" t="n">
        <v>0</v>
      </c>
      <c r="M156" s="0" t="s">
        <v>86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44035.5</v>
      </c>
      <c r="C157" s="0" t="n">
        <v>0</v>
      </c>
      <c r="D157" s="0" t="s">
        <v>113</v>
      </c>
      <c r="F157" s="0" t="s">
        <v>76</v>
      </c>
      <c r="G157" s="2" t="n">
        <v>92</v>
      </c>
      <c r="H157" s="2" t="n">
        <v>75</v>
      </c>
      <c r="I157" s="2" t="n">
        <v>57</v>
      </c>
      <c r="J157" s="2" t="s">
        <v>98</v>
      </c>
      <c r="K157" s="2" t="n">
        <v>6</v>
      </c>
      <c r="L157" s="2" t="n">
        <v>0</v>
      </c>
      <c r="M157" s="0" t="s">
        <v>86</v>
      </c>
    </row>
    <row r="158" customFormat="false" ht="12.8" hidden="false" customHeight="false" outlineLevel="0" collapsed="false">
      <c r="A158" s="8" t="n">
        <f aca="false">A157+1</f>
        <v>690</v>
      </c>
      <c r="B158" s="1" t="n">
        <v>44036.5</v>
      </c>
      <c r="C158" s="0" t="n">
        <v>0</v>
      </c>
      <c r="D158" s="8" t="s">
        <v>113</v>
      </c>
      <c r="F158" s="0" t="s">
        <v>76</v>
      </c>
      <c r="G158" s="2" t="n">
        <v>93</v>
      </c>
      <c r="H158" s="2" t="n">
        <v>72</v>
      </c>
      <c r="I158" s="2" t="n">
        <v>53</v>
      </c>
      <c r="J158" s="2" t="s">
        <v>101</v>
      </c>
      <c r="K158" s="2" t="n">
        <v>7</v>
      </c>
      <c r="L158" s="2" t="n">
        <v>0</v>
      </c>
      <c r="M158" s="0" t="s">
        <v>86</v>
      </c>
    </row>
    <row r="159" customFormat="false" ht="12.8" hidden="false" customHeight="false" outlineLevel="0" collapsed="false">
      <c r="A15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2020-07-24T14:04:06Z</dcterms:modified>
  <cp:revision>20</cp:revision>
  <dc:subject/>
  <dc:title/>
</cp:coreProperties>
</file>