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<sst xmlns="http://schemas.openxmlformats.org/spreadsheetml/2006/main" count="1758" uniqueCount="150">
  <si>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</si>
  <si>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</si>
  <si>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</si>
  <si>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</si>
  <si>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</si>
  <si>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</si>
  <si>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</si>
  <si>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</si>
  <si>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</si>
  <si>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</si>
  <si>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</si>
  <si>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</si>
  <si>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</si>
  <si>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</si>
  <si>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</si>
  <si>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</si>
  <si>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</si>
  <si>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</si>
  <si>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</si>
  <si>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</si>
  <si>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</si>
  <si>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</si>
  <si>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</si>
  <si>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</si>
  <si>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</si>
  <si>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</si>
  <si>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</si>
  <si>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</si>
  <si>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</si>
  <si>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</si>
  <si>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</si>
  <si>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</si>
  <si>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</si>
  <si>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</si>
  <si>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</si>
  <si>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</si>
  <si>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</si>
  <si>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</si>
  <si>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</si>
  <si>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</si>
  <si>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</si>
  <si>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</si>
  <si>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</si>
  <si>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</si>
  <si>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</si>
  <si>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</si>
  <si>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</si>
  <si>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</si>
  <si>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</si>
  <si>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</si>
  <si>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</si>
  <si>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</si>
  <si>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</si>
  <si>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</si>
  <si>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</si>
  <si>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</si>
  <si>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</si>
  <si>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</si>
  <si>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</si>
  <si>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</si>
  <si>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</si>
  <si>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</si>
  <si>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</si>
  <si>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</si>
  <si>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</si>
  <si>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</si>
  <si>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</si>
  <si>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</si>
  <si>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</si>
  <si>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</si>
  <si>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</si>
  <si>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</si>
  <si>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</si>
  <si>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</si>
  <si>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</si>
  <si>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</si>
  <si>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</si>
  <si>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</si>
  <si>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</si>
  <si>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</si>
  <si>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</si>
  <si>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</si>
  <si>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</si>
  <si>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</si>
  <si>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</si>
  <si>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</si>
  <si>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</si>
  <si>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</si>
  <si>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</si>
  <si>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Thunderstorm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</si>
  <si>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</si>
  <si>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</si>
  <si>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</si>
  <si>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</si>
  <si>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</si>
  <si>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</si>
  <si>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N</t>
  </si>
  <si>
    <t xml:space="preserve">ESE </t>
  </si>
  <si>
    <t xml:space="preserve">South Rush Creek Linear Park</t>
  </si>
  <si>
    <t xml:space="preserve">E</t>
  </si>
  <si>
    <t xml:space="preserve">CALM</t>
  </si>
  <si>
    <t xml:space="preserve">SW</t>
  </si>
  <si>
    <t xml:space="preserve">SE</t>
  </si>
  <si>
    <t xml:space="preserve">SSE</t>
  </si>
  <si>
    <t xml:space="preserve">Green Oaks - Little Road</t>
  </si>
  <si>
    <t xml:space="preserve">Light Rain </t>
  </si>
  <si>
    <t xml:space="preserve">NW </t>
  </si>
  <si>
    <t xml:space="preserve">Partly Cloudy </t>
  </si>
  <si>
    <t xml:space="preserve">NNE </t>
  </si>
  <si>
    <t xml:space="preserve">Plantar fasciitis</t>
  </si>
  <si>
    <t xml:space="preserve">NNE</t>
  </si>
  <si>
    <t xml:space="preserve">SSE </t>
  </si>
  <si>
    <t xml:space="preserve">Sick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</si>
  <si>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</si>
  <si>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</si>
  <si>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</si>
  <si>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</si>
  <si>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</si>
  <si>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</si>
  <si>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</si>
  <si>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</si>
  <si>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</si>
  <si>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</si>
  <si>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</si>
  <si>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</si>
  <si>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</si>
  <si>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</si>
  <si>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</si>
  <si>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NNW </t>
  </si>
  <si>
    <t xml:space="preserve">Fair </t>
  </si>
  <si>
    <t xml:space="preserve">Var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</si>
  <si>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</si>
  <si>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</si>
  <si>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</si>
  <si>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</si>
  <si>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</si>
  <si>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</si>
  <si>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</si>
  <si>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</si>
  <si>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</si>
  <si>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</si>
  <si>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</si>
  <si>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</si>
  <si>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</si>
  <si>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</si>
  <si>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</si>
  <si>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</si>
  <si>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</si>
  <si>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</si>
  <si>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KN95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</si>
</sst>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3" activePane="bottomLeft" state="frozen"/>
      <selection pane="topLeft" activeCell="A1" activeCellId="0" sqref="A1"/>
      <selection pane="bottomLeft" activeCell="A286" activeCellId="0" sqref="A286"/>
    </sheetView>
  </sheetViews>
  <sheetFormatPr defaultColWidth="13.72265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3" width="6.11"/>
    <col collapsed="false" customWidth="true" hidden="false" outlineLevel="0" max="19" min="19" style="2" width="9.86"/>
    <col collapsed="false" customWidth="true" hidden="false" outlineLevel="0" max="20" min="20" style="2" width="6.74"/>
    <col collapsed="false" customWidth="true" hidden="false" outlineLevel="0" max="21" min="21" style="2" width="6.46"/>
    <col collapsed="false" customWidth="true" hidden="false" outlineLevel="0" max="22" min="22" style="3" width="6.42"/>
    <col collapsed="false" customWidth="true" hidden="false" outlineLevel="0" max="23" min="23" style="3" width="5.55"/>
    <col collapsed="false" customWidth="true" hidden="false" outlineLevel="0" max="24" min="24" style="3" width="5.43"/>
    <col collapsed="false" customWidth="true" hidden="false" outlineLevel="0" max="25" min="25" style="3" width="6.23"/>
    <col collapsed="false" customWidth="true" hidden="false" outlineLevel="0" max="26" min="26" style="0" width="4.66"/>
    <col collapsed="false" customWidth="true" hidden="false" outlineLevel="0" max="27" min="27" style="3" width="4.97"/>
    <col collapsed="false" customWidth="true" hidden="false" outlineLevel="0" max="28" min="28" style="3" width="6.35"/>
    <col collapsed="false" customWidth="true" hidden="false" outlineLevel="0" max="29" min="29" style="2" width="6.11"/>
    <col collapsed="false" customWidth="true" hidden="false" outlineLevel="0" max="31" min="30" style="2" width="9.19"/>
    <col collapsed="false" customWidth="true" hidden="false" outlineLevel="0" max="32" min="32" style="0" width="7.36"/>
    <col collapsed="false" customWidth="true" hidden="false" outlineLevel="0" max="33" min="33" style="3" width="7.8"/>
    <col collapsed="false" customWidth="true" hidden="false" outlineLevel="0" max="34" min="34" style="3" width="7.92"/>
    <col collapsed="false" customWidth="true" hidden="false" outlineLevel="0" max="35" min="35" style="3" width="7.22"/>
    <col collapsed="false" customWidth="true" hidden="false" outlineLevel="0" max="36" min="36" style="3" width="7.36"/>
    <col collapsed="false" customWidth="true" hidden="false" outlineLevel="0" max="37" min="37" style="3" width="7.22"/>
    <col collapsed="false" customWidth="true" hidden="false" outlineLevel="0" max="38" min="38" style="3" width="7.08"/>
    <col collapsed="false" customWidth="true" hidden="false" outlineLevel="0" max="39" min="39" style="3" width="7.49"/>
    <col collapsed="false" customWidth="true" hidden="false" outlineLevel="0" max="40" min="40" style="3" width="7.22"/>
    <col collapsed="false" customWidth="true" hidden="false" outlineLevel="0" max="41" min="41" style="3" width="7.36"/>
    <col collapsed="false" customWidth="true" hidden="false" outlineLevel="0" max="42" min="42" style="3" width="7.49"/>
    <col collapsed="false" customWidth="true" hidden="false" outlineLevel="0" max="43" min="43" style="2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4" width="6.74"/>
    <col collapsed="false" customWidth="true" hidden="false" outlineLevel="0" max="48" min="48" style="3" width="6.74"/>
    <col collapsed="false" customWidth="true" hidden="false" outlineLevel="0" max="49" min="49" style="3" width="6.88"/>
    <col collapsed="false" customWidth="true" hidden="false" outlineLevel="0" max="50" min="50" style="3" width="6.61"/>
    <col collapsed="false" customWidth="true" hidden="false" outlineLevel="0" max="52" min="51" style="3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0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0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2" t="s">
        <v>42</v>
      </c>
      <c r="AR1" s="0" t="s">
        <v>43</v>
      </c>
      <c r="AS1" s="0" t="s">
        <v>44</v>
      </c>
      <c r="AT1" s="3" t="s">
        <v>45</v>
      </c>
      <c r="AU1" s="5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56</v>
      </c>
      <c r="G2" s="2" t="n">
        <v>54</v>
      </c>
      <c r="I2" s="2" t="n">
        <v>98</v>
      </c>
      <c r="O2" s="0" t="s">
        <v>57</v>
      </c>
      <c r="Q2" s="0" t="s">
        <v>58</v>
      </c>
      <c r="R2" s="3" t="n">
        <v>5.19</v>
      </c>
      <c r="V2" s="3" t="n">
        <v>1.55</v>
      </c>
      <c r="Y2" s="3" t="n">
        <v>3.35</v>
      </c>
      <c r="Z2" s="0" t="n">
        <v>3</v>
      </c>
      <c r="AA2" s="3" t="n">
        <v>1.73</v>
      </c>
      <c r="AB2" s="3" t="n">
        <f aca="false">16+46/60</f>
        <v>16.7666666666667</v>
      </c>
      <c r="AC2" s="2" t="n">
        <v>220</v>
      </c>
      <c r="AD2" s="2" t="n">
        <v>667</v>
      </c>
      <c r="AE2" s="2" t="n">
        <v>101</v>
      </c>
      <c r="AF2" s="0" t="n">
        <v>150</v>
      </c>
      <c r="AG2" s="3" t="n">
        <f aca="false">16+11.7/60</f>
        <v>16.195</v>
      </c>
      <c r="AH2" s="3" t="n">
        <f aca="false">16+55.8/60</f>
        <v>16.93</v>
      </c>
      <c r="AI2" s="3" t="n">
        <f aca="false">16+53.8/60</f>
        <v>16.8966666666667</v>
      </c>
      <c r="AJ2" s="3" t="n">
        <f aca="false">17+8.8/60</f>
        <v>17.1466666666667</v>
      </c>
      <c r="AK2" s="3" t="n">
        <f aca="false">60/3.6</f>
        <v>16.6666666666667</v>
      </c>
      <c r="AR2" s="0" t="n">
        <v>1</v>
      </c>
      <c r="AS2" s="0" t="n">
        <v>1</v>
      </c>
      <c r="BA2" s="0" t="s">
        <v>59</v>
      </c>
      <c r="BB2" s="0" t="s">
        <v>60</v>
      </c>
      <c r="BC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61</v>
      </c>
      <c r="G3" s="2" t="n">
        <v>77</v>
      </c>
      <c r="I3" s="2" t="n">
        <v>42</v>
      </c>
      <c r="O3" s="0" t="s">
        <v>57</v>
      </c>
      <c r="Q3" s="0" t="s">
        <v>62</v>
      </c>
      <c r="R3" s="3" t="n">
        <v>5.62</v>
      </c>
      <c r="V3" s="3" t="n">
        <v>1.53</v>
      </c>
      <c r="Y3" s="3" t="n">
        <v>3.93</v>
      </c>
      <c r="Z3" s="0" t="n">
        <v>2</v>
      </c>
      <c r="AA3" s="3" t="n">
        <f aca="false">R3/Z3</f>
        <v>2.81</v>
      </c>
      <c r="AB3" s="3" t="n">
        <v>16.35</v>
      </c>
      <c r="AC3" s="2" t="n">
        <v>125</v>
      </c>
      <c r="AD3" s="2" t="n">
        <v>943</v>
      </c>
      <c r="AE3" s="2" t="n">
        <v>124</v>
      </c>
      <c r="AF3" s="0" t="n">
        <v>140</v>
      </c>
      <c r="AG3" s="3" t="n">
        <v>15.62</v>
      </c>
      <c r="AH3" s="3" t="n">
        <v>16.3</v>
      </c>
      <c r="AI3" s="3" t="n">
        <v>16.08</v>
      </c>
      <c r="AJ3" s="3" t="n">
        <v>15.83</v>
      </c>
      <c r="AK3" s="3" t="n">
        <v>16.5</v>
      </c>
      <c r="AL3" s="3" t="n">
        <v>16.22</v>
      </c>
      <c r="AR3" s="0" t="n">
        <v>1</v>
      </c>
      <c r="AS3" s="0" t="n">
        <v>0</v>
      </c>
      <c r="BA3" s="0" t="s">
        <v>59</v>
      </c>
      <c r="BB3" s="0" t="s">
        <v>60</v>
      </c>
      <c r="BC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61</v>
      </c>
      <c r="G4" s="2" t="n">
        <v>74</v>
      </c>
      <c r="I4" s="2" t="n">
        <v>64</v>
      </c>
      <c r="O4" s="0" t="s">
        <v>57</v>
      </c>
      <c r="Q4" s="0" t="s">
        <v>63</v>
      </c>
      <c r="R4" s="3" t="n">
        <v>4.91</v>
      </c>
      <c r="V4" s="3" t="n">
        <v>1.25</v>
      </c>
      <c r="Y4" s="3" t="n">
        <v>3.93</v>
      </c>
      <c r="Z4" s="0" t="n">
        <v>2</v>
      </c>
      <c r="AA4" s="3" t="n">
        <v>2.46</v>
      </c>
      <c r="AB4" s="3" t="n">
        <v>17.28</v>
      </c>
      <c r="AC4" s="2" t="n">
        <v>269</v>
      </c>
      <c r="AD4" s="2" t="n">
        <v>648</v>
      </c>
      <c r="AE4" s="2" t="n">
        <v>96</v>
      </c>
      <c r="AF4" s="0" t="n">
        <v>146</v>
      </c>
      <c r="AG4" s="3" t="n">
        <v>17.03</v>
      </c>
      <c r="AH4" s="3" t="n">
        <v>16.62</v>
      </c>
      <c r="AI4" s="3" t="n">
        <v>17.78</v>
      </c>
      <c r="AJ4" s="3" t="n">
        <v>16.75</v>
      </c>
      <c r="AK4" s="3" t="n">
        <v>17.14</v>
      </c>
      <c r="AR4" s="0" t="n">
        <v>1</v>
      </c>
      <c r="AS4" s="0" t="n">
        <v>0</v>
      </c>
      <c r="BA4" s="0" t="s">
        <v>59</v>
      </c>
      <c r="BB4" s="0" t="s">
        <v>60</v>
      </c>
      <c r="BC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64</v>
      </c>
      <c r="G5" s="2" t="n">
        <v>50</v>
      </c>
      <c r="I5" s="2" t="n">
        <v>60</v>
      </c>
      <c r="O5" s="0" t="s">
        <v>57</v>
      </c>
      <c r="Q5" s="0" t="s">
        <v>58</v>
      </c>
      <c r="R5" s="3" t="n">
        <v>5.47</v>
      </c>
      <c r="U5" s="2" t="n">
        <v>12521</v>
      </c>
      <c r="V5" s="3" t="n">
        <v>1.58</v>
      </c>
      <c r="Y5" s="3" t="n">
        <v>3.45</v>
      </c>
      <c r="Z5" s="0" t="n">
        <v>4</v>
      </c>
      <c r="AA5" s="3" t="n">
        <v>1.37</v>
      </c>
      <c r="AB5" s="3" t="n">
        <v>17.4</v>
      </c>
      <c r="AC5" s="2" t="n">
        <v>54</v>
      </c>
      <c r="AD5" s="2" t="n">
        <v>1095</v>
      </c>
      <c r="AE5" s="2" t="n">
        <v>126</v>
      </c>
      <c r="AF5" s="0" t="n">
        <v>147</v>
      </c>
      <c r="AG5" s="3" t="n">
        <v>19.12</v>
      </c>
      <c r="AH5" s="3" t="n">
        <v>20.33</v>
      </c>
      <c r="AI5" s="3" t="n">
        <v>21.63</v>
      </c>
      <c r="AJ5" s="3" t="n">
        <v>20.35</v>
      </c>
      <c r="AK5" s="3" t="n">
        <v>20</v>
      </c>
      <c r="AS5" s="0" t="n">
        <v>1</v>
      </c>
      <c r="BA5" s="0" t="s">
        <v>59</v>
      </c>
      <c r="BB5" s="0" t="s">
        <v>60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61</v>
      </c>
      <c r="G6" s="2" t="n">
        <v>62</v>
      </c>
      <c r="I6" s="2" t="n">
        <v>80</v>
      </c>
      <c r="O6" s="0" t="s">
        <v>57</v>
      </c>
      <c r="Q6" s="0" t="s">
        <v>65</v>
      </c>
      <c r="R6" s="3" t="n">
        <v>5.49</v>
      </c>
      <c r="V6" s="3" t="n">
        <f aca="false">87/60</f>
        <v>1.45</v>
      </c>
      <c r="Y6" s="3" t="n">
        <f aca="false">R6/V6</f>
        <v>3.78620689655172</v>
      </c>
      <c r="Z6" s="0" t="n">
        <v>1</v>
      </c>
      <c r="AA6" s="3" t="n">
        <f aca="false">R6/Z6</f>
        <v>5.49</v>
      </c>
      <c r="AB6" s="3" t="n">
        <f aca="false">15+45/60</f>
        <v>15.75</v>
      </c>
      <c r="AC6" s="2" t="n">
        <v>30</v>
      </c>
      <c r="AD6" s="2" t="n">
        <v>965</v>
      </c>
      <c r="AE6" s="2" t="n">
        <v>132</v>
      </c>
      <c r="AF6" s="0" t="n">
        <v>159</v>
      </c>
      <c r="AG6" s="3" t="n">
        <f aca="false">15+37/60</f>
        <v>15.6166666666667</v>
      </c>
      <c r="AH6" s="3" t="n">
        <f aca="false">15+50/60</f>
        <v>15.8333333333333</v>
      </c>
      <c r="AI6" s="3" t="n">
        <f aca="false">15+33/60</f>
        <v>15.55</v>
      </c>
      <c r="AJ6" s="3" t="n">
        <f aca="false">15+27/60</f>
        <v>15.45</v>
      </c>
      <c r="AK6" s="3" t="n">
        <f aca="false">16+11/60</f>
        <v>16.1833333333333</v>
      </c>
      <c r="AL6" s="3" t="n">
        <f aca="false">60/3.8</f>
        <v>15.7894736842105</v>
      </c>
      <c r="AR6" s="0" t="n">
        <v>0</v>
      </c>
      <c r="AS6" s="0" t="n">
        <v>0</v>
      </c>
      <c r="BA6" s="0" t="s">
        <v>59</v>
      </c>
      <c r="BB6" s="0" t="s">
        <v>60</v>
      </c>
      <c r="BC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61</v>
      </c>
      <c r="G7" s="2" t="n">
        <v>44</v>
      </c>
      <c r="I7" s="2" t="n">
        <v>45</v>
      </c>
      <c r="O7" s="0" t="s">
        <v>57</v>
      </c>
      <c r="Q7" s="0" t="s">
        <v>58</v>
      </c>
      <c r="R7" s="3" t="n">
        <v>2.86</v>
      </c>
      <c r="U7" s="2" t="n">
        <f aca="false">9769-843</f>
        <v>8926</v>
      </c>
      <c r="V7" s="3" t="n">
        <f aca="false">79/60</f>
        <v>1.31666666666667</v>
      </c>
      <c r="Y7" s="3" t="n">
        <f aca="false">R7/V7</f>
        <v>2.17215189873418</v>
      </c>
      <c r="Z7" s="0" t="n">
        <f aca="false">2</f>
        <v>2</v>
      </c>
      <c r="AA7" s="3" t="n">
        <f aca="false">R7/Z7</f>
        <v>1.43</v>
      </c>
      <c r="AB7" s="3" t="n">
        <f aca="false">27+34/60</f>
        <v>27.5666666666667</v>
      </c>
      <c r="AC7" s="2" t="n">
        <v>54</v>
      </c>
      <c r="AD7" s="2" t="n">
        <v>649</v>
      </c>
      <c r="AE7" s="2" t="n">
        <v>110</v>
      </c>
      <c r="AF7" s="0" t="n">
        <v>146</v>
      </c>
      <c r="AG7" s="3" t="n">
        <f aca="false">16+46/60</f>
        <v>16.7666666666667</v>
      </c>
      <c r="AH7" s="3" t="n">
        <f aca="false">24+41/60</f>
        <v>24.6833333333333</v>
      </c>
      <c r="AI7" s="3" t="n">
        <f aca="false">37+16/60</f>
        <v>37.2666666666667</v>
      </c>
      <c r="AR7" s="0" t="n">
        <v>0</v>
      </c>
      <c r="AS7" s="0" t="n">
        <v>0</v>
      </c>
      <c r="BA7" s="0" t="s">
        <v>59</v>
      </c>
      <c r="BB7" s="0" t="s">
        <v>60</v>
      </c>
      <c r="BC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61</v>
      </c>
      <c r="G8" s="2" t="n">
        <v>54</v>
      </c>
      <c r="I8" s="2" t="n">
        <v>29</v>
      </c>
      <c r="O8" s="0" t="s">
        <v>66</v>
      </c>
      <c r="Q8" s="0" t="s">
        <v>67</v>
      </c>
      <c r="R8" s="3" t="n">
        <v>4.61</v>
      </c>
      <c r="U8" s="2" t="n">
        <v>9972</v>
      </c>
      <c r="V8" s="3" t="n">
        <f aca="false">73/60</f>
        <v>1.21666666666667</v>
      </c>
      <c r="Y8" s="3" t="n">
        <f aca="false">R8/V8</f>
        <v>3.78904109589041</v>
      </c>
      <c r="Z8" s="0" t="n">
        <v>1</v>
      </c>
      <c r="AA8" s="3" t="n">
        <f aca="false">R8/V8</f>
        <v>3.78904109589041</v>
      </c>
      <c r="AB8" s="3" t="n">
        <f aca="false">15+52/60</f>
        <v>15.8666666666667</v>
      </c>
      <c r="AC8" s="2" t="n">
        <v>174</v>
      </c>
      <c r="AD8" s="2" t="n">
        <v>630</v>
      </c>
      <c r="AE8" s="2" t="n">
        <v>106</v>
      </c>
      <c r="AF8" s="0" t="n">
        <v>148</v>
      </c>
      <c r="AG8" s="3" t="n">
        <f aca="false">15+26/60</f>
        <v>15.4333333333333</v>
      </c>
      <c r="AH8" s="3" t="n">
        <f aca="false">15+51/60</f>
        <v>15.85</v>
      </c>
      <c r="AI8" s="3" t="n">
        <f aca="false">16+10.1/60</f>
        <v>16.1683333333333</v>
      </c>
      <c r="AJ8" s="3" t="n">
        <f aca="false">16+5/60</f>
        <v>16.0833333333333</v>
      </c>
      <c r="AK8" s="3" t="n">
        <f aca="false">60/3.8</f>
        <v>15.7894736842105</v>
      </c>
      <c r="AR8" s="0" t="n">
        <v>0</v>
      </c>
      <c r="AS8" s="0" t="n">
        <v>0</v>
      </c>
      <c r="BA8" s="0" t="s">
        <v>59</v>
      </c>
      <c r="BB8" s="0" t="s">
        <v>60</v>
      </c>
      <c r="BC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61</v>
      </c>
      <c r="G9" s="2" t="n">
        <v>52</v>
      </c>
      <c r="I9" s="2" t="n">
        <v>45</v>
      </c>
      <c r="O9" s="0" t="s">
        <v>66</v>
      </c>
      <c r="Q9" s="0" t="s">
        <v>68</v>
      </c>
      <c r="R9" s="3" t="n">
        <v>4.24</v>
      </c>
      <c r="U9" s="2" t="n">
        <v>10059</v>
      </c>
      <c r="V9" s="3" t="n">
        <f aca="false">68/60</f>
        <v>1.13333333333333</v>
      </c>
      <c r="Y9" s="3" t="n">
        <f aca="false">R9/V9</f>
        <v>3.74117647058824</v>
      </c>
      <c r="Z9" s="0" t="n">
        <v>1</v>
      </c>
      <c r="AA9" s="3" t="n">
        <f aca="false">R9/Z9</f>
        <v>4.24</v>
      </c>
      <c r="AB9" s="3" t="n">
        <f aca="false">15+56/60</f>
        <v>15.9333333333333</v>
      </c>
      <c r="AC9" s="2" t="n">
        <v>33</v>
      </c>
      <c r="AD9" s="2" t="n">
        <v>387</v>
      </c>
      <c r="AE9" s="2" t="n">
        <v>92</v>
      </c>
      <c r="AF9" s="0" t="n">
        <v>133</v>
      </c>
      <c r="AG9" s="3" t="n">
        <f aca="false">15+19/60</f>
        <v>15.3166666666667</v>
      </c>
      <c r="AH9" s="3" t="n">
        <f aca="false">15+58.5/60</f>
        <v>15.975</v>
      </c>
      <c r="AI9" s="3" t="n">
        <f aca="false">16+22.2/60</f>
        <v>16.37</v>
      </c>
      <c r="AJ9" s="3" t="n">
        <f aca="false">15+56.1/60</f>
        <v>15.935</v>
      </c>
      <c r="AK9" s="3" t="n">
        <f aca="false">60/3.8</f>
        <v>15.7894736842105</v>
      </c>
      <c r="AR9" s="0" t="n">
        <v>0</v>
      </c>
      <c r="AS9" s="0" t="n">
        <v>0</v>
      </c>
      <c r="BA9" s="0" t="s">
        <v>59</v>
      </c>
      <c r="BB9" s="0" t="s">
        <v>60</v>
      </c>
      <c r="BC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61</v>
      </c>
      <c r="G10" s="2" t="n">
        <v>74</v>
      </c>
      <c r="I10" s="2" t="n">
        <v>25</v>
      </c>
      <c r="AR10" s="0" t="n">
        <v>2</v>
      </c>
      <c r="AS10" s="0" t="n">
        <v>1</v>
      </c>
      <c r="BA10" s="0" t="s">
        <v>59</v>
      </c>
      <c r="BB10" s="0" t="s">
        <v>60</v>
      </c>
      <c r="BC10" s="0" t="n">
        <v>1</v>
      </c>
      <c r="BD10" s="0" t="s">
        <v>69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70</v>
      </c>
      <c r="F11" s="6" t="s">
        <v>71</v>
      </c>
      <c r="G11" s="2" t="n">
        <v>73</v>
      </c>
      <c r="H11" s="2" t="n">
        <v>56</v>
      </c>
      <c r="I11" s="2" t="n">
        <v>55</v>
      </c>
      <c r="J11" s="6" t="s">
        <v>72</v>
      </c>
      <c r="K11" s="2" t="n">
        <v>20</v>
      </c>
      <c r="L11" s="2" t="n">
        <v>0</v>
      </c>
      <c r="M11" s="0" t="s">
        <v>73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74</v>
      </c>
      <c r="G12" s="2" t="n">
        <v>70</v>
      </c>
      <c r="H12" s="2" t="n">
        <v>57</v>
      </c>
      <c r="I12" s="2" t="n">
        <v>63</v>
      </c>
      <c r="J12" s="6" t="s">
        <v>75</v>
      </c>
      <c r="K12" s="2" t="n">
        <v>9</v>
      </c>
      <c r="L12" s="2" t="n">
        <v>0</v>
      </c>
      <c r="M12" s="0" t="s">
        <v>73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76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77</v>
      </c>
      <c r="G14" s="2" t="n">
        <v>57</v>
      </c>
      <c r="J14" s="6"/>
      <c r="K14" s="6"/>
      <c r="O14" s="0" t="s">
        <v>57</v>
      </c>
      <c r="Q14" s="0" t="s">
        <v>58</v>
      </c>
      <c r="R14" s="3" t="n">
        <v>5.05</v>
      </c>
      <c r="U14" s="2" t="n">
        <v>11922</v>
      </c>
      <c r="V14" s="3" t="n">
        <f aca="false">92/60</f>
        <v>1.53333333333333</v>
      </c>
      <c r="Y14" s="3" t="n">
        <f aca="false">R14/V14</f>
        <v>3.29347826086956</v>
      </c>
      <c r="Z14" s="0" t="n">
        <v>3</v>
      </c>
      <c r="AA14" s="3" t="n">
        <f aca="false">R14/Z14</f>
        <v>1.68333333333333</v>
      </c>
      <c r="AB14" s="3" t="n">
        <f aca="false">18+19/60</f>
        <v>18.3166666666667</v>
      </c>
      <c r="AC14" s="2" t="n">
        <v>54</v>
      </c>
      <c r="AD14" s="2" t="n">
        <v>415</v>
      </c>
      <c r="AE14" s="2" t="n">
        <v>84</v>
      </c>
      <c r="AF14" s="0" t="n">
        <v>107</v>
      </c>
      <c r="AG14" s="3" t="n">
        <f aca="false">18+24/60</f>
        <v>18.4</v>
      </c>
      <c r="AH14" s="3" t="n">
        <f aca="false">18+15.7/60</f>
        <v>18.2616666666667</v>
      </c>
      <c r="AI14" s="3" t="n">
        <f aca="false">18+50/60</f>
        <v>18.8333333333333</v>
      </c>
      <c r="AJ14" s="3" t="n">
        <f aca="false">17+51.4/60</f>
        <v>17.8566666666667</v>
      </c>
      <c r="AK14" s="3" t="n">
        <f aca="false">17+59/60</f>
        <v>17.9833333333333</v>
      </c>
      <c r="AL14" s="3" t="n">
        <f aca="false">60/2.6</f>
        <v>23.0769230769231</v>
      </c>
      <c r="AR14" s="0" t="n">
        <v>1</v>
      </c>
      <c r="AS14" s="0" t="n">
        <v>0</v>
      </c>
      <c r="BA14" s="0" t="s">
        <v>59</v>
      </c>
      <c r="BB14" s="0" t="s">
        <v>60</v>
      </c>
      <c r="BC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61</v>
      </c>
      <c r="G15" s="2" t="n">
        <v>62</v>
      </c>
      <c r="I15" s="2" t="n">
        <v>46</v>
      </c>
      <c r="O15" s="0" t="s">
        <v>66</v>
      </c>
      <c r="Q15" s="0" t="s">
        <v>78</v>
      </c>
      <c r="R15" s="3" t="n">
        <v>4.48</v>
      </c>
      <c r="U15" s="2" t="n">
        <f aca="false">10056-560</f>
        <v>9496</v>
      </c>
      <c r="V15" s="3" t="n">
        <f aca="false">72/60</f>
        <v>1.2</v>
      </c>
      <c r="Y15" s="3" t="n">
        <f aca="false">R15/V15</f>
        <v>3.73333333333333</v>
      </c>
      <c r="Z15" s="0" t="n">
        <v>1</v>
      </c>
      <c r="AA15" s="3" t="n">
        <f aca="false">R15/Z15</f>
        <v>4.48</v>
      </c>
      <c r="AB15" s="3" t="n">
        <f aca="false">15+59/60</f>
        <v>15.9833333333333</v>
      </c>
      <c r="AC15" s="2" t="n">
        <v>105</v>
      </c>
      <c r="AD15" s="2" t="n">
        <v>515</v>
      </c>
      <c r="AE15" s="2" t="n">
        <v>78</v>
      </c>
      <c r="AF15" s="0" t="n">
        <v>143</v>
      </c>
      <c r="AG15" s="3" t="n">
        <f aca="false">15+21.4/60</f>
        <v>15.3566666666667</v>
      </c>
      <c r="AH15" s="3" t="n">
        <f aca="false">15+41.9/60</f>
        <v>15.6983333333333</v>
      </c>
      <c r="AI15" s="3" t="n">
        <f aca="false">16+4.8/60</f>
        <v>16.08</v>
      </c>
      <c r="AJ15" s="3" t="n">
        <f aca="false">16+24.6/60</f>
        <v>16.41</v>
      </c>
      <c r="AK15" s="3" t="n">
        <f aca="false">60/3.8</f>
        <v>15.7894736842105</v>
      </c>
      <c r="AR15" s="0" t="n">
        <v>1</v>
      </c>
      <c r="AS15" s="0" t="n">
        <v>0</v>
      </c>
      <c r="BA15" s="0" t="s">
        <v>59</v>
      </c>
      <c r="BB15" s="0" t="s">
        <v>60</v>
      </c>
      <c r="BC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61</v>
      </c>
      <c r="G16" s="2" t="n">
        <v>64</v>
      </c>
      <c r="I16" s="2" t="n">
        <v>19</v>
      </c>
      <c r="O16" s="0" t="s">
        <v>66</v>
      </c>
      <c r="Q16" s="0" t="s">
        <v>62</v>
      </c>
      <c r="R16" s="3" t="n">
        <v>5.8</v>
      </c>
      <c r="U16" s="2" t="n">
        <v>11898</v>
      </c>
      <c r="V16" s="3" t="n">
        <f aca="false">1+29/60</f>
        <v>1.48333333333333</v>
      </c>
      <c r="Y16" s="3" t="n">
        <f aca="false">R16/V16</f>
        <v>3.91011235955056</v>
      </c>
      <c r="Z16" s="0" t="n">
        <v>2</v>
      </c>
      <c r="AA16" s="3" t="n">
        <f aca="false">R16/Z16</f>
        <v>2.9</v>
      </c>
      <c r="AB16" s="3" t="n">
        <f aca="false">15+21/60</f>
        <v>15.35</v>
      </c>
      <c r="AC16" s="2" t="n">
        <v>148</v>
      </c>
      <c r="AD16" s="2" t="n">
        <v>697</v>
      </c>
      <c r="AE16" s="2" t="n">
        <v>93</v>
      </c>
      <c r="AF16" s="0" t="n">
        <v>146</v>
      </c>
      <c r="AG16" s="3" t="n">
        <f aca="false">14+38.3/60</f>
        <v>14.6383333333333</v>
      </c>
      <c r="AH16" s="3" t="n">
        <f aca="false">15+15.3/60</f>
        <v>15.255</v>
      </c>
      <c r="AI16" s="3" t="n">
        <f aca="false">16+2/60</f>
        <v>16.0333333333333</v>
      </c>
      <c r="AJ16" s="3" t="n">
        <f aca="false">14+50.8/60</f>
        <v>14.8466666666667</v>
      </c>
      <c r="AK16" s="3" t="n">
        <f aca="false">15+32.4/60</f>
        <v>15.54</v>
      </c>
      <c r="AL16" s="3" t="n">
        <f aca="false">60/3.8</f>
        <v>15.7894736842105</v>
      </c>
      <c r="AR16" s="0" t="n">
        <v>1</v>
      </c>
      <c r="AS16" s="0" t="n">
        <v>0</v>
      </c>
      <c r="BA16" s="0" t="s">
        <v>59</v>
      </c>
      <c r="BB16" s="0" t="s">
        <v>60</v>
      </c>
      <c r="BC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61</v>
      </c>
      <c r="G17" s="2" t="n">
        <v>61</v>
      </c>
      <c r="I17" s="2" t="n">
        <v>34</v>
      </c>
      <c r="O17" s="0" t="s">
        <v>66</v>
      </c>
      <c r="Q17" s="0" t="s">
        <v>79</v>
      </c>
      <c r="R17" s="3" t="n">
        <v>4.47</v>
      </c>
      <c r="U17" s="2" t="n">
        <v>9834</v>
      </c>
      <c r="V17" s="3" t="n">
        <f aca="false">(60+11)/60</f>
        <v>1.18333333333333</v>
      </c>
      <c r="Y17" s="3" t="n">
        <f aca="false">R17/V17</f>
        <v>3.77746478873239</v>
      </c>
      <c r="Z17" s="0" t="n">
        <v>1</v>
      </c>
      <c r="AB17" s="3" t="n">
        <f aca="false">15+52/60</f>
        <v>15.8666666666667</v>
      </c>
      <c r="AC17" s="2" t="n">
        <v>226</v>
      </c>
      <c r="AD17" s="2" t="n">
        <v>497</v>
      </c>
      <c r="AE17" s="2" t="n">
        <v>80</v>
      </c>
      <c r="AF17" s="0" t="n">
        <v>107</v>
      </c>
      <c r="AG17" s="3" t="n">
        <f aca="false">15+51.3/60</f>
        <v>15.855</v>
      </c>
      <c r="AH17" s="3" t="n">
        <f aca="false">16+12/4/60</f>
        <v>16.05</v>
      </c>
      <c r="AI17" s="3" t="n">
        <f aca="false">15+58.2/60</f>
        <v>15.97</v>
      </c>
      <c r="AJ17" s="3" t="n">
        <f aca="false">15+31/60</f>
        <v>15.5166666666667</v>
      </c>
      <c r="AK17" s="3" t="n">
        <f aca="false">60/3.8</f>
        <v>15.7894736842105</v>
      </c>
      <c r="AR17" s="0" t="n">
        <v>0</v>
      </c>
      <c r="AS17" s="0" t="n">
        <v>0</v>
      </c>
      <c r="BA17" s="0" t="s">
        <v>59</v>
      </c>
      <c r="BB17" s="0" t="s">
        <v>60</v>
      </c>
      <c r="BC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70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56</v>
      </c>
      <c r="G19" s="2" t="n">
        <v>59</v>
      </c>
      <c r="I19" s="2" t="n">
        <v>87</v>
      </c>
      <c r="O19" s="0" t="s">
        <v>57</v>
      </c>
      <c r="Q19" s="0" t="s">
        <v>58</v>
      </c>
      <c r="R19" s="3" t="n">
        <v>3.83</v>
      </c>
      <c r="V19" s="3" t="n">
        <f aca="false">(60+7)/60</f>
        <v>1.11666666666667</v>
      </c>
      <c r="Y19" s="3" t="n">
        <f aca="false">R19/V19</f>
        <v>3.42985074626866</v>
      </c>
      <c r="Z19" s="0" t="n">
        <v>2</v>
      </c>
      <c r="AA19" s="3" t="n">
        <f aca="false">R19/Z19</f>
        <v>1.915</v>
      </c>
      <c r="AB19" s="3" t="n">
        <f aca="false">17+33/60</f>
        <v>17.55</v>
      </c>
      <c r="AC19" s="2" t="n">
        <v>54</v>
      </c>
      <c r="AD19" s="2" t="n">
        <v>290</v>
      </c>
      <c r="AR19" s="0" t="n">
        <v>1</v>
      </c>
      <c r="AS19" s="0" t="n">
        <v>0</v>
      </c>
      <c r="BA19" s="0" t="s">
        <v>59</v>
      </c>
      <c r="BB19" s="0" t="s">
        <v>60</v>
      </c>
      <c r="BC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61</v>
      </c>
      <c r="G20" s="2" t="n">
        <v>54</v>
      </c>
      <c r="I20" s="2" t="n">
        <v>61</v>
      </c>
      <c r="O20" s="0" t="s">
        <v>66</v>
      </c>
      <c r="Q20" s="0" t="s">
        <v>80</v>
      </c>
      <c r="R20" s="3" t="n">
        <v>4.56</v>
      </c>
      <c r="U20" s="2" t="n">
        <f aca="false">10591-1210-25</f>
        <v>9356</v>
      </c>
      <c r="V20" s="3" t="n">
        <f aca="false">1+16/60+28/(60*60)</f>
        <v>1.27444444444444</v>
      </c>
      <c r="Y20" s="3" t="n">
        <f aca="false">R20/V20</f>
        <v>3.57802964254577</v>
      </c>
      <c r="Z20" s="0" t="n">
        <v>1</v>
      </c>
      <c r="AA20" s="3" t="n">
        <f aca="false">R20/Z20</f>
        <v>4.56</v>
      </c>
      <c r="AB20" s="3" t="n">
        <f aca="false">16+46/60</f>
        <v>16.7666666666667</v>
      </c>
      <c r="AC20" s="2" t="n">
        <v>220</v>
      </c>
      <c r="AD20" s="2" t="n">
        <v>667</v>
      </c>
      <c r="AE20" s="2" t="n">
        <v>101</v>
      </c>
      <c r="AF20" s="0" t="n">
        <v>150</v>
      </c>
      <c r="AG20" s="3" t="n">
        <f aca="false">16+11.7/60</f>
        <v>16.195</v>
      </c>
      <c r="AH20" s="3" t="n">
        <f aca="false">16+55.8/60</f>
        <v>16.93</v>
      </c>
      <c r="AI20" s="3" t="n">
        <f aca="false">16+53.8/60</f>
        <v>16.8966666666667</v>
      </c>
      <c r="AJ20" s="3" t="n">
        <f aca="false">17+8.8/60</f>
        <v>17.1466666666667</v>
      </c>
      <c r="AK20" s="3" t="n">
        <f aca="false">60/3.6</f>
        <v>16.6666666666667</v>
      </c>
      <c r="AR20" s="0" t="n">
        <v>0</v>
      </c>
      <c r="AS20" s="0" t="n">
        <v>0</v>
      </c>
      <c r="BA20" s="0" t="s">
        <v>59</v>
      </c>
      <c r="BB20" s="0" t="s">
        <v>60</v>
      </c>
      <c r="BC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61</v>
      </c>
      <c r="G21" s="2" t="n">
        <v>81</v>
      </c>
      <c r="I21" s="2" t="n">
        <v>64</v>
      </c>
      <c r="O21" s="0" t="s">
        <v>66</v>
      </c>
      <c r="Q21" s="0" t="s">
        <v>81</v>
      </c>
      <c r="R21" s="3" t="n">
        <v>3.93</v>
      </c>
      <c r="U21" s="2" t="n">
        <v>9359</v>
      </c>
      <c r="V21" s="3" t="n">
        <f aca="false">67/60</f>
        <v>1.11666666666667</v>
      </c>
      <c r="Y21" s="3" t="n">
        <f aca="false">R21/V21</f>
        <v>3.51940298507463</v>
      </c>
      <c r="Z21" s="0" t="n">
        <v>1</v>
      </c>
      <c r="AA21" s="3" t="n">
        <f aca="false">R21/Z21</f>
        <v>3.93</v>
      </c>
      <c r="AB21" s="3" t="n">
        <f aca="false">17+6/60</f>
        <v>17.1</v>
      </c>
      <c r="AC21" s="2" t="n">
        <v>194</v>
      </c>
      <c r="AD21" s="2" t="n">
        <v>910</v>
      </c>
      <c r="AE21" s="2" t="n">
        <v>135</v>
      </c>
      <c r="AF21" s="0" t="n">
        <v>159</v>
      </c>
      <c r="AG21" s="3" t="n">
        <f aca="false">17+22.9/60</f>
        <v>17.3816666666667</v>
      </c>
      <c r="AH21" s="3" t="n">
        <f aca="false">17+6.5/60</f>
        <v>17.1083333333333</v>
      </c>
      <c r="AI21" s="3" t="n">
        <f aca="false">16+32.4/60</f>
        <v>16.54</v>
      </c>
      <c r="AJ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61</v>
      </c>
      <c r="G22" s="2" t="n">
        <v>64</v>
      </c>
      <c r="I22" s="2" t="n">
        <v>53</v>
      </c>
      <c r="O22" s="0" t="s">
        <v>66</v>
      </c>
      <c r="Q22" s="0" t="s">
        <v>82</v>
      </c>
      <c r="R22" s="3" t="n">
        <v>5.76</v>
      </c>
      <c r="V22" s="3" t="n">
        <f aca="false">(94+44/60)/60</f>
        <v>1.57888888888889</v>
      </c>
      <c r="Y22" s="3" t="n">
        <f aca="false">R22/V22</f>
        <v>3.64813511611541</v>
      </c>
      <c r="Z22" s="0" t="n">
        <v>1</v>
      </c>
      <c r="AA22" s="3" t="n">
        <f aca="false">R22/Z22</f>
        <v>5.76</v>
      </c>
      <c r="AB22" s="3" t="n">
        <f aca="false">16+27/60</f>
        <v>16.45</v>
      </c>
      <c r="AC22" s="2" t="n">
        <v>272</v>
      </c>
      <c r="AD22" s="2" t="n">
        <v>1270</v>
      </c>
      <c r="AE22" s="2" t="n">
        <v>138</v>
      </c>
      <c r="AF22" s="0" t="n">
        <v>162</v>
      </c>
      <c r="AG22" s="3" t="n">
        <f aca="false">15+19.3/60</f>
        <v>15.3216666666667</v>
      </c>
      <c r="AH22" s="3" t="n">
        <f aca="false">15+35.2/60</f>
        <v>15.5866666666667</v>
      </c>
      <c r="AI22" s="3" t="n">
        <f aca="false">15+23.2/60</f>
        <v>15.3866666666667</v>
      </c>
      <c r="AJ22" s="3" t="n">
        <f aca="false">16+19.5/60</f>
        <v>16.325</v>
      </c>
      <c r="AK22" s="3" t="n">
        <f aca="false">18+16.5/60</f>
        <v>18.275</v>
      </c>
      <c r="AL22" s="3" t="n">
        <f aca="false">60/3.3</f>
        <v>18.1818181818182</v>
      </c>
      <c r="AR22" s="0" t="n">
        <v>2</v>
      </c>
      <c r="AS22" s="0" t="n">
        <v>0</v>
      </c>
      <c r="BA22" s="0" t="s">
        <v>59</v>
      </c>
      <c r="BB22" s="0" t="s">
        <v>60</v>
      </c>
      <c r="BC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70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77</v>
      </c>
      <c r="G24" s="2" t="n">
        <v>60</v>
      </c>
      <c r="I24" s="2" t="n">
        <v>86</v>
      </c>
      <c r="O24" s="0" t="s">
        <v>57</v>
      </c>
      <c r="Q24" s="0" t="s">
        <v>58</v>
      </c>
      <c r="R24" s="3" t="n">
        <v>3.18</v>
      </c>
      <c r="V24" s="3" t="n">
        <f aca="false">(60+3+47/60)/60</f>
        <v>1.06305555555556</v>
      </c>
      <c r="Y24" s="3" t="n">
        <f aca="false">R24/V24</f>
        <v>2.99137705774758</v>
      </c>
      <c r="Z24" s="0" t="n">
        <v>2</v>
      </c>
      <c r="AA24" s="3" t="n">
        <f aca="false">R24/Z24</f>
        <v>1.59</v>
      </c>
      <c r="AB24" s="3" t="n">
        <f aca="false">20+3/60</f>
        <v>20.05</v>
      </c>
      <c r="AC24" s="2" t="n">
        <f aca="false">2*54/3</f>
        <v>36</v>
      </c>
      <c r="AD24" s="2" t="n">
        <v>351</v>
      </c>
      <c r="AE24" s="2" t="n">
        <v>90</v>
      </c>
      <c r="AF24" s="0" t="n">
        <v>118</v>
      </c>
      <c r="AG24" s="3" t="n">
        <f aca="false">19+41/60</f>
        <v>19.6833333333333</v>
      </c>
      <c r="AH24" s="3" t="n">
        <f aca="false">19+29.6/60</f>
        <v>19.4933333333333</v>
      </c>
      <c r="AI24" s="3" t="n">
        <f aca="false">21+7.8/60</f>
        <v>21.13</v>
      </c>
      <c r="AJ24" s="3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70</v>
      </c>
      <c r="F25" s="0" t="s">
        <v>56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56</v>
      </c>
      <c r="G26" s="2" t="n">
        <v>70</v>
      </c>
      <c r="I26" s="2" t="n">
        <v>70</v>
      </c>
      <c r="O26" s="0" t="s">
        <v>66</v>
      </c>
      <c r="Q26" s="0" t="s">
        <v>83</v>
      </c>
      <c r="R26" s="3" t="n">
        <v>4.97</v>
      </c>
      <c r="U26" s="2" t="n">
        <v>12897</v>
      </c>
      <c r="V26" s="3" t="n">
        <f aca="false">77/60</f>
        <v>1.28333333333333</v>
      </c>
      <c r="Y26" s="3" t="n">
        <f aca="false">R26/V26</f>
        <v>3.87272727272727</v>
      </c>
      <c r="Z26" s="0" t="n">
        <v>3</v>
      </c>
      <c r="AA26" s="3" t="n">
        <f aca="false">R26/Z26</f>
        <v>1.65666666666667</v>
      </c>
      <c r="AB26" s="3" t="n">
        <f aca="false">15+31/60</f>
        <v>15.5166666666667</v>
      </c>
      <c r="AC26" s="2" t="n">
        <v>118</v>
      </c>
      <c r="AD26" s="2" t="n">
        <v>591</v>
      </c>
      <c r="AE26" s="2" t="n">
        <v>86</v>
      </c>
      <c r="AF26" s="0" t="n">
        <v>148</v>
      </c>
      <c r="AG26" s="3" t="n">
        <f aca="false">15+31.1/60</f>
        <v>15.5183333333333</v>
      </c>
      <c r="AH26" s="3" t="n">
        <f aca="false">15+39.1/60</f>
        <v>15.6516666666667</v>
      </c>
      <c r="AI26" s="3" t="n">
        <f aca="false">15+18.3/60</f>
        <v>15.305</v>
      </c>
      <c r="AJ26" s="3" t="n">
        <f aca="false">15+20.8/60</f>
        <v>15.3466666666667</v>
      </c>
      <c r="AK26" s="3" t="n">
        <f aca="false">15+19.7/60</f>
        <v>15.3283333333333</v>
      </c>
      <c r="AR26" s="0" t="n">
        <v>1</v>
      </c>
      <c r="AS26" s="0" t="n">
        <v>1</v>
      </c>
      <c r="BA26" s="0" t="s">
        <v>59</v>
      </c>
      <c r="BB26" s="0" t="s">
        <v>60</v>
      </c>
      <c r="BC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56</v>
      </c>
      <c r="G27" s="2" t="n">
        <v>67</v>
      </c>
      <c r="I27" s="2" t="n">
        <v>84</v>
      </c>
      <c r="O27" s="0" t="s">
        <v>66</v>
      </c>
      <c r="Q27" s="0" t="s">
        <v>62</v>
      </c>
      <c r="R27" s="3" t="n">
        <v>6.13</v>
      </c>
      <c r="U27" s="2" t="n">
        <v>12444</v>
      </c>
      <c r="V27" s="3" t="n">
        <f aca="false">96/60</f>
        <v>1.6</v>
      </c>
      <c r="Y27" s="3" t="n">
        <f aca="false">R27/V27</f>
        <v>3.83125</v>
      </c>
      <c r="Z27" s="0" t="n">
        <v>2</v>
      </c>
      <c r="AA27" s="3" t="n">
        <f aca="false">R27/Z27</f>
        <v>3.065</v>
      </c>
      <c r="AB27" s="3" t="n">
        <f aca="false">15+36/60</f>
        <v>15.6</v>
      </c>
      <c r="AC27" s="2" t="n">
        <v>167</v>
      </c>
      <c r="AD27" s="2" t="n">
        <v>686</v>
      </c>
      <c r="AE27" s="2" t="n">
        <v>86</v>
      </c>
      <c r="AF27" s="0" t="n">
        <v>135</v>
      </c>
      <c r="AG27" s="3" t="n">
        <f aca="false">15+16.8/60</f>
        <v>15.28</v>
      </c>
      <c r="AH27" s="3" t="n">
        <f aca="false">15+28.3/60</f>
        <v>15.4716666666667</v>
      </c>
      <c r="AI27" s="3" t="n">
        <f aca="false">15+54.6/60</f>
        <v>15.91</v>
      </c>
      <c r="AJ27" s="3" t="n">
        <f aca="false">16+16.3/60</f>
        <v>16.2716666666667</v>
      </c>
      <c r="AK27" s="3" t="n">
        <f aca="false">15+20.2/60</f>
        <v>15.3366666666667</v>
      </c>
      <c r="AL27" s="3" t="n">
        <f aca="false">60/3.8</f>
        <v>15.7894736842105</v>
      </c>
      <c r="AR27" s="0" t="n">
        <v>1</v>
      </c>
      <c r="AS27" s="0" t="n">
        <v>1</v>
      </c>
      <c r="BA27" s="0" t="s">
        <v>59</v>
      </c>
      <c r="BB27" s="0" t="s">
        <v>60</v>
      </c>
      <c r="BC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84</v>
      </c>
      <c r="G28" s="2" t="n">
        <v>79</v>
      </c>
      <c r="I28" s="2" t="n">
        <v>66</v>
      </c>
      <c r="O28" s="0" t="s">
        <v>66</v>
      </c>
      <c r="Q28" s="0" t="s">
        <v>63</v>
      </c>
      <c r="R28" s="3" t="n">
        <v>4.56</v>
      </c>
      <c r="U28" s="2" t="n">
        <v>9920</v>
      </c>
      <c r="V28" s="3" t="n">
        <f aca="false">(60+17+36/60)/60</f>
        <v>1.29333333333333</v>
      </c>
      <c r="Y28" s="3" t="n">
        <f aca="false">R28/V28</f>
        <v>3.52577319587629</v>
      </c>
      <c r="Z28" s="0" t="n">
        <v>1</v>
      </c>
      <c r="AA28" s="3" t="n">
        <f aca="false">R28/Z28</f>
        <v>4.56</v>
      </c>
      <c r="AB28" s="3" t="n">
        <f aca="false">17+1/60</f>
        <v>17.0166666666667</v>
      </c>
      <c r="AC28" s="2" t="n">
        <v>325</v>
      </c>
      <c r="AD28" s="2" t="n">
        <v>995</v>
      </c>
      <c r="AE28" s="2" t="n">
        <v>133</v>
      </c>
      <c r="AF28" s="0" t="n">
        <v>156</v>
      </c>
      <c r="AG28" s="3" t="n">
        <f aca="false">16+13/60</f>
        <v>16.2166666666667</v>
      </c>
      <c r="AH28" s="3" t="n">
        <f aca="false">16+20.9/60</f>
        <v>16.3483333333333</v>
      </c>
      <c r="AI28" s="3" t="n">
        <f aca="false">16+36.9/60</f>
        <v>16.615</v>
      </c>
      <c r="AJ28" s="3" t="n">
        <f aca="false">17+53.1/60</f>
        <v>17.885</v>
      </c>
      <c r="AK28" s="3" t="n">
        <f aca="false">60/3.2</f>
        <v>18.75</v>
      </c>
      <c r="AR28" s="0" t="n">
        <v>1</v>
      </c>
      <c r="AS28" s="0" t="n">
        <v>0</v>
      </c>
      <c r="BA28" s="0" t="s">
        <v>59</v>
      </c>
      <c r="BB28" s="0" t="s">
        <v>60</v>
      </c>
      <c r="BC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85</v>
      </c>
      <c r="G29" s="2" t="n">
        <v>66</v>
      </c>
      <c r="I29" s="2" t="n">
        <v>64</v>
      </c>
      <c r="BC29" s="0" t="n">
        <v>1</v>
      </c>
      <c r="BD29" s="0" t="s">
        <v>86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84</v>
      </c>
      <c r="G30" s="2" t="n">
        <v>51</v>
      </c>
      <c r="I30" s="2" t="n">
        <v>68</v>
      </c>
      <c r="O30" s="0" t="s">
        <v>57</v>
      </c>
      <c r="Q30" s="0" t="s">
        <v>78</v>
      </c>
      <c r="R30" s="3" t="n">
        <v>4.53</v>
      </c>
      <c r="U30" s="2" t="n">
        <v>9714</v>
      </c>
      <c r="V30" s="3" t="n">
        <f aca="false">72/60</f>
        <v>1.2</v>
      </c>
      <c r="Y30" s="3" t="n">
        <f aca="false">R30/V30</f>
        <v>3.775</v>
      </c>
      <c r="Z30" s="0" t="n">
        <v>1</v>
      </c>
      <c r="AA30" s="3" t="n">
        <f aca="false">R30/Z30</f>
        <v>4.53</v>
      </c>
      <c r="AB30" s="3" t="n">
        <f aca="false">16+1/60</f>
        <v>16.0166666666667</v>
      </c>
      <c r="AC30" s="2" t="n">
        <v>85</v>
      </c>
      <c r="AD30" s="2" t="n">
        <v>595</v>
      </c>
      <c r="AE30" s="2" t="n">
        <v>110</v>
      </c>
      <c r="AF30" s="0" t="n">
        <v>136</v>
      </c>
      <c r="AG30" s="3" t="n">
        <f aca="false">15+39.1/60</f>
        <v>15.6516666666667</v>
      </c>
      <c r="AH30" s="3" t="n">
        <f aca="false">15+59.3/60</f>
        <v>15.9883333333333</v>
      </c>
      <c r="AI30" s="3" t="n">
        <f aca="false">15+57.9/60</f>
        <v>15.965</v>
      </c>
      <c r="AJ30" s="3" t="n">
        <f aca="false">16+14.4/60</f>
        <v>16.24</v>
      </c>
      <c r="AK30" s="3" t="n">
        <f aca="false">60/3.7</f>
        <v>16.2162162162162</v>
      </c>
      <c r="AR30" s="0" t="n">
        <v>0</v>
      </c>
      <c r="AS30" s="0" t="n">
        <v>0</v>
      </c>
      <c r="BA30" s="0" t="s">
        <v>59</v>
      </c>
      <c r="BB30" s="0" t="s">
        <v>60</v>
      </c>
      <c r="BC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61</v>
      </c>
      <c r="G31" s="2" t="n">
        <v>58</v>
      </c>
      <c r="I31" s="2" t="n">
        <v>60</v>
      </c>
      <c r="O31" s="0" t="s">
        <v>57</v>
      </c>
      <c r="Q31" s="0" t="s">
        <v>79</v>
      </c>
      <c r="R31" s="3" t="n">
        <v>5.29</v>
      </c>
      <c r="U31" s="2" t="n">
        <v>11153</v>
      </c>
      <c r="V31" s="3" t="n">
        <f aca="false">86/60</f>
        <v>1.43333333333333</v>
      </c>
      <c r="Y31" s="3" t="n">
        <f aca="false">R31/V31</f>
        <v>3.6906976744186</v>
      </c>
      <c r="Z31" s="0" t="n">
        <v>1</v>
      </c>
      <c r="AA31" s="3" t="n">
        <f aca="false">R31/Z31</f>
        <v>5.29</v>
      </c>
      <c r="AB31" s="3" t="n">
        <f aca="false">16+13/60</f>
        <v>16.2166666666667</v>
      </c>
      <c r="AC31" s="2" t="n">
        <v>243</v>
      </c>
      <c r="AD31" s="2" t="n">
        <v>617</v>
      </c>
      <c r="AE31" s="2" t="n">
        <v>99</v>
      </c>
      <c r="AF31" s="0" t="n">
        <v>130</v>
      </c>
      <c r="AG31" s="3" t="n">
        <f aca="false">15+55.2/60</f>
        <v>15.92</v>
      </c>
      <c r="AH31" s="3" t="n">
        <f aca="false">16+43.7/60</f>
        <v>16.7283333333333</v>
      </c>
      <c r="AI31" s="3" t="n">
        <f aca="false">16+18.3/60</f>
        <v>16.305</v>
      </c>
      <c r="AJ31" s="3" t="n">
        <f aca="false">15+49.8/60</f>
        <v>15.83</v>
      </c>
      <c r="AK31" s="3" t="n">
        <f aca="false">60/3.7</f>
        <v>16.2162162162162</v>
      </c>
      <c r="AR31" s="0" t="n">
        <v>0</v>
      </c>
      <c r="AS31" s="0" t="n">
        <v>1</v>
      </c>
      <c r="BA31" s="0" t="s">
        <v>59</v>
      </c>
      <c r="BB31" s="0" t="s">
        <v>60</v>
      </c>
      <c r="BC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56</v>
      </c>
      <c r="G32" s="2" t="n">
        <v>62</v>
      </c>
      <c r="I32" s="2" t="n">
        <v>80</v>
      </c>
      <c r="O32" s="0" t="s">
        <v>57</v>
      </c>
      <c r="Q32" s="0" t="s">
        <v>80</v>
      </c>
      <c r="R32" s="3" t="n">
        <v>5.13</v>
      </c>
      <c r="U32" s="2" t="n">
        <v>10892</v>
      </c>
      <c r="V32" s="3" t="n">
        <f aca="false">82/60</f>
        <v>1.36666666666667</v>
      </c>
      <c r="Y32" s="3" t="n">
        <f aca="false">R32/V32</f>
        <v>3.75365853658537</v>
      </c>
      <c r="Z32" s="0" t="n">
        <v>1</v>
      </c>
      <c r="AA32" s="3" t="n">
        <f aca="false">R32/Z32</f>
        <v>5.13</v>
      </c>
      <c r="AB32" s="3" t="n">
        <f aca="false">16+5/60</f>
        <v>16.0833333333333</v>
      </c>
      <c r="AC32" s="2" t="n">
        <v>217</v>
      </c>
      <c r="AD32" s="2" t="n">
        <v>673</v>
      </c>
      <c r="AE32" s="2" t="n">
        <v>104</v>
      </c>
      <c r="AF32" s="0" t="n">
        <v>143</v>
      </c>
      <c r="AG32" s="3" t="n">
        <f aca="false">15+56.6/60</f>
        <v>15.9433333333333</v>
      </c>
      <c r="AH32" s="3" t="n">
        <f aca="false">15+55.7/60</f>
        <v>15.9283333333333</v>
      </c>
      <c r="AI32" s="3" t="n">
        <f aca="false">16+6.8/60</f>
        <v>16.1133333333333</v>
      </c>
      <c r="AJ32" s="3" t="n">
        <f aca="false">16+28.8/60</f>
        <v>16.48</v>
      </c>
      <c r="AK32" s="3" t="n">
        <f aca="false">60/3.7</f>
        <v>16.2162162162162</v>
      </c>
      <c r="AR32" s="0" t="n">
        <v>0</v>
      </c>
      <c r="AS32" s="0" t="n">
        <v>1</v>
      </c>
      <c r="BA32" s="0" t="s">
        <v>59</v>
      </c>
      <c r="BB32" s="0" t="s">
        <v>60</v>
      </c>
      <c r="BC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56</v>
      </c>
      <c r="G33" s="2" t="n">
        <v>68</v>
      </c>
      <c r="I33" s="2" t="n">
        <v>81</v>
      </c>
      <c r="O33" s="0" t="s">
        <v>57</v>
      </c>
      <c r="Q33" s="0" t="s">
        <v>83</v>
      </c>
      <c r="R33" s="3" t="n">
        <v>4.76</v>
      </c>
      <c r="U33" s="2" t="n">
        <v>9868</v>
      </c>
      <c r="V33" s="3" t="n">
        <f aca="false">75/60</f>
        <v>1.25</v>
      </c>
      <c r="Y33" s="3" t="n">
        <f aca="false">R33/V33</f>
        <v>3.808</v>
      </c>
      <c r="Z33" s="0" t="n">
        <v>1</v>
      </c>
      <c r="AA33" s="3" t="n">
        <f aca="false">R33/Z33</f>
        <v>4.76</v>
      </c>
      <c r="AB33" s="3" t="n">
        <f aca="false">15+46/60</f>
        <v>15.7666666666667</v>
      </c>
      <c r="AC33" s="2" t="n">
        <v>95</v>
      </c>
      <c r="AD33" s="2" t="n">
        <v>513</v>
      </c>
      <c r="AE33" s="2" t="n">
        <v>80</v>
      </c>
      <c r="AF33" s="0" t="n">
        <v>111</v>
      </c>
      <c r="AG33" s="3" t="n">
        <f aca="false">15+19.9/60</f>
        <v>15.3316666666667</v>
      </c>
      <c r="AH33" s="3" t="n">
        <f aca="false">15+38/60</f>
        <v>15.6333333333333</v>
      </c>
      <c r="AI33" s="3" t="n">
        <f aca="false">15+54.7/60</f>
        <v>15.9116666666667</v>
      </c>
      <c r="AJ33" s="3" t="n">
        <f aca="false">15+37.4/60</f>
        <v>15.6233333333333</v>
      </c>
      <c r="AK33" s="3" t="n">
        <f aca="false">60/3.8</f>
        <v>15.7894736842105</v>
      </c>
      <c r="AR33" s="0" t="n">
        <v>0</v>
      </c>
      <c r="AS33" s="0" t="n">
        <v>0</v>
      </c>
      <c r="BA33" s="0" t="s">
        <v>59</v>
      </c>
      <c r="BB33" s="0" t="s">
        <v>60</v>
      </c>
      <c r="BC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61</v>
      </c>
      <c r="G34" s="2" t="n">
        <v>86</v>
      </c>
      <c r="I34" s="2" t="n">
        <v>20</v>
      </c>
      <c r="O34" s="0" t="s">
        <v>66</v>
      </c>
      <c r="Q34" s="0" t="s">
        <v>62</v>
      </c>
      <c r="R34" s="3" t="n">
        <v>4.75</v>
      </c>
      <c r="V34" s="3" t="n">
        <f aca="false">(60+15)/60</f>
        <v>1.25</v>
      </c>
      <c r="Y34" s="3" t="n">
        <f aca="false">R34/V34</f>
        <v>3.8</v>
      </c>
      <c r="Z34" s="0" t="n">
        <v>2</v>
      </c>
      <c r="AA34" s="3" t="n">
        <f aca="false">R34/Z34</f>
        <v>2.375</v>
      </c>
      <c r="AB34" s="3" t="n">
        <f aca="false">15+53/60</f>
        <v>15.8833333333333</v>
      </c>
      <c r="AC34" s="2" t="n">
        <v>125</v>
      </c>
      <c r="AD34" s="2" t="n">
        <v>706</v>
      </c>
      <c r="AE34" s="2" t="n">
        <v>106</v>
      </c>
      <c r="AF34" s="0" t="n">
        <v>150</v>
      </c>
      <c r="AG34" s="3" t="n">
        <f aca="false">15+5.2/60</f>
        <v>15.0866666666667</v>
      </c>
      <c r="AH34" s="3" t="n">
        <f aca="false">15+48/60</f>
        <v>15.8</v>
      </c>
      <c r="AI34" s="3" t="n">
        <f aca="false">16+12.7/60</f>
        <v>16.2116666666667</v>
      </c>
      <c r="AJ34" s="3" t="n">
        <f aca="false">15+37.3/60</f>
        <v>15.6216666666667</v>
      </c>
      <c r="AK34" s="3" t="n">
        <f aca="false">60/3.6</f>
        <v>16.6666666666667</v>
      </c>
      <c r="AR34" s="0" t="n">
        <v>2</v>
      </c>
      <c r="AS34" s="0" t="n">
        <v>0</v>
      </c>
      <c r="BA34" s="0" t="s">
        <v>59</v>
      </c>
      <c r="BB34" s="0" t="s">
        <v>60</v>
      </c>
      <c r="BC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61</v>
      </c>
      <c r="G35" s="2" t="n">
        <v>87</v>
      </c>
      <c r="I35" s="2" t="n">
        <v>40</v>
      </c>
      <c r="O35" s="0" t="s">
        <v>66</v>
      </c>
      <c r="Q35" s="0" t="s">
        <v>63</v>
      </c>
      <c r="R35" s="3" t="n">
        <v>4.61</v>
      </c>
      <c r="V35" s="3" t="n">
        <f aca="false">(60+17+20/60)/60</f>
        <v>1.28888888888889</v>
      </c>
      <c r="Y35" s="3" t="n">
        <f aca="false">R35/V35</f>
        <v>3.57672413793103</v>
      </c>
      <c r="Z35" s="0" t="n">
        <v>1</v>
      </c>
      <c r="AA35" s="3" t="n">
        <f aca="false">R35/Z35</f>
        <v>4.61</v>
      </c>
      <c r="AB35" s="3" t="n">
        <f aca="false">16+48/60</f>
        <v>16.8</v>
      </c>
      <c r="AC35" s="2" t="n">
        <v>256</v>
      </c>
      <c r="AD35" s="2" t="n">
        <v>980</v>
      </c>
      <c r="AE35" s="2" t="n">
        <v>131</v>
      </c>
      <c r="AF35" s="0" t="n">
        <v>159</v>
      </c>
      <c r="AG35" s="3" t="n">
        <f aca="false">15+37.8/60</f>
        <v>15.63</v>
      </c>
      <c r="AH35" s="3" t="n">
        <f aca="false">16+18.2/60</f>
        <v>16.3033333333333</v>
      </c>
      <c r="AI35" s="3" t="n">
        <f aca="false">15+56.2/60</f>
        <v>15.9366666666667</v>
      </c>
      <c r="AJ35" s="3" t="n">
        <f aca="false">17+53.6/60</f>
        <v>17.8933333333333</v>
      </c>
      <c r="AK35" s="3" t="n">
        <f aca="false">60/3.1</f>
        <v>19.3548387096774</v>
      </c>
      <c r="AR35" s="0" t="n">
        <v>5</v>
      </c>
      <c r="AS35" s="0" t="n">
        <v>0</v>
      </c>
      <c r="BA35" s="0" t="s">
        <v>59</v>
      </c>
      <c r="BB35" s="0" t="s">
        <v>60</v>
      </c>
      <c r="BC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61</v>
      </c>
      <c r="G36" s="2" t="n">
        <v>82</v>
      </c>
      <c r="I36" s="2" t="n">
        <v>50</v>
      </c>
      <c r="O36" s="0" t="s">
        <v>66</v>
      </c>
      <c r="Q36" s="0" t="s">
        <v>65</v>
      </c>
      <c r="R36" s="3" t="n">
        <v>4.87</v>
      </c>
      <c r="U36" s="2" t="n">
        <v>11631</v>
      </c>
      <c r="V36" s="3" t="n">
        <f aca="false">1+25/60</f>
        <v>1.41666666666667</v>
      </c>
      <c r="Y36" s="3" t="n">
        <f aca="false">R36/V36</f>
        <v>3.43764705882353</v>
      </c>
      <c r="Z36" s="0" t="n">
        <v>1</v>
      </c>
      <c r="AA36" s="3" t="n">
        <f aca="false">R36/Z36</f>
        <v>4.87</v>
      </c>
      <c r="AB36" s="3" t="n">
        <f aca="false">17+27/60</f>
        <v>17.45</v>
      </c>
      <c r="AC36" s="2" t="n">
        <v>249</v>
      </c>
      <c r="AD36" s="2" t="n">
        <v>777</v>
      </c>
      <c r="AE36" s="2" t="n">
        <v>109</v>
      </c>
      <c r="AF36" s="0" t="n">
        <v>150</v>
      </c>
      <c r="AG36" s="3" t="n">
        <f aca="false">16+53.3/60</f>
        <v>16.8883333333333</v>
      </c>
      <c r="AH36" s="3" t="n">
        <f aca="false">16+27/60</f>
        <v>16.45</v>
      </c>
      <c r="AI36" s="3" t="n">
        <f aca="false">17+25.8/60</f>
        <v>17.43</v>
      </c>
      <c r="AJ36" s="3" t="n">
        <f aca="false">17+1/60</f>
        <v>17.0166666666667</v>
      </c>
      <c r="AK36" s="3" t="n">
        <f aca="false">60/3</f>
        <v>20</v>
      </c>
      <c r="AR36" s="0" t="n">
        <v>5</v>
      </c>
      <c r="AS36" s="0" t="n">
        <v>0</v>
      </c>
      <c r="BA36" s="0" t="s">
        <v>59</v>
      </c>
      <c r="BB36" s="0" t="s">
        <v>60</v>
      </c>
      <c r="BC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84</v>
      </c>
      <c r="G37" s="2" t="n">
        <v>83</v>
      </c>
      <c r="I37" s="2" t="n">
        <v>56</v>
      </c>
      <c r="O37" s="0" t="s">
        <v>57</v>
      </c>
      <c r="Q37" s="0" t="s">
        <v>78</v>
      </c>
      <c r="R37" s="3" t="n">
        <v>4.41</v>
      </c>
      <c r="U37" s="2" t="n">
        <v>9542</v>
      </c>
      <c r="V37" s="3" t="n">
        <f aca="false">75/60</f>
        <v>1.25</v>
      </c>
      <c r="Y37" s="3" t="n">
        <f aca="false">R37/V37</f>
        <v>3.528</v>
      </c>
      <c r="Z37" s="0" t="n">
        <v>1</v>
      </c>
      <c r="AA37" s="3" t="n">
        <f aca="false">R37/Z37</f>
        <v>4.41</v>
      </c>
      <c r="AB37" s="3" t="n">
        <f aca="false">16+59/60</f>
        <v>16.9833333333333</v>
      </c>
      <c r="AC37" s="2" t="n">
        <v>190</v>
      </c>
      <c r="AD37" s="2" t="n">
        <v>473</v>
      </c>
      <c r="AE37" s="2" t="n">
        <v>71</v>
      </c>
      <c r="AF37" s="0" t="n">
        <v>111</v>
      </c>
      <c r="AG37" s="3" t="n">
        <f aca="false">16+7.9/60</f>
        <v>16.1316666666667</v>
      </c>
      <c r="AH37" s="3" t="n">
        <f aca="false">16+28.5/60</f>
        <v>16.475</v>
      </c>
      <c r="AI37" s="3" t="n">
        <f aca="false">16+49.9/60</f>
        <v>16.8316666666667</v>
      </c>
      <c r="AJ37" s="3" t="n">
        <f aca="false">18+0.7/60</f>
        <v>18.0116666666667</v>
      </c>
      <c r="AK37" s="3" t="n">
        <f aca="false">60/3.3</f>
        <v>18.1818181818182</v>
      </c>
      <c r="AR37" s="0" t="n">
        <v>3</v>
      </c>
      <c r="AS37" s="0" t="n">
        <v>0</v>
      </c>
      <c r="BA37" s="0" t="s">
        <v>59</v>
      </c>
      <c r="BB37" s="0" t="s">
        <v>60</v>
      </c>
      <c r="BC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61</v>
      </c>
      <c r="G38" s="2" t="n">
        <v>74</v>
      </c>
      <c r="I38" s="2" t="n">
        <v>19</v>
      </c>
      <c r="O38" s="0" t="s">
        <v>66</v>
      </c>
      <c r="Q38" s="0" t="s">
        <v>87</v>
      </c>
      <c r="R38" s="3" t="n">
        <v>6.55</v>
      </c>
      <c r="U38" s="2" t="n">
        <v>11504</v>
      </c>
      <c r="V38" s="3" t="n">
        <f aca="false">1+46/60</f>
        <v>1.76666666666667</v>
      </c>
      <c r="Y38" s="3" t="n">
        <f aca="false">R38/V38</f>
        <v>3.70754716981132</v>
      </c>
      <c r="Z38" s="0" t="n">
        <v>1</v>
      </c>
      <c r="AA38" s="3" t="n">
        <f aca="false">R38/Z38</f>
        <v>6.55</v>
      </c>
      <c r="AB38" s="3" t="n">
        <f aca="false">16+13/60</f>
        <v>16.2166666666667</v>
      </c>
      <c r="AC38" s="2" t="n">
        <v>69</v>
      </c>
      <c r="AD38" s="2" t="n">
        <v>1364</v>
      </c>
      <c r="AE38" s="2" t="n">
        <v>133</v>
      </c>
      <c r="AF38" s="0" t="n">
        <v>156</v>
      </c>
      <c r="AG38" s="3" t="n">
        <f aca="false">15+17.3/60</f>
        <v>15.2883333333333</v>
      </c>
      <c r="AH38" s="3" t="n">
        <f aca="false">16+31.1/60</f>
        <v>16.5183333333333</v>
      </c>
      <c r="AI38" s="3" t="n">
        <f aca="false">16+33</f>
        <v>49</v>
      </c>
      <c r="AJ38" s="3" t="n">
        <f aca="false">16+33.6/60</f>
        <v>16.56</v>
      </c>
      <c r="AK38" s="3" t="n">
        <f aca="false">17+91.3/60</f>
        <v>18.5216666666667</v>
      </c>
      <c r="AL38" s="3" t="n">
        <f aca="false">16+3.7/60</f>
        <v>16.0616666666667</v>
      </c>
      <c r="AM38" s="3" t="n">
        <f aca="false">60/3.7</f>
        <v>16.2162162162162</v>
      </c>
      <c r="AR38" s="0" t="n">
        <v>3</v>
      </c>
      <c r="AS38" s="0" t="n">
        <v>0</v>
      </c>
      <c r="BA38" s="0" t="s">
        <v>59</v>
      </c>
      <c r="BB38" s="0" t="s">
        <v>60</v>
      </c>
      <c r="BC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70</v>
      </c>
      <c r="F39" s="7" t="s">
        <v>61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88</v>
      </c>
      <c r="F40" s="7" t="s">
        <v>89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56</v>
      </c>
      <c r="G41" s="2" t="n">
        <v>48</v>
      </c>
      <c r="I41" s="2" t="n">
        <v>55</v>
      </c>
      <c r="O41" s="0" t="s">
        <v>57</v>
      </c>
      <c r="Q41" s="0" t="s">
        <v>62</v>
      </c>
      <c r="R41" s="3" t="n">
        <v>6.48</v>
      </c>
      <c r="U41" s="2" t="n">
        <v>13160</v>
      </c>
      <c r="V41" s="3" t="n">
        <f aca="false">101/60</f>
        <v>1.68333333333333</v>
      </c>
      <c r="Y41" s="3" t="n">
        <f aca="false">R41/V41</f>
        <v>3.84950495049505</v>
      </c>
      <c r="Z41" s="0" t="n">
        <v>1</v>
      </c>
      <c r="AA41" s="3" t="n">
        <f aca="false">R41/Z41</f>
        <v>6.48</v>
      </c>
      <c r="AB41" s="3" t="n">
        <f aca="false">16+13/60</f>
        <v>16.2166666666667</v>
      </c>
      <c r="AC41" s="2" t="n">
        <v>180</v>
      </c>
      <c r="AD41" s="2" t="n">
        <v>1124</v>
      </c>
      <c r="AE41" s="2" t="n">
        <v>126</v>
      </c>
      <c r="AF41" s="0" t="n">
        <v>152</v>
      </c>
      <c r="AG41" s="3" t="n">
        <f aca="false">15+44.8/60</f>
        <v>15.7466666666667</v>
      </c>
      <c r="AH41" s="3" t="n">
        <f aca="false">15+20.8/60</f>
        <v>15.3466666666667</v>
      </c>
      <c r="AI41" s="3" t="n">
        <f aca="false">15+37.9/60</f>
        <v>15.6316666666667</v>
      </c>
      <c r="AJ41" s="3" t="n">
        <f aca="false">15+55.5/60</f>
        <v>15.925</v>
      </c>
      <c r="AK41" s="3" t="n">
        <f aca="false">15+19/60</f>
        <v>15.3166666666667</v>
      </c>
      <c r="AL41" s="3" t="n">
        <f aca="false">15+29.2/60</f>
        <v>15.4866666666667</v>
      </c>
      <c r="AM41" s="3" t="n">
        <f aca="false">60/3.9</f>
        <v>15.3846153846154</v>
      </c>
      <c r="AR41" s="0" t="n">
        <v>1</v>
      </c>
      <c r="AS41" s="0" t="n">
        <v>0</v>
      </c>
      <c r="BA41" s="0" t="s">
        <v>59</v>
      </c>
      <c r="BB41" s="0" t="s">
        <v>60</v>
      </c>
      <c r="BC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61</v>
      </c>
      <c r="G42" s="2" t="n">
        <v>72</v>
      </c>
      <c r="I42" s="2" t="n">
        <v>50</v>
      </c>
      <c r="O42" s="0" t="s">
        <v>66</v>
      </c>
      <c r="Q42" s="0" t="s">
        <v>82</v>
      </c>
      <c r="R42" s="3" t="n">
        <v>6.14</v>
      </c>
      <c r="U42" s="2" t="n">
        <v>12629</v>
      </c>
      <c r="V42" s="3" t="n">
        <f aca="false">94/60</f>
        <v>1.56666666666667</v>
      </c>
      <c r="Y42" s="3" t="n">
        <f aca="false">R42/V42</f>
        <v>3.91914893617021</v>
      </c>
      <c r="Z42" s="0" t="n">
        <v>1</v>
      </c>
      <c r="AA42" s="3" t="n">
        <f aca="false">R42/Z42</f>
        <v>6.14</v>
      </c>
      <c r="AB42" s="3" t="n">
        <f aca="false">15+15/60</f>
        <v>15.25</v>
      </c>
      <c r="AC42" s="2" t="n">
        <v>72</v>
      </c>
      <c r="AD42" s="2" t="n">
        <v>668</v>
      </c>
      <c r="AE42" s="2" t="n">
        <v>84</v>
      </c>
      <c r="AF42" s="0" t="n">
        <v>107</v>
      </c>
      <c r="AG42" s="3" t="n">
        <f aca="false">15+33.4/60</f>
        <v>15.5566666666667</v>
      </c>
      <c r="AH42" s="3" t="n">
        <f aca="false">15+6.8/60</f>
        <v>15.1133333333333</v>
      </c>
      <c r="AI42" s="3" t="n">
        <f aca="false">15+17.2/60</f>
        <v>15.2866666666667</v>
      </c>
      <c r="AJ42" s="3" t="n">
        <f aca="false">15+10.1/60</f>
        <v>15.1683333333333</v>
      </c>
      <c r="AK42" s="3" t="n">
        <f aca="false">15+21.9/60</f>
        <v>15.365</v>
      </c>
      <c r="AL42" s="3" t="n">
        <f aca="false">15+21.9/60</f>
        <v>15.365</v>
      </c>
      <c r="AM42" s="3" t="n">
        <f aca="false">60/4</f>
        <v>15</v>
      </c>
      <c r="AR42" s="0" t="n">
        <v>1</v>
      </c>
      <c r="AS42" s="0" t="n">
        <v>0</v>
      </c>
      <c r="BA42" s="0" t="s">
        <v>59</v>
      </c>
      <c r="BB42" s="0" t="s">
        <v>60</v>
      </c>
      <c r="BC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56</v>
      </c>
      <c r="G43" s="2" t="n">
        <v>69</v>
      </c>
      <c r="I43" s="2" t="n">
        <v>73</v>
      </c>
      <c r="O43" s="0" t="s">
        <v>66</v>
      </c>
      <c r="Q43" s="0" t="s">
        <v>78</v>
      </c>
      <c r="R43" s="3" t="n">
        <v>4.5</v>
      </c>
      <c r="V43" s="3" t="n">
        <f aca="false">72/60</f>
        <v>1.2</v>
      </c>
      <c r="Y43" s="3" t="n">
        <f aca="false">R43/V43</f>
        <v>3.75</v>
      </c>
      <c r="Z43" s="0" t="n">
        <v>1</v>
      </c>
      <c r="AA43" s="3" t="n">
        <f aca="false">R43/Z43</f>
        <v>4.5</v>
      </c>
      <c r="AB43" s="3" t="n">
        <f aca="false">15+59/60</f>
        <v>15.9833333333333</v>
      </c>
      <c r="AC43" s="2" t="n">
        <v>102</v>
      </c>
      <c r="AD43" s="2" t="n">
        <v>570</v>
      </c>
      <c r="AE43" s="2" t="n">
        <v>101</v>
      </c>
      <c r="AF43" s="0" t="n">
        <v>136</v>
      </c>
      <c r="AG43" s="3" t="n">
        <f aca="false">15+52/60</f>
        <v>15.8666666666667</v>
      </c>
      <c r="AH43" s="3" t="n">
        <f aca="false">15+59.6/60</f>
        <v>15.9933333333333</v>
      </c>
      <c r="AI43" s="3" t="n">
        <f aca="false">16+30.4/60</f>
        <v>16.5066666666667</v>
      </c>
      <c r="AJ43" s="3" t="n">
        <f aca="false">16+28/60</f>
        <v>16.4666666666667</v>
      </c>
      <c r="AK43" s="3" t="n">
        <f aca="false">60/3.7</f>
        <v>16.2162162162162</v>
      </c>
      <c r="AR43" s="0" t="n">
        <v>0</v>
      </c>
      <c r="AS43" s="0" t="n">
        <v>0</v>
      </c>
      <c r="BA43" s="0" t="s">
        <v>59</v>
      </c>
      <c r="BB43" s="0" t="s">
        <v>60</v>
      </c>
      <c r="BC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88</v>
      </c>
      <c r="F44" s="0" t="s">
        <v>56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88</v>
      </c>
      <c r="F45" s="0" t="s">
        <v>56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88</v>
      </c>
      <c r="F46" s="0" t="s">
        <v>56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61</v>
      </c>
      <c r="G47" s="2" t="n">
        <v>71</v>
      </c>
      <c r="I47" s="2" t="n">
        <v>70</v>
      </c>
      <c r="O47" s="0" t="s">
        <v>66</v>
      </c>
      <c r="Q47" s="0" t="s">
        <v>79</v>
      </c>
      <c r="R47" s="3" t="n">
        <v>5.12</v>
      </c>
      <c r="V47" s="3" t="n">
        <f aca="false">(60+23)/60</f>
        <v>1.38333333333333</v>
      </c>
      <c r="Y47" s="3" t="n">
        <f aca="false">R47/V47</f>
        <v>3.70120481927711</v>
      </c>
      <c r="Z47" s="0" t="n">
        <v>1</v>
      </c>
      <c r="AA47" s="3" t="n">
        <f aca="false">R47/Z47</f>
        <v>5.12</v>
      </c>
      <c r="AB47" s="3" t="n">
        <f aca="false">16+8/60</f>
        <v>16.1333333333333</v>
      </c>
      <c r="AC47" s="2" t="n">
        <v>203</v>
      </c>
      <c r="AD47" s="2" t="n">
        <v>842</v>
      </c>
      <c r="AE47" s="2" t="n">
        <v>120</v>
      </c>
      <c r="AF47" s="0" t="n">
        <v>151</v>
      </c>
      <c r="AG47" s="3" t="n">
        <f aca="false">15+49.1/60</f>
        <v>15.8183333333333</v>
      </c>
      <c r="AH47" s="3" t="n">
        <f aca="false">16+46.2/60</f>
        <v>16.77</v>
      </c>
      <c r="AI47" s="3" t="n">
        <f aca="false">16+5/60</f>
        <v>16.0833333333333</v>
      </c>
      <c r="AJ47" s="3" t="n">
        <f aca="false">16+5.4/60</f>
        <v>16.09</v>
      </c>
      <c r="AK47" s="3" t="n">
        <f aca="false">16+9/60</f>
        <v>16.15</v>
      </c>
      <c r="AL47" s="3" t="n">
        <f aca="false">60/4.3</f>
        <v>13.953488372093</v>
      </c>
      <c r="AR47" s="0" t="n">
        <v>0</v>
      </c>
      <c r="AS47" s="0" t="n">
        <v>0</v>
      </c>
      <c r="BA47" s="0" t="s">
        <v>59</v>
      </c>
      <c r="BB47" s="0" t="s">
        <v>60</v>
      </c>
      <c r="BC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61</v>
      </c>
      <c r="G48" s="2" t="n">
        <v>86</v>
      </c>
      <c r="I48" s="2" t="n">
        <v>43</v>
      </c>
      <c r="O48" s="0" t="s">
        <v>57</v>
      </c>
      <c r="Q48" s="0" t="s">
        <v>80</v>
      </c>
      <c r="R48" s="3" t="n">
        <v>4.78</v>
      </c>
      <c r="U48" s="2" t="n">
        <v>10730</v>
      </c>
      <c r="V48" s="3" t="n">
        <f aca="false">(60+23)/60</f>
        <v>1.38333333333333</v>
      </c>
      <c r="Y48" s="3" t="n">
        <f aca="false">R48/V48</f>
        <v>3.45542168674699</v>
      </c>
      <c r="Z48" s="0" t="n">
        <v>1</v>
      </c>
      <c r="AA48" s="3" t="n">
        <f aca="false">R48/Z48</f>
        <v>4.78</v>
      </c>
      <c r="AB48" s="3" t="n">
        <f aca="false">17+2/60</f>
        <v>17.0333333333333</v>
      </c>
      <c r="AC48" s="2" t="n">
        <v>190</v>
      </c>
      <c r="AD48" s="2" t="n">
        <v>1000</v>
      </c>
      <c r="AE48" s="2" t="n">
        <v>134</v>
      </c>
      <c r="AF48" s="0" t="n">
        <v>164</v>
      </c>
      <c r="AG48" s="3" t="n">
        <f aca="false">15+58.8/60</f>
        <v>15.98</v>
      </c>
      <c r="AH48" s="3" t="n">
        <f aca="false">15+59.1/60</f>
        <v>15.985</v>
      </c>
      <c r="AI48" s="3" t="n">
        <f aca="false">17+38.5/60</f>
        <v>17.6416666666667</v>
      </c>
      <c r="AJ48" s="3" t="n">
        <f aca="false">17+38.5/60</f>
        <v>17.6416666666667</v>
      </c>
      <c r="AK48" s="3" t="n">
        <f aca="false">60/3.5</f>
        <v>17.1428571428571</v>
      </c>
      <c r="AR48" s="0" t="n">
        <v>5</v>
      </c>
      <c r="AS48" s="0" t="n">
        <v>1</v>
      </c>
      <c r="BA48" s="0" t="s">
        <v>59</v>
      </c>
      <c r="BB48" s="0" t="s">
        <v>60</v>
      </c>
      <c r="BC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61</v>
      </c>
      <c r="G49" s="2" t="n">
        <v>85</v>
      </c>
      <c r="I49" s="2" t="n">
        <v>55</v>
      </c>
      <c r="O49" s="0" t="s">
        <v>66</v>
      </c>
      <c r="Q49" s="0" t="s">
        <v>90</v>
      </c>
      <c r="R49" s="3" t="n">
        <v>3.52</v>
      </c>
      <c r="V49" s="3" t="n">
        <f aca="false">78/60</f>
        <v>1.3</v>
      </c>
      <c r="Y49" s="3" t="n">
        <f aca="false">(60+23)/60</f>
        <v>1.38333333333333</v>
      </c>
      <c r="Z49" s="0" t="n">
        <v>2</v>
      </c>
      <c r="AA49" s="3" t="n">
        <v>1</v>
      </c>
      <c r="AB49" s="3" t="n">
        <f aca="false">22+6/60</f>
        <v>22.1</v>
      </c>
      <c r="AC49" s="2" t="n">
        <v>59</v>
      </c>
      <c r="AD49" s="2" t="n">
        <v>688</v>
      </c>
      <c r="AE49" s="2" t="n">
        <v>115</v>
      </c>
      <c r="AF49" s="2" t="n">
        <v>142</v>
      </c>
      <c r="AG49" s="3" t="n">
        <f aca="false">20+23.6/60</f>
        <v>20.3933333333333</v>
      </c>
      <c r="AH49" s="3" t="n">
        <f aca="false">24+49.2/60</f>
        <v>24.82</v>
      </c>
      <c r="AI49" s="3" t="n">
        <f aca="false">21+18.9/60</f>
        <v>21.315</v>
      </c>
      <c r="AJ49" s="3" t="n">
        <f aca="false">60/2.7</f>
        <v>22.2222222222222</v>
      </c>
      <c r="AR49" s="0" t="n">
        <v>0</v>
      </c>
      <c r="AS49" s="0" t="n">
        <v>0</v>
      </c>
      <c r="BA49" s="0" t="s">
        <v>59</v>
      </c>
      <c r="BB49" s="0" t="s">
        <v>60</v>
      </c>
      <c r="BC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61</v>
      </c>
      <c r="G50" s="2" t="n">
        <v>88</v>
      </c>
      <c r="I50" s="2" t="n">
        <v>49</v>
      </c>
      <c r="O50" s="0" t="s">
        <v>57</v>
      </c>
      <c r="Q50" s="0" t="s">
        <v>91</v>
      </c>
      <c r="R50" s="3" t="n">
        <v>4.8</v>
      </c>
      <c r="U50" s="2" t="n">
        <v>10730</v>
      </c>
      <c r="V50" s="3" t="n">
        <f aca="false">(60+14)/60</f>
        <v>1.23333333333333</v>
      </c>
      <c r="Y50" s="3" t="n">
        <f aca="false">R50/V50</f>
        <v>3.89189189189189</v>
      </c>
      <c r="Z50" s="0" t="n">
        <v>1</v>
      </c>
      <c r="AA50" s="3" t="n">
        <f aca="false">R50/Z50</f>
        <v>4.8</v>
      </c>
      <c r="AB50" s="3" t="n">
        <f aca="false">15+24/60</f>
        <v>15.4</v>
      </c>
      <c r="AC50" s="2" t="n">
        <v>43</v>
      </c>
      <c r="AD50" s="2" t="n">
        <v>555</v>
      </c>
      <c r="AE50" s="2" t="n">
        <v>107</v>
      </c>
      <c r="AF50" s="2" t="n">
        <v>133</v>
      </c>
      <c r="AG50" s="3" t="n">
        <f aca="false">15+15.9/60</f>
        <v>15.265</v>
      </c>
      <c r="AH50" s="3" t="n">
        <f aca="false">15+35.7/60</f>
        <v>15.595</v>
      </c>
      <c r="AI50" s="3" t="n">
        <f aca="false">15+33.1/60</f>
        <v>15.5516666666667</v>
      </c>
      <c r="AJ50" s="3" t="n">
        <f aca="false">15+15.3/60</f>
        <v>15.255</v>
      </c>
      <c r="AK50" s="3" t="n">
        <f aca="false">60/3.9</f>
        <v>15.3846153846154</v>
      </c>
      <c r="AR50" s="0" t="n">
        <v>0</v>
      </c>
      <c r="AS50" s="0" t="n">
        <v>1</v>
      </c>
      <c r="BA50" s="0" t="s">
        <v>59</v>
      </c>
      <c r="BB50" s="0" t="s">
        <v>60</v>
      </c>
      <c r="BC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61</v>
      </c>
      <c r="G51" s="2" t="n">
        <v>77</v>
      </c>
      <c r="I51" s="2" t="n">
        <v>71</v>
      </c>
      <c r="O51" s="0" t="s">
        <v>66</v>
      </c>
      <c r="Q51" s="0" t="s">
        <v>78</v>
      </c>
      <c r="R51" s="3" t="n">
        <v>4.48</v>
      </c>
      <c r="U51" s="2" t="n">
        <f aca="false">10135-726</f>
        <v>9409</v>
      </c>
      <c r="V51" s="3" t="n">
        <f aca="false">71/60</f>
        <v>1.18333333333333</v>
      </c>
      <c r="Y51" s="3" t="n">
        <f aca="false">R51/V51</f>
        <v>3.78591549295775</v>
      </c>
      <c r="Z51" s="0" t="n">
        <v>1</v>
      </c>
      <c r="AA51" s="3" t="n">
        <f aca="false">R51/Z51</f>
        <v>4.48</v>
      </c>
      <c r="AB51" s="3" t="n">
        <f aca="false">15+46/60</f>
        <v>15.7666666666667</v>
      </c>
      <c r="AC51" s="2" t="n">
        <v>98</v>
      </c>
      <c r="AD51" s="2" t="n">
        <v>628</v>
      </c>
      <c r="AE51" s="2" t="n">
        <f aca="false">111</f>
        <v>111</v>
      </c>
      <c r="AF51" s="2" t="n">
        <v>144</v>
      </c>
      <c r="AG51" s="3" t="n">
        <f aca="false">15+42.1/60</f>
        <v>15.7016666666667</v>
      </c>
      <c r="AH51" s="3" t="n">
        <f aca="false">15+34.9/60</f>
        <v>15.5816666666667</v>
      </c>
      <c r="AI51" s="3" t="n">
        <f aca="false">15+24.4/60</f>
        <v>15.4066666666667</v>
      </c>
      <c r="AJ51" s="3" t="n">
        <f aca="false">16+23.6/60</f>
        <v>16.3933333333333</v>
      </c>
      <c r="AK51" s="3" t="n">
        <f aca="false">60/3.8</f>
        <v>15.7894736842105</v>
      </c>
      <c r="AR51" s="0" t="n">
        <v>1</v>
      </c>
      <c r="AS51" s="0" t="n">
        <v>1</v>
      </c>
      <c r="BA51" s="0" t="s">
        <v>59</v>
      </c>
      <c r="BB51" s="0" t="s">
        <v>60</v>
      </c>
      <c r="BC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70</v>
      </c>
      <c r="F52" s="0" t="s">
        <v>56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92</v>
      </c>
      <c r="F53" s="0" t="s">
        <v>84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61</v>
      </c>
      <c r="G54" s="2" t="n">
        <v>54</v>
      </c>
      <c r="I54" s="2" t="n">
        <v>45</v>
      </c>
      <c r="O54" s="0" t="s">
        <v>57</v>
      </c>
      <c r="Q54" s="0" t="s">
        <v>93</v>
      </c>
      <c r="R54" s="3" t="n">
        <v>4.48</v>
      </c>
      <c r="U54" s="2" t="n">
        <v>9655</v>
      </c>
      <c r="V54" s="3" t="n">
        <f aca="false">74/60</f>
        <v>1.23333333333333</v>
      </c>
      <c r="Y54" s="3" t="n">
        <f aca="false">R54/V54</f>
        <v>3.63243243243243</v>
      </c>
      <c r="Z54" s="0" t="n">
        <v>1</v>
      </c>
      <c r="AA54" s="3" t="n">
        <f aca="false">R54/Z54</f>
        <v>4.48</v>
      </c>
      <c r="AB54" s="3" t="n">
        <f aca="false">16+20/60</f>
        <v>16.3333333333333</v>
      </c>
      <c r="AC54" s="2" t="n">
        <v>223</v>
      </c>
      <c r="AD54" s="2" t="n">
        <v>850</v>
      </c>
      <c r="AE54" s="2" t="n">
        <v>132</v>
      </c>
      <c r="AF54" s="2" t="n">
        <v>150</v>
      </c>
      <c r="AG54" s="3" t="n">
        <f aca="false">15+52/60</f>
        <v>15.8666666666667</v>
      </c>
      <c r="AH54" s="3" t="n">
        <f aca="false">15+53.3/60</f>
        <v>15.8883333333333</v>
      </c>
      <c r="AI54" s="3" t="n">
        <f aca="false">16+29.4/60</f>
        <v>16.49</v>
      </c>
      <c r="AJ54" s="3" t="n">
        <f aca="false">16+50.6/60</f>
        <v>16.8433333333333</v>
      </c>
      <c r="AK54" s="3" t="n">
        <f aca="false">60/3.7</f>
        <v>16.2162162162162</v>
      </c>
      <c r="AR54" s="0" t="n">
        <v>0</v>
      </c>
      <c r="AS54" s="0" t="n">
        <v>0</v>
      </c>
      <c r="BA54" s="0" t="s">
        <v>59</v>
      </c>
      <c r="BB54" s="0" t="s">
        <v>60</v>
      </c>
      <c r="BC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84</v>
      </c>
      <c r="G55" s="2" t="n">
        <v>55</v>
      </c>
      <c r="I55" s="2" t="n">
        <v>51</v>
      </c>
      <c r="O55" s="0" t="s">
        <v>66</v>
      </c>
      <c r="Q55" s="0" t="s">
        <v>62</v>
      </c>
      <c r="R55" s="3" t="n">
        <v>3.48</v>
      </c>
      <c r="U55" s="2" t="n">
        <v>7199</v>
      </c>
      <c r="V55" s="3" t="n">
        <f aca="false">(52+34/60)/60</f>
        <v>0.876111111111111</v>
      </c>
      <c r="Y55" s="3" t="n">
        <f aca="false">R55/V55</f>
        <v>3.9720989220038</v>
      </c>
      <c r="Z55" s="0" t="n">
        <v>1</v>
      </c>
      <c r="AA55" s="3" t="n">
        <f aca="false">R55/Z55</f>
        <v>3.48</v>
      </c>
      <c r="AB55" s="3" t="n">
        <f aca="false">15+7/60</f>
        <v>15.1166666666667</v>
      </c>
      <c r="AC55" s="2" t="n">
        <v>92</v>
      </c>
      <c r="AD55" s="2" t="n">
        <v>572</v>
      </c>
      <c r="AE55" s="2" t="n">
        <v>134</v>
      </c>
      <c r="AF55" s="2" t="n">
        <v>149</v>
      </c>
      <c r="AG55" s="3" t="n">
        <f aca="false">14+22.5/60</f>
        <v>14.375</v>
      </c>
      <c r="AH55" s="3" t="n">
        <f aca="false">15+3.9/60</f>
        <v>15.065</v>
      </c>
      <c r="AI55" s="3" t="n">
        <f aca="false">15+26.8/60</f>
        <v>15.4466666666667</v>
      </c>
      <c r="AJ55" s="3" t="n">
        <f aca="false">60/3.7</f>
        <v>16.2162162162162</v>
      </c>
      <c r="AR55" s="0" t="n">
        <v>0</v>
      </c>
      <c r="AS55" s="0" t="n">
        <v>0</v>
      </c>
      <c r="BA55" s="0" t="s">
        <v>59</v>
      </c>
      <c r="BB55" s="0" t="s">
        <v>60</v>
      </c>
      <c r="BC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61</v>
      </c>
      <c r="G56" s="2" t="n">
        <v>63</v>
      </c>
      <c r="I56" s="2" t="n">
        <v>71</v>
      </c>
      <c r="O56" s="0" t="s">
        <v>66</v>
      </c>
      <c r="Q56" s="0" t="s">
        <v>65</v>
      </c>
      <c r="R56" s="3" t="n">
        <v>5.74</v>
      </c>
      <c r="U56" s="2" t="n">
        <v>12068</v>
      </c>
      <c r="V56" s="3" t="n">
        <f aca="false">91/60</f>
        <v>1.51666666666667</v>
      </c>
      <c r="Y56" s="3" t="n">
        <f aca="false">R56/V56</f>
        <v>3.78461538461538</v>
      </c>
      <c r="Z56" s="0" t="n">
        <v>1</v>
      </c>
      <c r="AA56" s="3" t="n">
        <f aca="false">R56/Z56</f>
        <v>5.74</v>
      </c>
      <c r="AB56" s="3" t="n">
        <f aca="false">15+53/60</f>
        <v>15.8833333333333</v>
      </c>
      <c r="AC56" s="2" t="n">
        <v>66</v>
      </c>
      <c r="AD56" s="2" t="n">
        <v>648</v>
      </c>
      <c r="AE56" s="2" t="n">
        <v>92</v>
      </c>
      <c r="AF56" s="2" t="n">
        <v>135</v>
      </c>
      <c r="AG56" s="3" t="n">
        <f aca="false">15+48.5/60</f>
        <v>15.8083333333333</v>
      </c>
      <c r="AH56" s="3" t="n">
        <f aca="false">15+48.8/60</f>
        <v>15.8133333333333</v>
      </c>
      <c r="AI56" s="3" t="n">
        <f aca="false">15+26.9/60</f>
        <v>15.4483333333333</v>
      </c>
      <c r="AJ56" s="3" t="n">
        <f aca="false">15+47</f>
        <v>62</v>
      </c>
      <c r="AK56" s="3" t="n">
        <f aca="false">15+49.2/60</f>
        <v>15.82</v>
      </c>
      <c r="AL56" s="3" t="n">
        <f aca="false">60/3.8</f>
        <v>15.7894736842105</v>
      </c>
      <c r="AR56" s="0" t="n">
        <v>3</v>
      </c>
      <c r="AS56" s="0" t="n">
        <v>0</v>
      </c>
      <c r="BA56" s="0" t="s">
        <v>59</v>
      </c>
      <c r="BB56" s="0" t="s">
        <v>60</v>
      </c>
      <c r="BC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61</v>
      </c>
      <c r="G57" s="2" t="n">
        <v>70</v>
      </c>
      <c r="I57" s="2" t="n">
        <v>40</v>
      </c>
      <c r="O57" s="0" t="s">
        <v>66</v>
      </c>
      <c r="Q57" s="0" t="s">
        <v>67</v>
      </c>
      <c r="R57" s="3" t="n">
        <v>4.47</v>
      </c>
      <c r="U57" s="2" t="n">
        <v>9272</v>
      </c>
      <c r="V57" s="3" t="n">
        <f aca="false">(71-3)/60</f>
        <v>1.13333333333333</v>
      </c>
      <c r="Y57" s="3" t="n">
        <f aca="false">R57/V57</f>
        <v>3.94411764705882</v>
      </c>
      <c r="Z57" s="0" t="n">
        <v>1</v>
      </c>
      <c r="AA57" s="3" t="n">
        <f aca="false">R57/Z57</f>
        <v>4.47</v>
      </c>
      <c r="AB57" s="3" t="n">
        <f aca="false">15+55/60</f>
        <v>15.9166666666667</v>
      </c>
      <c r="AC57" s="2" t="n">
        <v>177</v>
      </c>
      <c r="AD57" s="2" t="n">
        <v>632</v>
      </c>
      <c r="AE57" s="2" t="n">
        <v>100</v>
      </c>
      <c r="AF57" s="2" t="n">
        <v>152</v>
      </c>
      <c r="AG57" s="3" t="n">
        <f aca="false">15+55.2/60</f>
        <v>15.92</v>
      </c>
      <c r="AH57" s="3" t="n">
        <f aca="false">16+14.3/60</f>
        <v>16.2383333333333</v>
      </c>
      <c r="AI57" s="3" t="n">
        <f aca="false">15+48.2/60</f>
        <v>15.8033333333333</v>
      </c>
      <c r="AJ57" s="3" t="n">
        <f aca="false">15+41.1/60</f>
        <v>15.685</v>
      </c>
      <c r="AK57" s="3" t="n">
        <f aca="false">60/3.8</f>
        <v>15.7894736842105</v>
      </c>
      <c r="AR57" s="0" t="n">
        <v>3</v>
      </c>
      <c r="AS57" s="0" t="n">
        <v>1</v>
      </c>
      <c r="BA57" s="0" t="s">
        <v>59</v>
      </c>
      <c r="BB57" s="0" t="s">
        <v>60</v>
      </c>
      <c r="BC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56</v>
      </c>
      <c r="G58" s="2" t="n">
        <v>53</v>
      </c>
      <c r="I58" s="2" t="n">
        <v>35</v>
      </c>
      <c r="O58" s="0" t="s">
        <v>57</v>
      </c>
      <c r="Q58" s="0" t="s">
        <v>90</v>
      </c>
      <c r="R58" s="3" t="n">
        <v>2.56</v>
      </c>
      <c r="V58" s="3" t="n">
        <f aca="false">(45+45/60)/60</f>
        <v>0.7625</v>
      </c>
      <c r="Y58" s="3" t="n">
        <f aca="false">R58/V58</f>
        <v>3.35737704918033</v>
      </c>
      <c r="Z58" s="0" t="n">
        <v>1</v>
      </c>
      <c r="AA58" s="3" t="n">
        <f aca="false">R58/Z58</f>
        <v>2.56</v>
      </c>
      <c r="AB58" s="3" t="n">
        <f aca="false">17+54/60</f>
        <v>17.9</v>
      </c>
      <c r="AC58" s="2" t="n">
        <v>26.2</v>
      </c>
      <c r="AD58" s="2" t="n">
        <v>427</v>
      </c>
      <c r="AE58" s="2" t="n">
        <v>116</v>
      </c>
      <c r="AF58" s="2" t="n">
        <v>140</v>
      </c>
      <c r="AG58" s="3" t="n">
        <f aca="false">18+5.9/10</f>
        <v>18.59</v>
      </c>
      <c r="AH58" s="3" t="n">
        <f aca="false">17+9/60</f>
        <v>17.15</v>
      </c>
      <c r="AI58" s="3" t="n">
        <f aca="false">60/3.2</f>
        <v>18.75</v>
      </c>
      <c r="AR58" s="0" t="n">
        <v>0</v>
      </c>
      <c r="AS58" s="0" t="n">
        <v>0</v>
      </c>
      <c r="BA58" s="0" t="s">
        <v>59</v>
      </c>
      <c r="BB58" s="0" t="s">
        <v>60</v>
      </c>
      <c r="BC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61</v>
      </c>
      <c r="G59" s="2" t="n">
        <v>63</v>
      </c>
      <c r="I59" s="2" t="n">
        <v>48</v>
      </c>
      <c r="O59" s="0" t="s">
        <v>66</v>
      </c>
      <c r="Q59" s="0" t="s">
        <v>87</v>
      </c>
      <c r="R59" s="3" t="n">
        <v>5.92</v>
      </c>
      <c r="S59" s="2" t="n">
        <v>794</v>
      </c>
      <c r="T59" s="2" t="n">
        <v>14362</v>
      </c>
      <c r="U59" s="2" t="n">
        <f aca="false">T59-S59</f>
        <v>13568</v>
      </c>
      <c r="V59" s="3" t="n">
        <f aca="false">95/60</f>
        <v>1.58333333333333</v>
      </c>
      <c r="Y59" s="3" t="n">
        <f aca="false">R59/V59</f>
        <v>3.73894736842105</v>
      </c>
      <c r="Z59" s="0" t="n">
        <v>1</v>
      </c>
      <c r="AA59" s="3" t="n">
        <f aca="false">R59/Z59</f>
        <v>5.92</v>
      </c>
      <c r="AB59" s="3" t="n">
        <f aca="false">16+5/60</f>
        <v>16.0833333333333</v>
      </c>
      <c r="AC59" s="2" t="n">
        <v>62</v>
      </c>
      <c r="AD59" s="2" t="n">
        <v>1308</v>
      </c>
      <c r="AE59" s="2" t="n">
        <v>142</v>
      </c>
      <c r="AF59" s="2" t="n">
        <v>158</v>
      </c>
      <c r="AG59" s="3" t="n">
        <f aca="false">15+5.9/60</f>
        <v>15.0983333333333</v>
      </c>
      <c r="AH59" s="3" t="n">
        <f aca="false">15+1.1/60</f>
        <v>15.0183333333333</v>
      </c>
      <c r="AI59" s="3" t="n">
        <f aca="false">15+11.2/60</f>
        <v>15.1866666666667</v>
      </c>
      <c r="AJ59" s="3" t="n">
        <f aca="false">17+2.4/60</f>
        <v>17.04</v>
      </c>
      <c r="AK59" s="3" t="n">
        <f aca="false">17+5.5/60</f>
        <v>17.0916666666667</v>
      </c>
      <c r="AL59" s="3" t="n">
        <f aca="false">60/3.5</f>
        <v>17.1428571428571</v>
      </c>
      <c r="AR59" s="0" t="n">
        <v>3</v>
      </c>
      <c r="AS59" s="0" t="n">
        <v>0</v>
      </c>
      <c r="BA59" s="0" t="s">
        <v>59</v>
      </c>
      <c r="BB59" s="0" t="s">
        <v>60</v>
      </c>
      <c r="BC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84</v>
      </c>
      <c r="G60" s="2" t="n">
        <v>78</v>
      </c>
      <c r="I60" s="2" t="n">
        <v>61</v>
      </c>
      <c r="O60" s="0" t="s">
        <v>57</v>
      </c>
      <c r="Q60" s="0" t="s">
        <v>83</v>
      </c>
      <c r="R60" s="3" t="n">
        <v>4.84</v>
      </c>
      <c r="S60" s="2" t="n">
        <v>800</v>
      </c>
      <c r="T60" s="2" t="n">
        <v>11138</v>
      </c>
      <c r="U60" s="2" t="n">
        <f aca="false">T60-S60</f>
        <v>10338</v>
      </c>
      <c r="V60" s="3" t="n">
        <f aca="false">78/60</f>
        <v>1.3</v>
      </c>
      <c r="Y60" s="3" t="n">
        <f aca="false">R60/V60</f>
        <v>3.72307692307692</v>
      </c>
      <c r="Z60" s="0" t="n">
        <v>1</v>
      </c>
      <c r="AA60" s="3" t="n">
        <f aca="false">R60/Z60</f>
        <v>4.84</v>
      </c>
      <c r="AB60" s="3" t="n">
        <f aca="false">16+9/60</f>
        <v>16.15</v>
      </c>
      <c r="AC60" s="2" t="n">
        <v>138</v>
      </c>
      <c r="AD60" s="2" t="n">
        <v>871</v>
      </c>
      <c r="AE60" s="2" t="n">
        <v>127</v>
      </c>
      <c r="AF60" s="2" t="n">
        <v>144</v>
      </c>
      <c r="AG60" s="3" t="n">
        <f aca="false">15+25.7/60</f>
        <v>15.4283333333333</v>
      </c>
      <c r="AH60" s="3" t="n">
        <f aca="false">15+41.1/60</f>
        <v>15.685</v>
      </c>
      <c r="AI60" s="3" t="n">
        <f aca="false">15+50.5/60</f>
        <v>15.8416666666667</v>
      </c>
      <c r="AJ60" s="3" t="n">
        <f aca="false">16+41.1/60</f>
        <v>16.685</v>
      </c>
      <c r="AK60" s="3" t="n">
        <f aca="false">14+35.9/60</f>
        <v>14.5983333333333</v>
      </c>
      <c r="AR60" s="0" t="n">
        <v>2</v>
      </c>
      <c r="AS60" s="0" t="n">
        <v>0</v>
      </c>
      <c r="BA60" s="0" t="s">
        <v>59</v>
      </c>
      <c r="BB60" s="0" t="s">
        <v>60</v>
      </c>
      <c r="BC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84</v>
      </c>
      <c r="G61" s="2" t="n">
        <v>79</v>
      </c>
      <c r="I61" s="2" t="n">
        <v>61</v>
      </c>
      <c r="O61" s="0" t="s">
        <v>66</v>
      </c>
      <c r="Q61" s="0" t="s">
        <v>62</v>
      </c>
      <c r="R61" s="3" t="n">
        <v>4.46</v>
      </c>
      <c r="S61" s="2" t="n">
        <v>934</v>
      </c>
      <c r="T61" s="2" t="n">
        <v>10304</v>
      </c>
      <c r="U61" s="2" t="n">
        <f aca="false">T61-S61</f>
        <v>9370</v>
      </c>
      <c r="V61" s="3" t="n">
        <f aca="false">71/60</f>
        <v>1.18333333333333</v>
      </c>
      <c r="Y61" s="3" t="n">
        <f aca="false">R61/V61</f>
        <v>3.76901408450704</v>
      </c>
      <c r="Z61" s="0" t="n">
        <v>1</v>
      </c>
      <c r="AA61" s="3" t="n">
        <f aca="false">R61/Z61</f>
        <v>4.46</v>
      </c>
      <c r="AB61" s="3" t="n">
        <f aca="false">15+55/60</f>
        <v>15.9166666666667</v>
      </c>
      <c r="AC61" s="2" t="n">
        <v>125</v>
      </c>
      <c r="AD61" s="2" t="n">
        <v>839</v>
      </c>
      <c r="AE61" s="2" t="n">
        <v>132</v>
      </c>
      <c r="AF61" s="2" t="n">
        <v>145</v>
      </c>
      <c r="AG61" s="3" t="n">
        <f aca="false">14+56.6/60</f>
        <v>14.9433333333333</v>
      </c>
      <c r="AH61" s="3" t="n">
        <f aca="false">16+18.7/60</f>
        <v>16.3116666666667</v>
      </c>
      <c r="AI61" s="3" t="n">
        <f aca="false">16+3.4/60</f>
        <v>16.0566666666667</v>
      </c>
      <c r="AJ61" s="3" t="n">
        <f aca="false">16+0.082/60</f>
        <v>16.0013666666667</v>
      </c>
      <c r="AK61" s="3" t="n">
        <f aca="false">60/3.7</f>
        <v>16.2162162162162</v>
      </c>
      <c r="AR61" s="0" t="n">
        <v>0</v>
      </c>
      <c r="AS61" s="0" t="n">
        <v>0</v>
      </c>
      <c r="BA61" s="0" t="s">
        <v>59</v>
      </c>
      <c r="BB61" s="0" t="s">
        <v>60</v>
      </c>
      <c r="BC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61</v>
      </c>
      <c r="G62" s="2" t="n">
        <v>83</v>
      </c>
      <c r="I62" s="2" t="n">
        <v>64</v>
      </c>
      <c r="O62" s="0" t="s">
        <v>66</v>
      </c>
      <c r="AF62" s="2"/>
      <c r="BC62" s="0" t="n">
        <v>1</v>
      </c>
      <c r="BD62" s="0" t="s">
        <v>86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61</v>
      </c>
      <c r="G63" s="2" t="n">
        <v>64</v>
      </c>
      <c r="I63" s="2" t="n">
        <v>62</v>
      </c>
      <c r="M63" s="0" t="s">
        <v>94</v>
      </c>
      <c r="N63" s="0" t="n">
        <v>0</v>
      </c>
      <c r="O63" s="0" t="s">
        <v>57</v>
      </c>
      <c r="Q63" s="0" t="s">
        <v>63</v>
      </c>
      <c r="R63" s="3" t="n">
        <v>4.61</v>
      </c>
      <c r="S63" s="2" t="n">
        <f aca="false">AVERAGE(S59:S61)</f>
        <v>842.666666666667</v>
      </c>
      <c r="T63" s="2" t="n">
        <v>11299</v>
      </c>
      <c r="U63" s="2" t="n">
        <f aca="false">T63-S63</f>
        <v>10456.3333333333</v>
      </c>
      <c r="V63" s="3" t="n">
        <f aca="false">78/60</f>
        <v>1.3</v>
      </c>
      <c r="Y63" s="3" t="n">
        <f aca="false">R63/V63</f>
        <v>3.54615384615385</v>
      </c>
      <c r="Z63" s="0" t="n">
        <v>1</v>
      </c>
      <c r="AA63" s="3" t="n">
        <f aca="false">R63/Z63</f>
        <v>4.61</v>
      </c>
      <c r="AB63" s="3" t="n">
        <f aca="false">17+1/60</f>
        <v>17.0166666666667</v>
      </c>
      <c r="AC63" s="2" t="n">
        <v>118</v>
      </c>
      <c r="AD63" s="2" t="n">
        <v>506</v>
      </c>
      <c r="AE63" s="2" t="n">
        <v>73</v>
      </c>
      <c r="AF63" s="2" t="n">
        <v>103</v>
      </c>
      <c r="AG63" s="3" t="n">
        <f aca="false">15.5</f>
        <v>15.5</v>
      </c>
      <c r="AH63" s="3" t="n">
        <f aca="false">16+18/60</f>
        <v>16.3</v>
      </c>
      <c r="AI63" s="3" t="n">
        <f aca="false">17+1/60</f>
        <v>17.0166666666667</v>
      </c>
      <c r="AJ63" s="3" t="n">
        <f aca="false">17+46/60</f>
        <v>17.7666666666667</v>
      </c>
      <c r="AK63" s="3" t="n">
        <f aca="false">60/3.1</f>
        <v>19.3548387096774</v>
      </c>
      <c r="AR63" s="0" t="n">
        <v>5</v>
      </c>
      <c r="AS63" s="0" t="n">
        <v>0</v>
      </c>
      <c r="BA63" s="0" t="s">
        <v>59</v>
      </c>
      <c r="BB63" s="0" t="s">
        <v>60</v>
      </c>
      <c r="BC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88</v>
      </c>
      <c r="F64" s="0" t="s">
        <v>56</v>
      </c>
      <c r="G64" s="2" t="n">
        <v>69</v>
      </c>
      <c r="H64" s="2" t="n">
        <v>68</v>
      </c>
      <c r="I64" s="2" t="n">
        <v>96</v>
      </c>
      <c r="J64" s="2" t="s">
        <v>95</v>
      </c>
      <c r="K64" s="2" t="n">
        <v>12</v>
      </c>
      <c r="L64" s="2" t="n">
        <v>0</v>
      </c>
      <c r="M64" s="0" t="s">
        <v>94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61</v>
      </c>
      <c r="G65" s="2" t="n">
        <v>76</v>
      </c>
      <c r="I65" s="2" t="n">
        <v>43</v>
      </c>
      <c r="M65" s="0" t="s">
        <v>73</v>
      </c>
      <c r="N65" s="0" t="n">
        <v>0</v>
      </c>
      <c r="O65" s="0" t="s">
        <v>57</v>
      </c>
      <c r="Q65" s="0" t="s">
        <v>87</v>
      </c>
      <c r="R65" s="3" t="n">
        <v>6.01</v>
      </c>
      <c r="S65" s="2" t="n">
        <f aca="false">AVERAGE(S59:S63)</f>
        <v>842.666666666667</v>
      </c>
      <c r="T65" s="2" t="n">
        <v>13876</v>
      </c>
      <c r="U65" s="2" t="n">
        <f aca="false">T65-S65</f>
        <v>13033.3333333333</v>
      </c>
      <c r="V65" s="3" t="n">
        <f aca="false">93/60</f>
        <v>1.55</v>
      </c>
      <c r="Y65" s="3" t="n">
        <f aca="false">R65/V65</f>
        <v>3.87741935483871</v>
      </c>
      <c r="Z65" s="0" t="n">
        <v>1</v>
      </c>
      <c r="AA65" s="3" t="n">
        <f aca="false">R65/Z65</f>
        <v>6.01</v>
      </c>
      <c r="AB65" s="3" t="n">
        <f aca="false">15+28/60</f>
        <v>15.4666666666667</v>
      </c>
      <c r="AC65" s="2" t="n">
        <v>49</v>
      </c>
      <c r="AD65" s="2" t="n">
        <v>802</v>
      </c>
      <c r="AE65" s="2" t="n">
        <v>94</v>
      </c>
      <c r="AF65" s="2" t="n">
        <v>156</v>
      </c>
      <c r="AG65" s="3" t="n">
        <f aca="false">15+30.2/60</f>
        <v>15.5033333333333</v>
      </c>
      <c r="AH65" s="3" t="n">
        <f aca="false">15+34.4/60</f>
        <v>15.5733333333333</v>
      </c>
      <c r="AI65" s="3" t="n">
        <f aca="false">15+36.1/60</f>
        <v>15.6016666666667</v>
      </c>
      <c r="AJ65" s="3" t="n">
        <f aca="false">15+40.6/60</f>
        <v>15.6766666666667</v>
      </c>
      <c r="AK65" s="3" t="n">
        <f aca="false">15+18.1/60</f>
        <v>15.3016666666667</v>
      </c>
      <c r="AL65" s="3" t="n">
        <f aca="false">15+7.9/60</f>
        <v>15.1316666666667</v>
      </c>
      <c r="AM65" s="3" t="n">
        <f aca="false">60/3.9</f>
        <v>15.3846153846154</v>
      </c>
      <c r="AR65" s="0" t="n">
        <v>1</v>
      </c>
      <c r="AS65" s="0" t="n">
        <v>1</v>
      </c>
      <c r="BA65" s="0" t="s">
        <v>59</v>
      </c>
      <c r="BB65" s="0" t="s">
        <v>60</v>
      </c>
      <c r="BC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61</v>
      </c>
      <c r="G66" s="2" t="n">
        <v>81</v>
      </c>
      <c r="I66" s="2" t="n">
        <v>37</v>
      </c>
      <c r="M66" s="0" t="s">
        <v>73</v>
      </c>
      <c r="N66" s="0" t="n">
        <v>0</v>
      </c>
      <c r="O66" s="0" t="s">
        <v>66</v>
      </c>
      <c r="Q66" s="0" t="s">
        <v>93</v>
      </c>
      <c r="R66" s="3" t="n">
        <v>5.36</v>
      </c>
      <c r="S66" s="2" t="n">
        <f aca="false">S65</f>
        <v>842.666666666667</v>
      </c>
      <c r="V66" s="3" t="n">
        <f aca="false">88/60</f>
        <v>1.46666666666667</v>
      </c>
      <c r="Y66" s="3" t="n">
        <f aca="false">R66/V66</f>
        <v>3.65454545454546</v>
      </c>
      <c r="Z66" s="0" t="n">
        <v>1</v>
      </c>
      <c r="AA66" s="3" t="n">
        <f aca="false">R66/Z66</f>
        <v>5.36</v>
      </c>
      <c r="AB66" s="3" t="n">
        <f aca="false">16+21/60</f>
        <v>16.35</v>
      </c>
      <c r="AC66" s="2" t="n">
        <v>184</v>
      </c>
      <c r="AD66" s="2" t="n">
        <v>802</v>
      </c>
      <c r="AE66" s="2" t="n">
        <v>104</v>
      </c>
      <c r="AF66" s="2" t="n">
        <v>156</v>
      </c>
      <c r="AG66" s="3" t="n">
        <f aca="false">16+23.8/60</f>
        <v>16.3966666666667</v>
      </c>
      <c r="AH66" s="3" t="n">
        <f aca="false">15+43.3/60</f>
        <v>15.7216666666667</v>
      </c>
      <c r="AI66" s="3" t="n">
        <f aca="false">16+9.8/60</f>
        <v>16.1633333333333</v>
      </c>
      <c r="AJ66" s="3" t="n">
        <f aca="false">15+51.5/60</f>
        <v>15.8583333333333</v>
      </c>
      <c r="AK66" s="3" t="n">
        <f aca="false">17+17.3/60</f>
        <v>17.2883333333333</v>
      </c>
      <c r="AL66" s="3" t="n">
        <f aca="false">60/3.7</f>
        <v>16.2162162162162</v>
      </c>
      <c r="AR66" s="0" t="n">
        <v>0</v>
      </c>
      <c r="AS66" s="0" t="n">
        <v>0</v>
      </c>
      <c r="BA66" s="0" t="s">
        <v>59</v>
      </c>
      <c r="BB66" s="0" t="s">
        <v>60</v>
      </c>
      <c r="BC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61</v>
      </c>
      <c r="G67" s="2" t="n">
        <v>76</v>
      </c>
      <c r="I67" s="2" t="n">
        <v>37</v>
      </c>
      <c r="M67" s="0" t="s">
        <v>73</v>
      </c>
      <c r="N67" s="0" t="n">
        <v>0</v>
      </c>
      <c r="O67" s="0" t="s">
        <v>57</v>
      </c>
      <c r="Q67" s="0" t="s">
        <v>82</v>
      </c>
      <c r="R67" s="3" t="n">
        <v>7.82</v>
      </c>
      <c r="S67" s="2" t="n">
        <v>749</v>
      </c>
      <c r="T67" s="2" t="n">
        <v>17135</v>
      </c>
      <c r="U67" s="2" t="n">
        <f aca="false">T67-S67</f>
        <v>16386</v>
      </c>
      <c r="V67" s="3" t="n">
        <f aca="false">120/60</f>
        <v>2</v>
      </c>
      <c r="Y67" s="3" t="n">
        <f aca="false">R67/V67</f>
        <v>3.91</v>
      </c>
      <c r="Z67" s="0" t="n">
        <v>1</v>
      </c>
      <c r="AA67" s="3" t="n">
        <f aca="false">R67/Z67</f>
        <v>7.82</v>
      </c>
      <c r="AB67" s="3" t="n">
        <f aca="false">15+23/60</f>
        <v>15.3833333333333</v>
      </c>
      <c r="AC67" s="2" t="n">
        <v>92</v>
      </c>
      <c r="AD67" s="2" t="n">
        <v>1585</v>
      </c>
      <c r="AE67" s="2" t="n">
        <v>135</v>
      </c>
      <c r="AF67" s="2" t="n">
        <v>156</v>
      </c>
      <c r="AG67" s="3" t="n">
        <f aca="false">15+24/60</f>
        <v>15.4</v>
      </c>
      <c r="AH67" s="3" t="n">
        <f aca="false">14+41.8/60</f>
        <v>14.6966666666667</v>
      </c>
      <c r="AI67" s="3" t="n">
        <f aca="false">14+39.5/60</f>
        <v>14.6583333333333</v>
      </c>
      <c r="AJ67" s="3" t="n">
        <f aca="false">15+5.8/60</f>
        <v>15.0966666666667</v>
      </c>
      <c r="AK67" s="3" t="n">
        <f aca="false">15+48.2/60</f>
        <v>15.8033333333333</v>
      </c>
      <c r="AL67" s="3" t="n">
        <f aca="false">15+6.5/60</f>
        <v>15.1083333333333</v>
      </c>
      <c r="AM67" s="3" t="n">
        <f aca="false">15+59.2/60</f>
        <v>15.9866666666667</v>
      </c>
      <c r="AN67" s="3" t="n">
        <f aca="false">60/3.9</f>
        <v>15.3846153846154</v>
      </c>
      <c r="AR67" s="0" t="n">
        <v>4</v>
      </c>
      <c r="AS67" s="0" t="n">
        <v>0</v>
      </c>
      <c r="BA67" s="0" t="s">
        <v>59</v>
      </c>
      <c r="BB67" s="0" t="s">
        <v>60</v>
      </c>
      <c r="BC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61</v>
      </c>
      <c r="G68" s="2" t="n">
        <v>81</v>
      </c>
      <c r="I68" s="2" t="n">
        <v>23</v>
      </c>
      <c r="M68" s="0" t="s">
        <v>73</v>
      </c>
      <c r="N68" s="0" t="n">
        <v>0</v>
      </c>
      <c r="O68" s="0" t="s">
        <v>66</v>
      </c>
      <c r="Q68" s="0" t="s">
        <v>65</v>
      </c>
      <c r="R68" s="3" t="n">
        <v>7.11</v>
      </c>
      <c r="S68" s="2" t="n">
        <v>1025</v>
      </c>
      <c r="T68" s="2" t="n">
        <v>16621</v>
      </c>
      <c r="U68" s="2" t="n">
        <f aca="false">T68-S68</f>
        <v>15596</v>
      </c>
      <c r="V68" s="3" t="n">
        <f aca="false">(60+56)/60</f>
        <v>1.93333333333333</v>
      </c>
      <c r="Y68" s="3" t="n">
        <f aca="false">R68/V68</f>
        <v>3.67758620689655</v>
      </c>
      <c r="Z68" s="0" t="n">
        <v>1</v>
      </c>
      <c r="AA68" s="3" t="n">
        <f aca="false">R68/Z68</f>
        <v>7.11</v>
      </c>
      <c r="AB68" s="3" t="n">
        <f aca="false">16+15/60</f>
        <v>16.25</v>
      </c>
      <c r="AC68" s="2" t="n">
        <v>62</v>
      </c>
      <c r="AD68" s="2" t="n">
        <v>1131</v>
      </c>
      <c r="AE68" s="2" t="n">
        <v>112</v>
      </c>
      <c r="AF68" s="2" t="n">
        <v>147</v>
      </c>
      <c r="AG68" s="3" t="n">
        <f aca="false">15+29.1/60</f>
        <v>15.485</v>
      </c>
      <c r="AH68" s="3" t="n">
        <f aca="false">15+46.1/60</f>
        <v>15.7683333333333</v>
      </c>
      <c r="AI68" s="3" t="n">
        <f aca="false">16+8.2/60</f>
        <v>16.1366666666667</v>
      </c>
      <c r="AJ68" s="3" t="n">
        <f aca="false">16+20/60</f>
        <v>16.3333333333333</v>
      </c>
      <c r="AK68" s="3" t="n">
        <f aca="false">16+22.4/60</f>
        <v>16.3733333333333</v>
      </c>
      <c r="AL68" s="3" t="n">
        <f aca="false">17+8.8/60</f>
        <v>17.1466666666667</v>
      </c>
      <c r="AM68" s="3" t="n">
        <f aca="false">16+32.7/60</f>
        <v>16.545</v>
      </c>
      <c r="AN68" s="3" t="n">
        <f aca="false">60/3.8</f>
        <v>15.7894736842105</v>
      </c>
      <c r="AR68" s="0" t="n">
        <v>3</v>
      </c>
      <c r="AS68" s="0" t="n">
        <v>1</v>
      </c>
      <c r="BA68" s="0" t="s">
        <v>59</v>
      </c>
      <c r="BB68" s="0" t="s">
        <v>60</v>
      </c>
      <c r="BC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61</v>
      </c>
      <c r="G69" s="2" t="n">
        <v>83</v>
      </c>
      <c r="I69" s="2" t="n">
        <v>37</v>
      </c>
      <c r="M69" s="0" t="s">
        <v>73</v>
      </c>
      <c r="Q69" s="0" t="s">
        <v>80</v>
      </c>
      <c r="R69" s="3" t="n">
        <v>5.41</v>
      </c>
      <c r="S69" s="2" t="n">
        <f aca="false">AVERAGE(S59:S68)</f>
        <v>853.75</v>
      </c>
      <c r="T69" s="2" t="n">
        <v>12500</v>
      </c>
      <c r="U69" s="2" t="n">
        <f aca="false">T69-S69</f>
        <v>11646.25</v>
      </c>
      <c r="V69" s="3" t="n">
        <f aca="false">92/60</f>
        <v>1.53333333333333</v>
      </c>
      <c r="Y69" s="3" t="n">
        <f aca="false">R69/V69</f>
        <v>3.52826086956522</v>
      </c>
      <c r="Z69" s="0" t="n">
        <v>1</v>
      </c>
      <c r="AA69" s="3" t="n">
        <f aca="false">R69/Z69</f>
        <v>5.41</v>
      </c>
      <c r="AB69" s="3" t="n">
        <f aca="false">16+59/60</f>
        <v>16.9833333333333</v>
      </c>
      <c r="AC69" s="2" t="n">
        <v>243</v>
      </c>
      <c r="AD69" s="2" t="n">
        <v>1092</v>
      </c>
      <c r="AE69" s="2" t="n">
        <v>126</v>
      </c>
      <c r="AF69" s="2" t="n">
        <v>149</v>
      </c>
      <c r="AG69" s="3" t="n">
        <f aca="false">15+51.6/60</f>
        <v>15.86</v>
      </c>
      <c r="AH69" s="3" t="n">
        <f aca="false">16+23.2/60</f>
        <v>16.3866666666667</v>
      </c>
      <c r="AI69" s="3" t="n">
        <f aca="false">16+31.3/60</f>
        <v>16.5216666666667</v>
      </c>
      <c r="AJ69" s="3" t="n">
        <f aca="false">17+48.3/60</f>
        <v>17.805</v>
      </c>
      <c r="AK69" s="3" t="n">
        <f aca="false">17+48.3/60</f>
        <v>17.805</v>
      </c>
      <c r="AL69" s="3" t="n">
        <f aca="false">60/3.5</f>
        <v>17.1428571428571</v>
      </c>
      <c r="AR69" s="0" t="n">
        <v>3</v>
      </c>
      <c r="AS69" s="0" t="n">
        <v>2</v>
      </c>
      <c r="BA69" s="0" t="s">
        <v>59</v>
      </c>
      <c r="BB69" s="0" t="s">
        <v>60</v>
      </c>
      <c r="BC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85</v>
      </c>
      <c r="G70" s="2" t="n">
        <v>84</v>
      </c>
      <c r="I70" s="2" t="n">
        <v>61</v>
      </c>
      <c r="M70" s="0" t="s">
        <v>73</v>
      </c>
      <c r="N70" s="0" t="n">
        <v>0</v>
      </c>
      <c r="O70" s="0" t="s">
        <v>66</v>
      </c>
      <c r="Q70" s="0" t="s">
        <v>79</v>
      </c>
      <c r="R70" s="3" t="n">
        <v>5.18</v>
      </c>
      <c r="S70" s="2" t="n">
        <v>918</v>
      </c>
      <c r="T70" s="2" t="n">
        <v>12208</v>
      </c>
      <c r="U70" s="2" t="n">
        <f aca="false">T70-S70</f>
        <v>11290</v>
      </c>
      <c r="V70" s="3" t="n">
        <f aca="false">90/60</f>
        <v>1.5</v>
      </c>
      <c r="Y70" s="3" t="n">
        <f aca="false">R70/V70</f>
        <v>3.45333333333333</v>
      </c>
      <c r="Z70" s="0" t="n">
        <v>1</v>
      </c>
      <c r="AA70" s="3" t="n">
        <f aca="false">R70/Z70</f>
        <v>5.18</v>
      </c>
      <c r="AB70" s="3" t="n">
        <f aca="false">17+20/60</f>
        <v>17.3333333333333</v>
      </c>
      <c r="AC70" s="2" t="n">
        <v>200</v>
      </c>
      <c r="AD70" s="2" t="n">
        <v>1154</v>
      </c>
      <c r="AE70" s="2" t="n">
        <v>133</v>
      </c>
      <c r="AF70" s="2" t="n">
        <v>153</v>
      </c>
      <c r="AG70" s="3" t="n">
        <f aca="false">16+4.6/60</f>
        <v>16.0766666666667</v>
      </c>
      <c r="AH70" s="3" t="n">
        <f aca="false">16+49.2/60</f>
        <v>16.82</v>
      </c>
      <c r="AI70" s="3" t="n">
        <f aca="false">16+55.5/60</f>
        <v>16.925</v>
      </c>
      <c r="AJ70" s="3" t="n">
        <v>17</v>
      </c>
      <c r="AK70" s="3" t="n">
        <f aca="false">19+35/60</f>
        <v>19.5833333333333</v>
      </c>
      <c r="AL70" s="3" t="n">
        <f aca="false">60/3.5</f>
        <v>17.1428571428571</v>
      </c>
      <c r="AR70" s="0" t="n">
        <v>5</v>
      </c>
      <c r="AS70" s="0" t="n">
        <v>1</v>
      </c>
      <c r="BA70" s="0" t="s">
        <v>59</v>
      </c>
      <c r="BB70" s="0" t="s">
        <v>60</v>
      </c>
      <c r="BC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61</v>
      </c>
      <c r="G71" s="2" t="n">
        <v>75</v>
      </c>
      <c r="I71" s="2" t="n">
        <v>77</v>
      </c>
      <c r="M71" s="0" t="s">
        <v>73</v>
      </c>
      <c r="N71" s="0" t="n">
        <v>0</v>
      </c>
      <c r="O71" s="0" t="s">
        <v>57</v>
      </c>
      <c r="Q71" s="0" t="s">
        <v>78</v>
      </c>
      <c r="R71" s="3" t="n">
        <v>5.24</v>
      </c>
      <c r="S71" s="2" t="n">
        <f aca="false">AVERAGE(S65:S70)</f>
        <v>871.847222222222</v>
      </c>
      <c r="T71" s="2" t="n">
        <v>12034</v>
      </c>
      <c r="U71" s="2" t="n">
        <f aca="false">T71-S71</f>
        <v>11162.1527777778</v>
      </c>
      <c r="V71" s="3" t="n">
        <f aca="false">85/60</f>
        <v>1.41666666666667</v>
      </c>
      <c r="Y71" s="3" t="n">
        <f aca="false">R71/V71</f>
        <v>3.69882352941176</v>
      </c>
      <c r="Z71" s="0" t="n">
        <v>1</v>
      </c>
      <c r="AA71" s="3" t="n">
        <f aca="false">R71/Z71</f>
        <v>5.24</v>
      </c>
      <c r="AB71" s="3" t="n">
        <f aca="false">16+9/60</f>
        <v>16.15</v>
      </c>
      <c r="AC71" s="2" t="n">
        <v>112</v>
      </c>
      <c r="AD71" s="2" t="n">
        <v>663</v>
      </c>
      <c r="AE71" s="2" t="n">
        <v>93</v>
      </c>
      <c r="AF71" s="2" t="n">
        <v>134</v>
      </c>
      <c r="AG71" s="3" t="n">
        <f aca="false">15+54/60</f>
        <v>15.9</v>
      </c>
      <c r="AH71" s="3" t="n">
        <f aca="false">15+46.2/60</f>
        <v>15.77</v>
      </c>
      <c r="AI71" s="3" t="n">
        <f aca="false">15+50.9/60</f>
        <v>15.8483333333333</v>
      </c>
      <c r="AJ71" s="3" t="n">
        <f aca="false">16+27.2/60</f>
        <v>16.4533333333333</v>
      </c>
      <c r="AK71" s="3" t="n">
        <f aca="false">16+51/60</f>
        <v>16.85</v>
      </c>
      <c r="AL71" s="3" t="n">
        <f aca="false">60/3.8</f>
        <v>15.7894736842105</v>
      </c>
      <c r="AR71" s="0" t="n">
        <v>0</v>
      </c>
      <c r="AS71" s="0" t="n">
        <v>0</v>
      </c>
      <c r="BA71" s="0" t="s">
        <v>59</v>
      </c>
      <c r="BB71" s="0" t="s">
        <v>60</v>
      </c>
      <c r="BC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61</v>
      </c>
      <c r="G72" s="2" t="n">
        <v>77</v>
      </c>
      <c r="I72" s="2" t="n">
        <v>32</v>
      </c>
      <c r="M72" s="0" t="s">
        <v>73</v>
      </c>
      <c r="N72" s="0" t="n">
        <v>0</v>
      </c>
      <c r="O72" s="0" t="s">
        <v>66</v>
      </c>
      <c r="Q72" s="0" t="s">
        <v>63</v>
      </c>
      <c r="R72" s="3" t="n">
        <v>5.64</v>
      </c>
      <c r="S72" s="2" t="n">
        <v>1124</v>
      </c>
      <c r="T72" s="2" t="n">
        <v>13003</v>
      </c>
      <c r="U72" s="2" t="n">
        <f aca="false">T72-S72</f>
        <v>11879</v>
      </c>
      <c r="V72" s="3" t="n">
        <f aca="false">92/60</f>
        <v>1.53333333333333</v>
      </c>
      <c r="Y72" s="3" t="n">
        <f aca="false">R72/V72</f>
        <v>3.67826086956522</v>
      </c>
      <c r="Z72" s="0" t="n">
        <v>1</v>
      </c>
      <c r="AA72" s="3" t="n">
        <f aca="false">R72/Z72</f>
        <v>5.64</v>
      </c>
      <c r="AB72" s="3" t="n">
        <f aca="false">16+19/60</f>
        <v>16.3166666666667</v>
      </c>
      <c r="AC72" s="2" t="n">
        <v>220</v>
      </c>
      <c r="AD72" s="2" t="n">
        <v>1024</v>
      </c>
      <c r="AE72" s="2" t="n">
        <v>122</v>
      </c>
      <c r="AF72" s="2" t="n">
        <v>147</v>
      </c>
      <c r="AG72" s="3" t="n">
        <f aca="false">16+23.8/60</f>
        <v>16.3966666666667</v>
      </c>
      <c r="AH72" s="3" t="n">
        <f aca="false">15+29.7/60</f>
        <v>15.495</v>
      </c>
      <c r="AI72" s="3" t="n">
        <f aca="false">16+4.6/60</f>
        <v>16.0766666666667</v>
      </c>
      <c r="AJ72" s="3" t="n">
        <f aca="false">16+41.7/60</f>
        <v>16.695</v>
      </c>
      <c r="AK72" s="3" t="n">
        <f aca="false">16+16.9/60</f>
        <v>16.2816666666667</v>
      </c>
      <c r="AL72" s="3" t="n">
        <f aca="false">60/3.5</f>
        <v>17.1428571428571</v>
      </c>
      <c r="AR72" s="0" t="n">
        <v>0</v>
      </c>
      <c r="AS72" s="0" t="n">
        <v>1</v>
      </c>
      <c r="BA72" s="0" t="s">
        <v>59</v>
      </c>
      <c r="BB72" s="0" t="s">
        <v>60</v>
      </c>
      <c r="BC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61</v>
      </c>
      <c r="G73" s="2" t="n">
        <v>71</v>
      </c>
      <c r="I73" s="2" t="n">
        <v>53</v>
      </c>
      <c r="M73" s="0" t="s">
        <v>73</v>
      </c>
      <c r="N73" s="0" t="n">
        <v>0</v>
      </c>
      <c r="O73" s="0" t="s">
        <v>66</v>
      </c>
      <c r="Q73" s="0" t="s">
        <v>87</v>
      </c>
      <c r="R73" s="3" t="n">
        <v>6</v>
      </c>
      <c r="S73" s="2" t="n">
        <v>867</v>
      </c>
      <c r="T73" s="2" t="n">
        <v>13450</v>
      </c>
      <c r="U73" s="2" t="n">
        <f aca="false">T73-S73</f>
        <v>12583</v>
      </c>
      <c r="V73" s="3" t="n">
        <f aca="false">93/60</f>
        <v>1.55</v>
      </c>
      <c r="Y73" s="3" t="n">
        <f aca="false">R73/V73</f>
        <v>3.87096774193548</v>
      </c>
      <c r="Z73" s="0" t="n">
        <v>1</v>
      </c>
      <c r="AA73" s="3" t="n">
        <f aca="false">R73/Z73</f>
        <v>6</v>
      </c>
      <c r="AB73" s="3" t="n">
        <f aca="false">15+30/60</f>
        <v>15.5</v>
      </c>
      <c r="AC73" s="2" t="n">
        <v>46</v>
      </c>
      <c r="AD73" s="2" t="n">
        <v>602</v>
      </c>
      <c r="AE73" s="2" t="n">
        <v>76</v>
      </c>
      <c r="AF73" s="2" t="n">
        <v>119</v>
      </c>
      <c r="AG73" s="3" t="n">
        <f aca="false">15+35.8/60</f>
        <v>15.5966666666667</v>
      </c>
      <c r="AH73" s="3" t="n">
        <f aca="false">15+17.4/60</f>
        <v>15.29</v>
      </c>
      <c r="AI73" s="3" t="n">
        <f aca="false">15+48.2/60</f>
        <v>15.8033333333333</v>
      </c>
      <c r="AJ73" s="3" t="n">
        <f aca="false">15+12/60</f>
        <v>15.2</v>
      </c>
      <c r="AK73" s="3" t="n">
        <f aca="false">15+57.9/60</f>
        <v>15.965</v>
      </c>
      <c r="AL73" s="3" t="n">
        <f aca="false">15+57.9/60</f>
        <v>15.965</v>
      </c>
      <c r="AR73" s="0" t="n">
        <v>1</v>
      </c>
      <c r="AS73" s="0" t="n">
        <v>0</v>
      </c>
      <c r="BA73" s="0" t="s">
        <v>59</v>
      </c>
      <c r="BB73" s="0" t="s">
        <v>60</v>
      </c>
      <c r="BC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85</v>
      </c>
      <c r="G74" s="2" t="n">
        <v>72</v>
      </c>
      <c r="I74" s="2" t="n">
        <v>71</v>
      </c>
      <c r="M74" s="0" t="s">
        <v>73</v>
      </c>
      <c r="N74" s="0" t="n">
        <v>0</v>
      </c>
      <c r="O74" s="0" t="s">
        <v>57</v>
      </c>
      <c r="Q74" s="0" t="s">
        <v>65</v>
      </c>
      <c r="R74" s="3" t="n">
        <v>6.52</v>
      </c>
      <c r="S74" s="2" t="n">
        <f aca="false">AVERAGE(S63:S73)</f>
        <v>893.659722222222</v>
      </c>
      <c r="T74" s="2" t="n">
        <v>14258</v>
      </c>
      <c r="U74" s="2" t="n">
        <f aca="false">T74-S74</f>
        <v>13364.3402777778</v>
      </c>
      <c r="V74" s="3" t="n">
        <f aca="false">100/60</f>
        <v>1.66666666666667</v>
      </c>
      <c r="Y74" s="3" t="n">
        <f aca="false">R74/V74</f>
        <v>3.912</v>
      </c>
      <c r="Z74" s="0" t="n">
        <v>1</v>
      </c>
      <c r="AA74" s="3" t="n">
        <f aca="false">R74/Z74</f>
        <v>6.52</v>
      </c>
      <c r="AB74" s="3" t="n">
        <f aca="false">15+20/30</f>
        <v>15.6666666666667</v>
      </c>
      <c r="AC74" s="2" t="n">
        <v>89</v>
      </c>
      <c r="AD74" s="2" t="n">
        <v>708</v>
      </c>
      <c r="AE74" s="2" t="n">
        <v>80</v>
      </c>
      <c r="AF74" s="2" t="n">
        <v>117</v>
      </c>
      <c r="AG74" s="3" t="n">
        <f aca="false">15+23.6/60</f>
        <v>15.3933333333333</v>
      </c>
      <c r="AH74" s="3" t="n">
        <f aca="false">15+7.1/60</f>
        <v>15.1183333333333</v>
      </c>
      <c r="AI74" s="3" t="n">
        <f aca="false">14+58.5/60</f>
        <v>14.975</v>
      </c>
      <c r="AJ74" s="3" t="n">
        <f aca="false">15+21.2/60</f>
        <v>15.3533333333333</v>
      </c>
      <c r="AK74" s="3" t="n">
        <f aca="false">15+14.3/60</f>
        <v>15.2383333333333</v>
      </c>
      <c r="AL74" s="3" t="n">
        <f aca="false">15+34/60</f>
        <v>15.5666666666667</v>
      </c>
      <c r="AM74" s="3" t="n">
        <f aca="false">60/3.9</f>
        <v>15.3846153846154</v>
      </c>
      <c r="AR74" s="0" t="n">
        <v>0</v>
      </c>
      <c r="AS74" s="0" t="n">
        <v>0</v>
      </c>
      <c r="BA74" s="0" t="s">
        <v>59</v>
      </c>
      <c r="BB74" s="0" t="s">
        <v>60</v>
      </c>
      <c r="BC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61</v>
      </c>
      <c r="G75" s="2" t="n">
        <v>84</v>
      </c>
      <c r="I75" s="2" t="n">
        <v>55</v>
      </c>
      <c r="M75" s="0" t="s">
        <v>73</v>
      </c>
      <c r="N75" s="0" t="n">
        <v>0</v>
      </c>
      <c r="O75" s="0" t="s">
        <v>57</v>
      </c>
      <c r="Q75" s="0" t="s">
        <v>62</v>
      </c>
      <c r="R75" s="3" t="n">
        <v>5.38</v>
      </c>
      <c r="S75" s="2" t="n">
        <v>1074</v>
      </c>
      <c r="T75" s="2" t="n">
        <v>12286</v>
      </c>
      <c r="U75" s="2" t="n">
        <f aca="false">T75-S75</f>
        <v>11212</v>
      </c>
      <c r="V75" s="3" t="n">
        <f aca="false">87/60</f>
        <v>1.45</v>
      </c>
      <c r="Y75" s="3" t="n">
        <f aca="false">R75/V75</f>
        <v>3.71034482758621</v>
      </c>
      <c r="Z75" s="0" t="n">
        <v>4</v>
      </c>
      <c r="AA75" s="3" t="n">
        <f aca="false">R75/Z75</f>
        <v>1.345</v>
      </c>
      <c r="AB75" s="3" t="n">
        <f aca="false">16+14/60</f>
        <v>16.2333333333333</v>
      </c>
      <c r="AC75" s="2" t="n">
        <v>112</v>
      </c>
      <c r="AD75" s="2" t="n">
        <v>1081</v>
      </c>
      <c r="AE75" s="2" t="n">
        <v>125</v>
      </c>
      <c r="AF75" s="2" t="n">
        <v>143</v>
      </c>
      <c r="AG75" s="3" t="n">
        <f aca="false">15+25.3/60</f>
        <v>15.4216666666667</v>
      </c>
      <c r="AH75" s="3" t="n">
        <f aca="false">16+16.4/60</f>
        <v>16.2733333333333</v>
      </c>
      <c r="AI75" s="3" t="n">
        <f aca="false">16+17.7/60</f>
        <v>16.295</v>
      </c>
      <c r="AJ75" s="3" t="n">
        <f aca="false">16+12/7/60</f>
        <v>16.0285714285714</v>
      </c>
      <c r="AK75" s="3" t="n">
        <f aca="false">60/3.7</f>
        <v>16.2162162162162</v>
      </c>
      <c r="AR75" s="0" t="n">
        <v>0</v>
      </c>
      <c r="AS75" s="0" t="n">
        <v>0</v>
      </c>
      <c r="BA75" s="0" t="s">
        <v>59</v>
      </c>
      <c r="BB75" s="0" t="s">
        <v>60</v>
      </c>
      <c r="BC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61</v>
      </c>
      <c r="G76" s="2" t="n">
        <v>55</v>
      </c>
      <c r="I76" s="2" t="n">
        <v>60</v>
      </c>
      <c r="M76" s="0" t="s">
        <v>73</v>
      </c>
      <c r="N76" s="0" t="n">
        <v>0</v>
      </c>
      <c r="O76" s="0" t="s">
        <v>66</v>
      </c>
      <c r="Q76" s="0" t="s">
        <v>82</v>
      </c>
      <c r="R76" s="3" t="n">
        <v>7.91</v>
      </c>
      <c r="S76" s="2" t="n">
        <v>444</v>
      </c>
      <c r="V76" s="3" t="n">
        <f aca="false">(120+12)/60</f>
        <v>2.2</v>
      </c>
      <c r="Y76" s="3" t="n">
        <f aca="false">R76/V76</f>
        <v>3.59545454545455</v>
      </c>
      <c r="Z76" s="0" t="n">
        <v>1</v>
      </c>
      <c r="AA76" s="3" t="n">
        <f aca="false">R76/Z76</f>
        <v>7.91</v>
      </c>
      <c r="AB76" s="3" t="n">
        <f aca="false">16+38/60</f>
        <v>16.6333333333333</v>
      </c>
      <c r="AC76" s="2" t="n">
        <v>76</v>
      </c>
      <c r="AD76" s="2" t="n">
        <v>847</v>
      </c>
      <c r="AE76" s="2" t="n">
        <v>72</v>
      </c>
      <c r="AF76" s="2" t="n">
        <v>117</v>
      </c>
      <c r="AG76" s="3" t="n">
        <f aca="false">16+23.1/60</f>
        <v>16.385</v>
      </c>
      <c r="AH76" s="3" t="n">
        <f aca="false">16+53.7/60</f>
        <v>16.895</v>
      </c>
      <c r="AI76" s="3" t="n">
        <f aca="false">16+36.3/60</f>
        <v>16.605</v>
      </c>
      <c r="AJ76" s="3" t="n">
        <f aca="false">16+26/60</f>
        <v>16.4333333333333</v>
      </c>
      <c r="AK76" s="3" t="n">
        <f aca="false">16+14.5/60</f>
        <v>16.2416666666667</v>
      </c>
      <c r="AL76" s="3" t="n">
        <f aca="false">16+13.7/60</f>
        <v>16.2283333333333</v>
      </c>
      <c r="AM76" s="3" t="n">
        <f aca="false">17+3/60</f>
        <v>17.05</v>
      </c>
      <c r="AN76" s="3" t="n">
        <f aca="false">60/3.5</f>
        <v>17.1428571428571</v>
      </c>
      <c r="AR76" s="0" t="n">
        <v>1</v>
      </c>
      <c r="AS76" s="0" t="n">
        <v>1</v>
      </c>
      <c r="BA76" s="0" t="s">
        <v>59</v>
      </c>
      <c r="BB76" s="0" t="s">
        <v>60</v>
      </c>
      <c r="BC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84</v>
      </c>
      <c r="G77" s="2" t="n">
        <v>76</v>
      </c>
      <c r="I77" s="2" t="n">
        <v>53</v>
      </c>
      <c r="M77" s="0" t="s">
        <v>73</v>
      </c>
      <c r="N77" s="0" t="n">
        <v>0</v>
      </c>
      <c r="O77" s="0" t="s">
        <v>57</v>
      </c>
      <c r="Q77" s="0" t="s">
        <v>62</v>
      </c>
      <c r="R77" s="3" t="n">
        <v>4.61</v>
      </c>
      <c r="S77" s="2" t="n">
        <v>1419</v>
      </c>
      <c r="T77" s="2" t="n">
        <v>11400</v>
      </c>
      <c r="U77" s="2" t="n">
        <f aca="false">T77-S77</f>
        <v>9981</v>
      </c>
      <c r="V77" s="3" t="n">
        <f aca="false">95/60</f>
        <v>1.58333333333333</v>
      </c>
      <c r="Y77" s="3" t="n">
        <f aca="false">R77/V77</f>
        <v>2.91157894736842</v>
      </c>
      <c r="Z77" s="0" t="n">
        <v>1</v>
      </c>
      <c r="AA77" s="3" t="n">
        <f aca="false">R77/Z77</f>
        <v>4.61</v>
      </c>
      <c r="AB77" s="3" t="n">
        <f aca="false">16+18/60</f>
        <v>16.3</v>
      </c>
      <c r="AC77" s="2" t="n">
        <v>164</v>
      </c>
      <c r="AD77" s="2" t="n">
        <v>526</v>
      </c>
      <c r="AE77" s="2" t="n">
        <v>87</v>
      </c>
      <c r="AF77" s="2" t="n">
        <v>139</v>
      </c>
      <c r="AG77" s="3" t="n">
        <f aca="false">15+58.4/60</f>
        <v>15.9733333333333</v>
      </c>
      <c r="AH77" s="3" t="n">
        <f aca="false">16+20.7/60</f>
        <v>16.345</v>
      </c>
      <c r="AI77" s="3" t="n">
        <f aca="false">16+49.5/60</f>
        <v>16.825</v>
      </c>
      <c r="AJ77" s="3" t="n">
        <f aca="false">15+59/60</f>
        <v>15.9833333333333</v>
      </c>
      <c r="AK77" s="3" t="n">
        <f aca="false">60/3.7</f>
        <v>16.2162162162162</v>
      </c>
      <c r="AR77" s="0" t="n">
        <v>0</v>
      </c>
      <c r="AS77" s="0" t="n">
        <v>0</v>
      </c>
      <c r="BA77" s="0" t="s">
        <v>59</v>
      </c>
      <c r="BB77" s="0" t="s">
        <v>60</v>
      </c>
      <c r="BC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61</v>
      </c>
      <c r="G78" s="2" t="n">
        <v>77</v>
      </c>
      <c r="I78" s="2" t="n">
        <v>31</v>
      </c>
      <c r="M78" s="0" t="s">
        <v>73</v>
      </c>
      <c r="N78" s="0" t="n">
        <v>0</v>
      </c>
      <c r="O78" s="0" t="s">
        <v>66</v>
      </c>
      <c r="Q78" s="0" t="s">
        <v>91</v>
      </c>
      <c r="R78" s="3" t="n">
        <v>6.65</v>
      </c>
      <c r="S78" s="2" t="n">
        <v>1581</v>
      </c>
      <c r="T78" s="2" t="n">
        <v>15491</v>
      </c>
      <c r="U78" s="2" t="n">
        <f aca="false">T78-S78</f>
        <v>13910</v>
      </c>
      <c r="V78" s="3" t="n">
        <f aca="false">106/60</f>
        <v>1.76666666666667</v>
      </c>
      <c r="Y78" s="3" t="n">
        <f aca="false">R78/V78</f>
        <v>3.76415094339623</v>
      </c>
      <c r="Z78" s="0" t="n">
        <v>1</v>
      </c>
      <c r="AA78" s="3" t="n">
        <f aca="false">R78/Z78</f>
        <v>6.65</v>
      </c>
      <c r="AB78" s="3" t="n">
        <f aca="false">15+54/60</f>
        <v>15.9</v>
      </c>
      <c r="AC78" s="2" t="n">
        <v>26</v>
      </c>
      <c r="AD78" s="2" t="n">
        <v>708</v>
      </c>
      <c r="AE78" s="2" t="n">
        <v>72</v>
      </c>
      <c r="AF78" s="2" t="n">
        <v>115</v>
      </c>
      <c r="AG78" s="3" t="n">
        <f aca="false">15+16.5/60</f>
        <v>15.275</v>
      </c>
      <c r="AH78" s="3" t="n">
        <f aca="false">16+18.2/60</f>
        <v>16.3033333333333</v>
      </c>
      <c r="AI78" s="3" t="n">
        <f aca="false">16+7.8/60</f>
        <v>16.13</v>
      </c>
      <c r="AJ78" s="3" t="n">
        <f aca="false">16+6.6/60</f>
        <v>16.11</v>
      </c>
      <c r="AK78" s="3" t="n">
        <f aca="false">16+14/60</f>
        <v>16.2333333333333</v>
      </c>
      <c r="AL78" s="3" t="n">
        <f aca="false">15+22.6/60</f>
        <v>15.3766666666667</v>
      </c>
      <c r="AM78" s="3" t="n">
        <f aca="false">60/3.8</f>
        <v>15.7894736842105</v>
      </c>
      <c r="AR78" s="0" t="n">
        <v>0</v>
      </c>
      <c r="AS78" s="0" t="n">
        <v>0</v>
      </c>
      <c r="BA78" s="0" t="s">
        <v>59</v>
      </c>
      <c r="BB78" s="0" t="s">
        <v>60</v>
      </c>
      <c r="BC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84</v>
      </c>
      <c r="G79" s="2" t="n">
        <v>81</v>
      </c>
      <c r="I79" s="2" t="n">
        <v>38</v>
      </c>
      <c r="M79" s="0" t="s">
        <v>73</v>
      </c>
      <c r="N79" s="0" t="n">
        <v>0</v>
      </c>
      <c r="O79" s="0" t="s">
        <v>57</v>
      </c>
      <c r="Q79" s="0" t="s">
        <v>63</v>
      </c>
      <c r="R79" s="3" t="n">
        <v>5.65</v>
      </c>
      <c r="S79" s="2" t="n">
        <v>774</v>
      </c>
      <c r="T79" s="2" t="n">
        <v>12767</v>
      </c>
      <c r="U79" s="2" t="n">
        <f aca="false">T79-S79</f>
        <v>11993</v>
      </c>
      <c r="V79" s="3" t="n">
        <f aca="false">91/60</f>
        <v>1.51666666666667</v>
      </c>
      <c r="Y79" s="3" t="n">
        <f aca="false">R79/V79</f>
        <v>3.72527472527473</v>
      </c>
      <c r="Z79" s="0" t="n">
        <v>1</v>
      </c>
      <c r="AA79" s="3" t="n">
        <f aca="false">R79/Z79</f>
        <v>5.65</v>
      </c>
      <c r="AB79" s="3" t="n">
        <f aca="false">16+5/60</f>
        <v>16.0833333333333</v>
      </c>
      <c r="AC79" s="2" t="n">
        <v>253</v>
      </c>
      <c r="AD79" s="2" t="n">
        <v>1265</v>
      </c>
      <c r="AE79" s="2" t="n">
        <v>131</v>
      </c>
      <c r="AF79" s="2" t="n">
        <v>152</v>
      </c>
      <c r="AG79" s="3" t="n">
        <f aca="false">15+36.8/60</f>
        <v>15.6133333333333</v>
      </c>
      <c r="AH79" s="3" t="n">
        <f aca="false">16+32.2/60</f>
        <v>16.5366666666667</v>
      </c>
      <c r="AI79" s="3" t="n">
        <f aca="false">15+55/60</f>
        <v>15.9166666666667</v>
      </c>
      <c r="AJ79" s="3" t="n">
        <f aca="false">17+3.3/60</f>
        <v>17.055</v>
      </c>
      <c r="AK79" s="3" t="n">
        <f aca="false">15+37.6/60</f>
        <v>15.6266666666667</v>
      </c>
      <c r="AL79" s="3" t="n">
        <f aca="false">60/3.7</f>
        <v>16.2162162162162</v>
      </c>
      <c r="AR79" s="0" t="n">
        <v>0</v>
      </c>
      <c r="AS79" s="0" t="n">
        <v>0</v>
      </c>
      <c r="BA79" s="0" t="s">
        <v>59</v>
      </c>
      <c r="BB79" s="0" t="s">
        <v>60</v>
      </c>
      <c r="BC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56</v>
      </c>
      <c r="G80" s="2" t="n">
        <v>72</v>
      </c>
      <c r="H80" s="2" t="n">
        <v>50</v>
      </c>
      <c r="I80" s="2" t="n">
        <v>44</v>
      </c>
      <c r="J80" s="2" t="s">
        <v>96</v>
      </c>
      <c r="K80" s="2" t="n">
        <v>21</v>
      </c>
      <c r="L80" s="2" t="n">
        <v>33</v>
      </c>
      <c r="M80" s="0" t="s">
        <v>73</v>
      </c>
      <c r="N80" s="0" t="n">
        <v>0</v>
      </c>
      <c r="O80" s="0" t="s">
        <v>57</v>
      </c>
      <c r="Q80" s="0" t="s">
        <v>78</v>
      </c>
      <c r="R80" s="3" t="n">
        <v>5.58</v>
      </c>
      <c r="S80" s="2" t="n">
        <v>1020</v>
      </c>
      <c r="V80" s="3" t="n">
        <f aca="false">92/60</f>
        <v>1.53333333333333</v>
      </c>
      <c r="Y80" s="3" t="n">
        <f aca="false">R80/V80</f>
        <v>3.63913043478261</v>
      </c>
      <c r="Z80" s="0" t="n">
        <v>1</v>
      </c>
      <c r="AA80" s="3" t="n">
        <f aca="false">R80/Z80</f>
        <v>5.58</v>
      </c>
      <c r="AB80" s="3" t="n">
        <f aca="false">16+32/60</f>
        <v>16.5333333333333</v>
      </c>
      <c r="AC80" s="2" t="n">
        <v>144</v>
      </c>
      <c r="AD80" s="2" t="n">
        <v>630</v>
      </c>
      <c r="AE80" s="2" t="n">
        <v>85</v>
      </c>
      <c r="AF80" s="2" t="n">
        <v>117</v>
      </c>
      <c r="AG80" s="3" t="n">
        <f aca="false">16+17.6/60</f>
        <v>16.2933333333333</v>
      </c>
      <c r="AH80" s="3" t="n">
        <f aca="false">16+41.8/60</f>
        <v>16.6966666666667</v>
      </c>
      <c r="AI80" s="3" t="n">
        <f aca="false">16+21.4/60</f>
        <v>16.3566666666667</v>
      </c>
      <c r="AJ80" s="3" t="n">
        <f aca="false">16+46.3/60</f>
        <v>16.7716666666667</v>
      </c>
      <c r="AK80" s="3" t="n">
        <f aca="false">16+49.8/60</f>
        <v>16.83</v>
      </c>
      <c r="AL80" s="3" t="n">
        <v>8</v>
      </c>
      <c r="AR80" s="0" t="n">
        <v>0</v>
      </c>
      <c r="AS80" s="0" t="n">
        <v>0</v>
      </c>
      <c r="BA80" s="0" t="s">
        <v>59</v>
      </c>
      <c r="BB80" s="0" t="s">
        <v>60</v>
      </c>
      <c r="BC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61</v>
      </c>
      <c r="G81" s="2" t="n">
        <v>73</v>
      </c>
      <c r="I81" s="2" t="n">
        <v>47</v>
      </c>
      <c r="J81" s="6" t="s">
        <v>97</v>
      </c>
      <c r="K81" s="2" t="n">
        <v>5</v>
      </c>
      <c r="L81" s="2" t="n">
        <v>0</v>
      </c>
      <c r="M81" s="0" t="s">
        <v>73</v>
      </c>
      <c r="N81" s="0" t="n">
        <v>0</v>
      </c>
      <c r="O81" s="0" t="s">
        <v>66</v>
      </c>
      <c r="Q81" s="0" t="s">
        <v>98</v>
      </c>
      <c r="R81" s="3" t="n">
        <v>4.58</v>
      </c>
      <c r="V81" s="3" t="n">
        <f aca="false">74/60</f>
        <v>1.23333333333333</v>
      </c>
      <c r="Y81" s="3" t="n">
        <f aca="false">R81/V81</f>
        <v>3.71351351351351</v>
      </c>
      <c r="Z81" s="0" t="n">
        <v>1</v>
      </c>
      <c r="AA81" s="3" t="n">
        <f aca="false">R81/Z81</f>
        <v>4.58</v>
      </c>
      <c r="AB81" s="3" t="n">
        <f aca="false">19+1/60</f>
        <v>19.0166666666667</v>
      </c>
      <c r="AC81" s="2" t="n">
        <v>7</v>
      </c>
      <c r="AD81" s="2" t="n">
        <v>810</v>
      </c>
      <c r="AE81" s="2" t="n">
        <v>118</v>
      </c>
      <c r="AF81" s="2" t="n">
        <v>136</v>
      </c>
      <c r="AG81" s="3" t="n">
        <f aca="false">16+1.8/60</f>
        <v>16.03</v>
      </c>
      <c r="AH81" s="3" t="n">
        <f aca="false">16+26/60</f>
        <v>16.4333333333333</v>
      </c>
      <c r="AI81" s="3" t="n">
        <f aca="false">16+9.8/60</f>
        <v>16.1633333333333</v>
      </c>
      <c r="AJ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61</v>
      </c>
      <c r="G82" s="2" t="n">
        <v>76</v>
      </c>
      <c r="H82" s="2" t="n">
        <v>49</v>
      </c>
      <c r="I82" s="2" t="n">
        <v>38</v>
      </c>
      <c r="J82" s="2" t="s">
        <v>99</v>
      </c>
      <c r="K82" s="2" t="n">
        <v>9</v>
      </c>
      <c r="L82" s="2" t="n">
        <v>0</v>
      </c>
      <c r="M82" s="0" t="s">
        <v>73</v>
      </c>
      <c r="N82" s="0" t="n">
        <v>0</v>
      </c>
      <c r="O82" s="0" t="s">
        <v>66</v>
      </c>
      <c r="Q82" s="0" t="s">
        <v>82</v>
      </c>
      <c r="R82" s="3" t="n">
        <v>8.9</v>
      </c>
      <c r="S82" s="2" t="n">
        <v>1203</v>
      </c>
      <c r="T82" s="2" t="n">
        <v>19953</v>
      </c>
      <c r="U82" s="2" t="n">
        <f aca="false">T82-S82</f>
        <v>18750</v>
      </c>
      <c r="V82" s="3" t="n">
        <f aca="false">(120+24)/60</f>
        <v>2.4</v>
      </c>
      <c r="Y82" s="3" t="n">
        <f aca="false">R82/V82</f>
        <v>3.70833333333333</v>
      </c>
      <c r="Z82" s="0" t="n">
        <v>1</v>
      </c>
      <c r="AA82" s="3" t="n">
        <f aca="false">R82/Z82</f>
        <v>8.9</v>
      </c>
      <c r="AB82" s="3" t="n">
        <f aca="false">16+12/60</f>
        <v>16.2</v>
      </c>
      <c r="AC82" s="2" t="n">
        <v>108</v>
      </c>
      <c r="AD82" s="2" t="n">
        <v>973</v>
      </c>
      <c r="AE82" s="2" t="n">
        <v>84</v>
      </c>
      <c r="AF82" s="2" t="n">
        <v>112</v>
      </c>
      <c r="AG82" s="3" t="n">
        <f aca="false">16+20.4/60</f>
        <v>16.34</v>
      </c>
      <c r="AH82" s="3" t="n">
        <f aca="false">15+38.5/60</f>
        <v>15.6416666666667</v>
      </c>
      <c r="AI82" s="3" t="n">
        <f aca="false">15+29.4/60</f>
        <v>15.49</v>
      </c>
      <c r="AJ82" s="3" t="n">
        <f aca="false">15+53.7/60</f>
        <v>15.895</v>
      </c>
      <c r="AK82" s="3" t="n">
        <f aca="false">16+54.6/60</f>
        <v>16.91</v>
      </c>
      <c r="AL82" s="3" t="n">
        <f aca="false">15+49.8/60</f>
        <v>15.83</v>
      </c>
      <c r="AM82" s="3" t="n">
        <f aca="false">15+58.2/60</f>
        <v>15.97</v>
      </c>
      <c r="AN82" s="3" t="n">
        <f aca="false">16+26.7/60</f>
        <v>16.445</v>
      </c>
      <c r="AO82" s="3" t="n">
        <f aca="false">60/3.4</f>
        <v>17.6470588235294</v>
      </c>
      <c r="AR82" s="0" t="n">
        <v>3</v>
      </c>
      <c r="BA82" s="0" t="s">
        <v>59</v>
      </c>
      <c r="BB82" s="0" t="s">
        <v>60</v>
      </c>
      <c r="BC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61</v>
      </c>
      <c r="G83" s="2" t="n">
        <v>74</v>
      </c>
      <c r="H83" s="2" t="n">
        <v>52</v>
      </c>
      <c r="I83" s="2" t="n">
        <v>44</v>
      </c>
      <c r="J83" s="2" t="s">
        <v>95</v>
      </c>
      <c r="K83" s="2" t="n">
        <v>12</v>
      </c>
      <c r="L83" s="2" t="n">
        <v>18</v>
      </c>
      <c r="M83" s="0" t="s">
        <v>73</v>
      </c>
      <c r="N83" s="0" t="n">
        <v>0</v>
      </c>
      <c r="O83" s="0" t="s">
        <v>57</v>
      </c>
      <c r="Q83" s="0" t="s">
        <v>62</v>
      </c>
      <c r="R83" s="3" t="n">
        <v>3.37</v>
      </c>
      <c r="S83" s="2" t="n">
        <v>1529</v>
      </c>
      <c r="T83" s="2" t="n">
        <v>14380</v>
      </c>
      <c r="U83" s="2" t="n">
        <f aca="false">T83-S83</f>
        <v>12851</v>
      </c>
      <c r="V83" s="3" t="n">
        <f aca="false">54/60</f>
        <v>0.9</v>
      </c>
      <c r="Y83" s="3" t="n">
        <f aca="false">R83/V83</f>
        <v>3.74444444444444</v>
      </c>
      <c r="Z83" s="0" t="n">
        <v>1</v>
      </c>
      <c r="AA83" s="3" t="n">
        <f aca="false">Y83/V83</f>
        <v>4.16049382716049</v>
      </c>
      <c r="AB83" s="3" t="n">
        <f aca="false">16+0/60</f>
        <v>16</v>
      </c>
      <c r="AC83" s="2" t="n">
        <v>103</v>
      </c>
      <c r="AD83" s="2" t="n">
        <v>516</v>
      </c>
      <c r="AE83" s="2" t="n">
        <v>108</v>
      </c>
      <c r="AF83" s="2" t="n">
        <v>134</v>
      </c>
      <c r="AG83" s="3" t="n">
        <f aca="false">16+15.8/60</f>
        <v>16.2633333333333</v>
      </c>
      <c r="AH83" s="3" t="n">
        <f aca="false">15+36.2/60</f>
        <v>15.6033333333333</v>
      </c>
      <c r="AI83" s="3" t="n">
        <f aca="false">15+52.7/60</f>
        <v>15.8783333333333</v>
      </c>
      <c r="AJ83" s="3" t="n">
        <f aca="false">60/3.6</f>
        <v>16.6666666666667</v>
      </c>
      <c r="AR83" s="0" t="n">
        <v>0</v>
      </c>
      <c r="AS83" s="0" t="n">
        <v>0</v>
      </c>
      <c r="BA83" s="0" t="s">
        <v>59</v>
      </c>
      <c r="BB83" s="0" t="s">
        <v>60</v>
      </c>
      <c r="BC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43963.4951388889</v>
      </c>
      <c r="C84" s="0" t="n">
        <v>0</v>
      </c>
      <c r="D84" s="0" t="s">
        <v>88</v>
      </c>
      <c r="F84" s="0" t="s">
        <v>77</v>
      </c>
      <c r="G84" s="2" t="n">
        <v>71</v>
      </c>
      <c r="H84" s="2" t="n">
        <v>53</v>
      </c>
      <c r="I84" s="2" t="n">
        <v>53</v>
      </c>
      <c r="J84" s="2" t="s">
        <v>100</v>
      </c>
      <c r="K84" s="2" t="n">
        <v>0</v>
      </c>
      <c r="L84" s="2" t="n">
        <v>0</v>
      </c>
      <c r="M84" s="0" t="s">
        <v>94</v>
      </c>
      <c r="Z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56</v>
      </c>
      <c r="G85" s="2" t="n">
        <v>79</v>
      </c>
      <c r="H85" s="2" t="n">
        <v>56</v>
      </c>
      <c r="I85" s="2" t="n">
        <v>43</v>
      </c>
      <c r="J85" s="2" t="s">
        <v>101</v>
      </c>
      <c r="K85" s="2" t="n">
        <v>12</v>
      </c>
      <c r="L85" s="2" t="n">
        <v>0</v>
      </c>
      <c r="M85" s="0" t="s">
        <v>94</v>
      </c>
      <c r="N85" s="0" t="n">
        <v>0</v>
      </c>
      <c r="O85" s="0" t="s">
        <v>57</v>
      </c>
      <c r="Q85" s="0" t="s">
        <v>63</v>
      </c>
      <c r="R85" s="3" t="n">
        <v>5.64</v>
      </c>
      <c r="S85" s="2" t="n">
        <v>313</v>
      </c>
      <c r="T85" s="2" t="n">
        <v>12562</v>
      </c>
      <c r="U85" s="2" t="n">
        <f aca="false">T85-S85</f>
        <v>12249</v>
      </c>
      <c r="V85" s="3" t="n">
        <f aca="false">94/60</f>
        <v>1.56666666666667</v>
      </c>
      <c r="Y85" s="3" t="n">
        <f aca="false">R85/V85</f>
        <v>3.6</v>
      </c>
      <c r="Z85" s="0" t="n">
        <v>1</v>
      </c>
      <c r="AA85" s="3" t="n">
        <f aca="false">R85/Z85</f>
        <v>5.64</v>
      </c>
      <c r="AB85" s="3" t="n">
        <f aca="false">16+39/60</f>
        <v>16.65</v>
      </c>
      <c r="AC85" s="2" t="n">
        <v>217</v>
      </c>
      <c r="AD85" s="2" t="n">
        <v>624</v>
      </c>
      <c r="AE85" s="2" t="n">
        <v>78</v>
      </c>
      <c r="AF85" s="2" t="n">
        <v>109</v>
      </c>
      <c r="AG85" s="3" t="n">
        <f aca="false">16+11.1/60</f>
        <v>16.185</v>
      </c>
      <c r="AH85" s="3" t="n">
        <f aca="false">16+6.2/60</f>
        <v>16.1033333333333</v>
      </c>
      <c r="AI85" s="3" t="n">
        <f aca="false">16+27.2/60</f>
        <v>16.4533333333333</v>
      </c>
      <c r="AJ85" s="3" t="n">
        <f aca="false">18+3/0.5/60</f>
        <v>18.1</v>
      </c>
      <c r="AK85" s="3" t="n">
        <f aca="false">16+41.5/60</f>
        <v>16.6916666666667</v>
      </c>
      <c r="AL85" s="3" t="n">
        <f aca="false">60/3.7</f>
        <v>16.2162162162162</v>
      </c>
      <c r="AR85" s="0" t="n">
        <v>5</v>
      </c>
      <c r="AS85" s="0" t="n">
        <v>0</v>
      </c>
      <c r="BA85" s="0" t="s">
        <v>59</v>
      </c>
      <c r="BB85" s="0" t="s">
        <v>60</v>
      </c>
      <c r="BC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84</v>
      </c>
      <c r="G86" s="2" t="n">
        <v>67</v>
      </c>
      <c r="H86" s="2" t="n">
        <v>58</v>
      </c>
      <c r="I86" s="2" t="n">
        <v>45</v>
      </c>
      <c r="J86" s="2" t="s">
        <v>102</v>
      </c>
      <c r="K86" s="2" t="n">
        <v>12</v>
      </c>
      <c r="L86" s="2" t="n">
        <v>0</v>
      </c>
      <c r="M86" s="0" t="s">
        <v>73</v>
      </c>
      <c r="N86" s="0" t="n">
        <v>0</v>
      </c>
      <c r="O86" s="0" t="s">
        <v>66</v>
      </c>
      <c r="Q86" s="0" t="s">
        <v>87</v>
      </c>
      <c r="R86" s="3" t="n">
        <v>6.01</v>
      </c>
      <c r="S86" s="2" t="n">
        <v>1116</v>
      </c>
      <c r="T86" s="2" t="n">
        <v>14151</v>
      </c>
      <c r="U86" s="2" t="n">
        <f aca="false">T86-S86</f>
        <v>13035</v>
      </c>
      <c r="V86" s="3" t="n">
        <f aca="false">95/60</f>
        <v>1.58333333333333</v>
      </c>
      <c r="W86" s="3" t="n">
        <f aca="false">1+51/60</f>
        <v>1.85</v>
      </c>
      <c r="X86" s="3" t="n">
        <f aca="false">W86-V86</f>
        <v>0.266666666666667</v>
      </c>
      <c r="Y86" s="3" t="n">
        <f aca="false">R86/V86</f>
        <v>3.79578947368421</v>
      </c>
      <c r="Z86" s="0" t="n">
        <v>1</v>
      </c>
      <c r="AA86" s="3" t="n">
        <f aca="false">R86/Z86</f>
        <v>6.01</v>
      </c>
      <c r="AB86" s="3" t="n">
        <f aca="false">15+43/60</f>
        <v>15.7166666666667</v>
      </c>
      <c r="AC86" s="2" t="n">
        <v>92</v>
      </c>
      <c r="AD86" s="2" t="n">
        <v>1206</v>
      </c>
      <c r="AE86" s="2" t="n">
        <v>133</v>
      </c>
      <c r="AF86" s="2" t="n">
        <v>169</v>
      </c>
      <c r="AG86" s="3" t="n">
        <f aca="false">15+8.1/60</f>
        <v>15.135</v>
      </c>
      <c r="AH86" s="3" t="n">
        <f aca="false">15+8.2/60</f>
        <v>15.1366666666667</v>
      </c>
      <c r="AI86" s="3" t="n">
        <f aca="false">15+27.2/60</f>
        <v>15.4533333333333</v>
      </c>
      <c r="AJ86" s="3" t="n">
        <f aca="false">16+17.7/60</f>
        <v>16.295</v>
      </c>
      <c r="AK86" s="3" t="n">
        <f aca="false">16+7.7/60</f>
        <v>16.1283333333333</v>
      </c>
      <c r="AL86" s="3" t="n">
        <f aca="false">16+5.6/60</f>
        <v>16.0933333333333</v>
      </c>
      <c r="AM86" s="3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56</v>
      </c>
      <c r="G87" s="2" t="n">
        <v>81</v>
      </c>
      <c r="H87" s="2" t="n">
        <v>58</v>
      </c>
      <c r="I87" s="2" t="n">
        <v>45</v>
      </c>
      <c r="J87" s="2" t="s">
        <v>101</v>
      </c>
      <c r="K87" s="2" t="n">
        <v>12</v>
      </c>
      <c r="L87" s="2" t="n">
        <v>21</v>
      </c>
      <c r="M87" s="0" t="s">
        <v>94</v>
      </c>
      <c r="N87" s="0" t="n">
        <v>0</v>
      </c>
      <c r="O87" s="0" t="s">
        <v>57</v>
      </c>
      <c r="Q87" s="0" t="s">
        <v>82</v>
      </c>
      <c r="R87" s="3" t="n">
        <v>7.53</v>
      </c>
      <c r="S87" s="2" t="n">
        <v>1129</v>
      </c>
      <c r="T87" s="2" t="n">
        <v>17488</v>
      </c>
      <c r="U87" s="2" t="n">
        <v>16539</v>
      </c>
      <c r="V87" s="3" t="n">
        <f aca="false">120/60</f>
        <v>2</v>
      </c>
      <c r="W87" s="3" t="n">
        <f aca="false">2+22/60</f>
        <v>2.36666666666667</v>
      </c>
      <c r="X87" s="3" t="n">
        <f aca="false">W87-V87</f>
        <v>0.366666666666667</v>
      </c>
      <c r="Y87" s="3" t="n">
        <f aca="false">R87/V87</f>
        <v>3.765</v>
      </c>
      <c r="Z87" s="0" t="n">
        <v>1</v>
      </c>
      <c r="AA87" s="3" t="n">
        <f aca="false">R87/Z87</f>
        <v>7.53</v>
      </c>
      <c r="AB87" s="3" t="n">
        <f aca="false">15+55/60</f>
        <v>15.9166666666667</v>
      </c>
      <c r="AC87" s="2" t="n">
        <v>371</v>
      </c>
      <c r="AD87" s="2" t="n">
        <v>983</v>
      </c>
      <c r="AE87" s="2" t="n">
        <v>107</v>
      </c>
      <c r="AF87" s="2" t="n">
        <v>139</v>
      </c>
      <c r="AG87" s="3" t="n">
        <f aca="false">15+24/60</f>
        <v>15.4</v>
      </c>
      <c r="AH87" s="3" t="n">
        <f aca="false">15+18.6/60</f>
        <v>15.31</v>
      </c>
      <c r="AI87" s="3" t="n">
        <f aca="false">15+12.2/60</f>
        <v>15.2033333333333</v>
      </c>
      <c r="AJ87" s="3" t="n">
        <f aca="false">16+4.6/60</f>
        <v>16.0766666666667</v>
      </c>
      <c r="AK87" s="3" t="n">
        <f aca="false">15+56.6</f>
        <v>71.6</v>
      </c>
      <c r="AL87" s="3" t="n">
        <f aca="false">16+19.8/60</f>
        <v>16.33</v>
      </c>
      <c r="AM87" s="3" t="n">
        <f aca="false">16+42.6/60</f>
        <v>16.71</v>
      </c>
      <c r="AN87" s="3" t="n">
        <f aca="false">60/3.8</f>
        <v>15.7894736842105</v>
      </c>
      <c r="AR87" s="0" t="n">
        <v>7</v>
      </c>
      <c r="AS87" s="0" t="n">
        <v>0</v>
      </c>
      <c r="BA87" s="0" t="s">
        <v>59</v>
      </c>
      <c r="BB87" s="0" t="s">
        <v>60</v>
      </c>
      <c r="BC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88</v>
      </c>
      <c r="F88" s="0" t="s">
        <v>56</v>
      </c>
      <c r="G88" s="2" t="n">
        <v>84</v>
      </c>
      <c r="H88" s="2" t="n">
        <v>61</v>
      </c>
      <c r="I88" s="2" t="n">
        <v>49</v>
      </c>
      <c r="J88" s="2" t="s">
        <v>103</v>
      </c>
      <c r="K88" s="2" t="n">
        <v>12</v>
      </c>
      <c r="L88" s="2" t="n">
        <v>0</v>
      </c>
      <c r="M88" s="0" t="s">
        <v>94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61</v>
      </c>
      <c r="G89" s="2" t="n">
        <v>83</v>
      </c>
      <c r="H89" s="2" t="n">
        <v>64</v>
      </c>
      <c r="I89" s="2" t="n">
        <v>54</v>
      </c>
      <c r="J89" s="2" t="s">
        <v>95</v>
      </c>
      <c r="K89" s="2" t="n">
        <v>21</v>
      </c>
      <c r="L89" s="2" t="n">
        <v>0</v>
      </c>
      <c r="M89" s="0" t="s">
        <v>73</v>
      </c>
      <c r="N89" s="0" t="n">
        <v>0</v>
      </c>
      <c r="O89" s="0" t="s">
        <v>66</v>
      </c>
      <c r="Q89" s="0" t="s">
        <v>62</v>
      </c>
      <c r="R89" s="3" t="n">
        <v>5.18</v>
      </c>
      <c r="S89" s="2" t="n">
        <f aca="false">AVERAGE(S65:S80)</f>
        <v>956.224392361111</v>
      </c>
      <c r="T89" s="2" t="n">
        <v>11451</v>
      </c>
      <c r="U89" s="2" t="n">
        <f aca="false">T89-S89</f>
        <v>10494.7756076389</v>
      </c>
      <c r="V89" s="3" t="n">
        <f aca="false">83/60</f>
        <v>1.38333333333333</v>
      </c>
      <c r="W89" s="3" t="n">
        <f aca="false">88/60</f>
        <v>1.46666666666667</v>
      </c>
      <c r="X89" s="3" t="n">
        <f aca="false">W89-V89</f>
        <v>0.0833333333333333</v>
      </c>
      <c r="Y89" s="3" t="n">
        <f aca="false">R89/V89</f>
        <v>3.74457831325301</v>
      </c>
      <c r="Z89" s="0" t="n">
        <v>1</v>
      </c>
      <c r="AA89" s="3" t="n">
        <f aca="false">R89/Z89</f>
        <v>5.18</v>
      </c>
      <c r="AB89" s="3" t="n">
        <f aca="false">16+1/60</f>
        <v>16.0166666666667</v>
      </c>
      <c r="AC89" s="2" t="n">
        <v>562</v>
      </c>
      <c r="AD89" s="2" t="n">
        <v>859</v>
      </c>
      <c r="AE89" s="2" t="n">
        <v>117</v>
      </c>
      <c r="AF89" s="2" t="n">
        <v>154</v>
      </c>
      <c r="AG89" s="3" t="n">
        <f aca="false">15+24.8/60</f>
        <v>15.4133333333333</v>
      </c>
      <c r="AH89" s="3" t="n">
        <f aca="false">15+55.7/60</f>
        <v>15.9283333333333</v>
      </c>
      <c r="AI89" s="3" t="n">
        <f aca="false">15+40.5/60</f>
        <v>15.675</v>
      </c>
      <c r="AJ89" s="3" t="n">
        <f aca="false">16+35.5/60</f>
        <v>16.5916666666667</v>
      </c>
      <c r="AK89" s="3" t="n">
        <f aca="false">16+31.8/60</f>
        <v>16.53</v>
      </c>
      <c r="AL89" s="3" t="n">
        <f aca="false">80/3.8</f>
        <v>21.0526315789474</v>
      </c>
      <c r="AR89" s="0" t="n">
        <v>1</v>
      </c>
      <c r="AS89" s="0" t="n">
        <v>0</v>
      </c>
      <c r="AU89" s="5" t="n">
        <f aca="false">60*V89-SUM(AV89:AZ89)</f>
        <v>0</v>
      </c>
      <c r="AV89" s="3" t="n">
        <f aca="false">4+50/60</f>
        <v>4.83333333333333</v>
      </c>
      <c r="AW89" s="3" t="n">
        <f aca="false">13+36/60</f>
        <v>13.6</v>
      </c>
      <c r="AX89" s="3" t="n">
        <f aca="false">20+25/60</f>
        <v>20.4166666666667</v>
      </c>
      <c r="AY89" s="3" t="n">
        <f aca="false">30+52/60</f>
        <v>30.8666666666667</v>
      </c>
      <c r="AZ89" s="3" t="n">
        <f aca="false">13+17/60</f>
        <v>13.2833333333333</v>
      </c>
      <c r="BA89" s="0" t="s">
        <v>59</v>
      </c>
      <c r="BB89" s="0" t="s">
        <v>60</v>
      </c>
      <c r="BC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61</v>
      </c>
      <c r="G90" s="2" t="n">
        <v>69</v>
      </c>
      <c r="H90" s="2" t="n">
        <v>66</v>
      </c>
      <c r="I90" s="2" t="n">
        <v>90</v>
      </c>
      <c r="J90" s="2" t="s">
        <v>101</v>
      </c>
      <c r="K90" s="2" t="n">
        <v>9</v>
      </c>
      <c r="L90" s="2" t="n">
        <v>0</v>
      </c>
      <c r="M90" s="0" t="s">
        <v>73</v>
      </c>
      <c r="N90" s="0" t="n">
        <v>0</v>
      </c>
      <c r="O90" s="0" t="s">
        <v>57</v>
      </c>
      <c r="Q90" s="0" t="s">
        <v>98</v>
      </c>
      <c r="R90" s="3" t="n">
        <v>5.38</v>
      </c>
      <c r="S90" s="2" t="n">
        <f aca="false">AVERAGE(S59:S89)</f>
        <v>958.326205261752</v>
      </c>
      <c r="T90" s="2" t="n">
        <v>13259</v>
      </c>
      <c r="U90" s="2" t="n">
        <f aca="false">T90-S90</f>
        <v>12300.6737947382</v>
      </c>
      <c r="V90" s="3" t="n">
        <f aca="false">91/60</f>
        <v>1.51666666666667</v>
      </c>
      <c r="W90" s="3" t="n">
        <v>1.66666666666667</v>
      </c>
      <c r="X90" s="3" t="n">
        <f aca="false">W90-V90</f>
        <v>0.150000000000003</v>
      </c>
      <c r="Y90" s="3" t="n">
        <f aca="false">R90/V90</f>
        <v>3.54725274725275</v>
      </c>
      <c r="Z90" s="0" t="n">
        <v>1</v>
      </c>
      <c r="AA90" s="3" t="n">
        <f aca="false">R90/Z90</f>
        <v>5.38</v>
      </c>
      <c r="AB90" s="3" t="n">
        <f aca="false">16+51/60</f>
        <v>16.85</v>
      </c>
      <c r="AC90" s="2" t="n">
        <v>354</v>
      </c>
      <c r="AD90" s="2" t="n">
        <v>1038</v>
      </c>
      <c r="AE90" s="2" t="n">
        <v>122</v>
      </c>
      <c r="AF90" s="2" t="n">
        <v>144</v>
      </c>
      <c r="AG90" s="3" t="n">
        <f aca="false">15+39.2/60</f>
        <v>15.6533333333333</v>
      </c>
      <c r="AH90" s="3" t="n">
        <f aca="false">16+40.2/60</f>
        <v>16.67</v>
      </c>
      <c r="AI90" s="3" t="n">
        <f aca="false">17+1.7/60</f>
        <v>17.0283333333333</v>
      </c>
      <c r="AJ90" s="3" t="n">
        <f aca="false">17+20/60</f>
        <v>17.3333333333333</v>
      </c>
      <c r="AK90" s="3" t="n">
        <f aca="false">17+0.9/60</f>
        <v>17.015</v>
      </c>
      <c r="AL90" s="3" t="n">
        <f aca="false">60/3.6</f>
        <v>16.6666666666667</v>
      </c>
      <c r="AR90" s="0" t="n">
        <v>4</v>
      </c>
      <c r="AS90" s="0" t="n">
        <v>0</v>
      </c>
      <c r="AU90" s="5" t="n">
        <f aca="false">60*V90-SUM(AV90:AZ90)</f>
        <v>0.466666666666654</v>
      </c>
      <c r="AV90" s="3" t="n">
        <f aca="false">7+18/60</f>
        <v>7.3</v>
      </c>
      <c r="AW90" s="3" t="n">
        <f aca="false">8+18/60</f>
        <v>8.3</v>
      </c>
      <c r="AX90" s="3" t="n">
        <v>1</v>
      </c>
      <c r="AY90" s="3" t="n">
        <f aca="false">54+50/60</f>
        <v>54.8333333333333</v>
      </c>
      <c r="AZ90" s="3" t="n">
        <f aca="false">19+6/60</f>
        <v>19.1</v>
      </c>
      <c r="BA90" s="0" t="s">
        <v>59</v>
      </c>
      <c r="BB90" s="0" t="s">
        <v>60</v>
      </c>
      <c r="BC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61</v>
      </c>
      <c r="G91" s="2" t="n">
        <f aca="false">AVERAGE(77,81,85)</f>
        <v>81</v>
      </c>
      <c r="I91" s="2" t="n">
        <f aca="false">AVERAGE(69,72,57)</f>
        <v>66</v>
      </c>
      <c r="M91" s="0" t="s">
        <v>73</v>
      </c>
      <c r="N91" s="0" t="n">
        <v>0</v>
      </c>
      <c r="O91" s="0" t="s">
        <v>66</v>
      </c>
      <c r="Q91" s="0" t="s">
        <v>87</v>
      </c>
      <c r="R91" s="3" t="n">
        <v>6.41</v>
      </c>
      <c r="S91" s="2" t="n">
        <v>991</v>
      </c>
      <c r="T91" s="2" t="n">
        <v>14461</v>
      </c>
      <c r="U91" s="2" t="n">
        <f aca="false">T91-S91</f>
        <v>13470</v>
      </c>
      <c r="V91" s="3" t="n">
        <f aca="false">(99+29/60)/60</f>
        <v>1.65805555555556</v>
      </c>
      <c r="W91" s="3" t="n">
        <f aca="false">(60+44+9/60)/60</f>
        <v>1.73583333333333</v>
      </c>
      <c r="X91" s="3" t="n">
        <f aca="false">W91-V91</f>
        <v>0.0777777777777777</v>
      </c>
      <c r="Y91" s="3" t="n">
        <f aca="false">R91/V91</f>
        <v>3.86597420003351</v>
      </c>
      <c r="Z91" s="0" t="n">
        <v>1</v>
      </c>
      <c r="AA91" s="3" t="n">
        <f aca="false">R91/Z91</f>
        <v>6.41</v>
      </c>
      <c r="AB91" s="3" t="n">
        <f aca="false">15+31/60</f>
        <v>15.5166666666667</v>
      </c>
      <c r="AC91" s="2" t="n">
        <v>213</v>
      </c>
      <c r="AD91" s="2" t="n">
        <v>1071</v>
      </c>
      <c r="AE91" s="2" t="n">
        <v>121</v>
      </c>
      <c r="AF91" s="2" t="n">
        <v>143</v>
      </c>
      <c r="AG91" s="3" t="n">
        <f aca="false">16+11/60</f>
        <v>16.1833333333333</v>
      </c>
      <c r="AH91" s="3" t="n">
        <f aca="false">15+23.9/60</f>
        <v>15.3983333333333</v>
      </c>
      <c r="AI91" s="3" t="n">
        <f aca="false">15+44.7/60</f>
        <v>15.745</v>
      </c>
      <c r="AJ91" s="3" t="n">
        <f aca="false">15+44.7/60</f>
        <v>15.745</v>
      </c>
      <c r="AK91" s="3" t="n">
        <f aca="false">15+5.3/70</f>
        <v>15.0757142857143</v>
      </c>
      <c r="AL91" s="3" t="n">
        <f aca="false">15+4.3/60</f>
        <v>15.0716666666667</v>
      </c>
      <c r="AM91" s="3" t="n">
        <f aca="false">60/3.9</f>
        <v>15.3846153846154</v>
      </c>
      <c r="AR91" s="0" t="n">
        <v>1</v>
      </c>
      <c r="AS91" s="0" t="n">
        <v>0</v>
      </c>
      <c r="AU91" s="5" t="n">
        <f aca="false">60*V91-SUM(AV91:AZ91)</f>
        <v>0</v>
      </c>
      <c r="AV91" s="3" t="n">
        <f aca="false">1+16/60</f>
        <v>1.26666666666667</v>
      </c>
      <c r="AW91" s="3" t="n">
        <f aca="false">14+28/60</f>
        <v>14.4666666666667</v>
      </c>
      <c r="AX91" s="3" t="n">
        <f aca="false">16+20/60</f>
        <v>16.3333333333333</v>
      </c>
      <c r="AY91" s="3" t="n">
        <f aca="false">58+46/60</f>
        <v>58.7666666666667</v>
      </c>
      <c r="AZ91" s="3" t="n">
        <f aca="false">8+39/60</f>
        <v>8.65</v>
      </c>
      <c r="BA91" s="0" t="s">
        <v>59</v>
      </c>
      <c r="BB91" s="0" t="s">
        <v>60</v>
      </c>
      <c r="BC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56</v>
      </c>
      <c r="G92" s="2" t="n">
        <v>74</v>
      </c>
      <c r="I92" s="2" t="n">
        <v>71</v>
      </c>
      <c r="M92" s="0" t="s">
        <v>73</v>
      </c>
      <c r="N92" s="0" t="n">
        <v>0</v>
      </c>
      <c r="O92" s="0" t="s">
        <v>66</v>
      </c>
      <c r="Q92" s="0" t="s">
        <v>65</v>
      </c>
      <c r="R92" s="3" t="n">
        <v>8.06</v>
      </c>
      <c r="S92" s="2" t="n">
        <v>1526</v>
      </c>
      <c r="T92" s="2" t="n">
        <v>18458</v>
      </c>
      <c r="U92" s="2" t="n">
        <f aca="false">T92-S92</f>
        <v>16932</v>
      </c>
      <c r="V92" s="3" t="n">
        <f aca="false">(123+3/60)/60</f>
        <v>2.05083333333333</v>
      </c>
      <c r="W92" s="3" t="n">
        <f aca="false">(133+31/60)/60</f>
        <v>2.22527777777778</v>
      </c>
      <c r="X92" s="3" t="n">
        <f aca="false">W92-V92</f>
        <v>0.174444444444445</v>
      </c>
      <c r="Y92" s="3" t="n">
        <f aca="false">R92/V92</f>
        <v>3.93010971149939</v>
      </c>
      <c r="Z92" s="0" t="n">
        <v>1</v>
      </c>
      <c r="AA92" s="3" t="n">
        <f aca="false">R92/Z92</f>
        <v>8.06</v>
      </c>
      <c r="AB92" s="3" t="n">
        <f aca="false">15+18/60</f>
        <v>15.3</v>
      </c>
      <c r="AC92" s="2" t="n">
        <v>830</v>
      </c>
      <c r="AD92" s="2" t="n">
        <v>1021</v>
      </c>
      <c r="AE92" s="2" t="n">
        <v>102</v>
      </c>
      <c r="AF92" s="2" t="n">
        <v>154</v>
      </c>
      <c r="AG92" s="3" t="n">
        <f aca="false">15+46/60</f>
        <v>15.7666666666667</v>
      </c>
      <c r="AH92" s="3" t="n">
        <f aca="false">16+2.7/60</f>
        <v>16.045</v>
      </c>
      <c r="AI92" s="3" t="n">
        <f aca="false">15+10.5/60</f>
        <v>15.175</v>
      </c>
      <c r="AJ92" s="3" t="n">
        <f aca="false">15+16.2/60</f>
        <v>15.27</v>
      </c>
      <c r="AK92" s="3" t="n">
        <f aca="false">14+46.9/60</f>
        <v>14.7816666666667</v>
      </c>
      <c r="AL92" s="3" t="n">
        <f aca="false">15+12.3/60</f>
        <v>15.205</v>
      </c>
      <c r="AM92" s="3" t="n">
        <f aca="false">15+33.9/60</f>
        <v>15.565</v>
      </c>
      <c r="AN92" s="3" t="n">
        <f aca="false">15+26.9/60</f>
        <v>15.4483333333333</v>
      </c>
      <c r="AO92" s="3" t="n">
        <f aca="false">60/3.9</f>
        <v>15.3846153846154</v>
      </c>
      <c r="AR92" s="0" t="n">
        <v>3</v>
      </c>
      <c r="AS92" s="0" t="n">
        <v>0</v>
      </c>
      <c r="AU92" s="5" t="n">
        <f aca="false">60*V92-SUM(AV92:AZ92)</f>
        <v>12.3833333333333</v>
      </c>
      <c r="AV92" s="3" t="n">
        <f aca="false">27+50/60</f>
        <v>27.8333333333333</v>
      </c>
      <c r="AW92" s="3" t="n">
        <f aca="false">36+21/60</f>
        <v>36.35</v>
      </c>
      <c r="AX92" s="3" t="n">
        <f aca="false">20+56/60</f>
        <v>20.9333333333333</v>
      </c>
      <c r="AY92" s="3" t="n">
        <f aca="false">17+21/60</f>
        <v>17.35</v>
      </c>
      <c r="AZ92" s="3" t="n">
        <f aca="false">8+12/60</f>
        <v>8.2</v>
      </c>
      <c r="BA92" s="0" t="s">
        <v>59</v>
      </c>
      <c r="BB92" s="0" t="s">
        <v>60</v>
      </c>
      <c r="BC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56</v>
      </c>
      <c r="G93" s="2" t="n">
        <v>76</v>
      </c>
      <c r="I93" s="2" t="n">
        <v>74</v>
      </c>
      <c r="M93" s="0" t="s">
        <v>73</v>
      </c>
      <c r="N93" s="0" t="n">
        <v>0</v>
      </c>
      <c r="O93" s="0" t="s">
        <v>57</v>
      </c>
      <c r="Q93" s="0" t="s">
        <v>63</v>
      </c>
      <c r="R93" s="3" t="n">
        <v>5.96</v>
      </c>
      <c r="S93" s="2" t="n">
        <v>1075</v>
      </c>
      <c r="T93" s="2" t="n">
        <v>13081</v>
      </c>
      <c r="U93" s="2" t="n">
        <f aca="false">T93-S93</f>
        <v>12006</v>
      </c>
      <c r="V93" s="3" t="n">
        <f aca="false">100/60</f>
        <v>1.66666666666667</v>
      </c>
      <c r="W93" s="3" t="n">
        <v>1.76666666666667</v>
      </c>
      <c r="X93" s="3" t="n">
        <f aca="false">W93-V93</f>
        <v>0.100000000000003</v>
      </c>
      <c r="Y93" s="3" t="n">
        <f aca="false">R93/V93</f>
        <v>3.576</v>
      </c>
      <c r="Z93" s="0" t="n">
        <v>1</v>
      </c>
      <c r="AA93" s="3" t="n">
        <f aca="false">R93/Z93</f>
        <v>5.96</v>
      </c>
      <c r="AB93" s="3" t="n">
        <f aca="false">16+47/60</f>
        <v>16.7833333333333</v>
      </c>
      <c r="AC93" s="2" t="n">
        <v>671</v>
      </c>
      <c r="AD93" s="2" t="n">
        <v>671</v>
      </c>
      <c r="AE93" s="2" t="n">
        <v>90</v>
      </c>
      <c r="AF93" s="2" t="n">
        <v>123</v>
      </c>
      <c r="AG93" s="3" t="n">
        <f aca="false">16+12.5/60</f>
        <v>16.2083333333333</v>
      </c>
      <c r="AH93" s="3" t="n">
        <f aca="false">16+6.1/60</f>
        <v>16.1016666666667</v>
      </c>
      <c r="AI93" s="3" t="n">
        <f aca="false">16+19.4/60</f>
        <v>16.3233333333333</v>
      </c>
      <c r="AJ93" s="3" t="n">
        <f aca="false">16+44.3/60</f>
        <v>16.7383333333333</v>
      </c>
      <c r="AK93" s="3" t="n">
        <f aca="false">17+0.3/60</f>
        <v>17.005</v>
      </c>
      <c r="AL93" s="3" t="n">
        <f aca="false">60/3.6</f>
        <v>16.6666666666667</v>
      </c>
      <c r="AR93" s="0" t="n">
        <v>2</v>
      </c>
      <c r="AS93" s="0" t="n">
        <v>0</v>
      </c>
      <c r="AU93" s="5" t="n">
        <f aca="false">60*V93-SUM(AV93:AZ93)</f>
        <v>-0.0333333333333314</v>
      </c>
      <c r="AV93" s="3" t="n">
        <f aca="false">41+4/60</f>
        <v>41.0666666666667</v>
      </c>
      <c r="AW93" s="3" t="n">
        <f aca="false">54+30/60</f>
        <v>54.5</v>
      </c>
      <c r="AX93" s="3" t="n">
        <f aca="false">3+58/60</f>
        <v>3.96666666666667</v>
      </c>
      <c r="AY93" s="3" t="n">
        <f aca="false">30/60</f>
        <v>0.5</v>
      </c>
      <c r="AZ93" s="3" t="n">
        <v>0</v>
      </c>
      <c r="BA93" s="0" t="s">
        <v>59</v>
      </c>
      <c r="BB93" s="0" t="s">
        <v>60</v>
      </c>
      <c r="BC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61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73</v>
      </c>
      <c r="N94" s="0" t="n">
        <v>0</v>
      </c>
      <c r="O94" s="0" t="s">
        <v>66</v>
      </c>
      <c r="Q94" s="0" t="s">
        <v>82</v>
      </c>
      <c r="R94" s="3" t="n">
        <v>9.77</v>
      </c>
      <c r="S94" s="2" t="n">
        <v>646</v>
      </c>
      <c r="T94" s="2" t="n">
        <v>21466</v>
      </c>
      <c r="U94" s="2" t="n">
        <f aca="false">T94-S94</f>
        <v>20820</v>
      </c>
      <c r="V94" s="3" t="n">
        <f aca="false">(120+37+14/60)/60</f>
        <v>2.62055555555556</v>
      </c>
      <c r="W94" s="3" t="n">
        <f aca="false">(120+43+37/60)/60</f>
        <v>2.72694444444444</v>
      </c>
      <c r="X94" s="3" t="n">
        <f aca="false">W94-V94</f>
        <v>0.106388888888889</v>
      </c>
      <c r="Y94" s="3" t="n">
        <f aca="false">R94/V94</f>
        <v>3.72821708713165</v>
      </c>
      <c r="Z94" s="0" t="n">
        <v>1</v>
      </c>
      <c r="AA94" s="3" t="n">
        <f aca="false">R94/Z94</f>
        <v>9.77</v>
      </c>
      <c r="AB94" s="3" t="n">
        <f aca="false">16+5/60</f>
        <v>16.0833333333333</v>
      </c>
      <c r="AC94" s="2" t="n">
        <v>335</v>
      </c>
      <c r="AD94" s="2" t="n">
        <v>1565</v>
      </c>
      <c r="AE94" s="2" t="n">
        <v>110</v>
      </c>
      <c r="AF94" s="2" t="n">
        <v>147</v>
      </c>
      <c r="AG94" s="3" t="n">
        <f aca="false">15+42.6/60</f>
        <v>15.71</v>
      </c>
      <c r="AH94" s="3" t="n">
        <f aca="false">15+36.9/60</f>
        <v>15.615</v>
      </c>
      <c r="AI94" s="3" t="n">
        <f aca="false">15+37.1/60</f>
        <v>15.6183333333333</v>
      </c>
      <c r="AJ94" s="3" t="n">
        <f aca="false">15+54.3/60</f>
        <v>15.905</v>
      </c>
      <c r="AK94" s="3" t="n">
        <f aca="false">16+17.5/60</f>
        <v>16.2916666666667</v>
      </c>
      <c r="AL94" s="3" t="n">
        <f aca="false">16+35.4/60</f>
        <v>16.59</v>
      </c>
      <c r="AM94" s="3" t="n">
        <f aca="false">16+25.5/60</f>
        <v>16.425</v>
      </c>
      <c r="AN94" s="3" t="n">
        <f aca="false">15+43.4/60</f>
        <v>15.7233333333333</v>
      </c>
      <c r="AO94" s="3" t="n">
        <f aca="false">16+7.7/60</f>
        <v>16.1283333333333</v>
      </c>
      <c r="AP94" s="3" t="n">
        <f aca="false">60/3.5</f>
        <v>17.1428571428571</v>
      </c>
      <c r="AR94" s="0" t="n">
        <v>4</v>
      </c>
      <c r="AS94" s="0" t="n">
        <v>1</v>
      </c>
      <c r="AU94" s="5" t="n">
        <f aca="false">60*V94-SUM(AV94:AZ94)</f>
        <v>24.3</v>
      </c>
      <c r="AV94" s="3" t="n">
        <f aca="false">17+9/60</f>
        <v>17.15</v>
      </c>
      <c r="AW94" s="3" t="n">
        <f aca="false">25</f>
        <v>25</v>
      </c>
      <c r="AX94" s="3" t="n">
        <f aca="false">14+8/60</f>
        <v>14.1333333333333</v>
      </c>
      <c r="AY94" s="3" t="n">
        <f aca="false">27+43/60</f>
        <v>27.7166666666667</v>
      </c>
      <c r="AZ94" s="3" t="n">
        <f aca="false">48+56/60</f>
        <v>48.9333333333333</v>
      </c>
      <c r="BA94" s="0" t="s">
        <v>59</v>
      </c>
      <c r="BB94" s="0" t="s">
        <v>60</v>
      </c>
      <c r="BC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6" t="s">
        <v>74</v>
      </c>
      <c r="G95" s="2" t="n">
        <v>81</v>
      </c>
      <c r="H95" s="2" t="n">
        <v>73</v>
      </c>
      <c r="I95" s="2" t="n">
        <v>63</v>
      </c>
      <c r="J95" s="2" t="s">
        <v>95</v>
      </c>
      <c r="K95" s="2" t="n">
        <v>16</v>
      </c>
      <c r="L95" s="2" t="n">
        <v>29</v>
      </c>
      <c r="M95" s="0" t="s">
        <v>94</v>
      </c>
      <c r="N95" s="0" t="n">
        <v>0</v>
      </c>
      <c r="O95" s="0" t="s">
        <v>57</v>
      </c>
      <c r="Q95" s="0" t="s">
        <v>104</v>
      </c>
      <c r="R95" s="3" t="n">
        <v>6.75</v>
      </c>
      <c r="S95" s="2" t="n">
        <v>1268</v>
      </c>
      <c r="T95" s="2" t="n">
        <v>15181</v>
      </c>
      <c r="U95" s="2" t="n">
        <f aca="false">T95-S95</f>
        <v>13913</v>
      </c>
      <c r="V95" s="3" t="n">
        <f aca="false">(55+60)/60</f>
        <v>1.91666666666667</v>
      </c>
      <c r="W95" s="3" t="n">
        <f aca="false">(60+58)/60</f>
        <v>1.96666666666667</v>
      </c>
      <c r="X95" s="3" t="n">
        <f aca="false">W95-V95</f>
        <v>0.0499999999999998</v>
      </c>
      <c r="Y95" s="3" t="n">
        <f aca="false">R95/V95</f>
        <v>3.52173913043478</v>
      </c>
      <c r="Z95" s="0" t="n">
        <v>1</v>
      </c>
      <c r="AA95" s="3" t="n">
        <f aca="false">R95/Z95</f>
        <v>6.75</v>
      </c>
      <c r="AB95" s="3" t="n">
        <f aca="false">16+54/60</f>
        <v>16.9</v>
      </c>
      <c r="AC95" s="2" t="n">
        <v>558</v>
      </c>
      <c r="AD95" s="2" t="n">
        <v>1227</v>
      </c>
      <c r="AE95" s="2" t="n">
        <v>119</v>
      </c>
      <c r="AF95" s="2" t="n">
        <v>149</v>
      </c>
      <c r="AG95" s="3" t="n">
        <f aca="false">16+32.5/60</f>
        <v>16.5416666666667</v>
      </c>
      <c r="AH95" s="3" t="n">
        <f aca="false">17+6.2/60</f>
        <v>17.1033333333333</v>
      </c>
      <c r="AI95" s="3" t="n">
        <f aca="false">17+33.8/60</f>
        <v>17.5633333333333</v>
      </c>
      <c r="AJ95" s="3" t="n">
        <f aca="false">16+21.2/60</f>
        <v>16.3533333333333</v>
      </c>
      <c r="AK95" s="3" t="n">
        <f aca="false">16+43.8/60</f>
        <v>16.73</v>
      </c>
      <c r="AL95" s="3" t="n">
        <f aca="false">16+56.1/60</f>
        <v>16.935</v>
      </c>
      <c r="AM95" s="3" t="n">
        <f aca="false">60/3.5</f>
        <v>17.1428571428571</v>
      </c>
      <c r="AR95" s="0" t="n">
        <v>1</v>
      </c>
      <c r="AS95" s="0" t="n">
        <v>2</v>
      </c>
      <c r="AU95" s="5" t="n">
        <f aca="false">60*V95-SUM(AV95:AZ95)</f>
        <v>0.933333333333337</v>
      </c>
      <c r="AV95" s="3" t="n">
        <f aca="false">6+4/60</f>
        <v>6.06666666666667</v>
      </c>
      <c r="AW95" s="3" t="n">
        <f aca="false">26+21/60</f>
        <v>26.35</v>
      </c>
      <c r="AX95" s="3" t="n">
        <f aca="false">13+33/60</f>
        <v>13.55</v>
      </c>
      <c r="AY95" s="3" t="n">
        <f aca="false">32+14/60</f>
        <v>32.2333333333333</v>
      </c>
      <c r="AZ95" s="3" t="n">
        <f aca="false">35+52/60</f>
        <v>35.8666666666667</v>
      </c>
      <c r="BA95" s="0" t="s">
        <v>59</v>
      </c>
      <c r="BB95" s="0" t="s">
        <v>60</v>
      </c>
      <c r="BC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43975.4951388889</v>
      </c>
      <c r="C96" s="0" t="n">
        <v>0</v>
      </c>
      <c r="D96" s="0" t="s">
        <v>88</v>
      </c>
      <c r="F96" s="6" t="s">
        <v>105</v>
      </c>
      <c r="G96" s="2" t="n">
        <v>86</v>
      </c>
      <c r="H96" s="2" t="n">
        <v>70</v>
      </c>
      <c r="I96" s="2" t="n">
        <v>59</v>
      </c>
      <c r="J96" s="2" t="s">
        <v>95</v>
      </c>
      <c r="K96" s="2" t="n">
        <v>16</v>
      </c>
      <c r="L96" s="2" t="n">
        <v>29</v>
      </c>
      <c r="M96" s="0" t="s">
        <v>73</v>
      </c>
      <c r="AF96" s="2"/>
      <c r="AU96" s="5"/>
      <c r="BC96" s="0" t="n">
        <v>1</v>
      </c>
      <c r="BD96" s="0" t="s">
        <v>86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43976.4951388889</v>
      </c>
      <c r="C97" s="0" t="n">
        <v>0</v>
      </c>
      <c r="D97" s="0" t="s">
        <v>70</v>
      </c>
      <c r="F97" s="0" t="s">
        <v>56</v>
      </c>
      <c r="G97" s="2" t="n">
        <v>85</v>
      </c>
      <c r="H97" s="2" t="n">
        <v>71</v>
      </c>
      <c r="I97" s="2" t="n">
        <v>79</v>
      </c>
      <c r="J97" s="2" t="s">
        <v>95</v>
      </c>
      <c r="K97" s="2" t="n">
        <v>16</v>
      </c>
      <c r="L97" s="2" t="n">
        <v>29</v>
      </c>
      <c r="M97" s="0" t="s">
        <v>73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43977.4708333333</v>
      </c>
      <c r="C98" s="0" t="n">
        <v>1</v>
      </c>
      <c r="F98" s="0" t="s">
        <v>56</v>
      </c>
      <c r="G98" s="2" t="n">
        <v>68</v>
      </c>
      <c r="H98" s="2" t="n">
        <v>58</v>
      </c>
      <c r="I98" s="2" t="n">
        <v>70</v>
      </c>
      <c r="J98" s="6" t="s">
        <v>106</v>
      </c>
      <c r="K98" s="2" t="n">
        <v>12</v>
      </c>
      <c r="L98" s="2" t="n">
        <v>0</v>
      </c>
      <c r="M98" s="0" t="s">
        <v>73</v>
      </c>
      <c r="N98" s="0" t="n">
        <v>0</v>
      </c>
      <c r="O98" s="0" t="s">
        <v>57</v>
      </c>
      <c r="Q98" s="0" t="s">
        <v>65</v>
      </c>
      <c r="R98" s="3" t="n">
        <v>8.93</v>
      </c>
      <c r="S98" s="2" t="n">
        <v>1026</v>
      </c>
      <c r="T98" s="2" t="n">
        <v>19808</v>
      </c>
      <c r="U98" s="2" t="n">
        <v>18782</v>
      </c>
      <c r="V98" s="3" t="n">
        <f aca="false">( 120+18+34/60)/60</f>
        <v>2.30944444444444</v>
      </c>
      <c r="W98" s="3" t="n">
        <f aca="false">(120+31)/60</f>
        <v>2.51666666666667</v>
      </c>
      <c r="X98" s="3" t="n">
        <f aca="false">W98-V98</f>
        <v>0.207222222222222</v>
      </c>
      <c r="Y98" s="3" t="n">
        <f aca="false">R98/V98</f>
        <v>3.86673081549194</v>
      </c>
      <c r="Z98" s="0" t="n">
        <v>1</v>
      </c>
      <c r="AA98" s="3" t="n">
        <f aca="false">R98/Z98</f>
        <v>8.93</v>
      </c>
      <c r="AB98" s="3" t="n">
        <f aca="false">15+27/60</f>
        <v>15.45</v>
      </c>
      <c r="AC98" s="2" t="n">
        <v>220</v>
      </c>
      <c r="AD98" s="2" t="n">
        <v>1258</v>
      </c>
      <c r="AE98" s="2" t="n">
        <v>109</v>
      </c>
      <c r="AF98" s="2" t="n">
        <v>163</v>
      </c>
      <c r="AG98" s="3" t="n">
        <f aca="false">15+27.2/60</f>
        <v>15.4533333333333</v>
      </c>
      <c r="AH98" s="3" t="n">
        <f aca="false">15+21.9/60</f>
        <v>15.365</v>
      </c>
      <c r="AI98" s="3" t="n">
        <f aca="false">16+16.1/60</f>
        <v>16.2683333333333</v>
      </c>
      <c r="AJ98" s="3" t="n">
        <f aca="false">15+27.1/60</f>
        <v>15.4516666666667</v>
      </c>
      <c r="AK98" s="3" t="n">
        <f aca="false">17+3/60</f>
        <v>17.05</v>
      </c>
      <c r="AL98" s="3" t="n">
        <f aca="false">15+34.8/60</f>
        <v>15.58</v>
      </c>
      <c r="AM98" s="3" t="n">
        <f aca="false">15+24.3/60</f>
        <v>15.405</v>
      </c>
      <c r="AN98" s="3" t="n">
        <f aca="false">14+45.6/60</f>
        <v>14.76</v>
      </c>
      <c r="AO98" s="3" t="n">
        <f aca="false">14+3.4/60</f>
        <v>14.0566666666667</v>
      </c>
      <c r="AP98" s="3" t="n">
        <v>15</v>
      </c>
      <c r="AR98" s="0" t="n">
        <v>2</v>
      </c>
      <c r="AS98" s="0" t="n">
        <v>1</v>
      </c>
      <c r="AU98" s="4" t="n">
        <f aca="false">60*V98-SUM(AV98:AZ98)</f>
        <v>2.13333333333333</v>
      </c>
      <c r="AV98" s="3" t="n">
        <f aca="false">27+11/60</f>
        <v>27.1833333333333</v>
      </c>
      <c r="AW98" s="3" t="n">
        <f aca="false">44+1/6</f>
        <v>44.1666666666667</v>
      </c>
      <c r="AX98" s="3" t="n">
        <f aca="false">25+24/60</f>
        <v>25.4</v>
      </c>
      <c r="AY98" s="3" t="n">
        <f aca="false">11+32/60</f>
        <v>11.5333333333333</v>
      </c>
      <c r="AZ98" s="3" t="n">
        <f aca="false">28+9/60</f>
        <v>28.15</v>
      </c>
      <c r="BA98" s="0" t="s">
        <v>59</v>
      </c>
      <c r="BB98" s="0" t="s">
        <v>60</v>
      </c>
      <c r="BC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43978.5166666667</v>
      </c>
      <c r="C99" s="0" t="n">
        <v>1</v>
      </c>
      <c r="F99" s="6" t="s">
        <v>107</v>
      </c>
      <c r="G99" s="2" t="n">
        <f aca="false">AVERAGE(79,82)</f>
        <v>80.5</v>
      </c>
      <c r="H99" s="2" t="n">
        <v>59</v>
      </c>
      <c r="I99" s="2" t="n">
        <v>47</v>
      </c>
      <c r="J99" s="2" t="s">
        <v>95</v>
      </c>
      <c r="K99" s="2" t="n">
        <v>10</v>
      </c>
      <c r="L99" s="2" t="n">
        <v>0</v>
      </c>
      <c r="M99" s="0" t="s">
        <v>73</v>
      </c>
      <c r="N99" s="0" t="n">
        <v>0</v>
      </c>
      <c r="O99" s="0" t="s">
        <v>57</v>
      </c>
      <c r="Q99" s="0" t="s">
        <v>62</v>
      </c>
      <c r="R99" s="3" t="n">
        <v>6.98</v>
      </c>
      <c r="S99" s="2" t="n">
        <v>925</v>
      </c>
      <c r="T99" s="2" t="n">
        <v>16250</v>
      </c>
      <c r="U99" s="2" t="n">
        <f aca="false">T99-S99</f>
        <v>15325</v>
      </c>
      <c r="V99" s="3" t="n">
        <f aca="false">(60+51+29/60)/60</f>
        <v>1.85805555555556</v>
      </c>
      <c r="W99" s="3" t="n">
        <f aca="false">(60+57)/60</f>
        <v>1.95</v>
      </c>
      <c r="X99" s="3" t="n">
        <f aca="false">W99-V99</f>
        <v>0.0919444444444444</v>
      </c>
      <c r="Y99" s="3" t="n">
        <f aca="false">R99/V99</f>
        <v>3.75661533861564</v>
      </c>
      <c r="Z99" s="0" t="n">
        <v>1</v>
      </c>
      <c r="AA99" s="3" t="n">
        <f aca="false">R99/Z99</f>
        <v>6.98</v>
      </c>
      <c r="AB99" s="3" t="n">
        <f aca="false">15+59/60</f>
        <v>15.9833333333333</v>
      </c>
      <c r="AC99" s="2" t="n">
        <f aca="false">282</f>
        <v>282</v>
      </c>
      <c r="AD99" s="2" t="n">
        <v>1053</v>
      </c>
      <c r="AE99" s="2" t="n">
        <v>119</v>
      </c>
      <c r="AF99" s="2" t="n">
        <v>141</v>
      </c>
      <c r="AG99" s="3" t="n">
        <f aca="false">15+38.1/60</f>
        <v>15.635</v>
      </c>
      <c r="AH99" s="3" t="n">
        <f aca="false">15+33.1/60</f>
        <v>15.5516666666667</v>
      </c>
      <c r="AI99" s="3" t="n">
        <f aca="false">16+11.2/60</f>
        <v>16.1866666666667</v>
      </c>
      <c r="AJ99" s="3" t="n">
        <f aca="false">15+28.2/60</f>
        <v>15.47</v>
      </c>
      <c r="AK99" s="3" t="n">
        <f aca="false">16+13/60</f>
        <v>16.2166666666667</v>
      </c>
      <c r="AL99" s="3" t="n">
        <f aca="false">16+21.6/60</f>
        <v>16.36</v>
      </c>
      <c r="AM99" s="3" t="n">
        <f aca="false">60/3.7</f>
        <v>16.2162162162162</v>
      </c>
      <c r="AR99" s="0" t="n">
        <v>1</v>
      </c>
      <c r="AS99" s="0" t="n">
        <v>1</v>
      </c>
      <c r="AU99" s="4" t="n">
        <f aca="false">60*V99-SUM(AV99:AZ99)</f>
        <v>8.99866666666668</v>
      </c>
      <c r="AV99" s="3" t="n">
        <f aca="false">22/60</f>
        <v>0.366666666666667</v>
      </c>
      <c r="AW99" s="3" t="n">
        <f aca="false">5+2/60</f>
        <v>5.03333333333333</v>
      </c>
      <c r="AX99" s="3" t="n">
        <f aca="false">36+57/60</f>
        <v>36.95</v>
      </c>
      <c r="AY99" s="3" t="n">
        <f aca="false">60+5/60</f>
        <v>60.0833333333333</v>
      </c>
      <c r="AZ99" s="3" t="n">
        <f aca="false">3.08/60</f>
        <v>0.0513333333333333</v>
      </c>
      <c r="BA99" s="0" t="s">
        <v>59</v>
      </c>
      <c r="BB99" s="0" t="s">
        <v>60</v>
      </c>
      <c r="BC99" s="0" t="n">
        <v>0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43979.4951388889</v>
      </c>
      <c r="C100" s="0" t="n">
        <v>0</v>
      </c>
      <c r="D100" s="0" t="s">
        <v>70</v>
      </c>
      <c r="F100" s="0" t="s">
        <v>61</v>
      </c>
      <c r="G100" s="2" t="n">
        <v>95</v>
      </c>
      <c r="H100" s="2" t="n">
        <v>60</v>
      </c>
      <c r="I100" s="2" t="n">
        <v>44</v>
      </c>
      <c r="J100" s="6" t="s">
        <v>108</v>
      </c>
      <c r="K100" s="2" t="n">
        <v>12</v>
      </c>
      <c r="L100" s="2" t="n">
        <v>22</v>
      </c>
      <c r="M100" s="0" t="s">
        <v>73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43980.5013888889</v>
      </c>
      <c r="C101" s="0" t="n">
        <v>1</v>
      </c>
      <c r="E101" s="0" t="s">
        <v>109</v>
      </c>
      <c r="F101" s="0" t="s">
        <v>61</v>
      </c>
      <c r="G101" s="2" t="n">
        <v>86</v>
      </c>
      <c r="H101" s="2" t="n">
        <v>58</v>
      </c>
      <c r="I101" s="2" t="n">
        <v>38</v>
      </c>
      <c r="J101" s="2" t="s">
        <v>110</v>
      </c>
      <c r="K101" s="2" t="n">
        <v>15</v>
      </c>
      <c r="L101" s="2" t="n">
        <v>24</v>
      </c>
      <c r="M101" s="0" t="s">
        <v>73</v>
      </c>
      <c r="N101" s="0" t="n">
        <v>0</v>
      </c>
      <c r="O101" s="0" t="s">
        <v>66</v>
      </c>
      <c r="Q101" s="0" t="s">
        <v>98</v>
      </c>
      <c r="R101" s="3" t="n">
        <v>6.46</v>
      </c>
      <c r="S101" s="2" t="n">
        <v>898</v>
      </c>
      <c r="T101" s="2" t="n">
        <v>14956</v>
      </c>
      <c r="U101" s="2" t="n">
        <f aca="false">T101-S101</f>
        <v>14058</v>
      </c>
      <c r="V101" s="3" t="n">
        <f aca="false">(60+51)/60</f>
        <v>1.85</v>
      </c>
      <c r="W101" s="3" t="n">
        <f aca="false">(60+53)/60</f>
        <v>1.88333333333333</v>
      </c>
      <c r="X101" s="3" t="n">
        <f aca="false">W101-V101</f>
        <v>0.0333333333333332</v>
      </c>
      <c r="Y101" s="3" t="n">
        <f aca="false">R101/V101</f>
        <v>3.49189189189189</v>
      </c>
      <c r="Z101" s="0" t="n">
        <v>1</v>
      </c>
      <c r="AA101" s="3" t="n">
        <f aca="false">R101/Z101</f>
        <v>6.46</v>
      </c>
      <c r="AB101" s="3" t="n">
        <f aca="false">17+17/60</f>
        <v>17.2833333333333</v>
      </c>
      <c r="AC101" s="2" t="n">
        <v>177</v>
      </c>
      <c r="AD101" s="2" t="n">
        <v>905</v>
      </c>
      <c r="AE101" s="2" t="n">
        <v>112</v>
      </c>
      <c r="AF101" s="2" t="n">
        <v>139</v>
      </c>
      <c r="AG101" s="3" t="n">
        <f aca="false">16+5.3/60</f>
        <v>16.0883333333333</v>
      </c>
      <c r="AH101" s="3" t="n">
        <f aca="false">16+6.9/70</f>
        <v>16.0985714285714</v>
      </c>
      <c r="AI101" s="3" t="n">
        <f aca="false">16+57.4/60</f>
        <v>16.9566666666667</v>
      </c>
      <c r="AJ101" s="3" t="n">
        <f aca="false">19+16.7/60</f>
        <v>19.2783333333333</v>
      </c>
      <c r="AK101" s="3" t="n">
        <f aca="false">17+29.2/60</f>
        <v>17.4866666666667</v>
      </c>
      <c r="AL101" s="3" t="n">
        <f aca="false">17+26.3/60</f>
        <v>17.4383333333333</v>
      </c>
      <c r="AM101" s="3" t="n">
        <f aca="false">60/3.5</f>
        <v>17.1428571428571</v>
      </c>
      <c r="AR101" s="0" t="n">
        <v>1</v>
      </c>
      <c r="AS101" s="0" t="n">
        <v>1</v>
      </c>
      <c r="AU101" s="4" t="n">
        <f aca="false">60*V101-SUM(AV101:AZ101)</f>
        <v>11.5245</v>
      </c>
      <c r="AV101" s="3" t="n">
        <f aca="false">13/60</f>
        <v>0.216666666666667</v>
      </c>
      <c r="AW101" s="3" t="n">
        <f aca="false">28*37/60</f>
        <v>17.2666666666667</v>
      </c>
      <c r="AX101" s="3" t="n">
        <f aca="false">47+14/60</f>
        <v>47.2333333333333</v>
      </c>
      <c r="AY101" s="3" t="n">
        <f aca="false">34+45/60</f>
        <v>34.75</v>
      </c>
      <c r="AZ101" s="3" t="n">
        <f aca="false">0.53/60</f>
        <v>0.00883333333333333</v>
      </c>
      <c r="BA101" s="0" t="s">
        <v>59</v>
      </c>
      <c r="BB101" s="0" t="s">
        <v>60</v>
      </c>
      <c r="BC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43981.5277777778</v>
      </c>
      <c r="C102" s="0" t="n">
        <v>1</v>
      </c>
      <c r="E102" s="0" t="s">
        <v>109</v>
      </c>
      <c r="F102" s="0" t="s">
        <v>61</v>
      </c>
      <c r="G102" s="2" t="n">
        <f aca="false">AVERAGE(86,87)</f>
        <v>86.5</v>
      </c>
      <c r="H102" s="2" t="n">
        <v>57</v>
      </c>
      <c r="I102" s="2" t="n">
        <v>38</v>
      </c>
      <c r="J102" s="2" t="s">
        <v>99</v>
      </c>
      <c r="K102" s="2" t="n">
        <v>12</v>
      </c>
      <c r="L102" s="2" t="n">
        <v>0</v>
      </c>
      <c r="M102" s="0" t="s">
        <v>73</v>
      </c>
      <c r="N102" s="0" t="n">
        <v>0</v>
      </c>
      <c r="O102" s="0" t="s">
        <v>66</v>
      </c>
      <c r="Q102" s="0" t="s">
        <v>63</v>
      </c>
      <c r="R102" s="3" t="n">
        <v>6.45</v>
      </c>
      <c r="S102" s="2" t="n">
        <v>287</v>
      </c>
      <c r="T102" s="2" t="n">
        <v>15039</v>
      </c>
      <c r="U102" s="2" t="n">
        <f aca="false">T102-S102</f>
        <v>14752</v>
      </c>
      <c r="V102" s="3" t="n">
        <f aca="false">(60+55 + 19/60)/60</f>
        <v>1.92194444444444</v>
      </c>
      <c r="W102" s="3" t="n">
        <f aca="false">(60+59+35/60)/60</f>
        <v>1.99305555555556</v>
      </c>
      <c r="X102" s="3" t="n">
        <f aca="false">W102-V102</f>
        <v>0.0711111111111111</v>
      </c>
      <c r="Y102" s="3" t="n">
        <f aca="false">R102/V102</f>
        <v>3.35597629715277</v>
      </c>
      <c r="Z102" s="0" t="n">
        <v>1</v>
      </c>
      <c r="AA102" s="3" t="n">
        <f aca="false">R102/Z102</f>
        <v>6.45</v>
      </c>
      <c r="AB102" s="3" t="n">
        <f aca="false">17+53/60</f>
        <v>17.8833333333333</v>
      </c>
      <c r="AC102" s="2" t="n">
        <v>308</v>
      </c>
      <c r="AD102" s="2" t="n">
        <v>893</v>
      </c>
      <c r="AE102" s="2" t="n">
        <v>106</v>
      </c>
      <c r="AF102" s="2" t="n">
        <v>138</v>
      </c>
      <c r="AG102" s="3" t="n">
        <f aca="false">16+50.8/60</f>
        <v>16.8466666666667</v>
      </c>
      <c r="AH102" s="3" t="n">
        <f aca="false">16+59/60</f>
        <v>16.9833333333333</v>
      </c>
      <c r="AI102" s="3" t="n">
        <f aca="false">17+18.4/60</f>
        <v>17.3066666666667</v>
      </c>
      <c r="AJ102" s="3" t="n">
        <f aca="false">17+11.8/60</f>
        <v>17.1966666666667</v>
      </c>
      <c r="AK102" s="3" t="n">
        <f aca="false">20+0.9</f>
        <v>20.9</v>
      </c>
      <c r="AL102" s="3" t="n">
        <f aca="false">18+22.7/60</f>
        <v>18.3783333333333</v>
      </c>
      <c r="AM102" s="3" t="n">
        <f aca="false">60/3.5</f>
        <v>17.1428571428571</v>
      </c>
      <c r="AR102" s="0" t="n">
        <v>2</v>
      </c>
      <c r="AS102" s="0" t="n">
        <v>0</v>
      </c>
      <c r="AU102" s="4" t="n">
        <f aca="false">60*V102-SUM(AV102:AZ102)</f>
        <v>0</v>
      </c>
      <c r="AV102" s="3" t="n">
        <f aca="false">1+26/60</f>
        <v>1.43333333333333</v>
      </c>
      <c r="AW102" s="3" t="n">
        <f aca="false">65+39/60</f>
        <v>65.65</v>
      </c>
      <c r="AX102" s="3" t="n">
        <f aca="false">20+34/60</f>
        <v>20.5666666666667</v>
      </c>
      <c r="AY102" s="3" t="n">
        <f aca="false">25+53/60</f>
        <v>25.8833333333333</v>
      </c>
      <c r="AZ102" s="3" t="n">
        <f aca="false">1+47/60</f>
        <v>1.78333333333333</v>
      </c>
      <c r="BA102" s="0" t="s">
        <v>59</v>
      </c>
      <c r="BB102" s="0" t="s">
        <v>60</v>
      </c>
      <c r="BC102" s="0" t="n">
        <v>0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43982.5701388889</v>
      </c>
      <c r="C103" s="0" t="n">
        <v>1</v>
      </c>
      <c r="F103" s="0" t="s">
        <v>84</v>
      </c>
      <c r="G103" s="2" t="n">
        <v>85</v>
      </c>
      <c r="H103" s="2" t="n">
        <v>60</v>
      </c>
      <c r="I103" s="2" t="n">
        <v>30</v>
      </c>
      <c r="J103" s="6" t="s">
        <v>111</v>
      </c>
      <c r="K103" s="2" t="n">
        <v>3</v>
      </c>
      <c r="L103" s="2" t="n">
        <v>0</v>
      </c>
      <c r="M103" s="0" t="s">
        <v>73</v>
      </c>
      <c r="N103" s="0" t="n">
        <v>0</v>
      </c>
      <c r="O103" s="0" t="s">
        <v>66</v>
      </c>
      <c r="Q103" s="0" t="s">
        <v>82</v>
      </c>
      <c r="R103" s="3" t="n">
        <v>7.1</v>
      </c>
      <c r="S103" s="2" t="n">
        <v>341</v>
      </c>
      <c r="T103" s="2" t="n">
        <v>15990</v>
      </c>
      <c r="U103" s="2" t="n">
        <f aca="false">T103-S103</f>
        <v>15649</v>
      </c>
      <c r="V103" s="3" t="n">
        <f aca="false">(60+53)/60</f>
        <v>1.88333333333333</v>
      </c>
      <c r="W103" s="3" t="n">
        <f aca="false">(120+20/60)/60</f>
        <v>2.00555555555556</v>
      </c>
      <c r="X103" s="3" t="n">
        <f aca="false">W103-V103</f>
        <v>0.122222222222222</v>
      </c>
      <c r="Y103" s="3" t="n">
        <f aca="false">R103/V103</f>
        <v>3.76991150442478</v>
      </c>
      <c r="Z103" s="0" t="n">
        <v>1</v>
      </c>
      <c r="AA103" s="3" t="n">
        <f aca="false">R103/Z103</f>
        <v>7.1</v>
      </c>
      <c r="AB103" s="3" t="n">
        <f aca="false">15+57/60</f>
        <v>15.95</v>
      </c>
      <c r="AC103" s="2" t="n">
        <v>840</v>
      </c>
      <c r="AD103" s="2" t="n">
        <v>876</v>
      </c>
      <c r="AE103" s="2" t="n">
        <v>92</v>
      </c>
      <c r="AF103" s="2" t="n">
        <v>151</v>
      </c>
      <c r="AG103" s="3" t="n">
        <f aca="false">14+58.7/60</f>
        <v>14.9783333333333</v>
      </c>
      <c r="AH103" s="3" t="n">
        <f aca="false">15+19.4/60</f>
        <v>15.3233333333333</v>
      </c>
      <c r="AI103" s="3" t="n">
        <f aca="false">15+43.3/60</f>
        <v>15.7216666666667</v>
      </c>
      <c r="AJ103" s="3" t="n">
        <f aca="false">16+23.2/60</f>
        <v>16.3866666666667</v>
      </c>
      <c r="AK103" s="3" t="n">
        <f aca="false">16+17/60</f>
        <v>16.2833333333333</v>
      </c>
      <c r="AL103" s="3" t="n">
        <f aca="false">16+48/60</f>
        <v>16.8</v>
      </c>
      <c r="AM103" s="3" t="n">
        <f aca="false">16+9.3/60</f>
        <v>16.155</v>
      </c>
      <c r="AN103" s="3" t="n">
        <f aca="false">60/3.8</f>
        <v>15.7894736842105</v>
      </c>
      <c r="AU103" s="4" t="n">
        <f aca="false">60*V103-SUM(AV103:AZ103)</f>
        <v>113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43983.2694444444</v>
      </c>
      <c r="C104" s="0" t="n">
        <v>1</v>
      </c>
      <c r="F104" s="0" t="s">
        <v>84</v>
      </c>
      <c r="G104" s="2" t="n">
        <v>73</v>
      </c>
      <c r="H104" s="2" t="n">
        <v>75</v>
      </c>
      <c r="I104" s="2" t="n">
        <v>62</v>
      </c>
      <c r="J104" s="2" t="s">
        <v>99</v>
      </c>
      <c r="K104" s="0" t="n">
        <v>6</v>
      </c>
      <c r="L104" s="2" t="n">
        <v>0</v>
      </c>
      <c r="M104" s="0" t="s">
        <v>94</v>
      </c>
      <c r="N104" s="0" t="n">
        <v>0</v>
      </c>
      <c r="O104" s="0" t="s">
        <v>66</v>
      </c>
      <c r="Q104" s="0" t="s">
        <v>104</v>
      </c>
      <c r="R104" s="3" t="n">
        <v>6.71</v>
      </c>
      <c r="T104" s="2" t="n">
        <v>15412</v>
      </c>
      <c r="V104" s="3" t="n">
        <f aca="false">(60+59)/60</f>
        <v>1.98333333333333</v>
      </c>
      <c r="W104" s="3" t="n">
        <f aca="false">127/60</f>
        <v>2.11666666666667</v>
      </c>
      <c r="X104" s="3" t="n">
        <f aca="false">W104-V104</f>
        <v>0.133333333333333</v>
      </c>
      <c r="Y104" s="3" t="n">
        <f aca="false">R104/V104</f>
        <v>3.38319327731092</v>
      </c>
      <c r="Z104" s="0" t="n">
        <v>1</v>
      </c>
      <c r="AA104" s="3" t="n">
        <f aca="false">R104/Z104</f>
        <v>6.71</v>
      </c>
      <c r="AB104" s="3" t="n">
        <f aca="false">17.67</f>
        <v>17.67</v>
      </c>
      <c r="AC104" s="2" t="n">
        <v>282</v>
      </c>
      <c r="AD104" s="2" t="n">
        <v>799</v>
      </c>
      <c r="AE104" s="2" t="n">
        <v>82</v>
      </c>
      <c r="AF104" s="2" t="n">
        <v>126</v>
      </c>
      <c r="AG104" s="3" t="n">
        <f aca="false">17+5.1/60</f>
        <v>17.085</v>
      </c>
      <c r="AH104" s="3" t="n">
        <f aca="false">16+27.3/60</f>
        <v>16.455</v>
      </c>
      <c r="AI104" s="3" t="n">
        <f aca="false">17+32/60</f>
        <v>17.5333333333333</v>
      </c>
      <c r="AJ104" s="3" t="n">
        <f aca="false">17+45.1/60</f>
        <v>17.7516666666667</v>
      </c>
      <c r="AK104" s="3" t="n">
        <f aca="false">18+1/60</f>
        <v>18.0166666666667</v>
      </c>
      <c r="AL104" s="3" t="n">
        <f aca="false">18+21/60</f>
        <v>18.35</v>
      </c>
      <c r="AM104" s="3" t="n">
        <f aca="false">60/3.4</f>
        <v>17.6470588235294</v>
      </c>
      <c r="AR104" s="0" t="n">
        <v>1</v>
      </c>
      <c r="AS104" s="0" t="n">
        <v>3</v>
      </c>
      <c r="AU104" s="4" t="n">
        <f aca="false">60*V104-SUM(AV104:AZ104)</f>
        <v>56.9833333333333</v>
      </c>
      <c r="AV104" s="3" t="n">
        <f aca="false">27.25</f>
        <v>27.25</v>
      </c>
      <c r="AW104" s="3" t="n">
        <f aca="false">13+43/60</f>
        <v>13.7166666666667</v>
      </c>
      <c r="AX104" s="3" t="n">
        <f aca="false">14+50/60</f>
        <v>14.8333333333333</v>
      </c>
      <c r="AY104" s="3" t="n">
        <f aca="false">6+13/60</f>
        <v>6.21666666666667</v>
      </c>
      <c r="AZ104" s="3" t="n">
        <v>0</v>
      </c>
      <c r="BA104" s="0" t="s">
        <v>59</v>
      </c>
      <c r="BB104" s="0" t="s">
        <v>60</v>
      </c>
      <c r="BC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43984.4576388889</v>
      </c>
      <c r="C105" s="0" t="n">
        <v>1</v>
      </c>
      <c r="F105" s="6" t="s">
        <v>107</v>
      </c>
      <c r="G105" s="2" t="n">
        <v>84</v>
      </c>
      <c r="H105" s="2" t="n">
        <v>70</v>
      </c>
      <c r="I105" s="2" t="n">
        <v>65</v>
      </c>
      <c r="J105" s="2" t="s">
        <v>95</v>
      </c>
      <c r="K105" s="2" t="n">
        <v>12</v>
      </c>
      <c r="L105" s="2" t="n">
        <v>0</v>
      </c>
      <c r="M105" s="0" t="s">
        <v>73</v>
      </c>
      <c r="N105" s="0" t="n">
        <v>0</v>
      </c>
      <c r="O105" s="0" t="s">
        <v>66</v>
      </c>
      <c r="Q105" s="0" t="s">
        <v>98</v>
      </c>
      <c r="R105" s="3" t="n">
        <v>7.04</v>
      </c>
      <c r="S105" s="2" t="n">
        <v>1392</v>
      </c>
      <c r="T105" s="2" t="n">
        <v>16929</v>
      </c>
      <c r="U105" s="2" t="n">
        <f aca="false">T105-S105</f>
        <v>15537</v>
      </c>
      <c r="V105" s="3" t="n">
        <f aca="false">(60+59)/60</f>
        <v>1.98333333333333</v>
      </c>
      <c r="W105" s="3" t="n">
        <f aca="false">(120+26)/60</f>
        <v>2.43333333333333</v>
      </c>
      <c r="X105" s="3" t="n">
        <f aca="false">W105-V105</f>
        <v>0.45</v>
      </c>
      <c r="Y105" s="3" t="n">
        <f aca="false">R105/V105</f>
        <v>3.54957983193277</v>
      </c>
      <c r="Z105" s="0" t="n">
        <v>1</v>
      </c>
      <c r="AA105" s="3" t="n">
        <f aca="false">R105/Z105</f>
        <v>7.04</v>
      </c>
      <c r="AB105" s="3" t="n">
        <f aca="false">16+53/60</f>
        <v>16.8833333333333</v>
      </c>
      <c r="AC105" s="2" t="n">
        <v>840</v>
      </c>
      <c r="AD105" s="2" t="n">
        <v>1174</v>
      </c>
      <c r="AE105" s="2" t="n">
        <v>118</v>
      </c>
      <c r="AF105" s="2" t="n">
        <v>154</v>
      </c>
      <c r="AG105" s="3" t="n">
        <f aca="false">15+43/60</f>
        <v>15.7166666666667</v>
      </c>
      <c r="AH105" s="3" t="n">
        <f aca="false">15+47/60</f>
        <v>15.7833333333333</v>
      </c>
      <c r="AI105" s="3" t="n">
        <f aca="false">17+4/60</f>
        <v>17.0666666666667</v>
      </c>
      <c r="AJ105" s="3" t="n">
        <f aca="false">17+17/60</f>
        <v>17.2833333333333</v>
      </c>
      <c r="AK105" s="3" t="n">
        <f aca="false">17+44/60</f>
        <v>17.7333333333333</v>
      </c>
      <c r="AL105" s="3" t="n">
        <f aca="false">17+38/60</f>
        <v>17.6333333333333</v>
      </c>
      <c r="AM105" s="3" t="n">
        <f aca="false">16+51/60</f>
        <v>16.85</v>
      </c>
      <c r="AN105" s="3" t="n">
        <f aca="false">60/3.6</f>
        <v>16.6666666666667</v>
      </c>
      <c r="AR105" s="0" t="n">
        <v>4</v>
      </c>
      <c r="AS105" s="0" t="n">
        <v>0</v>
      </c>
      <c r="AU105" s="4" t="n">
        <f aca="false">60*V105-SUM(AV105:AZ105)</f>
        <v>0.25</v>
      </c>
      <c r="AV105" s="3" t="n">
        <f aca="false">3+28/60</f>
        <v>3.46666666666667</v>
      </c>
      <c r="AW105" s="3" t="n">
        <f aca="false">36+3/60</f>
        <v>36.05</v>
      </c>
      <c r="AX105" s="3" t="n">
        <f aca="false">25+52/60</f>
        <v>25.8666666666667</v>
      </c>
      <c r="AY105" s="3" t="n">
        <f aca="false">15+28/60</f>
        <v>15.4666666666667</v>
      </c>
      <c r="AZ105" s="3" t="n">
        <f aca="false">37+54/60</f>
        <v>37.9</v>
      </c>
      <c r="BA105" s="0" t="s">
        <v>59</v>
      </c>
      <c r="BB105" s="0" t="s">
        <v>60</v>
      </c>
      <c r="BC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43985.6159722222</v>
      </c>
      <c r="C106" s="0" t="n">
        <v>1</v>
      </c>
      <c r="F106" s="0" t="s">
        <v>61</v>
      </c>
      <c r="G106" s="2" t="n">
        <v>91</v>
      </c>
      <c r="H106" s="2" t="n">
        <v>64</v>
      </c>
      <c r="I106" s="2" t="n">
        <v>41</v>
      </c>
      <c r="J106" s="2" t="s">
        <v>95</v>
      </c>
      <c r="K106" s="2" t="n">
        <v>10</v>
      </c>
      <c r="L106" s="2" t="n">
        <v>0</v>
      </c>
      <c r="M106" s="0" t="s">
        <v>94</v>
      </c>
      <c r="N106" s="0" t="n">
        <v>0</v>
      </c>
      <c r="O106" s="0" t="s">
        <v>57</v>
      </c>
      <c r="Q106" s="0" t="s">
        <v>58</v>
      </c>
      <c r="R106" s="3" t="n">
        <v>4.62</v>
      </c>
      <c r="V106" s="3" t="n">
        <f aca="false">102/60</f>
        <v>1.7</v>
      </c>
      <c r="W106" s="3" t="n">
        <f aca="false">102/60</f>
        <v>1.7</v>
      </c>
      <c r="X106" s="3" t="n">
        <f aca="false">W106-V106</f>
        <v>0</v>
      </c>
      <c r="Y106" s="3" t="n">
        <f aca="false">R106/V106</f>
        <v>2.71764705882353</v>
      </c>
      <c r="Z106" s="0" t="n">
        <v>2</v>
      </c>
      <c r="AA106" s="3" t="n">
        <f aca="false">R106/Z106</f>
        <v>2.31</v>
      </c>
      <c r="AB106" s="3" t="n">
        <f aca="false">22+1/60</f>
        <v>22.0166666666667</v>
      </c>
      <c r="AC106" s="2" t="n">
        <v>253</v>
      </c>
      <c r="AD106" s="2" t="n">
        <v>1044</v>
      </c>
      <c r="AE106" s="2" t="n">
        <v>118</v>
      </c>
      <c r="AF106" s="2" t="n">
        <v>134</v>
      </c>
      <c r="AG106" s="3" t="n">
        <f aca="false">22+49/60</f>
        <v>22.8166666666667</v>
      </c>
      <c r="AH106" s="3" t="n">
        <f aca="false">22+34/60</f>
        <v>22.5666666666667</v>
      </c>
      <c r="AI106" s="3" t="n">
        <f aca="false">22+29.7/60</f>
        <v>22.495</v>
      </c>
      <c r="AJ106" s="3" t="n">
        <f aca="false">21+10.3/60</f>
        <v>21.1716666666667</v>
      </c>
      <c r="AK106" s="3" t="n">
        <f aca="false">60/2.9</f>
        <v>20.6896551724138</v>
      </c>
      <c r="AR106" s="0" t="n">
        <v>0</v>
      </c>
      <c r="AS106" s="0" t="n">
        <v>0</v>
      </c>
      <c r="AU106" s="4" t="n">
        <f aca="false">60*V106-SUM(AV106:AZ106)</f>
        <v>0.449999999999989</v>
      </c>
      <c r="AV106" s="3" t="n">
        <v>3.25</v>
      </c>
      <c r="AW106" s="3" t="n">
        <f aca="false">19+33/60</f>
        <v>19.55</v>
      </c>
      <c r="AX106" s="3" t="n">
        <f aca="false">6+2/60</f>
        <v>6.03333333333333</v>
      </c>
      <c r="AY106" s="3" t="n">
        <f aca="false">70+13/60</f>
        <v>70.2166666666667</v>
      </c>
      <c r="AZ106" s="3" t="n">
        <f aca="false">2.5</f>
        <v>2.5</v>
      </c>
      <c r="BA106" s="0" t="s">
        <v>59</v>
      </c>
      <c r="BB106" s="0" t="s">
        <v>60</v>
      </c>
      <c r="BC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43986.4125</v>
      </c>
      <c r="C107" s="0" t="n">
        <v>1</v>
      </c>
      <c r="F107" s="0" t="s">
        <v>61</v>
      </c>
      <c r="G107" s="2" t="n">
        <v>86</v>
      </c>
      <c r="H107" s="2" t="n">
        <v>74</v>
      </c>
      <c r="I107" s="2" t="n">
        <v>66</v>
      </c>
      <c r="J107" s="2" t="s">
        <v>101</v>
      </c>
      <c r="K107" s="2" t="n">
        <v>10</v>
      </c>
      <c r="L107" s="2" t="n">
        <v>0</v>
      </c>
      <c r="M107" s="0" t="s">
        <v>94</v>
      </c>
      <c r="N107" s="0" t="n">
        <v>0</v>
      </c>
      <c r="O107" s="0" t="s">
        <v>66</v>
      </c>
      <c r="Q107" s="0" t="s">
        <v>58</v>
      </c>
      <c r="R107" s="3" t="n">
        <v>4.06</v>
      </c>
      <c r="S107" s="2" t="n">
        <v>1196</v>
      </c>
      <c r="T107" s="2" t="n">
        <v>12451</v>
      </c>
      <c r="U107" s="2" t="n">
        <f aca="false">T107-S107</f>
        <v>11255</v>
      </c>
      <c r="V107" s="3" t="n">
        <f aca="false">91/60</f>
        <v>1.51666666666667</v>
      </c>
      <c r="W107" s="3" t="n">
        <f aca="false">97/60</f>
        <v>1.61666666666667</v>
      </c>
      <c r="X107" s="3" t="n">
        <f aca="false">W107-V107</f>
        <v>0.1</v>
      </c>
      <c r="Y107" s="3" t="n">
        <f aca="false">R107/V107</f>
        <v>2.67692307692308</v>
      </c>
      <c r="Z107" s="0" t="n">
        <v>2</v>
      </c>
      <c r="AA107" s="3" t="n">
        <f aca="false">R107/Z107</f>
        <v>2.03</v>
      </c>
      <c r="AB107" s="3" t="n">
        <f aca="false">22+19/60</f>
        <v>22.3166666666667</v>
      </c>
      <c r="AC107" s="2" t="n">
        <v>62</v>
      </c>
      <c r="AD107" s="2" t="n">
        <v>824</v>
      </c>
      <c r="AE107" s="2" t="n">
        <v>112</v>
      </c>
      <c r="AF107" s="2" t="n">
        <v>128</v>
      </c>
      <c r="AG107" s="3" t="n">
        <f aca="false">20+42/60</f>
        <v>20.7</v>
      </c>
      <c r="AH107" s="3" t="n">
        <f aca="false">23+10/60</f>
        <v>23.1666666666667</v>
      </c>
      <c r="AI107" s="3" t="n">
        <f aca="false">23+37/60</f>
        <v>23.6166666666667</v>
      </c>
      <c r="AJ107" s="3" t="n">
        <f aca="false">21+49/60</f>
        <v>21.8166666666667</v>
      </c>
      <c r="AK107" s="3" t="n">
        <f aca="false">60/2.7</f>
        <v>22.2222222222222</v>
      </c>
      <c r="AR107" s="0" t="n">
        <v>1</v>
      </c>
      <c r="AS107" s="0" t="n">
        <v>0</v>
      </c>
      <c r="AU107" s="4" t="n">
        <f aca="false">60*V107-SUM(AV107:AZ107)</f>
        <v>0.849999999999994</v>
      </c>
      <c r="AV107" s="3" t="n">
        <f aca="false">5+38/60</f>
        <v>5.63333333333333</v>
      </c>
      <c r="AW107" s="3" t="n">
        <f aca="false">10+45/60</f>
        <v>10.75</v>
      </c>
      <c r="AX107" s="3" t="n">
        <f aca="false">53+46/60</f>
        <v>53.7666666666667</v>
      </c>
      <c r="AY107" s="3" t="n">
        <f aca="false">20</f>
        <v>20</v>
      </c>
      <c r="AZ107" s="3" t="n">
        <v>0</v>
      </c>
      <c r="BA107" s="0" t="s">
        <v>59</v>
      </c>
      <c r="BB107" s="0" t="s">
        <v>60</v>
      </c>
      <c r="BC107" s="0" t="n">
        <v>0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43987.5</v>
      </c>
      <c r="C108" s="0" t="n">
        <v>0</v>
      </c>
      <c r="D108" s="0" t="s">
        <v>112</v>
      </c>
      <c r="F108" s="6" t="s">
        <v>107</v>
      </c>
      <c r="G108" s="2" t="n">
        <v>93</v>
      </c>
      <c r="H108" s="2" t="n">
        <v>74</v>
      </c>
      <c r="I108" s="2" t="n">
        <v>54</v>
      </c>
      <c r="J108" s="2" t="s">
        <v>95</v>
      </c>
      <c r="K108" s="2" t="n">
        <v>10</v>
      </c>
      <c r="L108" s="2" t="n">
        <v>0</v>
      </c>
      <c r="M108" s="0" t="s">
        <v>94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43988.4729166667</v>
      </c>
      <c r="C109" s="0" t="n">
        <v>1</v>
      </c>
      <c r="F109" s="0" t="s">
        <v>61</v>
      </c>
      <c r="G109" s="2" t="n">
        <f aca="false">AVERAGE(90,91)</f>
        <v>90.5</v>
      </c>
      <c r="H109" s="2" t="n">
        <v>70</v>
      </c>
      <c r="I109" s="2" t="n">
        <f aca="false">AVERAGE(50,48)</f>
        <v>49</v>
      </c>
      <c r="J109" s="6" t="s">
        <v>113</v>
      </c>
      <c r="K109" s="2" t="n">
        <v>7</v>
      </c>
      <c r="L109" s="2" t="n">
        <v>0</v>
      </c>
      <c r="M109" s="0" t="s">
        <v>94</v>
      </c>
      <c r="N109" s="0" t="n">
        <v>0</v>
      </c>
      <c r="O109" s="0" t="s">
        <v>66</v>
      </c>
      <c r="Q109" s="0" t="s">
        <v>58</v>
      </c>
      <c r="R109" s="3" t="n">
        <v>5.87</v>
      </c>
      <c r="V109" s="3" t="n">
        <f aca="false">123/60</f>
        <v>2.05</v>
      </c>
      <c r="W109" s="3" t="n">
        <f aca="false">124/60</f>
        <v>2.06666666666667</v>
      </c>
      <c r="X109" s="3" t="n">
        <f aca="false">W109-V109</f>
        <v>0.0166666666666671</v>
      </c>
      <c r="Y109" s="3" t="n">
        <f aca="false">R109/V109</f>
        <v>2.86341463414634</v>
      </c>
      <c r="Z109" s="0" t="n">
        <v>2</v>
      </c>
      <c r="AA109" s="3" t="n">
        <f aca="false">R109/Z109</f>
        <v>2.935</v>
      </c>
      <c r="AB109" s="3" t="n">
        <f aca="false">20+53/60</f>
        <v>20.8833333333333</v>
      </c>
      <c r="AC109" s="2" t="n">
        <v>302</v>
      </c>
      <c r="AD109" s="2" t="n">
        <v>1491</v>
      </c>
      <c r="AE109" s="2" t="n">
        <v>130</v>
      </c>
      <c r="AF109" s="2" t="n">
        <v>150</v>
      </c>
      <c r="AG109" s="3" t="n">
        <f aca="false">18+29/60</f>
        <v>18.4833333333333</v>
      </c>
      <c r="AH109" s="3" t="n">
        <f aca="false">22+8/60</f>
        <v>22.1333333333333</v>
      </c>
      <c r="AI109" s="3" t="n">
        <f aca="false">22+17/60</f>
        <v>22.2833333333333</v>
      </c>
      <c r="AJ109" s="3" t="n">
        <f aca="false">19+3/50</f>
        <v>19.06</v>
      </c>
      <c r="AK109" s="3" t="n">
        <f aca="false">20+59/60</f>
        <v>20.9833333333333</v>
      </c>
      <c r="AL109" s="3" t="n">
        <f aca="false">60/2.6</f>
        <v>23.0769230769231</v>
      </c>
      <c r="AR109" s="0" t="n">
        <v>0</v>
      </c>
      <c r="AS109" s="0" t="n">
        <v>0</v>
      </c>
      <c r="AU109" s="4" t="n">
        <f aca="false">60*V109-SUM(AV109:AZ109)</f>
        <v>0.299999999999983</v>
      </c>
      <c r="AV109" s="3" t="n">
        <v>0</v>
      </c>
      <c r="AW109" s="3" t="n">
        <f aca="false">25/60</f>
        <v>0.416666666666667</v>
      </c>
      <c r="AX109" s="3" t="n">
        <f aca="false">5+33/60</f>
        <v>5.55</v>
      </c>
      <c r="AY109" s="3" t="n">
        <f aca="false">81+3/60</f>
        <v>81.05</v>
      </c>
      <c r="AZ109" s="3" t="n">
        <f aca="false">35+41/60</f>
        <v>35.6833333333333</v>
      </c>
      <c r="BA109" s="0" t="s">
        <v>59</v>
      </c>
      <c r="BB109" s="0" t="s">
        <v>60</v>
      </c>
      <c r="BC109" s="0" t="n">
        <v>0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43989.5145833333</v>
      </c>
      <c r="C110" s="0" t="n">
        <v>0</v>
      </c>
      <c r="D110" s="0" t="s">
        <v>70</v>
      </c>
      <c r="F110" s="6" t="s">
        <v>107</v>
      </c>
      <c r="G110" s="2" t="n">
        <v>91</v>
      </c>
      <c r="H110" s="2" t="n">
        <v>69</v>
      </c>
      <c r="I110" s="2" t="n">
        <v>48</v>
      </c>
      <c r="J110" s="6" t="s">
        <v>114</v>
      </c>
      <c r="K110" s="2" t="n">
        <v>0</v>
      </c>
      <c r="L110" s="2" t="n">
        <v>0</v>
      </c>
      <c r="M110" s="0" t="s">
        <v>94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43990.56875</v>
      </c>
      <c r="C111" s="0" t="n">
        <v>1</v>
      </c>
      <c r="F111" s="0" t="s">
        <v>61</v>
      </c>
      <c r="G111" s="2" t="n">
        <v>94</v>
      </c>
      <c r="H111" s="2" t="n">
        <v>71</v>
      </c>
      <c r="I111" s="2" t="n">
        <v>47</v>
      </c>
      <c r="J111" s="6" t="s">
        <v>115</v>
      </c>
      <c r="K111" s="2" t="n">
        <v>5</v>
      </c>
      <c r="L111" s="2" t="n">
        <v>0</v>
      </c>
      <c r="M111" s="0" t="s">
        <v>94</v>
      </c>
      <c r="N111" s="0" t="n">
        <v>0</v>
      </c>
      <c r="O111" s="0" t="s">
        <v>66</v>
      </c>
      <c r="Q111" s="0" t="s">
        <v>58</v>
      </c>
      <c r="R111" s="3" t="n">
        <v>5.78</v>
      </c>
      <c r="S111" s="2" t="n">
        <v>1718</v>
      </c>
      <c r="T111" s="2" t="n">
        <v>17665</v>
      </c>
      <c r="U111" s="2" t="n">
        <f aca="false">T111-S111</f>
        <v>15947</v>
      </c>
      <c r="V111" s="3" t="n">
        <f aca="false">126/60</f>
        <v>2.1</v>
      </c>
      <c r="W111" s="3" t="n">
        <f aca="false">128/60</f>
        <v>2.13333333333333</v>
      </c>
      <c r="X111" s="3" t="n">
        <f aca="false">W111-V111</f>
        <v>0.0333333333333332</v>
      </c>
      <c r="Y111" s="3" t="n">
        <f aca="false">R111/V111</f>
        <v>2.75238095238095</v>
      </c>
      <c r="Z111" s="0" t="n">
        <v>2</v>
      </c>
      <c r="AA111" s="3" t="n">
        <f aca="false">R111/Z111</f>
        <v>2.89</v>
      </c>
      <c r="AB111" s="3" t="n">
        <f aca="false">21+49/60</f>
        <v>21.8166666666667</v>
      </c>
      <c r="AC111" s="2" t="n">
        <v>177</v>
      </c>
      <c r="AD111" s="2" t="n">
        <v>1313</v>
      </c>
      <c r="AE111" s="2" t="n">
        <v>122</v>
      </c>
      <c r="AF111" s="2" t="n">
        <v>151</v>
      </c>
      <c r="AG111" s="3" t="n">
        <f aca="false">18+28/60</f>
        <v>18.4666666666667</v>
      </c>
      <c r="AH111" s="3" t="n">
        <f aca="false">22+8/60</f>
        <v>22.1333333333333</v>
      </c>
      <c r="AI111" s="3" t="n">
        <f aca="false">23+53/60</f>
        <v>23.8833333333333</v>
      </c>
      <c r="AJ111" s="3" t="n">
        <f aca="false">21+19/60</f>
        <v>21.3166666666667</v>
      </c>
      <c r="AK111" s="3" t="n">
        <f aca="false">21+8/60</f>
        <v>21.1333333333333</v>
      </c>
      <c r="AL111" s="3" t="n">
        <f aca="false">60/2.7</f>
        <v>22.2222222222222</v>
      </c>
      <c r="AR111" s="0" t="n">
        <v>1</v>
      </c>
      <c r="AS111" s="0" t="n">
        <v>1</v>
      </c>
      <c r="AU111" s="4" t="n">
        <f aca="false">60*V111-SUM(AV111:AZ111)</f>
        <v>0.11666666666666</v>
      </c>
      <c r="AV111" s="3" t="n">
        <f aca="false">4+27/60</f>
        <v>4.45</v>
      </c>
      <c r="AW111" s="3" t="n">
        <f aca="false">20+54/60</f>
        <v>20.9</v>
      </c>
      <c r="AX111" s="3" t="n">
        <f aca="false">9+35/60</f>
        <v>9.58333333333333</v>
      </c>
      <c r="AY111" s="3" t="n">
        <f aca="false">67+12/60</f>
        <v>67.2</v>
      </c>
      <c r="AZ111" s="3" t="n">
        <f aca="false">23+45/60</f>
        <v>23.75</v>
      </c>
      <c r="BA111" s="0" t="s">
        <v>59</v>
      </c>
      <c r="BB111" s="0" t="s">
        <v>60</v>
      </c>
      <c r="BC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43991.4229166667</v>
      </c>
      <c r="C112" s="0" t="n">
        <v>1</v>
      </c>
      <c r="F112" s="0" t="s">
        <v>61</v>
      </c>
      <c r="G112" s="2" t="n">
        <v>93</v>
      </c>
      <c r="H112" s="2" t="n">
        <v>67</v>
      </c>
      <c r="I112" s="2" t="n">
        <v>42</v>
      </c>
      <c r="J112" s="6" t="s">
        <v>72</v>
      </c>
      <c r="K112" s="2" t="n">
        <v>24</v>
      </c>
      <c r="L112" s="2" t="n">
        <v>35</v>
      </c>
      <c r="M112" s="0" t="s">
        <v>94</v>
      </c>
      <c r="N112" s="0" t="n">
        <v>0</v>
      </c>
      <c r="O112" s="0" t="s">
        <v>66</v>
      </c>
      <c r="Q112" s="0" t="s">
        <v>58</v>
      </c>
      <c r="R112" s="3" t="n">
        <v>2.97</v>
      </c>
      <c r="V112" s="3" t="n">
        <f aca="false">64/60</f>
        <v>1.06666666666667</v>
      </c>
      <c r="W112" s="3" t="n">
        <f aca="false">V112</f>
        <v>1.06666666666667</v>
      </c>
      <c r="X112" s="3" t="n">
        <f aca="false">W112-V112</f>
        <v>0</v>
      </c>
      <c r="Y112" s="3" t="n">
        <f aca="false">R112/V112</f>
        <v>2.784375</v>
      </c>
      <c r="Z112" s="0" t="n">
        <v>1</v>
      </c>
      <c r="AA112" s="3" t="n">
        <f aca="false">R112/Z112</f>
        <v>2.97</v>
      </c>
      <c r="AB112" s="3" t="n">
        <f aca="false">21+31/60</f>
        <v>21.5166666666667</v>
      </c>
      <c r="AC112" s="2" t="n">
        <v>210</v>
      </c>
      <c r="AD112" s="2" t="n">
        <v>649</v>
      </c>
      <c r="AE112" s="2" t="n">
        <v>119</v>
      </c>
      <c r="AF112" s="2" t="n">
        <v>137</v>
      </c>
      <c r="AG112" s="3" t="n">
        <f aca="false">20+46/60</f>
        <v>20.7666666666667</v>
      </c>
      <c r="AH112" s="3" t="n">
        <f aca="false">20+15/60</f>
        <v>20.25</v>
      </c>
      <c r="AI112" s="3" t="n">
        <f aca="false">60/2.8</f>
        <v>21.4285714285714</v>
      </c>
      <c r="AR112" s="0" t="n">
        <v>0</v>
      </c>
      <c r="AS112" s="0" t="n">
        <v>0</v>
      </c>
      <c r="AU112" s="4" t="n">
        <f aca="false">60*V112-SUM(AV112:AZ112)</f>
        <v>0.0666666666666629</v>
      </c>
      <c r="AV112" s="3" t="n">
        <f aca="false">19/60</f>
        <v>0.316666666666667</v>
      </c>
      <c r="AW112" s="3" t="n">
        <f aca="false">9+11/60</f>
        <v>9.18333333333333</v>
      </c>
      <c r="AX112" s="3" t="n">
        <f aca="false">14+1/60</f>
        <v>14.0166666666667</v>
      </c>
      <c r="AY112" s="3" t="n">
        <f aca="false">39+44/60</f>
        <v>39.7333333333333</v>
      </c>
      <c r="AZ112" s="3" t="n">
        <f aca="false">41/60</f>
        <v>0.683333333333333</v>
      </c>
      <c r="BA112" s="0" t="s">
        <v>59</v>
      </c>
      <c r="BB112" s="0" t="s">
        <v>60</v>
      </c>
      <c r="BC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43991.475</v>
      </c>
      <c r="C113" s="0" t="n">
        <v>1</v>
      </c>
      <c r="F113" s="0" t="s">
        <v>61</v>
      </c>
      <c r="G113" s="2" t="n">
        <v>97</v>
      </c>
      <c r="H113" s="2" t="n">
        <f aca="false">(56+44)/2</f>
        <v>50</v>
      </c>
      <c r="I113" s="2" t="n">
        <v>26</v>
      </c>
      <c r="J113" s="6" t="s">
        <v>75</v>
      </c>
      <c r="K113" s="2" t="n">
        <v>16</v>
      </c>
      <c r="L113" s="2" t="n">
        <v>27</v>
      </c>
      <c r="M113" s="0" t="s">
        <v>94</v>
      </c>
      <c r="N113" s="0" t="n">
        <v>0</v>
      </c>
      <c r="O113" s="0" t="s">
        <v>66</v>
      </c>
      <c r="Q113" s="0" t="s">
        <v>116</v>
      </c>
      <c r="R113" s="3" t="n">
        <v>1.25</v>
      </c>
      <c r="V113" s="3" t="n">
        <f aca="false">31/60</f>
        <v>0.516666666666667</v>
      </c>
      <c r="W113" s="3" t="n">
        <f aca="false">32/60</f>
        <v>0.533333333333333</v>
      </c>
      <c r="X113" s="3" t="n">
        <f aca="false">W113-V113</f>
        <v>0.0166666666666666</v>
      </c>
      <c r="Y113" s="3" t="n">
        <f aca="false">R113/V113</f>
        <v>2.41935483870968</v>
      </c>
      <c r="Z113" s="0" t="n">
        <v>1</v>
      </c>
      <c r="AA113" s="3" t="n">
        <f aca="false">R113/Z113</f>
        <v>1.25</v>
      </c>
      <c r="AB113" s="3" t="n">
        <f aca="false">24+54/60</f>
        <v>24.9</v>
      </c>
      <c r="AC113" s="2" t="n">
        <v>16</v>
      </c>
      <c r="AD113" s="2" t="n">
        <v>279</v>
      </c>
      <c r="AE113" s="2" t="n">
        <v>108</v>
      </c>
      <c r="AF113" s="2" t="n">
        <v>120</v>
      </c>
      <c r="AG113" s="3" t="n">
        <f aca="false">24+17/60</f>
        <v>24.2833333333333</v>
      </c>
      <c r="AH113" s="3" t="n">
        <f aca="false">60/2.4</f>
        <v>25</v>
      </c>
      <c r="AR113" s="0" t="n">
        <v>0</v>
      </c>
      <c r="AS113" s="0" t="n">
        <v>0</v>
      </c>
      <c r="AU113" s="4" t="n">
        <v>0</v>
      </c>
      <c r="AV113" s="3" t="n">
        <v>0</v>
      </c>
      <c r="AW113" s="3" t="n">
        <f aca="false">9+20/60</f>
        <v>9.33333333333333</v>
      </c>
      <c r="AX113" s="3" t="n">
        <f aca="false">21+23/60</f>
        <v>21.3833333333333</v>
      </c>
      <c r="AY113" s="3" t="n">
        <v>0.333333333333333</v>
      </c>
      <c r="AZ113" s="3" t="n">
        <v>0</v>
      </c>
      <c r="BA113" s="0" t="s">
        <v>59</v>
      </c>
      <c r="BB113" s="0" t="s">
        <v>60</v>
      </c>
      <c r="BC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43992.5333333333</v>
      </c>
      <c r="C114" s="0" t="n">
        <v>1</v>
      </c>
      <c r="F114" s="0" t="s">
        <v>61</v>
      </c>
      <c r="G114" s="2" t="n">
        <v>76</v>
      </c>
      <c r="H114" s="2" t="n">
        <v>43</v>
      </c>
      <c r="I114" s="2" t="n">
        <v>23</v>
      </c>
      <c r="J114" s="2" t="s">
        <v>117</v>
      </c>
      <c r="K114" s="2" t="n">
        <v>12</v>
      </c>
      <c r="L114" s="2" t="n">
        <v>25</v>
      </c>
      <c r="M114" s="0" t="s">
        <v>73</v>
      </c>
      <c r="N114" s="0" t="n">
        <v>0</v>
      </c>
      <c r="O114" s="0" t="s">
        <v>57</v>
      </c>
      <c r="Q114" s="0" t="s">
        <v>65</v>
      </c>
      <c r="R114" s="3" t="n">
        <v>7.53</v>
      </c>
      <c r="S114" s="2" t="n">
        <v>1541</v>
      </c>
      <c r="T114" s="2" t="n">
        <v>17850</v>
      </c>
      <c r="U114" s="2" t="n">
        <f aca="false">T114-S114</f>
        <v>16309</v>
      </c>
      <c r="V114" s="3" t="n">
        <f aca="false">119/60</f>
        <v>1.98333333333333</v>
      </c>
      <c r="W114" s="3" t="n">
        <v>2.28333333333333</v>
      </c>
      <c r="X114" s="3" t="n">
        <f aca="false">W114-V114</f>
        <v>0.299999999999997</v>
      </c>
      <c r="Y114" s="3" t="n">
        <f aca="false">R114/V114</f>
        <v>3.79663865546218</v>
      </c>
      <c r="Z114" s="0" t="n">
        <v>1</v>
      </c>
      <c r="AA114" s="3" t="n">
        <f aca="false">R114/Z114</f>
        <v>7.53</v>
      </c>
      <c r="AB114" s="3" t="n">
        <f aca="false">15+49/60</f>
        <v>15.8166666666667</v>
      </c>
      <c r="AC114" s="2" t="n">
        <v>151</v>
      </c>
      <c r="AD114" s="2" t="n">
        <v>1211</v>
      </c>
      <c r="AE114" s="2" t="n">
        <v>122</v>
      </c>
      <c r="AF114" s="2" t="n">
        <v>151</v>
      </c>
      <c r="AG114" s="3" t="n">
        <f aca="false">15+17/60</f>
        <v>15.2833333333333</v>
      </c>
      <c r="AH114" s="3" t="n">
        <f aca="false">15+2/60</f>
        <v>15.0333333333333</v>
      </c>
      <c r="AI114" s="3" t="n">
        <f aca="false">15+10/60</f>
        <v>15.1666666666667</v>
      </c>
      <c r="AJ114" s="3" t="n">
        <f aca="false">15+49/60</f>
        <v>15.8166666666667</v>
      </c>
      <c r="AK114" s="3" t="n">
        <f aca="false">16+56/60</f>
        <v>16.9333333333333</v>
      </c>
      <c r="AL114" s="3" t="n">
        <f aca="false">16+42/60</f>
        <v>16.7</v>
      </c>
      <c r="AM114" s="3" t="n">
        <f aca="false">16+42/60</f>
        <v>16.7</v>
      </c>
      <c r="AN114" s="3" t="n">
        <f aca="false">60/3.7</f>
        <v>16.2162162162162</v>
      </c>
      <c r="AR114" s="0" t="n">
        <v>5</v>
      </c>
      <c r="AS114" s="0" t="n">
        <v>1</v>
      </c>
      <c r="AU114" s="4" t="n">
        <f aca="false">60*V114-SUM(AV114:AZ114)</f>
        <v>83.68</v>
      </c>
      <c r="AV114" s="3" t="n">
        <f aca="false">51/60</f>
        <v>0.85</v>
      </c>
      <c r="AW114" s="3" t="n">
        <f aca="false">(33+3/60)</f>
        <v>33.05</v>
      </c>
      <c r="AX114" s="3" t="n">
        <f aca="false">17/60</f>
        <v>0.283333333333333</v>
      </c>
      <c r="AY114" s="3" t="n">
        <f aca="false">(14+54/60)/60</f>
        <v>0.248333333333333</v>
      </c>
      <c r="AZ114" s="3" t="n">
        <f aca="false">(53+18/60)/60</f>
        <v>0.888333333333333</v>
      </c>
      <c r="BA114" s="0" t="s">
        <v>59</v>
      </c>
      <c r="BB114" s="0" t="s">
        <v>60</v>
      </c>
      <c r="BC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43993.4159722222</v>
      </c>
      <c r="C115" s="0" t="n">
        <v>1</v>
      </c>
      <c r="F115" s="0" t="s">
        <v>61</v>
      </c>
      <c r="G115" s="2" t="n">
        <v>87</v>
      </c>
      <c r="H115" s="2" t="n">
        <f aca="false">AVERAGE(47,48)</f>
        <v>47.5</v>
      </c>
      <c r="I115" s="2" t="n">
        <v>26</v>
      </c>
      <c r="J115" s="2" t="s">
        <v>96</v>
      </c>
      <c r="K115" s="2" t="n">
        <v>7</v>
      </c>
      <c r="L115" s="2" t="n">
        <v>0</v>
      </c>
      <c r="M115" s="0" t="s">
        <v>73</v>
      </c>
      <c r="N115" s="0" t="n">
        <v>0</v>
      </c>
      <c r="O115" s="0" t="s">
        <v>57</v>
      </c>
      <c r="Q115" s="0" t="s">
        <v>98</v>
      </c>
      <c r="R115" s="3" t="n">
        <v>5.23</v>
      </c>
      <c r="S115" s="2" t="n">
        <v>1265</v>
      </c>
      <c r="T115" s="2" t="n">
        <v>12504</v>
      </c>
      <c r="U115" s="2" t="n">
        <f aca="false">T115-S115</f>
        <v>11239</v>
      </c>
      <c r="V115" s="3" t="n">
        <f aca="false">87/60</f>
        <v>1.45</v>
      </c>
      <c r="W115" s="3" t="n">
        <f aca="false">95/60</f>
        <v>1.58333333333333</v>
      </c>
      <c r="X115" s="3" t="n">
        <f aca="false">W115-V115</f>
        <v>0.133333333333333</v>
      </c>
      <c r="Y115" s="3" t="n">
        <f aca="false">R115/V115</f>
        <v>3.60689655172414</v>
      </c>
      <c r="Z115" s="0" t="n">
        <v>1</v>
      </c>
      <c r="AA115" s="3" t="n">
        <f aca="false">R115/Z115</f>
        <v>5.23</v>
      </c>
      <c r="AB115" s="3" t="n">
        <f aca="false">16+34/60</f>
        <v>16.5666666666667</v>
      </c>
      <c r="AC115" s="2" t="n">
        <v>135</v>
      </c>
      <c r="AD115" s="2" t="n">
        <v>745</v>
      </c>
      <c r="AE115" s="2" t="n">
        <v>119</v>
      </c>
      <c r="AF115" s="2" t="n">
        <v>131</v>
      </c>
      <c r="AG115" s="3" t="n">
        <f aca="false">15+45/60</f>
        <v>15.75</v>
      </c>
      <c r="AH115" s="3" t="n">
        <f aca="false">17+9/60</f>
        <v>17.15</v>
      </c>
      <c r="AI115" s="3" t="n">
        <f aca="false">16+56/60</f>
        <v>16.9333333333333</v>
      </c>
      <c r="AJ115" s="3" t="n">
        <f aca="false">16+36/60</f>
        <v>16.6</v>
      </c>
      <c r="AK115" s="3" t="n">
        <f aca="false">16+24/60</f>
        <v>16.4</v>
      </c>
      <c r="AL115" s="3" t="n">
        <f aca="false">60/3.6</f>
        <v>16.6666666666667</v>
      </c>
      <c r="AR115" s="0" t="n">
        <v>0</v>
      </c>
      <c r="AS115" s="0" t="n">
        <v>0</v>
      </c>
      <c r="AU115" s="4" t="n">
        <f aca="false">60*V115-SUM(AV115:AZ115)</f>
        <v>0.38333333333334</v>
      </c>
      <c r="AV115" s="3" t="n">
        <v>0</v>
      </c>
      <c r="AW115" s="3" t="n">
        <f aca="false">7+16/60</f>
        <v>7.26666666666667</v>
      </c>
      <c r="AX115" s="3" t="n">
        <f aca="false">25+43/60</f>
        <v>25.7166666666667</v>
      </c>
      <c r="AY115" s="3" t="n">
        <f aca="false">53+38/60</f>
        <v>53.6333333333333</v>
      </c>
      <c r="AZ115" s="3" t="n">
        <v>0</v>
      </c>
      <c r="BA115" s="0" t="s">
        <v>59</v>
      </c>
      <c r="BB115" s="0" t="s">
        <v>60</v>
      </c>
      <c r="BC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43994.4631944444</v>
      </c>
      <c r="C116" s="0" t="n">
        <v>1</v>
      </c>
      <c r="F116" s="0" t="s">
        <v>61</v>
      </c>
      <c r="G116" s="2" t="n">
        <f aca="false">AVERAGE(74,77)</f>
        <v>75.5</v>
      </c>
      <c r="H116" s="2" t="n">
        <v>60</v>
      </c>
      <c r="I116" s="2" t="n">
        <f aca="false">AVERAGE(59,56)</f>
        <v>57.5</v>
      </c>
      <c r="J116" s="2" t="s">
        <v>95</v>
      </c>
      <c r="K116" s="2" t="n">
        <v>15</v>
      </c>
      <c r="L116" s="2" t="n">
        <v>29</v>
      </c>
      <c r="M116" s="0" t="s">
        <v>73</v>
      </c>
      <c r="N116" s="0" t="n">
        <v>0</v>
      </c>
      <c r="O116" s="0" t="s">
        <v>66</v>
      </c>
      <c r="Q116" s="0" t="s">
        <v>82</v>
      </c>
      <c r="R116" s="3" t="n">
        <v>7.84</v>
      </c>
      <c r="S116" s="2" t="n">
        <v>591</v>
      </c>
      <c r="T116" s="2" t="n">
        <v>18113</v>
      </c>
      <c r="U116" s="2" t="n">
        <f aca="false">T116-S116</f>
        <v>17522</v>
      </c>
      <c r="V116" s="3" t="n">
        <f aca="false">(120+12)/60</f>
        <v>2.2</v>
      </c>
      <c r="W116" s="3" t="n">
        <f aca="false">(120+44)/60</f>
        <v>2.73333333333333</v>
      </c>
      <c r="X116" s="3" t="n">
        <f aca="false">W116-V116</f>
        <v>0.533333333333333</v>
      </c>
      <c r="Y116" s="3" t="n">
        <f aca="false">R116/V116</f>
        <v>3.56363636363636</v>
      </c>
      <c r="Z116" s="0" t="n">
        <v>1</v>
      </c>
      <c r="AA116" s="3" t="n">
        <f aca="false">R116/Z116</f>
        <v>7.84</v>
      </c>
      <c r="AB116" s="3" t="n">
        <f aca="false">16+51/60</f>
        <v>16.85</v>
      </c>
      <c r="AC116" s="2" t="n">
        <v>515</v>
      </c>
      <c r="AD116" s="2" t="n">
        <v>1333</v>
      </c>
      <c r="AE116" s="2" t="n">
        <v>123</v>
      </c>
      <c r="AF116" s="2" t="n">
        <v>151</v>
      </c>
      <c r="AG116" s="3" t="n">
        <f aca="false">15+3/60</f>
        <v>15.05</v>
      </c>
      <c r="AH116" s="3" t="n">
        <f aca="false">14+57/60</f>
        <v>14.95</v>
      </c>
      <c r="AI116" s="3" t="n">
        <f aca="false">15+38/60</f>
        <v>15.6333333333333</v>
      </c>
      <c r="AJ116" s="3" t="n">
        <f aca="false">16+28/60</f>
        <v>16.4666666666667</v>
      </c>
      <c r="AK116" s="3" t="n">
        <f aca="false">18+22/60</f>
        <v>18.3666666666667</v>
      </c>
      <c r="AL116" s="3" t="n">
        <f aca="false">18+54/60</f>
        <v>18.9</v>
      </c>
      <c r="AM116" s="3" t="n">
        <f aca="false">18+13/60</f>
        <v>18.2166666666667</v>
      </c>
      <c r="AN116" s="3" t="n">
        <f aca="false">60/3.6</f>
        <v>16.6666666666667</v>
      </c>
      <c r="AR116" s="0" t="n">
        <v>6</v>
      </c>
      <c r="AS116" s="0" t="n">
        <v>0</v>
      </c>
      <c r="AU116" s="4" t="n">
        <f aca="false">60*V116-SUM(AV116:AZ116)</f>
        <v>40.3455555555555</v>
      </c>
      <c r="AV116" s="3" t="n">
        <f aca="false">1+20/60</f>
        <v>1.33333333333333</v>
      </c>
      <c r="AW116" s="3" t="n">
        <f aca="false">23+7/60</f>
        <v>23.1166666666667</v>
      </c>
      <c r="AX116" s="3" t="n">
        <f aca="false">16+33/60</f>
        <v>16.55</v>
      </c>
      <c r="AY116" s="3" t="n">
        <f aca="false">49+58/60</f>
        <v>49.9666666666667</v>
      </c>
      <c r="AZ116" s="3" t="n">
        <f aca="false">(41+16/60)/60</f>
        <v>0.687777777777778</v>
      </c>
      <c r="BA116" s="0" t="s">
        <v>59</v>
      </c>
      <c r="BB116" s="0" t="s">
        <v>60</v>
      </c>
      <c r="BC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43995.5215277778</v>
      </c>
      <c r="C117" s="0" t="n">
        <v>1</v>
      </c>
      <c r="F117" s="0" t="s">
        <v>61</v>
      </c>
      <c r="G117" s="2" t="n">
        <v>92</v>
      </c>
      <c r="H117" s="2" t="n">
        <v>56</v>
      </c>
      <c r="I117" s="2" t="n">
        <v>30</v>
      </c>
      <c r="J117" s="2" t="s">
        <v>95</v>
      </c>
      <c r="K117" s="2" t="n">
        <v>13</v>
      </c>
      <c r="L117" s="2" t="n">
        <v>22</v>
      </c>
      <c r="M117" s="0" t="s">
        <v>73</v>
      </c>
      <c r="N117" s="0" t="n">
        <v>0</v>
      </c>
      <c r="O117" s="0" t="s">
        <v>57</v>
      </c>
      <c r="Q117" s="0" t="s">
        <v>116</v>
      </c>
      <c r="R117" s="3" t="n">
        <v>5.32</v>
      </c>
      <c r="V117" s="3" t="n">
        <f aca="false">131/60</f>
        <v>2.18333333333333</v>
      </c>
      <c r="W117" s="3" t="n">
        <f aca="false">132/60</f>
        <v>2.2</v>
      </c>
      <c r="X117" s="3" t="n">
        <f aca="false">W117-V117</f>
        <v>0.0166666666666671</v>
      </c>
      <c r="Y117" s="3" t="n">
        <f aca="false">R117/V117</f>
        <v>2.43664122137405</v>
      </c>
      <c r="Z117" s="0" t="n">
        <v>4</v>
      </c>
      <c r="AA117" s="3" t="n">
        <f aca="false">R117/Z117</f>
        <v>1.33</v>
      </c>
      <c r="AB117" s="3" t="n">
        <f aca="false">24+35/60</f>
        <v>24.5833333333333</v>
      </c>
      <c r="AC117" s="2" t="n">
        <v>89</v>
      </c>
      <c r="AD117" s="2" t="n">
        <v>641</v>
      </c>
      <c r="AE117" s="2" t="n">
        <v>84</v>
      </c>
      <c r="AF117" s="2" t="n">
        <v>124</v>
      </c>
      <c r="AG117" s="3" t="n">
        <f aca="false">24+53/60</f>
        <v>24.8833333333333</v>
      </c>
      <c r="AH117" s="3" t="n">
        <f aca="false">21+45/60</f>
        <v>21.75</v>
      </c>
      <c r="AI117" s="3" t="n">
        <f aca="false">22+46/60</f>
        <v>22.7666666666667</v>
      </c>
      <c r="AJ117" s="3" t="n">
        <f aca="false">28+29/60</f>
        <v>28.4833333333333</v>
      </c>
      <c r="AK117" s="3" t="n">
        <f aca="false">25+33/60</f>
        <v>25.55</v>
      </c>
      <c r="AL117" s="3" t="n">
        <f aca="false">60/2.6</f>
        <v>23.0769230769231</v>
      </c>
      <c r="AR117" s="0" t="n">
        <v>0</v>
      </c>
      <c r="AS117" s="0" t="n">
        <v>0</v>
      </c>
      <c r="AU117" s="4" t="n">
        <f aca="false">60*V117-SUM(AV117:AZ117)</f>
        <v>40.8833333333333</v>
      </c>
      <c r="AV117" s="3" t="n">
        <f aca="false">52+36/60</f>
        <v>52.6</v>
      </c>
      <c r="AW117" s="3" t="n">
        <f aca="false">15+57/60</f>
        <v>15.95</v>
      </c>
      <c r="AX117" s="3" t="n">
        <f aca="false">20+35/60</f>
        <v>20.5833333333333</v>
      </c>
      <c r="AY117" s="3" t="n">
        <f aca="false">59/60</f>
        <v>0.983333333333333</v>
      </c>
      <c r="AZ117" s="3" t="n">
        <v>0</v>
      </c>
      <c r="BA117" s="0" t="s">
        <v>59</v>
      </c>
      <c r="BB117" s="0" t="s">
        <v>60</v>
      </c>
      <c r="BC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43996.5215277778</v>
      </c>
      <c r="C118" s="0" t="n">
        <v>1</v>
      </c>
      <c r="F118" s="0" t="s">
        <v>61</v>
      </c>
      <c r="G118" s="2" t="n">
        <v>92</v>
      </c>
      <c r="H118" s="2" t="n">
        <v>57</v>
      </c>
      <c r="I118" s="2" t="n">
        <v>31</v>
      </c>
      <c r="J118" s="2" t="s">
        <v>118</v>
      </c>
      <c r="K118" s="2" t="n">
        <v>13</v>
      </c>
      <c r="L118" s="2" t="n">
        <v>18</v>
      </c>
      <c r="M118" s="0" t="s">
        <v>73</v>
      </c>
      <c r="N118" s="0" t="n">
        <v>0</v>
      </c>
      <c r="O118" s="0" t="s">
        <v>66</v>
      </c>
      <c r="Q118" s="0" t="s">
        <v>116</v>
      </c>
      <c r="R118" s="3" t="n">
        <v>4.32</v>
      </c>
      <c r="S118" s="2" t="n">
        <v>1624</v>
      </c>
      <c r="T118" s="2" t="n">
        <v>15611</v>
      </c>
      <c r="U118" s="2" t="n">
        <f aca="false">T118-S118</f>
        <v>13987</v>
      </c>
      <c r="V118" s="3" t="n">
        <f aca="false">109/60</f>
        <v>1.81666666666667</v>
      </c>
      <c r="W118" s="3" t="n">
        <f aca="false">111/60</f>
        <v>1.85</v>
      </c>
      <c r="X118" s="3" t="n">
        <f aca="false">W118-V118</f>
        <v>0.0333333333333334</v>
      </c>
      <c r="Y118" s="3" t="n">
        <f aca="false">R118/V118</f>
        <v>2.37798165137615</v>
      </c>
      <c r="Z118" s="0" t="n">
        <v>3</v>
      </c>
      <c r="AA118" s="3" t="n">
        <f aca="false">R118/Z118</f>
        <v>1.44</v>
      </c>
      <c r="AB118" s="3" t="n">
        <f aca="false">25+22/60</f>
        <v>25.3666666666667</v>
      </c>
      <c r="AC118" s="2" t="n">
        <v>72</v>
      </c>
      <c r="AD118" s="2" t="n">
        <v>679</v>
      </c>
      <c r="AE118" s="2" t="n">
        <v>101</v>
      </c>
      <c r="AF118" s="2" t="n">
        <v>133</v>
      </c>
      <c r="AG118" s="3" t="n">
        <f aca="false">25+58/60</f>
        <v>25.9666666666667</v>
      </c>
      <c r="AH118" s="3" t="n">
        <f aca="false">26+32/60</f>
        <v>26.5333333333333</v>
      </c>
      <c r="AI118" s="3" t="n">
        <f aca="false">24+21/60</f>
        <v>24.35</v>
      </c>
      <c r="AJ118" s="3" t="n">
        <f aca="false">24+56/60</f>
        <v>24.9333333333333</v>
      </c>
      <c r="AK118" s="3" t="n">
        <f aca="false">60/2.8</f>
        <v>21.4285714285714</v>
      </c>
      <c r="AR118" s="0" t="n">
        <v>0</v>
      </c>
      <c r="AS118" s="0" t="n">
        <v>0</v>
      </c>
      <c r="AU118" s="4" t="n">
        <f aca="false">60*V118-SUM(AV118:AZ118)</f>
        <v>0.166666666666671</v>
      </c>
      <c r="AV118" s="3" t="n">
        <f aca="false">9+3/60</f>
        <v>9.05</v>
      </c>
      <c r="AW118" s="3" t="n">
        <f aca="false">62+3/60</f>
        <v>62.05</v>
      </c>
      <c r="AX118" s="3" t="n">
        <f aca="false">32+42/60</f>
        <v>32.7</v>
      </c>
      <c r="AY118" s="3" t="n">
        <f aca="false">5+2/60</f>
        <v>5.03333333333333</v>
      </c>
      <c r="AZ118" s="3" t="n">
        <v>0</v>
      </c>
      <c r="BA118" s="0" t="s">
        <v>59</v>
      </c>
      <c r="BB118" s="0" t="s">
        <v>60</v>
      </c>
      <c r="BC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43997.4229166667</v>
      </c>
      <c r="C119" s="0" t="n">
        <v>1</v>
      </c>
      <c r="F119" s="0" t="s">
        <v>61</v>
      </c>
      <c r="G119" s="2" t="n">
        <v>87</v>
      </c>
      <c r="H119" s="2" t="n">
        <v>65</v>
      </c>
      <c r="I119" s="2" t="n">
        <f aca="false">AVERAGE(46,49)</f>
        <v>47.5</v>
      </c>
      <c r="J119" s="2" t="s">
        <v>95</v>
      </c>
      <c r="K119" s="2" t="n">
        <v>7</v>
      </c>
      <c r="L119" s="2" t="n">
        <v>0</v>
      </c>
      <c r="M119" s="0" t="s">
        <v>73</v>
      </c>
      <c r="N119" s="0" t="n">
        <v>0</v>
      </c>
      <c r="O119" s="0" t="s">
        <v>57</v>
      </c>
      <c r="Q119" s="0" t="s">
        <v>116</v>
      </c>
      <c r="R119" s="3" t="n">
        <v>4.39</v>
      </c>
      <c r="S119" s="2" t="n">
        <v>829</v>
      </c>
      <c r="T119" s="2" t="n">
        <v>14530</v>
      </c>
      <c r="U119" s="2" t="n">
        <f aca="false">T119-S119</f>
        <v>13701</v>
      </c>
      <c r="V119" s="3" t="n">
        <f aca="false">(60+43)/60</f>
        <v>1.71666666666667</v>
      </c>
      <c r="W119" s="3" t="n">
        <f aca="false">(60+44)/60</f>
        <v>1.73333333333333</v>
      </c>
      <c r="X119" s="3" t="n">
        <f aca="false">W119-V119</f>
        <v>0.0166666666666668</v>
      </c>
      <c r="Y119" s="3" t="n">
        <f aca="false">R119/V119</f>
        <v>2.55728155339806</v>
      </c>
      <c r="Z119" s="0" t="n">
        <v>3</v>
      </c>
      <c r="AA119" s="3" t="n">
        <f aca="false">R119/Z119</f>
        <v>1.46333333333333</v>
      </c>
      <c r="AB119" s="3" t="n">
        <f aca="false">23+28/60</f>
        <v>23.4666666666667</v>
      </c>
      <c r="AC119" s="2" t="n">
        <v>312</v>
      </c>
      <c r="AD119" s="2" t="n">
        <v>1053</v>
      </c>
      <c r="AE119" s="2" t="n">
        <v>124</v>
      </c>
      <c r="AF119" s="2" t="n">
        <v>145</v>
      </c>
      <c r="AG119" s="3" t="n">
        <f aca="false">20+27/60</f>
        <v>20.45</v>
      </c>
      <c r="AH119" s="3" t="n">
        <f aca="false">20+40/60</f>
        <v>20.6666666666667</v>
      </c>
      <c r="AI119" s="3" t="n">
        <f aca="false">24+24/60</f>
        <v>24.4</v>
      </c>
      <c r="AJ119" s="3" t="n">
        <f aca="false">27+13/60</f>
        <v>27.2166666666667</v>
      </c>
      <c r="AK119" s="3" t="n">
        <f aca="false">60/2.6</f>
        <v>23.0769230769231</v>
      </c>
      <c r="AR119" s="0" t="n">
        <v>0</v>
      </c>
      <c r="AS119" s="0" t="n">
        <v>1</v>
      </c>
      <c r="AU119" s="4" t="n">
        <f aca="false">60*V119-SUM(AV119:AZ119)</f>
        <v>0</v>
      </c>
      <c r="AV119" s="3" t="n">
        <f aca="false">0+12/60</f>
        <v>0.2</v>
      </c>
      <c r="AW119" s="3" t="n">
        <f aca="false">5+24/60</f>
        <v>5.4</v>
      </c>
      <c r="AX119" s="3" t="n">
        <f aca="false">7+26/60</f>
        <v>7.43333333333333</v>
      </c>
      <c r="AY119" s="3" t="n">
        <f aca="false">87+58/60</f>
        <v>87.9666666666667</v>
      </c>
      <c r="AZ119" s="3" t="n">
        <v>2</v>
      </c>
      <c r="BA119" s="0" t="s">
        <v>59</v>
      </c>
      <c r="BB119" s="0" t="s">
        <v>60</v>
      </c>
      <c r="BC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43998.4972222222</v>
      </c>
      <c r="C120" s="0" t="n">
        <v>1</v>
      </c>
      <c r="F120" s="0" t="s">
        <v>61</v>
      </c>
      <c r="G120" s="2" t="n">
        <v>92</v>
      </c>
      <c r="H120" s="2" t="n">
        <v>63</v>
      </c>
      <c r="I120" s="2" t="n">
        <v>39</v>
      </c>
      <c r="J120" s="2" t="s">
        <v>103</v>
      </c>
      <c r="K120" s="2" t="n">
        <v>11</v>
      </c>
      <c r="L120" s="2" t="n">
        <v>0</v>
      </c>
      <c r="M120" s="0" t="s">
        <v>73</v>
      </c>
      <c r="N120" s="0" t="n">
        <v>0</v>
      </c>
      <c r="O120" s="0" t="s">
        <v>66</v>
      </c>
      <c r="Q120" s="0" t="s">
        <v>58</v>
      </c>
      <c r="R120" s="3" t="n">
        <v>6.22</v>
      </c>
      <c r="S120" s="2" t="n">
        <v>1004</v>
      </c>
      <c r="T120" s="2" t="n">
        <v>17209</v>
      </c>
      <c r="U120" s="2" t="n">
        <f aca="false">T120-S120</f>
        <v>16205</v>
      </c>
      <c r="V120" s="3" t="n">
        <f aca="false">124/60</f>
        <v>2.06666666666667</v>
      </c>
      <c r="W120" s="3" t="n">
        <f aca="false">131/60</f>
        <v>2.18333333333333</v>
      </c>
      <c r="X120" s="3" t="n">
        <f aca="false">W120-V120</f>
        <v>0.116666666666666</v>
      </c>
      <c r="Y120" s="3" t="n">
        <f aca="false">R120/V120</f>
        <v>3.00967741935484</v>
      </c>
      <c r="Z120" s="0" t="n">
        <v>2</v>
      </c>
      <c r="AA120" s="3" t="n">
        <f aca="false">R120/Z120</f>
        <v>3.11</v>
      </c>
      <c r="AB120" s="3" t="n">
        <f aca="false">19+59/60</f>
        <v>19.9833333333333</v>
      </c>
      <c r="AC120" s="2" t="n">
        <v>164</v>
      </c>
      <c r="AD120" s="2" t="n">
        <v>1419</v>
      </c>
      <c r="AE120" s="2" t="n">
        <v>132</v>
      </c>
      <c r="AF120" s="2" t="n">
        <v>156</v>
      </c>
      <c r="AG120" s="3" t="n">
        <f aca="false">16+56/60</f>
        <v>16.9333333333333</v>
      </c>
      <c r="AH120" s="3" t="n">
        <f aca="false">21+2/60</f>
        <v>21.0333333333333</v>
      </c>
      <c r="AI120" s="3" t="n">
        <f aca="false">20+51/60</f>
        <v>20.85</v>
      </c>
      <c r="AJ120" s="3" t="n">
        <f aca="false">19+20/60</f>
        <v>19.3333333333333</v>
      </c>
      <c r="AK120" s="3" t="n">
        <f aca="false">20+24/60</f>
        <v>20.4</v>
      </c>
      <c r="AL120" s="3" t="n">
        <f aca="false">20+58.9/60</f>
        <v>20.9816666666667</v>
      </c>
      <c r="AM120" s="3" t="n">
        <f aca="false">60/2.8</f>
        <v>21.4285714285714</v>
      </c>
      <c r="AR120" s="0" t="n">
        <v>2</v>
      </c>
      <c r="AS120" s="0" t="n">
        <v>0</v>
      </c>
      <c r="AU120" s="4" t="n">
        <v>0</v>
      </c>
      <c r="AV120" s="3" t="n">
        <v>0</v>
      </c>
      <c r="AW120" s="3" t="n">
        <f aca="false">1+26/60</f>
        <v>1.43333333333333</v>
      </c>
      <c r="AX120" s="3" t="n">
        <f aca="false">11+14/60</f>
        <v>11.2333333333333</v>
      </c>
      <c r="AY120" s="3" t="n">
        <f aca="false">37</f>
        <v>37</v>
      </c>
      <c r="AZ120" s="3" t="n">
        <f aca="false">74+27/60</f>
        <v>74.45</v>
      </c>
      <c r="BA120" s="0" t="s">
        <v>59</v>
      </c>
      <c r="BB120" s="0" t="s">
        <v>60</v>
      </c>
      <c r="BC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43999.4756944444</v>
      </c>
      <c r="C121" s="0" t="n">
        <v>1</v>
      </c>
      <c r="F121" s="0" t="s">
        <v>61</v>
      </c>
      <c r="G121" s="2" t="n">
        <v>93</v>
      </c>
      <c r="H121" s="2" t="n">
        <v>54</v>
      </c>
      <c r="I121" s="2" t="n">
        <v>28</v>
      </c>
      <c r="J121" s="2" t="s">
        <v>103</v>
      </c>
      <c r="K121" s="2" t="n">
        <v>17</v>
      </c>
      <c r="L121" s="2" t="n">
        <v>28</v>
      </c>
      <c r="M121" s="0" t="s">
        <v>73</v>
      </c>
      <c r="N121" s="0" t="n">
        <v>0</v>
      </c>
      <c r="O121" s="0" t="s">
        <v>57</v>
      </c>
      <c r="Q121" s="0" t="s">
        <v>58</v>
      </c>
      <c r="R121" s="3" t="n">
        <v>6.45</v>
      </c>
      <c r="S121" s="2" t="n">
        <v>813</v>
      </c>
      <c r="T121" s="2" t="n">
        <v>17264</v>
      </c>
      <c r="U121" s="2" t="n">
        <f aca="false">T121-S121</f>
        <v>16451</v>
      </c>
      <c r="V121" s="3" t="n">
        <f aca="false">135/60</f>
        <v>2.25</v>
      </c>
      <c r="W121" s="3" t="n">
        <f aca="false">156/60</f>
        <v>2.6</v>
      </c>
      <c r="X121" s="3" t="n">
        <f aca="false">W121-V121</f>
        <v>0.35</v>
      </c>
      <c r="Y121" s="3" t="n">
        <f aca="false">R121/V121</f>
        <v>2.86666666666667</v>
      </c>
      <c r="Z121" s="0" t="n">
        <v>2</v>
      </c>
      <c r="AA121" s="3" t="n">
        <f aca="false">R121/Z121</f>
        <v>3.225</v>
      </c>
      <c r="AB121" s="3" t="n">
        <f aca="false">20+55/60</f>
        <v>20.9166666666667</v>
      </c>
      <c r="AC121" s="2" t="n">
        <v>138</v>
      </c>
      <c r="AD121" s="2" t="n">
        <v>1200</v>
      </c>
      <c r="AE121" s="2" t="n">
        <v>121</v>
      </c>
      <c r="AF121" s="2" t="n">
        <v>143</v>
      </c>
      <c r="AG121" s="3" t="n">
        <f aca="false">18+57/60</f>
        <v>18.95</v>
      </c>
      <c r="AH121" s="3" t="n">
        <f aca="false">21+51/60</f>
        <v>21.85</v>
      </c>
      <c r="AI121" s="3" t="n">
        <f aca="false">21+55/60</f>
        <v>21.9166666666667</v>
      </c>
      <c r="AJ121" s="3" t="n">
        <f aca="false">21+30/60</f>
        <v>21.5</v>
      </c>
      <c r="AK121" s="3" t="n">
        <f aca="false">20+6/60</f>
        <v>20.1</v>
      </c>
      <c r="AL121" s="3" t="n">
        <f aca="false">21+45/60</f>
        <v>21.75</v>
      </c>
      <c r="AM121" s="3" t="n">
        <f aca="false">60/2.9</f>
        <v>20.6896551724138</v>
      </c>
      <c r="AR121" s="0" t="n">
        <v>3</v>
      </c>
      <c r="AS121" s="0" t="n">
        <v>1</v>
      </c>
      <c r="AU121" s="4" t="n">
        <f aca="false">60*V121-SUM(AV121:AZ121)</f>
        <v>-0.0999999999999943</v>
      </c>
      <c r="AV121" s="3" t="n">
        <v>0</v>
      </c>
      <c r="AW121" s="3" t="n">
        <f aca="false">11+9/60</f>
        <v>11.15</v>
      </c>
      <c r="AX121" s="3" t="n">
        <f aca="false">34+10/60</f>
        <v>34.1666666666667</v>
      </c>
      <c r="AY121" s="3" t="n">
        <f aca="false">78+24/60</f>
        <v>78.4</v>
      </c>
      <c r="AZ121" s="3" t="n">
        <f aca="false">11+23/60</f>
        <v>11.3833333333333</v>
      </c>
      <c r="BA121" s="0" t="s">
        <v>59</v>
      </c>
      <c r="BB121" s="0" t="s">
        <v>60</v>
      </c>
      <c r="BC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44000.4576388889</v>
      </c>
      <c r="C122" s="0" t="n">
        <v>1</v>
      </c>
      <c r="F122" s="0" t="s">
        <v>61</v>
      </c>
      <c r="G122" s="2" t="n">
        <f aca="false">AVERAGE(86,89)</f>
        <v>87.5</v>
      </c>
      <c r="H122" s="2" t="n">
        <v>66</v>
      </c>
      <c r="I122" s="2" t="n">
        <f aca="false">AVERAGE(49,46)</f>
        <v>47.5</v>
      </c>
      <c r="J122" s="2" t="s">
        <v>95</v>
      </c>
      <c r="K122" s="2" t="n">
        <v>14</v>
      </c>
      <c r="L122" s="2" t="n">
        <v>23</v>
      </c>
      <c r="M122" s="0" t="s">
        <v>73</v>
      </c>
      <c r="N122" s="0" t="n">
        <v>0</v>
      </c>
      <c r="O122" s="0" t="s">
        <v>57</v>
      </c>
      <c r="Q122" s="0" t="s">
        <v>58</v>
      </c>
      <c r="R122" s="3" t="n">
        <v>6.64</v>
      </c>
      <c r="S122" s="2" t="n">
        <v>808</v>
      </c>
      <c r="T122" s="2" t="n">
        <v>18058</v>
      </c>
      <c r="U122" s="2" t="n">
        <f aca="false">T122-S122</f>
        <v>17250</v>
      </c>
      <c r="V122" s="3" t="n">
        <f aca="false">133/60</f>
        <v>2.21666666666667</v>
      </c>
      <c r="W122" s="3" t="n">
        <f aca="false">140/60</f>
        <v>2.33333333333333</v>
      </c>
      <c r="X122" s="3" t="n">
        <f aca="false">W122-V122</f>
        <v>0.116666666666667</v>
      </c>
      <c r="Y122" s="3" t="n">
        <f aca="false">R122/V122</f>
        <v>2.99548872180451</v>
      </c>
      <c r="Z122" s="0" t="n">
        <v>2</v>
      </c>
      <c r="AA122" s="3" t="n">
        <f aca="false">R122/Z122</f>
        <v>3.32</v>
      </c>
      <c r="AB122" s="3" t="n">
        <f aca="false">20+2/60</f>
        <v>20.0333333333333</v>
      </c>
      <c r="AC122" s="2" t="n">
        <v>395</v>
      </c>
      <c r="AD122" s="2" t="n">
        <v>1266</v>
      </c>
      <c r="AE122" s="2" t="n">
        <v>126</v>
      </c>
      <c r="AF122" s="2" t="n">
        <v>149</v>
      </c>
      <c r="AG122" s="3" t="n">
        <f aca="false">18+17/60</f>
        <v>18.2833333333333</v>
      </c>
      <c r="AH122" s="3" t="n">
        <f aca="false">21+13/60</f>
        <v>21.2166666666667</v>
      </c>
      <c r="AI122" s="3" t="n">
        <f aca="false">20+43/60</f>
        <v>20.7166666666667</v>
      </c>
      <c r="AJ122" s="3" t="n">
        <f aca="false">19+2/60</f>
        <v>19.0333333333333</v>
      </c>
      <c r="AK122" s="3" t="n">
        <f aca="false">18+55/60</f>
        <v>18.9166666666667</v>
      </c>
      <c r="AL122" s="3" t="n">
        <f aca="false">20+16/60</f>
        <v>20.2666666666667</v>
      </c>
      <c r="AM122" s="3" t="n">
        <f aca="false">60/2.6</f>
        <v>23.0769230769231</v>
      </c>
      <c r="AR122" s="0" t="n">
        <v>2</v>
      </c>
      <c r="AS122" s="0" t="n">
        <v>0</v>
      </c>
      <c r="AU122" s="4" t="n">
        <v>0</v>
      </c>
      <c r="AV122" s="3" t="n">
        <f aca="false">0.11/60</f>
        <v>0.00183333333333333</v>
      </c>
      <c r="AW122" s="3" t="n">
        <f aca="false">3+57/60</f>
        <v>3.95</v>
      </c>
      <c r="AX122" s="3" t="n">
        <v>25</v>
      </c>
      <c r="AY122" s="3" t="n">
        <f aca="false">71+42/60</f>
        <v>71.7</v>
      </c>
      <c r="AZ122" s="3" t="n">
        <f aca="false">32+14/60</f>
        <v>32.2333333333333</v>
      </c>
      <c r="BA122" s="0" t="s">
        <v>59</v>
      </c>
      <c r="BB122" s="0" t="s">
        <v>60</v>
      </c>
      <c r="BC122" s="0" t="n"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44001.4534722222</v>
      </c>
      <c r="C123" s="0" t="n">
        <v>0</v>
      </c>
      <c r="D123" s="0" t="s">
        <v>70</v>
      </c>
      <c r="F123" s="0" t="s">
        <v>61</v>
      </c>
      <c r="G123" s="2" t="n">
        <v>88</v>
      </c>
      <c r="H123" s="2" t="n">
        <v>68</v>
      </c>
      <c r="I123" s="2" t="n">
        <v>52</v>
      </c>
      <c r="J123" s="2" t="s">
        <v>102</v>
      </c>
      <c r="K123" s="2" t="n">
        <v>16</v>
      </c>
      <c r="L123" s="2" t="n">
        <v>0</v>
      </c>
      <c r="M123" s="0" t="s">
        <v>94</v>
      </c>
      <c r="AU123" s="4" t="n">
        <f aca="false">60*V123-SUM(AV123:AZ123)</f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44002.5423611111</v>
      </c>
      <c r="C124" s="0" t="n">
        <v>1</v>
      </c>
      <c r="F124" s="0" t="s">
        <v>61</v>
      </c>
      <c r="G124" s="2" t="n">
        <v>85</v>
      </c>
      <c r="H124" s="2" t="n">
        <v>67</v>
      </c>
      <c r="I124" s="2" t="n">
        <f aca="false">AVERAGE(62,58)</f>
        <v>60</v>
      </c>
      <c r="J124" s="2" t="s">
        <v>95</v>
      </c>
      <c r="K124" s="2" t="n">
        <f aca="false">AVERAGE(9,6)</f>
        <v>7.5</v>
      </c>
      <c r="L124" s="2" t="n">
        <v>0</v>
      </c>
      <c r="M124" s="0" t="s">
        <v>73</v>
      </c>
      <c r="N124" s="0" t="n">
        <v>0</v>
      </c>
      <c r="O124" s="0" t="s">
        <v>57</v>
      </c>
      <c r="Q124" s="0" t="s">
        <v>58</v>
      </c>
      <c r="R124" s="3" t="n">
        <v>7.04</v>
      </c>
      <c r="V124" s="3" t="n">
        <f aca="false">(120+23)/60</f>
        <v>2.38333333333333</v>
      </c>
      <c r="W124" s="3" t="n">
        <f aca="false">(120+30)/60</f>
        <v>2.5</v>
      </c>
      <c r="X124" s="3" t="n">
        <f aca="false">W124-V124</f>
        <v>0.116666666666667</v>
      </c>
      <c r="Y124" s="3" t="n">
        <f aca="false">R124/V124</f>
        <v>2.95384615384615</v>
      </c>
      <c r="Z124" s="0" t="n">
        <v>2</v>
      </c>
      <c r="AA124" s="3" t="n">
        <f aca="false">R124/Z124</f>
        <v>3.52</v>
      </c>
      <c r="AB124" s="3" t="n">
        <f aca="false">20+19/60</f>
        <v>20.3166666666667</v>
      </c>
      <c r="AC124" s="2" t="n">
        <v>128</v>
      </c>
      <c r="AD124" s="2" t="n">
        <v>785</v>
      </c>
      <c r="AE124" s="2" t="n">
        <v>94</v>
      </c>
      <c r="AF124" s="2" t="n">
        <v>127</v>
      </c>
      <c r="AG124" s="3" t="n">
        <f aca="false">19+33/60</f>
        <v>19.55</v>
      </c>
      <c r="AH124" s="3" t="n">
        <f aca="false">19+18/60</f>
        <v>19.3</v>
      </c>
      <c r="AI124" s="3" t="n">
        <f aca="false">19+37/60</f>
        <v>19.6166666666667</v>
      </c>
      <c r="AJ124" s="3" t="n">
        <f aca="false">21+54/60</f>
        <v>21.9</v>
      </c>
      <c r="AK124" s="3" t="n">
        <f aca="false">20+16/60</f>
        <v>20.2666666666667</v>
      </c>
      <c r="AL124" s="3" t="n">
        <f aca="false">19+34/60</f>
        <v>19.5666666666667</v>
      </c>
      <c r="AM124" s="3" t="n">
        <f aca="false">21+17/60</f>
        <v>21.2833333333333</v>
      </c>
      <c r="AR124" s="0" t="n">
        <v>3</v>
      </c>
      <c r="AS124" s="0" t="n">
        <v>3</v>
      </c>
      <c r="AU124" s="4" t="n">
        <f aca="false">60*V124-SUM(AV124:AZ124)</f>
        <v>2.33333333333334</v>
      </c>
      <c r="AV124" s="3" t="n">
        <f aca="false">35+11/60</f>
        <v>35.1833333333333</v>
      </c>
      <c r="AW124" s="3" t="n">
        <f aca="false">86+30/60</f>
        <v>86.5</v>
      </c>
      <c r="AX124" s="3" t="n">
        <f aca="false">18+2/60</f>
        <v>18.0333333333333</v>
      </c>
      <c r="AY124" s="3" t="n">
        <f aca="false">57/60</f>
        <v>0.95</v>
      </c>
      <c r="AZ124" s="3" t="n">
        <v>0</v>
      </c>
      <c r="BA124" s="0" t="s">
        <v>59</v>
      </c>
      <c r="BB124" s="0" t="s">
        <v>60</v>
      </c>
      <c r="BC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44003.6395833333</v>
      </c>
      <c r="C125" s="0" t="n">
        <v>1</v>
      </c>
      <c r="F125" s="0" t="s">
        <v>61</v>
      </c>
      <c r="G125" s="2" t="n">
        <f aca="false">81+7*(3.3/6)</f>
        <v>84.85</v>
      </c>
      <c r="H125" s="2" t="n">
        <v>67</v>
      </c>
      <c r="I125" s="2" t="n">
        <v>49</v>
      </c>
      <c r="J125" s="2" t="s">
        <v>119</v>
      </c>
      <c r="K125" s="2" t="n">
        <v>9</v>
      </c>
      <c r="L125" s="2" t="n">
        <v>0</v>
      </c>
      <c r="M125" s="0" t="s">
        <v>94</v>
      </c>
      <c r="N125" s="0" t="n">
        <v>0</v>
      </c>
      <c r="O125" s="0" t="s">
        <v>57</v>
      </c>
      <c r="Q125" s="0" t="s">
        <v>58</v>
      </c>
      <c r="R125" s="3" t="n">
        <v>3</v>
      </c>
      <c r="S125" s="2" t="n">
        <v>1025</v>
      </c>
      <c r="T125" s="2" t="n">
        <v>9200</v>
      </c>
      <c r="U125" s="2" t="n">
        <f aca="false">T125-S125</f>
        <v>8175</v>
      </c>
      <c r="V125" s="3" t="n">
        <f aca="false">63/60</f>
        <v>1.05</v>
      </c>
      <c r="W125" s="3" t="n">
        <f aca="false">1+4/60</f>
        <v>1.06666666666667</v>
      </c>
      <c r="X125" s="3" t="n">
        <f aca="false">W125-V125</f>
        <v>0.0166666666666666</v>
      </c>
      <c r="Y125" s="3" t="n">
        <f aca="false">R125/V125</f>
        <v>2.85714285714286</v>
      </c>
      <c r="Z125" s="0" t="n">
        <v>2</v>
      </c>
      <c r="AA125" s="3" t="n">
        <f aca="false">R125/Z125</f>
        <v>1.5</v>
      </c>
      <c r="AB125" s="3" t="n">
        <f aca="false">19+5/60</f>
        <v>19.0833333333333</v>
      </c>
      <c r="AC125" s="2" t="n">
        <v>75</v>
      </c>
      <c r="AD125" s="2" t="n">
        <v>614</v>
      </c>
      <c r="AE125" s="2" t="n">
        <v>122</v>
      </c>
      <c r="AF125" s="2" t="n">
        <v>143</v>
      </c>
      <c r="AG125" s="3" t="n">
        <f aca="false">16+28/60</f>
        <v>16.4666666666667</v>
      </c>
      <c r="AH125" s="3" t="n">
        <f aca="false">18+2/60</f>
        <v>18.0333333333333</v>
      </c>
      <c r="AI125" s="3" t="n">
        <f aca="false">21+32/60</f>
        <v>21.5333333333333</v>
      </c>
      <c r="AJ125" s="3" t="n">
        <f aca="false">60/2.6</f>
        <v>23.0769230769231</v>
      </c>
      <c r="AR125" s="0" t="n">
        <v>1</v>
      </c>
      <c r="AS125" s="0" t="n">
        <v>0</v>
      </c>
      <c r="AU125" s="4" t="n">
        <f aca="false">60*V125-SUM(AV125:AZ125)</f>
        <v>0.0500000000000043</v>
      </c>
      <c r="AV125" s="3" t="n">
        <v>0</v>
      </c>
      <c r="AW125" s="3" t="n">
        <f aca="false">6+55/60</f>
        <v>6.91666666666667</v>
      </c>
      <c r="AX125" s="3" t="n">
        <f aca="false">10.5</f>
        <v>10.5</v>
      </c>
      <c r="AY125" s="3" t="n">
        <f aca="false">40+15/60</f>
        <v>40.25</v>
      </c>
      <c r="AZ125" s="3" t="n">
        <f aca="false">5+17/60</f>
        <v>5.28333333333333</v>
      </c>
      <c r="BA125" s="0" t="s">
        <v>59</v>
      </c>
      <c r="BB125" s="0" t="s">
        <v>60</v>
      </c>
      <c r="BC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44004.4861111111</v>
      </c>
      <c r="C126" s="0" t="n">
        <v>1</v>
      </c>
      <c r="F126" s="0" t="s">
        <v>61</v>
      </c>
      <c r="G126" s="2" t="n">
        <f aca="false">AVERAGE(86,88,91)</f>
        <v>88.3333333333333</v>
      </c>
      <c r="H126" s="2" t="n">
        <f aca="false">AVERAGE(66,67,69)</f>
        <v>67.3333333333333</v>
      </c>
      <c r="I126" s="2" t="n">
        <f aca="false">AVERAGE(51,49,48)</f>
        <v>49.3333333333333</v>
      </c>
      <c r="J126" s="2" t="s">
        <v>95</v>
      </c>
      <c r="K126" s="2" t="n">
        <f aca="false">AVERAGE(16,0,19)</f>
        <v>11.6666666666667</v>
      </c>
      <c r="L126" s="2" t="n">
        <f aca="false">AVERAGE(24,0,0)</f>
        <v>8</v>
      </c>
      <c r="M126" s="0" t="s">
        <v>94</v>
      </c>
      <c r="N126" s="0" t="n">
        <v>0</v>
      </c>
      <c r="O126" s="0" t="s">
        <v>57</v>
      </c>
      <c r="Q126" s="0" t="s">
        <v>58</v>
      </c>
      <c r="R126" s="3" t="n">
        <v>6.8</v>
      </c>
      <c r="S126" s="2" t="n">
        <v>1277</v>
      </c>
      <c r="T126" s="2" t="n">
        <v>18696</v>
      </c>
      <c r="U126" s="2" t="n">
        <f aca="false">T126-S126</f>
        <v>17419</v>
      </c>
      <c r="V126" s="3" t="n">
        <f aca="false">(120+17)/60</f>
        <v>2.28333333333333</v>
      </c>
      <c r="W126" s="3" t="n">
        <f aca="false">(120+24)/60</f>
        <v>2.4</v>
      </c>
      <c r="X126" s="3" t="n">
        <f aca="false">W126-V126</f>
        <v>0.116666666666667</v>
      </c>
      <c r="Y126" s="3" t="n">
        <f aca="false">R126/V126</f>
        <v>2.97810218978102</v>
      </c>
      <c r="Z126" s="0" t="n">
        <v>2</v>
      </c>
      <c r="AA126" s="3" t="n">
        <f aca="false">R126/Z126</f>
        <v>3.4</v>
      </c>
      <c r="AB126" s="3" t="n">
        <f aca="false">20+11/60</f>
        <v>20.1833333333333</v>
      </c>
      <c r="AC126" s="2" t="n">
        <v>358</v>
      </c>
      <c r="AD126" s="2" t="n">
        <v>730</v>
      </c>
      <c r="AE126" s="2" t="n">
        <v>93</v>
      </c>
      <c r="AF126" s="2" t="n">
        <v>130</v>
      </c>
      <c r="AG126" s="3" t="n">
        <f aca="false">17+39/60</f>
        <v>17.65</v>
      </c>
      <c r="AH126" s="3" t="n">
        <f aca="false">19+41/60</f>
        <v>19.6833333333333</v>
      </c>
      <c r="AI126" s="3" t="n">
        <f aca="false">19+57/60</f>
        <v>19.95</v>
      </c>
      <c r="AJ126" s="3" t="n">
        <f aca="false">20+38/60</f>
        <v>20.6333333333333</v>
      </c>
      <c r="AK126" s="3" t="n">
        <f aca="false">19+41/60</f>
        <v>19.6833333333333</v>
      </c>
      <c r="AL126" s="3" t="n">
        <f aca="false">19+32/60</f>
        <v>19.5333333333333</v>
      </c>
      <c r="AM126" s="3" t="n">
        <f aca="false">60/2.4</f>
        <v>25</v>
      </c>
      <c r="AR126" s="0" t="n">
        <v>2</v>
      </c>
      <c r="AS126" s="0" t="n">
        <v>1</v>
      </c>
      <c r="AU126" s="4" t="n">
        <f aca="false">60*V126-SUM(AV126:AZ126)</f>
        <v>0.0166666666666515</v>
      </c>
      <c r="AV126" s="3" t="n">
        <f aca="false">39+18/60</f>
        <v>39.3</v>
      </c>
      <c r="AW126" s="3" t="n">
        <f aca="false">86+17/60</f>
        <v>86.2833333333333</v>
      </c>
      <c r="AX126" s="3" t="n">
        <f aca="false">10+39/60</f>
        <v>10.65</v>
      </c>
      <c r="AY126" s="3" t="n">
        <f aca="false">0.75</f>
        <v>0.75</v>
      </c>
      <c r="AZ126" s="3" t="n">
        <v>0</v>
      </c>
      <c r="BA126" s="0" t="s">
        <v>59</v>
      </c>
      <c r="BB126" s="0" t="s">
        <v>60</v>
      </c>
      <c r="BC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44005.5104166667</v>
      </c>
      <c r="C127" s="0" t="n">
        <v>1</v>
      </c>
      <c r="F127" s="0" t="s">
        <v>84</v>
      </c>
      <c r="G127" s="2" t="n">
        <v>77</v>
      </c>
      <c r="H127" s="2" t="n">
        <v>69</v>
      </c>
      <c r="I127" s="2" t="n">
        <f aca="false">AVERAGE(79,74)</f>
        <v>76.5</v>
      </c>
      <c r="J127" s="2" t="s">
        <v>119</v>
      </c>
      <c r="K127" s="2" t="n">
        <v>5</v>
      </c>
      <c r="L127" s="2" t="n">
        <v>0</v>
      </c>
      <c r="M127" s="0" t="s">
        <v>94</v>
      </c>
      <c r="N127" s="0" t="n">
        <v>0</v>
      </c>
      <c r="O127" s="0" t="s">
        <v>57</v>
      </c>
      <c r="Q127" s="0" t="s">
        <v>116</v>
      </c>
      <c r="R127" s="3" t="n">
        <v>4.33</v>
      </c>
      <c r="S127" s="2" t="n">
        <v>994</v>
      </c>
      <c r="T127" s="2" t="n">
        <v>15491</v>
      </c>
      <c r="U127" s="2" t="n">
        <f aca="false">T127-S127</f>
        <v>14497</v>
      </c>
      <c r="V127" s="3" t="n">
        <f aca="false">(60+48)/60</f>
        <v>1.8</v>
      </c>
      <c r="W127" s="3" t="n">
        <v>1.83333333333333</v>
      </c>
      <c r="X127" s="3" t="n">
        <f aca="false">W127-V127</f>
        <v>0.0333333333333299</v>
      </c>
      <c r="Y127" s="3" t="n">
        <f aca="false">R127/V127</f>
        <v>2.40555555555556</v>
      </c>
      <c r="Z127" s="0" t="n">
        <v>3</v>
      </c>
      <c r="AA127" s="3" t="n">
        <f aca="false">R127/Z127</f>
        <v>1.44333333333333</v>
      </c>
      <c r="AB127" s="3" t="n">
        <f aca="false">25+8/60</f>
        <v>25.1333333333333</v>
      </c>
      <c r="AC127" s="2" t="n">
        <v>36</v>
      </c>
      <c r="AD127" s="2" t="n">
        <v>773</v>
      </c>
      <c r="AE127" s="2" t="n">
        <v>108</v>
      </c>
      <c r="AF127" s="2" t="n">
        <v>136</v>
      </c>
      <c r="AG127" s="3" t="n">
        <f aca="false">24+34/60</f>
        <v>24.5666666666667</v>
      </c>
      <c r="AH127" s="3" t="n">
        <f aca="false">26+22/60</f>
        <v>26.3666666666667</v>
      </c>
      <c r="AI127" s="3" t="n">
        <f aca="false">23+16/60</f>
        <v>23.2666666666667</v>
      </c>
      <c r="AJ127" s="3" t="n">
        <f aca="false">25+39/60</f>
        <v>25.65</v>
      </c>
      <c r="AK127" s="3" t="n">
        <f aca="false">60/2.4</f>
        <v>25</v>
      </c>
      <c r="AR127" s="0" t="n">
        <v>0</v>
      </c>
      <c r="AS127" s="0" t="n">
        <v>1</v>
      </c>
      <c r="AU127" s="4" t="n">
        <v>0</v>
      </c>
      <c r="AV127" s="3" t="n">
        <f aca="false">5+27/60</f>
        <v>5.45</v>
      </c>
      <c r="AW127" s="3" t="n">
        <f aca="false">31+9/60</f>
        <v>31.15</v>
      </c>
      <c r="AX127" s="3" t="n">
        <f aca="false">47+1/60</f>
        <v>47.0166666666667</v>
      </c>
      <c r="AY127" s="3" t="n">
        <f aca="false">24+47/60</f>
        <v>24.7833333333333</v>
      </c>
      <c r="AZ127" s="3" t="n">
        <f aca="false">16/60</f>
        <v>0.266666666666667</v>
      </c>
      <c r="BA127" s="0" t="s">
        <v>59</v>
      </c>
      <c r="BB127" s="0" t="s">
        <v>60</v>
      </c>
      <c r="BC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44006.4479166667</v>
      </c>
      <c r="C128" s="0" t="n">
        <v>1</v>
      </c>
      <c r="F128" s="0" t="s">
        <v>61</v>
      </c>
      <c r="G128" s="2" t="n">
        <f aca="false">AVERAGE(85,87)</f>
        <v>86</v>
      </c>
      <c r="H128" s="2" t="n">
        <v>67</v>
      </c>
      <c r="I128" s="2" t="n">
        <f aca="false">AVERAGE(51,47)</f>
        <v>49</v>
      </c>
      <c r="J128" s="2" t="s">
        <v>110</v>
      </c>
      <c r="K128" s="2" t="n">
        <f aca="false">AVERAGE(12,9)</f>
        <v>10.5</v>
      </c>
      <c r="L128" s="2" t="n">
        <v>0</v>
      </c>
      <c r="M128" s="0" t="s">
        <v>94</v>
      </c>
      <c r="N128" s="0" t="n">
        <v>0</v>
      </c>
      <c r="O128" s="0" t="s">
        <v>66</v>
      </c>
      <c r="Q128" s="0" t="s">
        <v>58</v>
      </c>
      <c r="R128" s="3" t="n">
        <v>7.18</v>
      </c>
      <c r="S128" s="2" t="n">
        <v>1763</v>
      </c>
      <c r="T128" s="2" t="n">
        <v>19883</v>
      </c>
      <c r="U128" s="2" t="n">
        <f aca="false">T128-S128</f>
        <v>18120</v>
      </c>
      <c r="V128" s="3" t="n">
        <f aca="false">(120+28)/60</f>
        <v>2.46666666666667</v>
      </c>
      <c r="W128" s="3" t="n">
        <f aca="false">(120+40)/60</f>
        <v>2.66666666666667</v>
      </c>
      <c r="X128" s="3" t="n">
        <f aca="false">W128-V128</f>
        <v>0.2</v>
      </c>
      <c r="Y128" s="3" t="n">
        <f aca="false">R128/V128</f>
        <v>2.91081081081081</v>
      </c>
      <c r="Z128" s="0" t="n">
        <v>3</v>
      </c>
      <c r="AA128" s="3" t="n">
        <f aca="false">R128/Z128</f>
        <v>2.39333333333333</v>
      </c>
      <c r="AB128" s="3" t="n">
        <f aca="false">20+36/60</f>
        <v>20.6</v>
      </c>
      <c r="AC128" s="2" t="n">
        <v>187</v>
      </c>
      <c r="AD128" s="2" t="n">
        <v>788</v>
      </c>
      <c r="AE128" s="2" t="n">
        <v>82</v>
      </c>
      <c r="AF128" s="2" t="n">
        <v>117</v>
      </c>
      <c r="AG128" s="3" t="n">
        <f aca="false">17+30/60</f>
        <v>17.5</v>
      </c>
      <c r="AH128" s="3" t="n">
        <f aca="false">20+47/60</f>
        <v>20.7833333333333</v>
      </c>
      <c r="AI128" s="3" t="n">
        <f aca="false">20+48/60</f>
        <v>20.8</v>
      </c>
      <c r="AJ128" s="3" t="n">
        <f aca="false">22+5/60</f>
        <v>22.0833333333333</v>
      </c>
      <c r="AK128" s="3" t="n">
        <f aca="false">16+57/60</f>
        <v>16.95</v>
      </c>
      <c r="AL128" s="3" t="n">
        <f aca="false">21+31/60</f>
        <v>21.5166666666667</v>
      </c>
      <c r="AM128" s="3" t="n">
        <f aca="false">23+32/60</f>
        <v>23.5333333333333</v>
      </c>
      <c r="AN128" s="3" t="n">
        <f aca="false">60/2.5</f>
        <v>24</v>
      </c>
      <c r="AR128" s="0" t="n">
        <v>2</v>
      </c>
      <c r="AS128" s="0" t="n">
        <v>0</v>
      </c>
      <c r="AU128" s="4" t="n">
        <f aca="false">60*V128-SUM(AV128:AZ128)</f>
        <v>60.1</v>
      </c>
      <c r="AV128" s="3" t="n">
        <f aca="false">41+7/60</f>
        <v>41.1166666666667</v>
      </c>
      <c r="AW128" s="3" t="n">
        <f aca="false">26+16/60</f>
        <v>26.2666666666667</v>
      </c>
      <c r="AX128" s="3" t="n">
        <f aca="false">20+31/60</f>
        <v>20.5166666666667</v>
      </c>
      <c r="AY128" s="3" t="n">
        <v>0</v>
      </c>
      <c r="AZ128" s="3" t="n">
        <v>0</v>
      </c>
      <c r="BA128" s="0" t="s">
        <v>59</v>
      </c>
      <c r="BB128" s="0" t="s">
        <v>60</v>
      </c>
      <c r="BC128" s="0" t="n">
        <v>0</v>
      </c>
    </row>
    <row r="129" customFormat="false" ht="12.8" hidden="false" customHeight="false" outlineLevel="0" collapsed="false">
      <c r="A129" s="0" t="n">
        <f aca="false">A128+1</f>
        <v>661</v>
      </c>
      <c r="B129" s="1" t="n">
        <v>44007.4902777778</v>
      </c>
      <c r="C129" s="0" t="n">
        <v>1</v>
      </c>
      <c r="F129" s="0" t="s">
        <v>61</v>
      </c>
      <c r="G129" s="2" t="n">
        <v>85</v>
      </c>
      <c r="H129" s="2" t="n">
        <v>70</v>
      </c>
      <c r="I129" s="2" t="n">
        <v>61</v>
      </c>
      <c r="J129" s="2" t="s">
        <v>99</v>
      </c>
      <c r="K129" s="2" t="n">
        <v>9</v>
      </c>
      <c r="L129" s="2" t="n">
        <v>0</v>
      </c>
      <c r="M129" s="0" t="s">
        <v>94</v>
      </c>
      <c r="N129" s="0" t="n">
        <v>0</v>
      </c>
      <c r="O129" s="0" t="s">
        <v>57</v>
      </c>
      <c r="Q129" s="0" t="s">
        <v>116</v>
      </c>
      <c r="R129" s="3" t="n">
        <v>4.51</v>
      </c>
      <c r="V129" s="3" t="n">
        <f aca="false">106/60</f>
        <v>1.76666666666667</v>
      </c>
      <c r="W129" s="3" t="n">
        <f aca="false">108/60</f>
        <v>1.8</v>
      </c>
      <c r="X129" s="3" t="n">
        <f aca="false">W129-V129</f>
        <v>0.0333333333333334</v>
      </c>
      <c r="Y129" s="3" t="n">
        <f aca="false">R129/V129</f>
        <v>2.55283018867925</v>
      </c>
      <c r="Z129" s="0" t="n">
        <v>3</v>
      </c>
      <c r="AA129" s="3" t="n">
        <f aca="false">R129/Z129</f>
        <v>1.50333333333333</v>
      </c>
      <c r="AB129" s="3" t="n">
        <f aca="false">23+34/60</f>
        <v>23.5666666666667</v>
      </c>
      <c r="AC129" s="2" t="n">
        <v>56</v>
      </c>
      <c r="AD129" s="2" t="n">
        <v>995</v>
      </c>
      <c r="AE129" s="2" t="n">
        <v>116</v>
      </c>
      <c r="AF129" s="2" t="n">
        <v>143</v>
      </c>
      <c r="AG129" s="3" t="n">
        <f aca="false">24+18/60</f>
        <v>24.3</v>
      </c>
      <c r="AH129" s="3" t="n">
        <f aca="false">24+21/60</f>
        <v>24.35</v>
      </c>
      <c r="AI129" s="3" t="n">
        <f aca="false">22+57/60</f>
        <v>22.95</v>
      </c>
      <c r="AJ129" s="3" t="n">
        <f aca="false">24+11/60</f>
        <v>24.1833333333333</v>
      </c>
      <c r="AK129" s="3" t="n">
        <f aca="false">60/2.9</f>
        <v>20.6896551724138</v>
      </c>
      <c r="AR129" s="0" t="n">
        <v>0</v>
      </c>
      <c r="AS129" s="0" t="n">
        <v>1</v>
      </c>
      <c r="AU129" s="4" t="n">
        <v>0</v>
      </c>
      <c r="AV129" s="3" t="n">
        <v>0</v>
      </c>
      <c r="AW129" s="3" t="n">
        <f aca="false">15+31/60</f>
        <v>15.5166666666667</v>
      </c>
      <c r="AX129" s="3" t="n">
        <f aca="false">34+5/60</f>
        <v>34.0833333333333</v>
      </c>
      <c r="AY129" s="3" t="n">
        <f aca="false">55+49/60</f>
        <v>55.8166666666667</v>
      </c>
      <c r="AZ129" s="3" t="n">
        <f aca="false">49/60</f>
        <v>0.816666666666667</v>
      </c>
      <c r="BA129" s="0" t="s">
        <v>59</v>
      </c>
      <c r="BB129" s="0" t="s">
        <v>60</v>
      </c>
      <c r="BC129" s="0" t="n">
        <v>0</v>
      </c>
    </row>
    <row r="130" customFormat="false" ht="12.8" hidden="false" customHeight="false" outlineLevel="0" collapsed="false">
      <c r="A130" s="0" t="n">
        <v>661</v>
      </c>
      <c r="B130" s="1" t="n">
        <v>44008.48125</v>
      </c>
      <c r="C130" s="0" t="n">
        <v>1</v>
      </c>
      <c r="F130" s="0" t="s">
        <v>56</v>
      </c>
      <c r="G130" s="2" t="n">
        <f aca="false">AVERAGE(86,90,91)</f>
        <v>89</v>
      </c>
      <c r="H130" s="2" t="n">
        <f aca="false">AVERAGE(71,70,71)</f>
        <v>70.6666666666667</v>
      </c>
      <c r="I130" s="2" t="n">
        <f aca="false">AVERAGE(61,55,52)</f>
        <v>56</v>
      </c>
      <c r="J130" s="2" t="s">
        <v>95</v>
      </c>
      <c r="K130" s="2" t="n">
        <v>15</v>
      </c>
      <c r="L130" s="2" t="n">
        <v>23</v>
      </c>
      <c r="M130" s="0" t="s">
        <v>94</v>
      </c>
      <c r="N130" s="0" t="n">
        <v>0</v>
      </c>
      <c r="O130" s="0" t="s">
        <v>120</v>
      </c>
      <c r="Q130" s="0" t="s">
        <v>121</v>
      </c>
      <c r="R130" s="3" t="n">
        <v>5.85</v>
      </c>
      <c r="S130" s="2" t="n">
        <v>720</v>
      </c>
      <c r="T130" s="2" t="n">
        <v>19311</v>
      </c>
      <c r="U130" s="2" t="n">
        <f aca="false">T130-S130</f>
        <v>18591</v>
      </c>
      <c r="V130" s="3" t="n">
        <f aca="false">(120+27)/60</f>
        <v>2.45</v>
      </c>
      <c r="W130" s="3" t="n">
        <f aca="false">(120+33)/60</f>
        <v>2.55</v>
      </c>
      <c r="X130" s="3" t="n">
        <f aca="false">W130-V130</f>
        <v>0.0999999999999996</v>
      </c>
      <c r="Y130" s="3" t="n">
        <f aca="false">R130/V130</f>
        <v>2.38775510204082</v>
      </c>
      <c r="Z130" s="0" t="n">
        <v>4</v>
      </c>
      <c r="AA130" s="3" t="n">
        <f aca="false">R130/Z130</f>
        <v>1.4625</v>
      </c>
      <c r="AB130" s="3" t="n">
        <f aca="false">25+4/60</f>
        <v>25.0666666666667</v>
      </c>
      <c r="AC130" s="2" t="n">
        <v>85</v>
      </c>
      <c r="AD130" s="2" t="n">
        <v>647</v>
      </c>
      <c r="AE130" s="2" t="n">
        <v>82</v>
      </c>
      <c r="AF130" s="2" t="n">
        <v>111</v>
      </c>
      <c r="AG130" s="3" t="n">
        <f aca="false">26+37/60</f>
        <v>26.6166666666667</v>
      </c>
      <c r="AH130" s="3" t="n">
        <f aca="false">25+6/60</f>
        <v>25.1</v>
      </c>
      <c r="AI130" s="3" t="n">
        <f aca="false">25+34/60</f>
        <v>25.5666666666667</v>
      </c>
      <c r="AJ130" s="3" t="n">
        <f aca="false">22+3/60</f>
        <v>22.05</v>
      </c>
      <c r="AK130" s="3" t="n">
        <f aca="false">24+49/60</f>
        <v>24.8166666666667</v>
      </c>
      <c r="AL130" s="3" t="n">
        <f aca="false">60/2.3</f>
        <v>26.0869565217391</v>
      </c>
      <c r="AR130" s="0" t="n">
        <v>2</v>
      </c>
      <c r="AS130" s="0" t="n">
        <v>0</v>
      </c>
      <c r="AU130" s="4" t="n">
        <f aca="false">60*V130-SUM(AV130:AZ130)</f>
        <v>40.8333333333333</v>
      </c>
      <c r="AV130" s="3" t="n">
        <f aca="false">60+3/60</f>
        <v>60.05</v>
      </c>
      <c r="AW130" s="3" t="n">
        <f aca="false">42+38/60</f>
        <v>42.6333333333333</v>
      </c>
      <c r="AX130" s="3" t="n">
        <f aca="false">3+29/60</f>
        <v>3.48333333333333</v>
      </c>
      <c r="AY130" s="3" t="n">
        <v>0</v>
      </c>
      <c r="AZ130" s="3" t="n">
        <v>0</v>
      </c>
      <c r="BA130" s="0" t="s">
        <v>59</v>
      </c>
      <c r="BB130" s="0" t="s">
        <v>60</v>
      </c>
      <c r="BC130" s="0" t="n">
        <v>0</v>
      </c>
    </row>
    <row r="131" customFormat="false" ht="12.8" hidden="false" customHeight="false" outlineLevel="0" collapsed="false">
      <c r="A131" s="0" t="n">
        <f aca="false">A130+1</f>
        <v>662</v>
      </c>
      <c r="B131" s="1" t="n">
        <v>44009.4583333333</v>
      </c>
      <c r="C131" s="0" t="n">
        <v>1</v>
      </c>
      <c r="F131" s="9" t="s">
        <v>122</v>
      </c>
      <c r="G131" s="2" t="n">
        <f aca="false">AVERAGE(86,89)</f>
        <v>87.5</v>
      </c>
      <c r="H131" s="2" t="n">
        <f aca="false">AVERAGE(71,72)</f>
        <v>71.5</v>
      </c>
      <c r="I131" s="2" t="n">
        <f aca="false">AVERAGE(61,57)</f>
        <v>59</v>
      </c>
      <c r="J131" s="2" t="s">
        <v>95</v>
      </c>
      <c r="K131" s="2" t="n">
        <v>14</v>
      </c>
      <c r="L131" s="2" t="n">
        <v>26</v>
      </c>
      <c r="M131" s="0" t="s">
        <v>94</v>
      </c>
      <c r="N131" s="0" t="n">
        <v>0</v>
      </c>
      <c r="O131" s="0" t="s">
        <v>57</v>
      </c>
      <c r="Q131" s="0" t="s">
        <v>116</v>
      </c>
      <c r="R131" s="3" t="n">
        <v>4.56</v>
      </c>
      <c r="S131" s="2" t="n">
        <v>751</v>
      </c>
      <c r="T131" s="2" t="n">
        <v>14944</v>
      </c>
      <c r="U131" s="2" t="n">
        <f aca="false">T131-S131</f>
        <v>14193</v>
      </c>
      <c r="V131" s="3" t="n">
        <f aca="false">(60+45)/60</f>
        <v>1.75</v>
      </c>
      <c r="W131" s="3" t="n">
        <f aca="false">(60+ 47)/60</f>
        <v>1.78333333333333</v>
      </c>
      <c r="X131" s="3" t="n">
        <f aca="false">W131-V131</f>
        <v>0.0333333333333334</v>
      </c>
      <c r="Y131" s="3" t="n">
        <f aca="false">R131/V131</f>
        <v>2.60571428571429</v>
      </c>
      <c r="Z131" s="0" t="n">
        <v>3</v>
      </c>
      <c r="AA131" s="3" t="n">
        <f aca="false">R131/Z131</f>
        <v>1.52</v>
      </c>
      <c r="AB131" s="3" t="n">
        <f aca="false">22+59/60</f>
        <v>22.9833333333333</v>
      </c>
      <c r="AC131" s="2" t="n">
        <v>171</v>
      </c>
      <c r="AD131" s="2" t="n">
        <v>817</v>
      </c>
      <c r="AE131" s="2" t="n">
        <v>113</v>
      </c>
      <c r="AF131" s="2" t="n">
        <v>147</v>
      </c>
      <c r="AG131" s="3" t="n">
        <f aca="false">26+9/60</f>
        <v>26.15</v>
      </c>
      <c r="AH131" s="3" t="n">
        <f aca="false">26+3/60</f>
        <v>26.05</v>
      </c>
      <c r="AI131" s="3" t="n">
        <f aca="false">20+30/60</f>
        <v>20.5</v>
      </c>
      <c r="AJ131" s="3" t="n">
        <f aca="false">19+2/60</f>
        <v>19.0333333333333</v>
      </c>
      <c r="AK131" s="3" t="n">
        <f aca="false">60/2.6</f>
        <v>23.0769230769231</v>
      </c>
      <c r="AR131" s="0" t="n">
        <v>1</v>
      </c>
      <c r="AS131" s="0" t="n">
        <v>2</v>
      </c>
      <c r="AU131" s="4" t="n">
        <v>0</v>
      </c>
      <c r="AV131" s="3" t="n">
        <f aca="false">0+52/60</f>
        <v>0.866666666666667</v>
      </c>
      <c r="AW131" s="3" t="n">
        <f aca="false">36+30/60</f>
        <v>36.5</v>
      </c>
      <c r="AX131" s="3" t="n">
        <f aca="false">25+38/50</f>
        <v>25.76</v>
      </c>
      <c r="AY131" s="3" t="n">
        <f aca="false">35+22/60</f>
        <v>35.3666666666667</v>
      </c>
      <c r="AZ131" s="3" t="n">
        <f aca="false">6+30/60</f>
        <v>6.5</v>
      </c>
      <c r="BA131" s="0" t="s">
        <v>59</v>
      </c>
      <c r="BB131" s="0" t="s">
        <v>60</v>
      </c>
      <c r="BC131" s="0" t="n">
        <v>0</v>
      </c>
    </row>
    <row r="132" customFormat="false" ht="12.8" hidden="false" customHeight="false" outlineLevel="0" collapsed="false">
      <c r="A132" s="0" t="n">
        <f aca="false">A131+1</f>
        <v>663</v>
      </c>
      <c r="B132" s="1" t="n">
        <v>44010.4951388889</v>
      </c>
      <c r="C132" s="0" t="n">
        <v>0</v>
      </c>
      <c r="D132" s="0" t="s">
        <v>70</v>
      </c>
      <c r="F132" s="0" t="s">
        <v>84</v>
      </c>
      <c r="G132" s="2" t="n">
        <v>88</v>
      </c>
      <c r="H132" s="2" t="n">
        <v>72</v>
      </c>
      <c r="I132" s="2" t="n">
        <v>58</v>
      </c>
      <c r="J132" s="2" t="s">
        <v>95</v>
      </c>
      <c r="K132" s="2" t="n">
        <v>15</v>
      </c>
      <c r="L132" s="2" t="n">
        <v>33</v>
      </c>
      <c r="M132" s="0" t="s">
        <v>94</v>
      </c>
    </row>
    <row r="133" customFormat="false" ht="12.8" hidden="false" customHeight="false" outlineLevel="0" collapsed="false">
      <c r="A133" s="0" t="n">
        <f aca="false">A132+1</f>
        <v>664</v>
      </c>
      <c r="B133" s="1" t="n">
        <v>44011.5055555556</v>
      </c>
      <c r="C133" s="0" t="n">
        <v>1</v>
      </c>
      <c r="F133" s="0" t="s">
        <v>61</v>
      </c>
      <c r="G133" s="2" t="n">
        <f aca="false">AVERAGE(90,92)</f>
        <v>91</v>
      </c>
      <c r="H133" s="2" t="n">
        <f aca="false">AVERAGE(72,70)</f>
        <v>71</v>
      </c>
      <c r="I133" s="2" t="n">
        <f aca="false">AVERAGE(48,47)</f>
        <v>47.5</v>
      </c>
      <c r="J133" s="2" t="s">
        <v>95</v>
      </c>
      <c r="K133" s="2" t="n">
        <f aca="false">AVERAGE(16,17)</f>
        <v>16.5</v>
      </c>
      <c r="L133" s="2" t="n">
        <f aca="false">AVERAGE(29,30)</f>
        <v>29.5</v>
      </c>
      <c r="M133" s="0" t="s">
        <v>94</v>
      </c>
      <c r="N133" s="0" t="n">
        <v>0</v>
      </c>
      <c r="O133" s="0" t="s">
        <v>120</v>
      </c>
      <c r="Q133" s="0" t="s">
        <v>116</v>
      </c>
      <c r="R133" s="3" t="n">
        <v>4.25</v>
      </c>
      <c r="S133" s="2" t="n">
        <v>854</v>
      </c>
      <c r="T133" s="2" t="n">
        <v>14500</v>
      </c>
      <c r="U133" s="2" t="n">
        <f aca="false">T133-S133</f>
        <v>13646</v>
      </c>
      <c r="V133" s="3" t="n">
        <f aca="false">(60+49)/60</f>
        <v>1.81666666666667</v>
      </c>
      <c r="W133" s="3" t="n">
        <f aca="false">(60+53)/60</f>
        <v>1.88333333333333</v>
      </c>
      <c r="X133" s="3" t="n">
        <f aca="false">W133-V133</f>
        <v>0.0666666666666667</v>
      </c>
      <c r="Y133" s="3" t="n">
        <f aca="false">R133/V133</f>
        <v>2.3394495412844</v>
      </c>
      <c r="Z133" s="0" t="n">
        <v>3</v>
      </c>
      <c r="AA133" s="3" t="n">
        <f aca="false">R133/Z133</f>
        <v>1.41666666666667</v>
      </c>
      <c r="AB133" s="3" t="n">
        <f aca="false">25+37/60</f>
        <v>25.6166666666667</v>
      </c>
      <c r="AC133" s="2" t="n">
        <v>56</v>
      </c>
      <c r="AD133" s="2" t="n">
        <v>546</v>
      </c>
      <c r="AE133" s="2" t="n">
        <v>93</v>
      </c>
      <c r="AF133" s="2" t="n">
        <v>127</v>
      </c>
      <c r="AG133" s="3" t="n">
        <f aca="false">24+27/60</f>
        <v>24.45</v>
      </c>
      <c r="AH133" s="3" t="n">
        <f aca="false">23+23/60</f>
        <v>23.3833333333333</v>
      </c>
      <c r="AI133" s="3" t="n">
        <f aca="false">26+58/60</f>
        <v>26.9666666666667</v>
      </c>
      <c r="AJ133" s="3" t="n">
        <f aca="false">27+5/60</f>
        <v>27.0833333333333</v>
      </c>
      <c r="AK133" s="3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4" t="n">
        <f aca="false">60*V133-SUM(AV133:AZ133)</f>
        <v>0.75</v>
      </c>
      <c r="AV133" s="3" t="n">
        <f aca="false">42+15/60</f>
        <v>42.25</v>
      </c>
      <c r="AW133" s="3" t="n">
        <f aca="false">48+32/60</f>
        <v>48.5333333333333</v>
      </c>
      <c r="AX133" s="3" t="n">
        <f aca="false">15+22/60</f>
        <v>15.3666666666667</v>
      </c>
      <c r="AY133" s="3" t="n">
        <f aca="false">2+6/60</f>
        <v>2.1</v>
      </c>
      <c r="AZ133" s="3" t="n">
        <v>0</v>
      </c>
      <c r="BA133" s="0" t="s">
        <v>59</v>
      </c>
      <c r="BB133" s="0" t="s">
        <v>60</v>
      </c>
      <c r="BC133" s="0" t="n">
        <v>0</v>
      </c>
    </row>
    <row r="134" customFormat="false" ht="12.8" hidden="false" customHeight="false" outlineLevel="0" collapsed="false">
      <c r="A134" s="0" t="n">
        <f aca="false">A133+1</f>
        <v>665</v>
      </c>
      <c r="B134" s="1" t="n">
        <v>44012.5125</v>
      </c>
      <c r="C134" s="0" t="n">
        <v>1</v>
      </c>
      <c r="F134" s="0" t="s">
        <v>84</v>
      </c>
      <c r="G134" s="2" t="n">
        <f aca="false">AVERAGE(90,92)</f>
        <v>91</v>
      </c>
      <c r="H134" s="2" t="n">
        <v>73</v>
      </c>
      <c r="I134" s="2" t="n">
        <v>57</v>
      </c>
      <c r="J134" s="2" t="s">
        <v>95</v>
      </c>
      <c r="K134" s="2" t="n">
        <f aca="false">AVERAGE(18,21)</f>
        <v>19.5</v>
      </c>
      <c r="L134" s="2" t="n">
        <v>20</v>
      </c>
      <c r="M134" s="0" t="s">
        <v>94</v>
      </c>
      <c r="N134" s="0" t="n">
        <v>0</v>
      </c>
      <c r="O134" s="0" t="s">
        <v>120</v>
      </c>
      <c r="Q134" s="0" t="s">
        <v>116</v>
      </c>
      <c r="R134" s="3" t="n">
        <v>4.33</v>
      </c>
      <c r="S134" s="2" t="n">
        <v>2862</v>
      </c>
      <c r="T134" s="2" t="n">
        <v>17088</v>
      </c>
      <c r="U134" s="2" t="n">
        <f aca="false">T134-S134</f>
        <v>14226</v>
      </c>
      <c r="V134" s="3" t="n">
        <f aca="false">(60+52)/60</f>
        <v>1.86666666666667</v>
      </c>
      <c r="W134" s="3" t="n">
        <f aca="false">(60+52)/60</f>
        <v>1.86666666666667</v>
      </c>
      <c r="X134" s="3" t="n">
        <f aca="false">W134-V134</f>
        <v>0</v>
      </c>
      <c r="Y134" s="3" t="n">
        <f aca="false">R134/V134</f>
        <v>2.31964285714286</v>
      </c>
      <c r="Z134" s="0" t="n">
        <v>3</v>
      </c>
      <c r="AA134" s="3" t="n">
        <f aca="false">R134/Z134</f>
        <v>1.44333333333333</v>
      </c>
      <c r="AB134" s="3" t="n">
        <f aca="false">25+46/60</f>
        <v>25.7666666666667</v>
      </c>
      <c r="AC134" s="2" t="n">
        <v>177</v>
      </c>
      <c r="AD134" s="2" t="n">
        <v>492</v>
      </c>
      <c r="AE134" s="2" t="n">
        <v>82</v>
      </c>
      <c r="AF134" s="2" t="n">
        <v>116</v>
      </c>
      <c r="AG134" s="3" t="n">
        <f aca="false">23+45/60</f>
        <v>23.75</v>
      </c>
      <c r="AH134" s="3" t="n">
        <f aca="false">23+27/60</f>
        <v>23.45</v>
      </c>
      <c r="AI134" s="3" t="n">
        <f aca="false">25+19/60</f>
        <v>25.3166666666667</v>
      </c>
      <c r="AJ134" s="3" t="n">
        <f aca="false">20+19/60</f>
        <v>20.3166666666667</v>
      </c>
      <c r="AK134" s="3" t="n">
        <f aca="false">60/2</f>
        <v>30</v>
      </c>
      <c r="AR134" s="0" t="n">
        <v>0</v>
      </c>
      <c r="AS134" s="0" t="n">
        <v>1</v>
      </c>
      <c r="AT134" s="0" t="n">
        <v>1</v>
      </c>
      <c r="AU134" s="4" t="n">
        <f aca="false">60*V134-SUM(AV134:AZ134)</f>
        <v>32.3</v>
      </c>
      <c r="AV134" s="3" t="n">
        <f aca="false">52+17/60</f>
        <v>52.2833333333333</v>
      </c>
      <c r="AW134" s="3" t="n">
        <f aca="false">18+48/60</f>
        <v>18.8</v>
      </c>
      <c r="AX134" s="3" t="n">
        <f aca="false">8+37/60</f>
        <v>8.61666666666667</v>
      </c>
      <c r="AY134" s="3" t="n">
        <v>0</v>
      </c>
      <c r="AZ134" s="3" t="n">
        <v>0</v>
      </c>
      <c r="BA134" s="0" t="s">
        <v>59</v>
      </c>
      <c r="BB134" s="0" t="s">
        <v>60</v>
      </c>
      <c r="BC134" s="0" t="n">
        <v>0</v>
      </c>
    </row>
    <row r="135" customFormat="false" ht="12.8" hidden="false" customHeight="false" outlineLevel="0" collapsed="false">
      <c r="A135" s="0" t="n">
        <f aca="false">A134+1</f>
        <v>666</v>
      </c>
      <c r="B135" s="1" t="n">
        <v>44013.4972222222</v>
      </c>
      <c r="C135" s="0" t="n">
        <v>1</v>
      </c>
      <c r="F135" s="0" t="s">
        <v>84</v>
      </c>
      <c r="G135" s="2" t="n">
        <f aca="false">AVERAGE(91,92,94)</f>
        <v>92.3333333333333</v>
      </c>
      <c r="H135" s="2" t="n">
        <f aca="false">AVERAGE(76,75)</f>
        <v>75.5</v>
      </c>
      <c r="I135" s="2" t="n">
        <f aca="false">AVERAGE(58,59,56)</f>
        <v>57.6666666666667</v>
      </c>
      <c r="J135" s="2" t="s">
        <v>95</v>
      </c>
      <c r="K135" s="2" t="n">
        <f aca="false">AVERAGE(15,13,13)</f>
        <v>13.6666666666667</v>
      </c>
      <c r="L135" s="2" t="n">
        <v>25</v>
      </c>
      <c r="M135" s="0" t="s">
        <v>94</v>
      </c>
      <c r="N135" s="0" t="n">
        <v>0</v>
      </c>
      <c r="O135" s="0" t="s">
        <v>57</v>
      </c>
      <c r="Q135" s="0" t="s">
        <v>116</v>
      </c>
      <c r="R135" s="3" t="n">
        <v>4.88</v>
      </c>
      <c r="S135" s="2" t="n">
        <v>1252</v>
      </c>
      <c r="T135" s="2" t="n">
        <v>16054</v>
      </c>
      <c r="U135" s="2" t="n">
        <f aca="false">T135-S135</f>
        <v>14802</v>
      </c>
      <c r="V135" s="3" t="n">
        <f aca="false">(60+52)/60</f>
        <v>1.86666666666667</v>
      </c>
      <c r="W135" s="3" t="n">
        <f aca="false">(60+58)/60</f>
        <v>1.96666666666667</v>
      </c>
      <c r="X135" s="3" t="n">
        <f aca="false">W135-V135</f>
        <v>0.0999999999999999</v>
      </c>
      <c r="Y135" s="3" t="n">
        <f aca="false">R135/V135</f>
        <v>2.61428571428571</v>
      </c>
      <c r="Z135" s="0" t="n">
        <v>3</v>
      </c>
      <c r="AA135" s="3" t="n">
        <f aca="false">R135/Z135</f>
        <v>1.62666666666667</v>
      </c>
      <c r="AB135" s="3" t="n">
        <f aca="false">22+57/60</f>
        <v>22.95</v>
      </c>
      <c r="AC135" s="2" t="n">
        <v>469</v>
      </c>
      <c r="AD135" s="2" t="n">
        <v>999</v>
      </c>
      <c r="AE135" s="2" t="n">
        <v>116</v>
      </c>
      <c r="AF135" s="2" t="n">
        <v>157</v>
      </c>
      <c r="AG135" s="3" t="n">
        <f aca="false">24+43/60</f>
        <v>24.7166666666667</v>
      </c>
      <c r="AH135" s="3" t="n">
        <f aca="false">12+6/60</f>
        <v>12.1</v>
      </c>
      <c r="AI135" s="3" t="n">
        <f aca="false">22+54/60</f>
        <v>22.9</v>
      </c>
      <c r="AJ135" s="3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4" t="n">
        <f aca="false">60*V135-SUM(AV135:AZ135)</f>
        <v>0.049999999999983</v>
      </c>
      <c r="AV135" s="3" t="n">
        <f aca="false">1+23/60</f>
        <v>1.38333333333333</v>
      </c>
      <c r="AW135" s="3" t="n">
        <f aca="false">22+44/60</f>
        <v>22.7333333333333</v>
      </c>
      <c r="AX135" s="3" t="n">
        <f aca="false">27+52/60</f>
        <v>27.8666666666667</v>
      </c>
      <c r="AY135" s="3" t="n">
        <f aca="false">57+46/60</f>
        <v>57.7666666666667</v>
      </c>
      <c r="AZ135" s="3" t="n">
        <f aca="false">2+12/60</f>
        <v>2.2</v>
      </c>
      <c r="BA135" s="0" t="s">
        <v>59</v>
      </c>
      <c r="BB135" s="0" t="s">
        <v>60</v>
      </c>
      <c r="BC135" s="0" t="n">
        <v>0</v>
      </c>
    </row>
    <row r="136" customFormat="false" ht="12.8" hidden="false" customHeight="false" outlineLevel="0" collapsed="false">
      <c r="A136" s="0" t="n">
        <f aca="false">A135+1</f>
        <v>667</v>
      </c>
      <c r="B136" s="1" t="n">
        <v>44014.55</v>
      </c>
      <c r="C136" s="0" t="n">
        <v>1</v>
      </c>
      <c r="F136" s="0" t="s">
        <v>56</v>
      </c>
      <c r="G136" s="2" t="n">
        <v>92</v>
      </c>
      <c r="H136" s="2" t="n">
        <v>76</v>
      </c>
      <c r="I136" s="2" t="n">
        <v>59</v>
      </c>
      <c r="J136" s="2" t="s">
        <v>123</v>
      </c>
      <c r="K136" s="2" t="n">
        <v>10</v>
      </c>
      <c r="L136" s="2" t="n">
        <v>0</v>
      </c>
      <c r="M136" s="0" t="s">
        <v>94</v>
      </c>
      <c r="N136" s="0" t="n">
        <v>0</v>
      </c>
      <c r="O136" s="0" t="s">
        <v>57</v>
      </c>
      <c r="Q136" s="0" t="s">
        <v>116</v>
      </c>
      <c r="R136" s="3" t="n">
        <v>2.52</v>
      </c>
      <c r="V136" s="3" t="n">
        <f aca="false">64/60</f>
        <v>1.06666666666667</v>
      </c>
      <c r="W136" s="3" t="n">
        <f aca="false">64/60</f>
        <v>1.06666666666667</v>
      </c>
      <c r="X136" s="3" t="n">
        <f aca="false">W136-V136</f>
        <v>0</v>
      </c>
      <c r="Y136" s="3" t="n">
        <f aca="false">R136/V136</f>
        <v>2.3625</v>
      </c>
      <c r="Z136" s="0" t="n">
        <v>2</v>
      </c>
      <c r="AA136" s="3" t="n">
        <f aca="false">R136/Z136</f>
        <v>1.26</v>
      </c>
      <c r="AB136" s="3" t="n">
        <f aca="false">25+28/60</f>
        <v>25.4666666666667</v>
      </c>
      <c r="AC136" s="2" t="n">
        <v>79</v>
      </c>
      <c r="AD136" s="2" t="n">
        <v>277</v>
      </c>
      <c r="AE136" s="2" t="n">
        <v>79</v>
      </c>
      <c r="AF136" s="2" t="n">
        <v>110</v>
      </c>
      <c r="AG136" s="3" t="n">
        <f aca="false">25+18/60</f>
        <v>25.3</v>
      </c>
      <c r="AH136" s="3" t="n">
        <f aca="false">24+59/60</f>
        <v>24.9833333333333</v>
      </c>
      <c r="AI136" s="3" t="n">
        <f aca="false">60/2.4</f>
        <v>25</v>
      </c>
      <c r="AR136" s="0" t="n">
        <v>0</v>
      </c>
      <c r="AS136" s="0" t="n">
        <v>0</v>
      </c>
      <c r="AT136" s="0" t="n">
        <v>0</v>
      </c>
      <c r="AU136" s="4" t="n">
        <f aca="false">60*V136-SUM(AV136:AZ136)</f>
        <v>26.7166666666667</v>
      </c>
      <c r="AV136" s="3" t="n">
        <f aca="false">13+23/60</f>
        <v>13.3833333333333</v>
      </c>
      <c r="AW136" s="3" t="n">
        <f aca="false">23+15/60</f>
        <v>23.25</v>
      </c>
      <c r="AX136" s="3" t="n">
        <f aca="false">39/60</f>
        <v>0.65</v>
      </c>
      <c r="AY136" s="3" t="n">
        <v>0</v>
      </c>
      <c r="AZ136" s="3" t="n">
        <v>0</v>
      </c>
      <c r="BA136" s="0" t="s">
        <v>59</v>
      </c>
      <c r="BB136" s="0" t="s">
        <v>60</v>
      </c>
      <c r="BC136" s="0" t="n">
        <v>0</v>
      </c>
    </row>
    <row r="137" customFormat="false" ht="12.8" hidden="false" customHeight="false" outlineLevel="0" collapsed="false">
      <c r="A137" s="0" t="n">
        <f aca="false">A136+1</f>
        <v>668</v>
      </c>
      <c r="B137" s="1" t="n">
        <v>44015.5034722222</v>
      </c>
      <c r="C137" s="0" t="n">
        <v>1</v>
      </c>
      <c r="F137" s="0" t="s">
        <v>61</v>
      </c>
      <c r="G137" s="2" t="n">
        <f aca="false">AVERAGE(95,96)</f>
        <v>95.5</v>
      </c>
      <c r="H137" s="2" t="n">
        <f aca="false">AVERAGE(67,64)</f>
        <v>65.5</v>
      </c>
      <c r="I137" s="2" t="n">
        <f aca="false">AVERAGE(40,35)</f>
        <v>37.5</v>
      </c>
      <c r="J137" s="2" t="s">
        <v>103</v>
      </c>
      <c r="K137" s="2" t="n">
        <v>3</v>
      </c>
      <c r="L137" s="2" t="n">
        <v>0</v>
      </c>
      <c r="M137" s="0" t="s">
        <v>94</v>
      </c>
      <c r="N137" s="0" t="n">
        <v>0</v>
      </c>
      <c r="O137" s="0" t="s">
        <v>120</v>
      </c>
      <c r="Q137" s="0" t="s">
        <v>121</v>
      </c>
      <c r="R137" s="3" t="n">
        <v>5.08</v>
      </c>
      <c r="S137" s="2" t="n">
        <v>995</v>
      </c>
      <c r="T137" s="2" t="n">
        <v>16402</v>
      </c>
      <c r="U137" s="2" t="n">
        <f aca="false">T137-S137</f>
        <v>15407</v>
      </c>
      <c r="V137" s="3" t="n">
        <f aca="false">122/60</f>
        <v>2.03333333333333</v>
      </c>
      <c r="W137" s="3" t="n">
        <f aca="false">122/60</f>
        <v>2.03333333333333</v>
      </c>
      <c r="X137" s="3" t="n">
        <f aca="false">W137-V137</f>
        <v>0</v>
      </c>
      <c r="Y137" s="3" t="n">
        <f aca="false">R137/V137</f>
        <v>2.4983606557377</v>
      </c>
      <c r="Z137" s="0" t="n">
        <v>4</v>
      </c>
      <c r="AA137" s="3" t="n">
        <f aca="false">R137/Z137</f>
        <v>1.27</v>
      </c>
      <c r="AB137" s="3" t="n">
        <f aca="false">24+2/60</f>
        <v>24.0333333333333</v>
      </c>
      <c r="AC137" s="2" t="n">
        <v>62</v>
      </c>
      <c r="AD137" s="2" t="n">
        <v>709</v>
      </c>
      <c r="AE137" s="2" t="n">
        <v>97</v>
      </c>
      <c r="AF137" s="2" t="n">
        <v>129</v>
      </c>
      <c r="AG137" s="3" t="n">
        <f aca="false">23+25/60</f>
        <v>23.4166666666667</v>
      </c>
      <c r="AH137" s="3" t="n">
        <f aca="false">22+45/60</f>
        <v>22.75</v>
      </c>
      <c r="AI137" s="3" t="n">
        <f aca="false">28+21/60</f>
        <v>28.35</v>
      </c>
      <c r="AJ137" s="3" t="n">
        <f aca="false">25+59/60</f>
        <v>25.9833333333333</v>
      </c>
      <c r="AK137" s="3" t="n">
        <f aca="false">19+52/60</f>
        <v>19.8666666666667</v>
      </c>
      <c r="AL137" s="3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4" t="n">
        <f aca="false">60*V137-SUM(AV137:AZ137)</f>
        <v>38.9833333333333</v>
      </c>
      <c r="AV137" s="3" t="n">
        <f aca="false">16+9/60</f>
        <v>16.15</v>
      </c>
      <c r="AW137" s="3" t="n">
        <f aca="false">39+14/60</f>
        <v>39.2333333333333</v>
      </c>
      <c r="AX137" s="3" t="n">
        <f aca="false">27+38/60</f>
        <v>27.6333333333333</v>
      </c>
      <c r="AY137" s="3" t="n">
        <v>0</v>
      </c>
      <c r="AZ137" s="3" t="n">
        <v>0</v>
      </c>
      <c r="BA137" s="0" t="s">
        <v>59</v>
      </c>
      <c r="BB137" s="0" t="s">
        <v>60</v>
      </c>
      <c r="BC137" s="0" t="n">
        <v>0</v>
      </c>
    </row>
    <row r="138" customFormat="false" ht="12.8" hidden="false" customHeight="false" outlineLevel="0" collapsed="false">
      <c r="A138" s="0" t="n">
        <f aca="false">A137+1</f>
        <v>669</v>
      </c>
      <c r="B138" s="1" t="n">
        <v>44016.3673611111</v>
      </c>
      <c r="C138" s="0" t="n">
        <v>1</v>
      </c>
      <c r="F138" s="0" t="s">
        <v>61</v>
      </c>
      <c r="G138" s="2" t="n">
        <f aca="false">AVERAGE(82,86)</f>
        <v>84</v>
      </c>
      <c r="H138" s="2" t="n">
        <f aca="false">AVERAGE(70,71)</f>
        <v>70.5</v>
      </c>
      <c r="I138" s="2" t="n">
        <f aca="false">AVERAGE(67,71)</f>
        <v>69</v>
      </c>
      <c r="J138" s="2" t="s">
        <v>95</v>
      </c>
      <c r="K138" s="2" t="n">
        <f aca="false">AVERAGE(5,6)</f>
        <v>5.5</v>
      </c>
      <c r="L138" s="2" t="n">
        <v>0</v>
      </c>
      <c r="M138" s="0" t="s">
        <v>94</v>
      </c>
      <c r="N138" s="0" t="n">
        <v>0</v>
      </c>
      <c r="O138" s="0" t="s">
        <v>57</v>
      </c>
      <c r="Q138" s="0" t="s">
        <v>116</v>
      </c>
      <c r="R138" s="3" t="n">
        <v>3.36</v>
      </c>
      <c r="S138" s="2" t="n">
        <v>349</v>
      </c>
      <c r="T138" s="2" t="n">
        <v>12124</v>
      </c>
      <c r="U138" s="2" t="n">
        <f aca="false">T138-S138</f>
        <v>11775</v>
      </c>
      <c r="V138" s="3" t="n">
        <f aca="false">(60+27)/60</f>
        <v>1.45</v>
      </c>
      <c r="W138" s="3" t="n">
        <f aca="false">(60+27)/60</f>
        <v>1.45</v>
      </c>
      <c r="X138" s="3" t="n">
        <f aca="false">W138-V138</f>
        <v>0</v>
      </c>
      <c r="Y138" s="3" t="n">
        <f aca="false">R138/V138</f>
        <v>2.31724137931034</v>
      </c>
      <c r="Z138" s="0" t="n">
        <v>3</v>
      </c>
      <c r="AA138" s="3" t="n">
        <f aca="false">R138/Z138</f>
        <v>1.12</v>
      </c>
      <c r="AB138" s="3" t="n">
        <f aca="false">25+52/60</f>
        <v>25.8666666666667</v>
      </c>
      <c r="AC138" s="2" t="n">
        <v>46</v>
      </c>
      <c r="AD138" s="2" t="n">
        <v>996</v>
      </c>
      <c r="AE138" s="2" t="n">
        <v>129</v>
      </c>
      <c r="AF138" s="2" t="n">
        <v>149</v>
      </c>
      <c r="AG138" s="3" t="n">
        <f aca="false">24+44/60</f>
        <v>24.7333333333333</v>
      </c>
      <c r="AH138" s="3" t="n">
        <f aca="false">25+48/60</f>
        <v>25.8</v>
      </c>
      <c r="AI138" s="3" t="n">
        <f aca="false">25+59/60</f>
        <v>25.9833333333333</v>
      </c>
      <c r="AJ138" s="3" t="n">
        <f aca="false">60/2.1</f>
        <v>28.5714285714286</v>
      </c>
      <c r="AR138" s="0" t="n">
        <v>0</v>
      </c>
      <c r="AS138" s="0" t="n">
        <v>1</v>
      </c>
      <c r="AU138" s="4" t="n">
        <f aca="false">60*V138-SUM(AV138:AZ138)</f>
        <v>0.216666666666669</v>
      </c>
      <c r="AV138" s="3" t="n">
        <f aca="false">2/60</f>
        <v>0.0333333333333333</v>
      </c>
      <c r="AW138" s="3" t="n">
        <f aca="false">2</f>
        <v>2</v>
      </c>
      <c r="AX138" s="3" t="n">
        <f aca="false">8+43/60</f>
        <v>8.71666666666667</v>
      </c>
      <c r="AY138" s="3" t="n">
        <f aca="false">51+31/60</f>
        <v>51.5166666666667</v>
      </c>
      <c r="AZ138" s="3" t="n">
        <f aca="false">24+31/60</f>
        <v>24.5166666666667</v>
      </c>
      <c r="BA138" s="0" t="s">
        <v>59</v>
      </c>
      <c r="BB138" s="0" t="s">
        <v>60</v>
      </c>
      <c r="BC138" s="0" t="n">
        <v>0</v>
      </c>
    </row>
    <row r="139" customFormat="false" ht="12.8" hidden="false" customHeight="false" outlineLevel="0" collapsed="false">
      <c r="A139" s="0" t="n">
        <f aca="false">A138+1</f>
        <v>670</v>
      </c>
      <c r="B139" s="1" t="n">
        <v>44017.5104166667</v>
      </c>
      <c r="C139" s="0" t="n">
        <v>1</v>
      </c>
      <c r="F139" s="0" t="s">
        <v>61</v>
      </c>
      <c r="G139" s="2" t="n">
        <f aca="false">AVERAGE(86,89)</f>
        <v>87.5</v>
      </c>
      <c r="H139" s="2" t="n">
        <f aca="false">AVERAGE(74,72)</f>
        <v>73</v>
      </c>
      <c r="I139" s="2" t="n">
        <f aca="false">AVERAGE(67,57)</f>
        <v>62</v>
      </c>
      <c r="J139" s="2" t="s">
        <v>110</v>
      </c>
      <c r="K139" s="2" t="n">
        <v>5</v>
      </c>
      <c r="L139" s="2" t="n">
        <v>0</v>
      </c>
      <c r="M139" s="0" t="s">
        <v>94</v>
      </c>
      <c r="N139" s="0" t="n">
        <v>0</v>
      </c>
      <c r="O139" s="0" t="s">
        <v>120</v>
      </c>
      <c r="Q139" s="0" t="s">
        <v>121</v>
      </c>
      <c r="R139" s="3" t="n">
        <v>5.08</v>
      </c>
      <c r="S139" s="2" t="n">
        <v>1593</v>
      </c>
      <c r="T139" s="2" t="n">
        <v>18923</v>
      </c>
      <c r="U139" s="2" t="n">
        <f aca="false">T139-S139</f>
        <v>17330</v>
      </c>
      <c r="V139" s="3" t="n">
        <f aca="false">(120+9)/60</f>
        <v>2.15</v>
      </c>
      <c r="W139" s="3" t="n">
        <f aca="false">(120+10)/60</f>
        <v>2.16666666666667</v>
      </c>
      <c r="X139" s="3" t="n">
        <f aca="false">W139-V139</f>
        <v>0.0166666666666666</v>
      </c>
      <c r="Y139" s="3" t="n">
        <f aca="false">R139/V139</f>
        <v>2.36279069767442</v>
      </c>
      <c r="Z139" s="0" t="n">
        <v>4</v>
      </c>
      <c r="AA139" s="3" t="n">
        <f aca="false">R139/Z139</f>
        <v>1.27</v>
      </c>
      <c r="AB139" s="3" t="n">
        <f aca="false">25+25/60</f>
        <v>25.4166666666667</v>
      </c>
      <c r="AC139" s="2" t="n">
        <v>79</v>
      </c>
      <c r="AD139" s="2" t="n">
        <v>680</v>
      </c>
      <c r="AE139" s="2" t="n">
        <v>97</v>
      </c>
      <c r="AF139" s="2" t="n">
        <v>132</v>
      </c>
      <c r="AG139" s="3" t="n">
        <f aca="false">25+50/60</f>
        <v>25.8333333333333</v>
      </c>
      <c r="AH139" s="3" t="n">
        <f aca="false">28+40/60</f>
        <v>28.6666666666667</v>
      </c>
      <c r="AI139" s="3" t="n">
        <f aca="false">24+18/60</f>
        <v>24.3</v>
      </c>
      <c r="AJ139" s="3" t="n">
        <f aca="false">23+41/60</f>
        <v>23.6833333333333</v>
      </c>
      <c r="AK139" s="3" t="n">
        <f aca="false">24+48/60</f>
        <v>24.8</v>
      </c>
      <c r="AL139" s="3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4" t="n">
        <f aca="false">60*V139-SUM(AV139:AZ139)</f>
        <v>6</v>
      </c>
      <c r="AV139" s="3" t="n">
        <f aca="false">38+56/60</f>
        <v>38.9333333333333</v>
      </c>
      <c r="AW139" s="3" t="n">
        <f aca="false">46+46/60</f>
        <v>46.7666666666667</v>
      </c>
      <c r="AX139" s="3" t="n">
        <f aca="false">18+40/60</f>
        <v>18.6666666666667</v>
      </c>
      <c r="AY139" s="3" t="n">
        <f aca="false">18+38/60</f>
        <v>18.6333333333333</v>
      </c>
      <c r="AZ139" s="3" t="n">
        <v>0</v>
      </c>
      <c r="BA139" s="0" t="s">
        <v>59</v>
      </c>
      <c r="BB139" s="0" t="s">
        <v>60</v>
      </c>
      <c r="BC139" s="0" t="n">
        <v>0</v>
      </c>
    </row>
    <row r="140" customFormat="false" ht="12.8" hidden="false" customHeight="false" outlineLevel="0" collapsed="false">
      <c r="A140" s="0" t="n">
        <f aca="false">A139+1</f>
        <v>671</v>
      </c>
      <c r="B140" s="1" t="n">
        <v>44018.425</v>
      </c>
      <c r="C140" s="0" t="n">
        <v>1</v>
      </c>
      <c r="F140" s="0" t="s">
        <v>84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94</v>
      </c>
      <c r="N140" s="0" t="n">
        <v>0</v>
      </c>
      <c r="O140" s="0" t="s">
        <v>57</v>
      </c>
      <c r="Q140" s="0" t="s">
        <v>121</v>
      </c>
      <c r="R140" s="3" t="n">
        <v>5.16</v>
      </c>
      <c r="S140" s="2" t="n">
        <v>904</v>
      </c>
      <c r="T140" s="2" t="n">
        <v>16075</v>
      </c>
      <c r="U140" s="2" t="n">
        <f aca="false">T140-S140</f>
        <v>15171</v>
      </c>
      <c r="V140" s="3" t="n">
        <f aca="false">(120+1)/60</f>
        <v>2.01666666666667</v>
      </c>
      <c r="W140" s="3" t="n">
        <f aca="false">(120+2)/60</f>
        <v>2.03333333333333</v>
      </c>
      <c r="X140" s="3" t="n">
        <f aca="false">W140-V140</f>
        <v>0.0166666666666666</v>
      </c>
      <c r="Y140" s="3" t="n">
        <f aca="false">R140/V140</f>
        <v>2.55867768595041</v>
      </c>
      <c r="Z140" s="0" t="n">
        <v>4</v>
      </c>
      <c r="AA140" s="3" t="n">
        <f aca="false">R140/Z140</f>
        <v>1.29</v>
      </c>
      <c r="AB140" s="3" t="n">
        <f aca="false">23+28/60</f>
        <v>23.4666666666667</v>
      </c>
      <c r="AC140" s="2" t="n">
        <v>121</v>
      </c>
      <c r="AD140" s="2" t="n">
        <v>611</v>
      </c>
      <c r="AE140" s="2" t="n">
        <v>88</v>
      </c>
      <c r="AF140" s="2" t="n">
        <v>133</v>
      </c>
      <c r="AG140" s="3" t="n">
        <f aca="false">21+5/60</f>
        <v>21.0833333333333</v>
      </c>
      <c r="AH140" s="3" t="n">
        <f aca="false">25+37/60</f>
        <v>25.6166666666667</v>
      </c>
      <c r="AI140" s="3" t="n">
        <f aca="false">22+29/60</f>
        <v>22.4833333333333</v>
      </c>
      <c r="AJ140" s="3" t="n">
        <f aca="false">23+14/60</f>
        <v>23.2333333333333</v>
      </c>
      <c r="AK140" s="3" t="n">
        <f aca="false">24+49/60</f>
        <v>24.8166666666667</v>
      </c>
      <c r="AL140" s="3" t="n">
        <f aca="false">60/2.5</f>
        <v>24</v>
      </c>
      <c r="AR140" s="0" t="n">
        <v>1</v>
      </c>
      <c r="AS140" s="0" t="n">
        <v>3</v>
      </c>
      <c r="AT140" s="0" t="n">
        <v>0</v>
      </c>
      <c r="AU140" s="4" t="n">
        <f aca="false">60*V140-SUM(AV140:AZ140)</f>
        <v>6.95</v>
      </c>
      <c r="AV140" s="3" t="n">
        <f aca="false">68+50/60</f>
        <v>68.8333333333333</v>
      </c>
      <c r="AW140" s="3" t="n">
        <f aca="false">29+24/60</f>
        <v>29.4</v>
      </c>
      <c r="AX140" s="3" t="n">
        <f aca="false">11</f>
        <v>11</v>
      </c>
      <c r="AY140" s="3" t="n">
        <f aca="false">4+49/60</f>
        <v>4.81666666666667</v>
      </c>
      <c r="AZ140" s="3" t="n">
        <v>0</v>
      </c>
      <c r="BA140" s="0" t="s">
        <v>59</v>
      </c>
      <c r="BB140" s="0" t="s">
        <v>60</v>
      </c>
      <c r="BC140" s="0" t="n">
        <v>0</v>
      </c>
    </row>
    <row r="141" customFormat="false" ht="12.8" hidden="false" customHeight="false" outlineLevel="0" collapsed="false">
      <c r="A141" s="0" t="n">
        <f aca="false">A140+1</f>
        <v>672</v>
      </c>
      <c r="B141" s="1" t="n">
        <v>44018.4534722222</v>
      </c>
      <c r="C141" s="0" t="n">
        <v>1</v>
      </c>
      <c r="F141" s="0" t="s">
        <v>84</v>
      </c>
      <c r="G141" s="2" t="n">
        <f aca="false">AVERAGE(76,77)</f>
        <v>76.5</v>
      </c>
      <c r="H141" s="2" t="n">
        <f aca="false">AVERAGE(76,75)</f>
        <v>75.5</v>
      </c>
      <c r="I141" s="2" t="n">
        <f aca="false">AVERAGE(100,94)</f>
        <v>97</v>
      </c>
      <c r="J141" s="2" t="s">
        <v>102</v>
      </c>
      <c r="K141" s="2" t="n">
        <v>0</v>
      </c>
      <c r="L141" s="2" t="n">
        <v>0</v>
      </c>
      <c r="M141" s="0" t="s">
        <v>94</v>
      </c>
      <c r="N141" s="0" t="n">
        <v>0</v>
      </c>
      <c r="O141" s="0" t="s">
        <v>120</v>
      </c>
      <c r="Q141" s="0" t="s">
        <v>121</v>
      </c>
      <c r="R141" s="3" t="n">
        <v>5.16</v>
      </c>
      <c r="S141" s="2" t="n">
        <v>904</v>
      </c>
      <c r="T141" s="2" t="n">
        <v>16075</v>
      </c>
      <c r="U141" s="2" t="n">
        <f aca="false">T141-S141</f>
        <v>15171</v>
      </c>
      <c r="V141" s="3" t="n">
        <f aca="false">(120+1)/60</f>
        <v>2.01666666666667</v>
      </c>
      <c r="W141" s="3" t="n">
        <f aca="false">(120+2)/60</f>
        <v>2.03333333333333</v>
      </c>
      <c r="X141" s="3" t="n">
        <f aca="false">W141-V141</f>
        <v>0.0166666666666666</v>
      </c>
      <c r="Y141" s="3" t="n">
        <f aca="false">R141/V141</f>
        <v>2.55867768595041</v>
      </c>
      <c r="Z141" s="0" t="n">
        <v>4</v>
      </c>
      <c r="AA141" s="3" t="n">
        <f aca="false">R141/Z141</f>
        <v>1.29</v>
      </c>
      <c r="AB141" s="3" t="n">
        <f aca="false">23+28/60</f>
        <v>23.4666666666667</v>
      </c>
      <c r="AC141" s="2" t="n">
        <v>121</v>
      </c>
      <c r="AD141" s="2" t="n">
        <v>611</v>
      </c>
      <c r="AE141" s="2" t="n">
        <v>88</v>
      </c>
      <c r="AF141" s="0" t="n">
        <v>133</v>
      </c>
      <c r="AG141" s="3" t="n">
        <f aca="false">21+5/60</f>
        <v>21.0833333333333</v>
      </c>
      <c r="AH141" s="3" t="n">
        <f aca="false">25+37/60</f>
        <v>25.6166666666667</v>
      </c>
      <c r="AI141" s="3" t="n">
        <f aca="false">22+29/60</f>
        <v>22.4833333333333</v>
      </c>
      <c r="AJ141" s="3" t="n">
        <f aca="false">23+14/60</f>
        <v>23.2333333333333</v>
      </c>
      <c r="AK141" s="3" t="n">
        <f aca="false">24+49/60</f>
        <v>24.8166666666667</v>
      </c>
      <c r="AL141" s="3" t="n">
        <f aca="false">60/2.5</f>
        <v>24</v>
      </c>
      <c r="AR141" s="0" t="n">
        <v>1</v>
      </c>
      <c r="AS141" s="0" t="n">
        <v>3</v>
      </c>
      <c r="AT141" s="0" t="n">
        <v>1</v>
      </c>
      <c r="AU141" s="4" t="n">
        <f aca="false">60*V141-SUM(AV141:AZ141)</f>
        <v>6.95</v>
      </c>
      <c r="AV141" s="3" t="n">
        <f aca="false">68+50/60</f>
        <v>68.8333333333333</v>
      </c>
      <c r="AW141" s="3" t="n">
        <f aca="false">29+24/60</f>
        <v>29.4</v>
      </c>
      <c r="AX141" s="3" t="n">
        <f aca="false">11</f>
        <v>11</v>
      </c>
      <c r="AY141" s="3" t="n">
        <f aca="false">4+49/60</f>
        <v>4.81666666666667</v>
      </c>
      <c r="AZ141" s="3" t="n">
        <v>0</v>
      </c>
      <c r="BA141" s="0" t="s">
        <v>59</v>
      </c>
      <c r="BB141" s="0" t="s">
        <v>60</v>
      </c>
      <c r="BC141" s="0" t="n">
        <v>0</v>
      </c>
    </row>
    <row r="142" customFormat="false" ht="12.8" hidden="false" customHeight="false" outlineLevel="0" collapsed="false">
      <c r="A142" s="0" t="n">
        <f aca="false">A141+1</f>
        <v>673</v>
      </c>
      <c r="B142" s="1" t="n">
        <v>44019.4534722222</v>
      </c>
      <c r="C142" s="0" t="n">
        <v>0</v>
      </c>
      <c r="D142" s="0" t="s">
        <v>124</v>
      </c>
      <c r="F142" s="0" t="s">
        <v>56</v>
      </c>
      <c r="G142" s="2" t="n">
        <v>79</v>
      </c>
      <c r="H142" s="2" t="n">
        <v>75</v>
      </c>
      <c r="I142" s="2" t="n">
        <v>88</v>
      </c>
      <c r="J142" s="2" t="s">
        <v>102</v>
      </c>
      <c r="K142" s="2" t="n">
        <v>10</v>
      </c>
      <c r="L142" s="2" t="n">
        <v>0</v>
      </c>
      <c r="M142" s="0" t="s">
        <v>94</v>
      </c>
      <c r="Q142" s="0" t="s">
        <v>116</v>
      </c>
      <c r="BA142" s="0" t="s">
        <v>59</v>
      </c>
      <c r="BB142" s="0" t="s">
        <v>60</v>
      </c>
      <c r="BC142" s="0" t="n">
        <v>1</v>
      </c>
      <c r="BD142" s="0" t="s">
        <v>86</v>
      </c>
    </row>
    <row r="143" customFormat="false" ht="12.8" hidden="false" customHeight="false" outlineLevel="0" collapsed="false">
      <c r="A143" s="0" t="n">
        <v>674</v>
      </c>
      <c r="B143" s="1" t="n">
        <v>44020.575</v>
      </c>
      <c r="C143" s="0" t="n">
        <v>1</v>
      </c>
      <c r="F143" s="0" t="s">
        <v>84</v>
      </c>
      <c r="G143" s="2" t="n">
        <f aca="false">AVERAGE(90,91)</f>
        <v>90.5</v>
      </c>
      <c r="H143" s="2" t="n">
        <f aca="false">AVERAGE(77,78)</f>
        <v>77.5</v>
      </c>
      <c r="I143" s="2" t="n">
        <f aca="false">AVERAGE(65,66)</f>
        <v>65.5</v>
      </c>
      <c r="J143" s="2" t="s">
        <v>103</v>
      </c>
      <c r="K143" s="2" t="n">
        <v>15</v>
      </c>
      <c r="L143" s="2" t="n">
        <v>0</v>
      </c>
      <c r="M143" s="0" t="s">
        <v>94</v>
      </c>
      <c r="N143" s="0" t="n">
        <v>0</v>
      </c>
      <c r="O143" s="0" t="s">
        <v>120</v>
      </c>
      <c r="Q143" s="0" t="s">
        <v>121</v>
      </c>
      <c r="R143" s="3" t="n">
        <v>4.88</v>
      </c>
      <c r="S143" s="2" t="n">
        <v>3071</v>
      </c>
      <c r="T143" s="2" t="n">
        <v>18579</v>
      </c>
      <c r="U143" s="2" t="n">
        <f aca="false">T143-S143</f>
        <v>15508</v>
      </c>
      <c r="V143" s="3" t="n">
        <f aca="false">(60+59)/60</f>
        <v>1.98333333333333</v>
      </c>
      <c r="W143" s="3" t="n">
        <v>2</v>
      </c>
      <c r="X143" s="3" t="n">
        <f aca="false">W143-V143</f>
        <v>0.0166666666666666</v>
      </c>
      <c r="Y143" s="3" t="n">
        <f aca="false">R143/V143</f>
        <v>2.46050420168067</v>
      </c>
      <c r="Z143" s="0" t="n">
        <v>4</v>
      </c>
      <c r="AA143" s="3" t="n">
        <f aca="false">R143/Z143</f>
        <v>1.22</v>
      </c>
      <c r="AB143" s="3" t="n">
        <f aca="false">24+27/60</f>
        <v>24.45</v>
      </c>
      <c r="AC143" s="2" t="n">
        <v>69</v>
      </c>
      <c r="AD143" s="2" t="n">
        <v>557</v>
      </c>
      <c r="AE143" s="2" t="n">
        <v>82</v>
      </c>
      <c r="AF143" s="2" t="n">
        <v>121</v>
      </c>
      <c r="AG143" s="3" t="n">
        <f aca="false">24+13/60</f>
        <v>24.2166666666667</v>
      </c>
      <c r="AH143" s="3" t="n">
        <f aca="false">23+45/60</f>
        <v>23.75</v>
      </c>
      <c r="AI143" s="3" t="n">
        <f aca="false">24+34/60</f>
        <v>24.5666666666667</v>
      </c>
      <c r="AJ143" s="3" t="n">
        <f aca="false">25+41/60</f>
        <v>25.6833333333333</v>
      </c>
      <c r="AK143" s="3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4" t="n">
        <f aca="false">60*V143-SUM(AV143:AZ143)</f>
        <v>30.3333333333333</v>
      </c>
      <c r="AV143" s="3" t="n">
        <f aca="false">60+41/60</f>
        <v>60.6833333333333</v>
      </c>
      <c r="AW143" s="3" t="n">
        <f aca="false">22+43/60</f>
        <v>22.7166666666667</v>
      </c>
      <c r="AX143" s="3" t="n">
        <f aca="false">5</f>
        <v>5</v>
      </c>
      <c r="AY143" s="3" t="n">
        <v>0.266666666666667</v>
      </c>
      <c r="AZ143" s="3" t="n">
        <v>0</v>
      </c>
      <c r="BA143" s="0" t="s">
        <v>59</v>
      </c>
      <c r="BB143" s="0" t="s">
        <v>60</v>
      </c>
      <c r="BC143" s="0" t="n">
        <v>0</v>
      </c>
    </row>
    <row r="144" customFormat="false" ht="12.8" hidden="false" customHeight="false" outlineLevel="0" collapsed="false">
      <c r="A144" s="0" t="n">
        <v>675</v>
      </c>
      <c r="B144" s="1" t="n">
        <v>44021.4590277778</v>
      </c>
      <c r="C144" s="0" t="n">
        <v>1</v>
      </c>
      <c r="F144" s="0" t="s">
        <v>61</v>
      </c>
      <c r="G144" s="2" t="n">
        <f aca="false">AVERAGE(83,88,91)</f>
        <v>87.3333333333333</v>
      </c>
      <c r="H144" s="2" t="n">
        <f aca="false">AVERAGE(75,74,76)</f>
        <v>75</v>
      </c>
      <c r="I144" s="2" t="n">
        <f aca="false">AVERAGE(73,70,70)</f>
        <v>71</v>
      </c>
      <c r="J144" s="2" t="s">
        <v>95</v>
      </c>
      <c r="K144" s="2" t="n">
        <f aca="false">AVERAGE(14,13,9)</f>
        <v>12</v>
      </c>
      <c r="L144" s="2" t="n">
        <v>24</v>
      </c>
      <c r="M144" s="0" t="s">
        <v>94</v>
      </c>
      <c r="N144" s="0" t="n">
        <v>0</v>
      </c>
      <c r="O144" s="0" t="s">
        <v>57</v>
      </c>
      <c r="Q144" s="0" t="s">
        <v>121</v>
      </c>
      <c r="R144" s="3" t="n">
        <v>4.99</v>
      </c>
      <c r="S144" s="2" t="n">
        <v>1331</v>
      </c>
      <c r="T144" s="2" t="n">
        <v>17122</v>
      </c>
      <c r="U144" s="2" t="n">
        <f aca="false">T144-S144</f>
        <v>15791</v>
      </c>
      <c r="V144" s="3" t="n">
        <v>2</v>
      </c>
      <c r="W144" s="3" t="n">
        <f aca="false">122/60</f>
        <v>2.03333333333333</v>
      </c>
      <c r="X144" s="3" t="n">
        <f aca="false">W144-V144</f>
        <v>0.0333333333333332</v>
      </c>
      <c r="Y144" s="3" t="n">
        <f aca="false">R144/V144</f>
        <v>2.495</v>
      </c>
      <c r="Z144" s="0" t="n">
        <v>4</v>
      </c>
      <c r="AA144" s="3" t="n">
        <f aca="false">R144/Z144</f>
        <v>1.2475</v>
      </c>
      <c r="AB144" s="3" t="n">
        <f aca="false">24+1/60</f>
        <v>24.0166666666667</v>
      </c>
      <c r="AC144" s="2" t="n">
        <v>33</v>
      </c>
      <c r="AD144" s="2" t="n">
        <v>612</v>
      </c>
      <c r="AE144" s="2" t="n">
        <v>90</v>
      </c>
      <c r="AF144" s="2" t="n">
        <v>136</v>
      </c>
      <c r="AG144" s="3" t="n">
        <f aca="false">24+20/60</f>
        <v>24.3333333333333</v>
      </c>
      <c r="AH144" s="3" t="n">
        <f aca="false">21+53/60</f>
        <v>21.8833333333333</v>
      </c>
      <c r="AI144" s="3" t="n">
        <f aca="false">22+59/60</f>
        <v>22.9833333333333</v>
      </c>
      <c r="AJ144" s="3" t="n">
        <f aca="false">24+6/60</f>
        <v>24.1</v>
      </c>
      <c r="AK144" s="3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4" t="n">
        <f aca="false">60*V144-SUM(AV144:AZ144)</f>
        <v>5.06666666666666</v>
      </c>
      <c r="AV144" s="3" t="n">
        <f aca="false">60+47/60</f>
        <v>60.7833333333333</v>
      </c>
      <c r="AW144" s="3" t="n">
        <f aca="false">37+38/60</f>
        <v>37.6333333333333</v>
      </c>
      <c r="AX144" s="3" t="n">
        <f aca="false">11+6/60</f>
        <v>11.1</v>
      </c>
      <c r="AY144" s="3" t="n">
        <f aca="false">5+11/60</f>
        <v>5.18333333333333</v>
      </c>
      <c r="AZ144" s="3" t="n">
        <f aca="false">14/60</f>
        <v>0.233333333333333</v>
      </c>
      <c r="BA144" s="0" t="s">
        <v>59</v>
      </c>
      <c r="BB144" s="0" t="s">
        <v>60</v>
      </c>
      <c r="BC144" s="0" t="n">
        <v>0</v>
      </c>
    </row>
    <row r="145" customFormat="false" ht="12.8" hidden="false" customHeight="false" outlineLevel="0" collapsed="false">
      <c r="A145" s="0" t="n">
        <f aca="false">A144+1</f>
        <v>676</v>
      </c>
      <c r="B145" s="1" t="n">
        <v>44022.5298611111</v>
      </c>
      <c r="C145" s="0" t="n">
        <v>1</v>
      </c>
      <c r="F145" s="0" t="s">
        <v>85</v>
      </c>
      <c r="G145" s="2" t="n">
        <v>91</v>
      </c>
      <c r="H145" s="2" t="n">
        <v>76</v>
      </c>
      <c r="I145" s="2" t="n">
        <f aca="false">(65+59)/2</f>
        <v>62</v>
      </c>
      <c r="J145" s="10" t="s">
        <v>125</v>
      </c>
      <c r="K145" s="2" t="n">
        <v>8</v>
      </c>
      <c r="L145" s="2" t="n">
        <v>0</v>
      </c>
      <c r="M145" s="0" t="s">
        <v>94</v>
      </c>
      <c r="N145" s="0" t="n">
        <v>0</v>
      </c>
      <c r="O145" s="0" t="s">
        <v>120</v>
      </c>
      <c r="Q145" s="0" t="s">
        <v>116</v>
      </c>
      <c r="R145" s="3" t="n">
        <v>3.4</v>
      </c>
      <c r="V145" s="3" t="n">
        <f aca="false">91/60</f>
        <v>1.51666666666667</v>
      </c>
      <c r="W145" s="3" t="n">
        <f aca="false">91/60</f>
        <v>1.51666666666667</v>
      </c>
      <c r="X145" s="3" t="n">
        <f aca="false">W145-V145</f>
        <v>0</v>
      </c>
      <c r="Y145" s="3" t="n">
        <f aca="false">R145/V145</f>
        <v>2.24175824175824</v>
      </c>
      <c r="Z145" s="0" t="n">
        <v>3</v>
      </c>
      <c r="AA145" s="3" t="n">
        <f aca="false">R145/Z145</f>
        <v>1.13333333333333</v>
      </c>
      <c r="AB145" s="3" t="n">
        <f aca="false">26+43/60</f>
        <v>26.7166666666667</v>
      </c>
      <c r="AC145" s="2" t="n">
        <f aca="false">Z145*23*9/12</f>
        <v>51.75</v>
      </c>
      <c r="AD145" s="2" t="n">
        <v>434</v>
      </c>
      <c r="AE145" s="2" t="n">
        <v>93</v>
      </c>
      <c r="AF145" s="0" t="n">
        <v>121</v>
      </c>
      <c r="AG145" s="3" t="n">
        <f aca="false">25+3/60</f>
        <v>25.05</v>
      </c>
      <c r="AH145" s="3" t="n">
        <f aca="false">25+49/60</f>
        <v>25.8166666666667</v>
      </c>
      <c r="AI145" s="3" t="n">
        <f aca="false">28+23/60</f>
        <v>28.3833333333333</v>
      </c>
      <c r="AJ145" s="3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4" t="n">
        <f aca="false">60*V145-SUM(AV145:AZ145)</f>
        <v>1.86666666666667</v>
      </c>
      <c r="AV145" s="3" t="n">
        <f aca="false">23+6/60</f>
        <v>23.1</v>
      </c>
      <c r="AW145" s="3" t="n">
        <f aca="false">57+40/60</f>
        <v>57.6666666666667</v>
      </c>
      <c r="AX145" s="3" t="n">
        <f aca="false">8+22/60</f>
        <v>8.36666666666667</v>
      </c>
      <c r="AY145" s="3" t="n">
        <v>0</v>
      </c>
      <c r="AZ145" s="3" t="n">
        <v>0</v>
      </c>
      <c r="BA145" s="0" t="s">
        <v>59</v>
      </c>
      <c r="BB145" s="0" t="s">
        <v>60</v>
      </c>
      <c r="BC145" s="0" t="n">
        <v>0</v>
      </c>
    </row>
    <row r="146" customFormat="false" ht="12.8" hidden="false" customHeight="false" outlineLevel="0" collapsed="false">
      <c r="A146" s="0" t="n">
        <f aca="false">A145+1</f>
        <v>677</v>
      </c>
      <c r="B146" s="1" t="n">
        <v>44023.5201388889</v>
      </c>
      <c r="C146" s="0" t="n">
        <v>1</v>
      </c>
      <c r="F146" s="0" t="s">
        <v>61</v>
      </c>
      <c r="G146" s="2" t="n">
        <v>94</v>
      </c>
      <c r="H146" s="2" t="n">
        <v>78</v>
      </c>
      <c r="I146" s="2" t="n">
        <f aca="false">(68+72)/2</f>
        <v>70</v>
      </c>
      <c r="J146" s="2" t="s">
        <v>126</v>
      </c>
      <c r="K146" s="2" t="n">
        <f aca="false">(7+13)/2</f>
        <v>10</v>
      </c>
      <c r="L146" s="2" t="n">
        <v>0</v>
      </c>
      <c r="M146" s="0" t="s">
        <v>94</v>
      </c>
      <c r="N146" s="0" t="n">
        <v>0</v>
      </c>
      <c r="O146" s="0" t="s">
        <v>57</v>
      </c>
      <c r="Q146" s="0" t="s">
        <v>121</v>
      </c>
      <c r="R146" s="3" t="n">
        <v>5.06</v>
      </c>
      <c r="V146" s="3" t="n">
        <f aca="false">129/60</f>
        <v>2.15</v>
      </c>
      <c r="W146" s="3" t="n">
        <f aca="false">133/60</f>
        <v>2.21666666666667</v>
      </c>
      <c r="X146" s="3" t="n">
        <f aca="false">W146-V146</f>
        <v>0.0666666666666669</v>
      </c>
      <c r="Y146" s="3" t="n">
        <f aca="false">R146/V146</f>
        <v>2.35348837209302</v>
      </c>
      <c r="Z146" s="0" t="n">
        <v>4</v>
      </c>
      <c r="AA146" s="3" t="n">
        <f aca="false">R146/Z146</f>
        <v>1.265</v>
      </c>
      <c r="AB146" s="3" t="n">
        <f aca="false">25+36/60</f>
        <v>25.6</v>
      </c>
      <c r="AC146" s="2" t="n">
        <f aca="false">Z146*23*9/12</f>
        <v>69</v>
      </c>
      <c r="AD146" s="2" t="n">
        <v>842</v>
      </c>
      <c r="AE146" s="2" t="n">
        <v>106</v>
      </c>
      <c r="AF146" s="0" t="n">
        <v>139</v>
      </c>
      <c r="AG146" s="3" t="n">
        <f aca="false">25+54/60</f>
        <v>25.9</v>
      </c>
      <c r="AH146" s="3" t="n">
        <f aca="false">23+49/60</f>
        <v>23.8166666666667</v>
      </c>
      <c r="AI146" s="3" t="n">
        <f aca="false">25+26/60</f>
        <v>25.4333333333333</v>
      </c>
      <c r="AJ146" s="3" t="n">
        <f aca="false">26+58/60</f>
        <v>26.9666666666667</v>
      </c>
      <c r="AK146" s="3" t="n">
        <f aca="false">25+51/60</f>
        <v>25.85</v>
      </c>
      <c r="AL146" s="3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4" t="n">
        <v>0</v>
      </c>
      <c r="AV146" s="3" t="n">
        <f aca="false">2+43/60</f>
        <v>2.71666666666667</v>
      </c>
      <c r="AW146" s="3" t="n">
        <f aca="false">58+40/60</f>
        <v>58.6666666666667</v>
      </c>
      <c r="AX146" s="3" t="n">
        <f aca="false">39+58/60</f>
        <v>39.9666666666667</v>
      </c>
      <c r="AY146" s="3" t="n">
        <f aca="false">27+33/70</f>
        <v>27.4714285714286</v>
      </c>
      <c r="AZ146" s="3" t="n">
        <f aca="false">28/60</f>
        <v>0.466666666666667</v>
      </c>
      <c r="BA146" s="0" t="s">
        <v>59</v>
      </c>
      <c r="BB146" s="0" t="s">
        <v>60</v>
      </c>
      <c r="BC146" s="0" t="n">
        <v>0</v>
      </c>
    </row>
    <row r="147" customFormat="false" ht="12.8" hidden="false" customHeight="false" outlineLevel="0" collapsed="false">
      <c r="A147" s="0" t="n">
        <f aca="false">A146+1</f>
        <v>678</v>
      </c>
      <c r="B147" s="1" t="n">
        <v>44024.5736111111</v>
      </c>
      <c r="C147" s="0" t="n">
        <v>1</v>
      </c>
      <c r="F147" s="0" t="s">
        <v>85</v>
      </c>
      <c r="G147" s="2" t="n">
        <v>96</v>
      </c>
      <c r="H147" s="2" t="n">
        <v>71</v>
      </c>
      <c r="I147" s="2" t="n">
        <v>42</v>
      </c>
      <c r="J147" s="2" t="s">
        <v>101</v>
      </c>
      <c r="K147" s="2" t="n">
        <v>13</v>
      </c>
      <c r="L147" s="2" t="n">
        <v>17</v>
      </c>
      <c r="M147" s="0" t="s">
        <v>94</v>
      </c>
      <c r="N147" s="0" t="n">
        <v>0</v>
      </c>
      <c r="O147" s="0" t="s">
        <v>120</v>
      </c>
      <c r="Q147" s="0" t="s">
        <v>116</v>
      </c>
      <c r="R147" s="3" t="n">
        <v>4.06</v>
      </c>
      <c r="V147" s="3" t="n">
        <f aca="false">95/60</f>
        <v>1.58333333333333</v>
      </c>
      <c r="W147" s="3" t="n">
        <f aca="false">96/60</f>
        <v>1.6</v>
      </c>
      <c r="X147" s="3" t="n">
        <f aca="false">W147-V147</f>
        <v>0.0166666666666668</v>
      </c>
      <c r="Y147" s="3" t="n">
        <f aca="false">R147/V147</f>
        <v>2.56421052631579</v>
      </c>
      <c r="Z147" s="0" t="n">
        <v>3</v>
      </c>
      <c r="AA147" s="3" t="n">
        <f aca="false">R147/3</f>
        <v>1.35333333333333</v>
      </c>
      <c r="AB147" s="3" t="n">
        <f aca="false">23+32/60</f>
        <v>23.5333333333333</v>
      </c>
      <c r="AC147" s="2" t="n">
        <f aca="false">Z147*23*9/12</f>
        <v>51.75</v>
      </c>
      <c r="AD147" s="2" t="n">
        <f aca="false">934</f>
        <v>934</v>
      </c>
      <c r="AE147" s="2" t="n">
        <v>121</v>
      </c>
      <c r="AF147" s="0" t="n">
        <v>145</v>
      </c>
      <c r="AG147" s="3" t="n">
        <f aca="false">21+51/60</f>
        <v>21.85</v>
      </c>
      <c r="AH147" s="3" t="n">
        <f aca="false">22+36/60</f>
        <v>22.6</v>
      </c>
      <c r="AI147" s="3" t="n">
        <f aca="false">24+13/60</f>
        <v>24.2166666666667</v>
      </c>
      <c r="AJ147" s="3" t="n">
        <f aca="false">26+4/60</f>
        <v>26.0666666666667</v>
      </c>
      <c r="AK147" s="3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4" t="n">
        <v>0</v>
      </c>
      <c r="AV147" s="3" t="n">
        <v>0</v>
      </c>
      <c r="AW147" s="3" t="n">
        <f aca="false">5+42/60</f>
        <v>5.7</v>
      </c>
      <c r="AX147" s="3" t="n">
        <f aca="false">12+38/60</f>
        <v>12.6333333333333</v>
      </c>
      <c r="AY147" s="3" t="n">
        <f aca="false">76+36/60</f>
        <v>76.6</v>
      </c>
      <c r="AZ147" s="3" t="n">
        <f aca="false">33/60</f>
        <v>0.55</v>
      </c>
      <c r="BA147" s="0" t="s">
        <v>59</v>
      </c>
      <c r="BB147" s="0" t="s">
        <v>60</v>
      </c>
      <c r="BC147" s="0" t="n">
        <v>0</v>
      </c>
    </row>
    <row r="148" customFormat="false" ht="12.8" hidden="false" customHeight="false" outlineLevel="0" collapsed="false">
      <c r="A148" s="0" t="n">
        <f aca="false">A147+1</f>
        <v>679</v>
      </c>
      <c r="B148" s="1" t="n">
        <v>44025.5527777778</v>
      </c>
      <c r="C148" s="0" t="n">
        <v>1</v>
      </c>
      <c r="F148" s="0" t="s">
        <v>85</v>
      </c>
      <c r="G148" s="2" t="n">
        <f aca="false">(96+99)/2</f>
        <v>97.5</v>
      </c>
      <c r="H148" s="2" t="n">
        <v>73</v>
      </c>
      <c r="I148" s="2" t="n">
        <v>42</v>
      </c>
      <c r="J148" s="2" t="s">
        <v>95</v>
      </c>
      <c r="K148" s="2" t="n">
        <v>15</v>
      </c>
      <c r="L148" s="2" t="n">
        <v>25</v>
      </c>
      <c r="M148" s="0" t="s">
        <v>94</v>
      </c>
      <c r="N148" s="0" t="n">
        <v>0</v>
      </c>
      <c r="O148" s="0" t="s">
        <v>57</v>
      </c>
      <c r="Q148" s="0" t="s">
        <v>121</v>
      </c>
      <c r="R148" s="3" t="n">
        <v>5.44</v>
      </c>
      <c r="V148" s="3" t="n">
        <f aca="false">131/60</f>
        <v>2.18333333333333</v>
      </c>
      <c r="W148" s="3" t="n">
        <f aca="false">135/60</f>
        <v>2.25</v>
      </c>
      <c r="X148" s="3" t="n">
        <f aca="false">W148-V148</f>
        <v>0.0666666666666669</v>
      </c>
      <c r="Y148" s="3" t="n">
        <f aca="false">R148/V148</f>
        <v>2.49160305343511</v>
      </c>
      <c r="Z148" s="0" t="n">
        <v>4</v>
      </c>
      <c r="AA148" s="3" t="n">
        <f aca="false">R148/Z148</f>
        <v>1.36</v>
      </c>
      <c r="AB148" s="3" t="n">
        <f aca="false">24+14/60</f>
        <v>24.2333333333333</v>
      </c>
      <c r="AC148" s="2" t="n">
        <f aca="false">Z148*23*9/12</f>
        <v>69</v>
      </c>
      <c r="AD148" s="2" t="n">
        <v>981</v>
      </c>
      <c r="AE148" s="2" t="n">
        <v>108</v>
      </c>
      <c r="AF148" s="0" t="n">
        <v>135</v>
      </c>
      <c r="AG148" s="3" t="n">
        <f aca="false">22+42/60</f>
        <v>22.7</v>
      </c>
      <c r="AH148" s="3" t="n">
        <f aca="false">23+22/60</f>
        <v>23.3666666666667</v>
      </c>
      <c r="AI148" s="3" t="n">
        <f aca="false">24+31/60</f>
        <v>24.5166666666667</v>
      </c>
      <c r="AJ148" s="3" t="n">
        <f aca="false">25+36/60</f>
        <v>25.6</v>
      </c>
      <c r="AK148" s="3" t="n">
        <f aca="false">25+51/60</f>
        <v>25.85</v>
      </c>
      <c r="AL148" s="3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4" t="n">
        <v>0</v>
      </c>
      <c r="AV148" s="3" t="n">
        <f aca="false">18+8/60</f>
        <v>18.1333333333333</v>
      </c>
      <c r="AW148" s="3" t="n">
        <f aca="false">25+21/60</f>
        <v>25.35</v>
      </c>
      <c r="AX148" s="3" t="n">
        <f aca="false">50+58/60</f>
        <v>50.9666666666667</v>
      </c>
      <c r="AY148" s="3" t="n">
        <f aca="false">36+49/60</f>
        <v>36.8166666666667</v>
      </c>
      <c r="AZ148" s="3" t="n">
        <f aca="false">7/60</f>
        <v>0.116666666666667</v>
      </c>
      <c r="BA148" s="0" t="s">
        <v>59</v>
      </c>
      <c r="BB148" s="0" t="s">
        <v>60</v>
      </c>
      <c r="BC148" s="0" t="n">
        <v>0</v>
      </c>
    </row>
    <row r="149" customFormat="false" ht="12.8" hidden="false" customHeight="false" outlineLevel="0" collapsed="false">
      <c r="A149" s="0" t="n">
        <f aca="false">A148+1</f>
        <v>680</v>
      </c>
      <c r="B149" s="1" t="n">
        <v>44026.5222222222</v>
      </c>
      <c r="C149" s="0" t="n">
        <v>1</v>
      </c>
      <c r="F149" s="0" t="s">
        <v>85</v>
      </c>
      <c r="G149" s="2" t="n">
        <v>94</v>
      </c>
      <c r="H149" s="2" t="n">
        <v>72</v>
      </c>
      <c r="I149" s="2" t="n">
        <v>50</v>
      </c>
      <c r="J149" s="2" t="s">
        <v>95</v>
      </c>
      <c r="K149" s="2" t="n">
        <v>16</v>
      </c>
      <c r="L149" s="2" t="n">
        <v>0</v>
      </c>
      <c r="M149" s="0" t="s">
        <v>94</v>
      </c>
      <c r="N149" s="0" t="n">
        <v>0</v>
      </c>
      <c r="O149" s="0" t="s">
        <v>120</v>
      </c>
      <c r="Q149" s="0" t="s">
        <v>121</v>
      </c>
      <c r="R149" s="3" t="n">
        <v>6.6</v>
      </c>
      <c r="V149" s="3" t="n">
        <f aca="false">134/60</f>
        <v>2.23333333333333</v>
      </c>
      <c r="W149" s="3" t="n">
        <f aca="false">137/60</f>
        <v>2.28333333333333</v>
      </c>
      <c r="X149" s="3" t="n">
        <f aca="false">W149-V149</f>
        <v>0.0499999999999998</v>
      </c>
      <c r="Y149" s="3" t="n">
        <f aca="false">R149/V149</f>
        <v>2.95522388059701</v>
      </c>
      <c r="Z149" s="0" t="n">
        <v>4</v>
      </c>
      <c r="AA149" s="3" t="n">
        <f aca="false">R149/Z149</f>
        <v>1.65</v>
      </c>
      <c r="AB149" s="3" t="n">
        <f aca="false">20+15/60</f>
        <v>20.25</v>
      </c>
      <c r="AC149" s="2" t="n">
        <f aca="false">Z149*23*9/12</f>
        <v>69</v>
      </c>
      <c r="AD149" s="2" t="n">
        <v>658</v>
      </c>
      <c r="AE149" s="2" t="n">
        <v>93</v>
      </c>
      <c r="AF149" s="0" t="n">
        <v>147</v>
      </c>
      <c r="AG149" s="3" t="n">
        <f aca="false">23+20/60</f>
        <v>23.3333333333333</v>
      </c>
      <c r="AH149" s="3" t="n">
        <f aca="false">23+43/60</f>
        <v>23.7166666666667</v>
      </c>
      <c r="AI149" s="3" t="n">
        <f aca="false">21+30/60</f>
        <v>21.5</v>
      </c>
      <c r="AJ149" s="3" t="n">
        <f aca="false">18+39/60</f>
        <v>18.65</v>
      </c>
      <c r="AK149" s="3" t="n">
        <f aca="false">18+4/60</f>
        <v>18.0666666666667</v>
      </c>
      <c r="AL149" s="3" t="n">
        <f aca="false">17+42/60</f>
        <v>17.7</v>
      </c>
      <c r="AM149" s="3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4" t="n">
        <f aca="false">60*V149-SUM(AV149:AZ149)</f>
        <v>4.38333333333333</v>
      </c>
      <c r="AV149" s="3" t="n">
        <f aca="false">47+44/60</f>
        <v>47.7333333333333</v>
      </c>
      <c r="AW149" s="3" t="n">
        <f aca="false">58+55/60</f>
        <v>58.9166666666667</v>
      </c>
      <c r="AX149" s="3" t="n">
        <f aca="false">20+58/60</f>
        <v>20.9666666666667</v>
      </c>
      <c r="AY149" s="3" t="n">
        <f aca="false">1+46/60</f>
        <v>1.76666666666667</v>
      </c>
      <c r="AZ149" s="3" t="n">
        <f aca="false">14/60</f>
        <v>0.233333333333333</v>
      </c>
      <c r="BA149" s="0" t="s">
        <v>59</v>
      </c>
      <c r="BB149" s="0" t="s">
        <v>60</v>
      </c>
      <c r="BC149" s="0" t="n">
        <v>0</v>
      </c>
    </row>
    <row r="150" customFormat="false" ht="12.8" hidden="false" customHeight="false" outlineLevel="0" collapsed="false">
      <c r="A150" s="0" t="n">
        <f aca="false">A149+1</f>
        <v>681</v>
      </c>
      <c r="B150" s="1" t="n">
        <v>44027.5444444444</v>
      </c>
      <c r="C150" s="0" t="n">
        <v>1</v>
      </c>
      <c r="F150" s="0" t="s">
        <v>84</v>
      </c>
      <c r="G150" s="2" t="n">
        <v>92</v>
      </c>
      <c r="H150" s="2" t="n">
        <v>71</v>
      </c>
      <c r="I150" s="2" t="n">
        <v>52</v>
      </c>
      <c r="J150" s="2" t="s">
        <v>95</v>
      </c>
      <c r="K150" s="2" t="n">
        <v>16</v>
      </c>
      <c r="L150" s="2" t="n">
        <v>0</v>
      </c>
      <c r="M150" s="0" t="s">
        <v>94</v>
      </c>
      <c r="N150" s="0" t="n">
        <v>0</v>
      </c>
      <c r="O150" s="0" t="s">
        <v>57</v>
      </c>
      <c r="Q150" s="0" t="s">
        <v>121</v>
      </c>
      <c r="R150" s="3" t="n">
        <v>5.37</v>
      </c>
      <c r="V150" s="3" t="n">
        <f aca="false">138/60</f>
        <v>2.3</v>
      </c>
      <c r="W150" s="3" t="n">
        <f aca="false">145/60</f>
        <v>2.41666666666667</v>
      </c>
      <c r="X150" s="3" t="n">
        <f aca="false">W150-V150</f>
        <v>0.116666666666667</v>
      </c>
      <c r="Y150" s="3" t="n">
        <f aca="false">R150/V150</f>
        <v>2.33478260869565</v>
      </c>
      <c r="Z150" s="0" t="n">
        <v>4</v>
      </c>
      <c r="AA150" s="3" t="n">
        <f aca="false">R150/Z150</f>
        <v>1.3425</v>
      </c>
      <c r="AB150" s="3" t="n">
        <f aca="false">25+42/60</f>
        <v>25.7</v>
      </c>
      <c r="AC150" s="2" t="n">
        <f aca="false">Z150*23*9/12</f>
        <v>69</v>
      </c>
      <c r="AD150" s="2" t="n">
        <v>709</v>
      </c>
      <c r="AE150" s="2" t="n">
        <v>93</v>
      </c>
      <c r="AF150" s="0" t="n">
        <v>121</v>
      </c>
      <c r="AG150" s="3" t="n">
        <f aca="false">24+29/60</f>
        <v>24.4833333333333</v>
      </c>
      <c r="AH150" s="3" t="n">
        <f aca="false">27+24/60</f>
        <v>27.4</v>
      </c>
      <c r="AI150" s="3" t="n">
        <f aca="false">24+44/60</f>
        <v>24.7333333333333</v>
      </c>
      <c r="AJ150" s="3" t="n">
        <f aca="false">25+43/60</f>
        <v>25.7166666666667</v>
      </c>
      <c r="AK150" s="3" t="n">
        <f aca="false">26+32/60</f>
        <v>26.5333333333333</v>
      </c>
      <c r="AL150" s="3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4" t="n">
        <f aca="false">60*V150-SUM(AV150:AZ150)</f>
        <v>25.7</v>
      </c>
      <c r="AV150" s="3" t="n">
        <f aca="false">25+30/60</f>
        <v>25.5</v>
      </c>
      <c r="AW150" s="3" t="n">
        <f aca="false">44+51/60</f>
        <v>44.85</v>
      </c>
      <c r="AX150" s="3" t="n">
        <f aca="false">41+15/60</f>
        <v>41.25</v>
      </c>
      <c r="AY150" s="3" t="n">
        <f aca="false">42/60</f>
        <v>0.7</v>
      </c>
      <c r="AZ150" s="3" t="n">
        <v>0</v>
      </c>
      <c r="BA150" s="0" t="s">
        <v>59</v>
      </c>
      <c r="BB150" s="0" t="s">
        <v>60</v>
      </c>
      <c r="BC150" s="0" t="n">
        <v>0</v>
      </c>
    </row>
    <row r="151" customFormat="false" ht="12.8" hidden="false" customHeight="false" outlineLevel="0" collapsed="false">
      <c r="A151" s="0" t="n">
        <f aca="false">A150+1</f>
        <v>682</v>
      </c>
      <c r="B151" s="1" t="n">
        <v>44028.5395833333</v>
      </c>
      <c r="C151" s="0" t="n">
        <v>1</v>
      </c>
      <c r="F151" s="0" t="s">
        <v>61</v>
      </c>
      <c r="G151" s="2" t="n">
        <v>94</v>
      </c>
      <c r="H151" s="2" t="n">
        <v>73</v>
      </c>
      <c r="I151" s="2" t="n">
        <f aca="false">(52+49)/2</f>
        <v>50.5</v>
      </c>
      <c r="J151" s="2" t="s">
        <v>95</v>
      </c>
      <c r="K151" s="2" t="n">
        <f aca="false">AVERAGE(9+6)/2</f>
        <v>7.5</v>
      </c>
      <c r="L151" s="2" t="n">
        <v>27</v>
      </c>
      <c r="M151" s="0" t="s">
        <v>94</v>
      </c>
      <c r="N151" s="0" t="n">
        <v>0</v>
      </c>
      <c r="O151" s="0" t="s">
        <v>120</v>
      </c>
      <c r="Q151" s="0" t="s">
        <v>121</v>
      </c>
      <c r="R151" s="3" t="n">
        <v>4.92</v>
      </c>
      <c r="V151" s="3" t="n">
        <f aca="false">127/60</f>
        <v>2.11666666666667</v>
      </c>
      <c r="W151" s="3" t="n">
        <f aca="false">132/60</f>
        <v>2.2</v>
      </c>
      <c r="X151" s="3" t="n">
        <f aca="false">W151-V151</f>
        <v>0.0833333333333335</v>
      </c>
      <c r="Y151" s="3" t="n">
        <f aca="false">R151/V151</f>
        <v>2.3244094488189</v>
      </c>
      <c r="Z151" s="0" t="n">
        <v>4</v>
      </c>
      <c r="AA151" s="3" t="n">
        <f aca="false">R151/Z151</f>
        <v>1.23</v>
      </c>
      <c r="AB151" s="3" t="n">
        <f aca="false">25+55/60</f>
        <v>25.9166666666667</v>
      </c>
      <c r="AC151" s="2" t="n">
        <f aca="false">Z151*23*9/12</f>
        <v>69</v>
      </c>
      <c r="AD151" s="2" t="n">
        <v>743</v>
      </c>
      <c r="AE151" s="2" t="n">
        <v>99</v>
      </c>
      <c r="AF151" s="0" t="n">
        <v>151</v>
      </c>
      <c r="AG151" s="3" t="n">
        <f aca="false">23+58/60</f>
        <v>23.9666666666667</v>
      </c>
      <c r="AH151" s="3" t="n">
        <f aca="false">26+48/60</f>
        <v>26.8</v>
      </c>
      <c r="AI151" s="3" t="n">
        <f aca="false">27+16/60</f>
        <v>27.2666666666667</v>
      </c>
      <c r="AJ151" s="3" t="n">
        <f aca="false">25+37/60</f>
        <v>25.6166666666667</v>
      </c>
      <c r="AK151" s="3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4" t="n">
        <f aca="false">60*V151-SUM(AV151:AZ151)</f>
        <v>20.3333333333333</v>
      </c>
      <c r="AV151" s="3" t="n">
        <f aca="false">17+55/60</f>
        <v>17.9166666666667</v>
      </c>
      <c r="AW151" s="3" t="n">
        <f aca="false">30+46/60</f>
        <v>30.7666666666667</v>
      </c>
      <c r="AX151" s="3" t="n">
        <f aca="false">37+47/60</f>
        <v>37.7833333333333</v>
      </c>
      <c r="AY151" s="3" t="n">
        <f aca="false">18+33/60</f>
        <v>18.55</v>
      </c>
      <c r="AZ151" s="3" t="n">
        <f aca="false">1+39/60</f>
        <v>1.65</v>
      </c>
      <c r="BA151" s="0" t="s">
        <v>59</v>
      </c>
      <c r="BB151" s="0" t="s">
        <v>60</v>
      </c>
      <c r="BC151" s="0" t="n">
        <v>0</v>
      </c>
    </row>
    <row r="152" customFormat="false" ht="12.8" hidden="false" customHeight="false" outlineLevel="0" collapsed="false">
      <c r="A152" s="0" t="n">
        <f aca="false">A151+1</f>
        <v>683</v>
      </c>
      <c r="B152" s="1" t="n">
        <v>44029.4875</v>
      </c>
      <c r="C152" s="0" t="n">
        <v>1</v>
      </c>
      <c r="F152" s="0" t="s">
        <v>85</v>
      </c>
      <c r="G152" s="2" t="n">
        <v>95</v>
      </c>
      <c r="H152" s="2" t="n">
        <v>74</v>
      </c>
      <c r="I152" s="2" t="n">
        <f aca="false">(52+49)/2</f>
        <v>50.5</v>
      </c>
      <c r="J152" s="2" t="s">
        <v>99</v>
      </c>
      <c r="K152" s="2" t="n">
        <v>8</v>
      </c>
      <c r="L152" s="2" t="n">
        <v>0</v>
      </c>
      <c r="M152" s="0" t="s">
        <v>94</v>
      </c>
      <c r="N152" s="0" t="n">
        <v>0</v>
      </c>
      <c r="O152" s="0" t="s">
        <v>57</v>
      </c>
      <c r="Q152" s="0" t="s">
        <v>121</v>
      </c>
      <c r="R152" s="3" t="n">
        <v>5.18</v>
      </c>
      <c r="V152" s="3" t="n">
        <f aca="false">140/60</f>
        <v>2.33333333333333</v>
      </c>
      <c r="W152" s="3" t="n">
        <f aca="false">148/60</f>
        <v>2.46666666666667</v>
      </c>
      <c r="X152" s="3" t="n">
        <f aca="false">W152-V152</f>
        <v>0.133333333333333</v>
      </c>
      <c r="Y152" s="3" t="n">
        <f aca="false">R152/V152</f>
        <v>2.22</v>
      </c>
      <c r="Z152" s="0" t="n">
        <v>4</v>
      </c>
      <c r="AA152" s="3" t="n">
        <f aca="false">R152/Z152</f>
        <v>1.295</v>
      </c>
      <c r="AB152" s="3" t="n">
        <f aca="false">27+6/60</f>
        <v>27.1</v>
      </c>
      <c r="AC152" s="2" t="n">
        <f aca="false">Z152*23*9/12</f>
        <v>69</v>
      </c>
      <c r="AD152" s="2" t="n">
        <v>666</v>
      </c>
      <c r="AE152" s="2" t="n">
        <v>93</v>
      </c>
      <c r="AF152" s="0" t="n">
        <v>121</v>
      </c>
      <c r="AG152" s="3" t="n">
        <f aca="false">23+37/60</f>
        <v>23.6166666666667</v>
      </c>
      <c r="AH152" s="3" t="n">
        <f aca="false">26+32/60</f>
        <v>26.5333333333333</v>
      </c>
      <c r="AI152" s="3" t="n">
        <f aca="false">28+20/60</f>
        <v>28.3333333333333</v>
      </c>
      <c r="AJ152" s="3" t="n">
        <f aca="false">30+5/60</f>
        <v>30.0833333333333</v>
      </c>
      <c r="AK152" s="3" t="n">
        <f aca="false">26+53/60</f>
        <v>26.8833333333333</v>
      </c>
      <c r="AL152" s="3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4" t="n">
        <f aca="false">60*V152-SUM(AV152:AZ152)</f>
        <v>20.5</v>
      </c>
      <c r="AV152" s="3" t="n">
        <f aca="false">29+5/60</f>
        <v>29.0833333333333</v>
      </c>
      <c r="AW152" s="3" t="n">
        <f aca="false">53+23/60</f>
        <v>53.3833333333333</v>
      </c>
      <c r="AX152" s="3" t="n">
        <f aca="false">36+51/60</f>
        <v>36.85</v>
      </c>
      <c r="AY152" s="3" t="n">
        <f aca="false">11/60</f>
        <v>0.183333333333333</v>
      </c>
      <c r="AZ152" s="3" t="n">
        <v>0</v>
      </c>
      <c r="BA152" s="0" t="s">
        <v>59</v>
      </c>
      <c r="BB152" s="0" t="s">
        <v>60</v>
      </c>
      <c r="BC152" s="0" t="n">
        <v>0</v>
      </c>
    </row>
    <row r="153" customFormat="false" ht="12.8" hidden="false" customHeight="false" outlineLevel="0" collapsed="false">
      <c r="A153" s="0" t="n">
        <f aca="false">A152+1</f>
        <v>684</v>
      </c>
      <c r="B153" s="1" t="n">
        <v>44030.5430555556</v>
      </c>
      <c r="C153" s="0" t="n">
        <v>1</v>
      </c>
      <c r="F153" s="0" t="s">
        <v>61</v>
      </c>
      <c r="G153" s="2" t="n">
        <v>90</v>
      </c>
      <c r="H153" s="2" t="n">
        <v>53</v>
      </c>
      <c r="I153" s="2" t="n">
        <f aca="false">(59+53)/2</f>
        <v>56</v>
      </c>
      <c r="J153" s="2" t="s">
        <v>95</v>
      </c>
      <c r="K153" s="2" t="n">
        <v>9</v>
      </c>
      <c r="L153" s="2" t="n">
        <v>20</v>
      </c>
      <c r="M153" s="0" t="s">
        <v>94</v>
      </c>
      <c r="N153" s="0" t="n">
        <v>0</v>
      </c>
      <c r="O153" s="0" t="s">
        <v>120</v>
      </c>
      <c r="Q153" s="0" t="s">
        <v>116</v>
      </c>
      <c r="R153" s="3" t="n">
        <v>3.91</v>
      </c>
      <c r="V153" s="3" t="n">
        <f aca="false">107/60</f>
        <v>1.78333333333333</v>
      </c>
      <c r="W153" s="3" t="n">
        <f aca="false">108/60</f>
        <v>1.8</v>
      </c>
      <c r="X153" s="3" t="n">
        <f aca="false">W153-V153</f>
        <v>0.0166666666666666</v>
      </c>
      <c r="Y153" s="3" t="n">
        <f aca="false">R153/V153</f>
        <v>2.19252336448598</v>
      </c>
      <c r="Z153" s="0" t="n">
        <v>3</v>
      </c>
      <c r="AA153" s="3" t="n">
        <f aca="false">R153/Z153</f>
        <v>1.30333333333333</v>
      </c>
      <c r="AB153" s="3" t="n">
        <f aca="false">27+22/60</f>
        <v>27.3666666666667</v>
      </c>
      <c r="AC153" s="2" t="n">
        <f aca="false">Z153*23*9/12</f>
        <v>51.75</v>
      </c>
      <c r="AD153" s="2" t="n">
        <v>440</v>
      </c>
      <c r="AE153" s="2" t="n">
        <v>77</v>
      </c>
      <c r="AF153" s="0" t="n">
        <v>104</v>
      </c>
      <c r="AG153" s="3" t="n">
        <v>27</v>
      </c>
      <c r="AH153" s="3" t="n">
        <f aca="false">27+50/60</f>
        <v>27.8333333333333</v>
      </c>
      <c r="AI153" s="3" t="n">
        <f aca="false">27+5/60</f>
        <v>27.0833333333333</v>
      </c>
      <c r="AJ153" s="3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4" t="n">
        <f aca="false">60*V153-SUM(AV153:AZ153)</f>
        <v>46.9166666666667</v>
      </c>
      <c r="AV153" s="3" t="n">
        <f aca="false">48+35/60</f>
        <v>48.5833333333333</v>
      </c>
      <c r="AW153" s="3" t="n">
        <f aca="false">11+28/60</f>
        <v>11.4666666666667</v>
      </c>
      <c r="AX153" s="3" t="n">
        <f aca="false">2/60</f>
        <v>0.0333333333333333</v>
      </c>
      <c r="AY153" s="3" t="n">
        <v>0</v>
      </c>
      <c r="AZ153" s="3" t="n">
        <v>0</v>
      </c>
      <c r="BA153" s="0" t="s">
        <v>59</v>
      </c>
      <c r="BB153" s="0" t="s">
        <v>60</v>
      </c>
      <c r="BC153" s="0" t="n">
        <v>0</v>
      </c>
    </row>
    <row r="154" customFormat="false" ht="12.8" hidden="false" customHeight="false" outlineLevel="0" collapsed="false">
      <c r="A154" s="0" t="n">
        <f aca="false">A153+1</f>
        <v>685</v>
      </c>
      <c r="B154" s="1" t="n">
        <v>44031.54375</v>
      </c>
      <c r="C154" s="0" t="n">
        <v>1</v>
      </c>
      <c r="F154" s="0" t="s">
        <v>85</v>
      </c>
      <c r="G154" s="2" t="n">
        <v>91</v>
      </c>
      <c r="H154" s="2" t="n">
        <v>71</v>
      </c>
      <c r="I154" s="2" t="n">
        <v>51</v>
      </c>
      <c r="J154" s="2" t="s">
        <v>95</v>
      </c>
      <c r="K154" s="2" t="n">
        <v>9</v>
      </c>
      <c r="L154" s="2" t="n">
        <v>16</v>
      </c>
      <c r="M154" s="0" t="s">
        <v>94</v>
      </c>
      <c r="N154" s="0" t="n">
        <v>0</v>
      </c>
      <c r="O154" s="0" t="s">
        <v>57</v>
      </c>
      <c r="Q154" s="0" t="s">
        <v>116</v>
      </c>
      <c r="R154" s="3" t="n">
        <v>4.09</v>
      </c>
      <c r="V154" s="3" t="n">
        <f aca="false">105/60</f>
        <v>1.75</v>
      </c>
      <c r="W154" s="3" t="n">
        <f aca="false">(60+46)/60</f>
        <v>1.76666666666667</v>
      </c>
      <c r="X154" s="3" t="n">
        <f aca="false">W154-V154</f>
        <v>0.0166666666666666</v>
      </c>
      <c r="Y154" s="3" t="n">
        <f aca="false">R154/V154</f>
        <v>2.33714285714286</v>
      </c>
      <c r="Z154" s="0" t="n">
        <v>3</v>
      </c>
      <c r="AA154" s="3" t="n">
        <f aca="false">R154/Z154</f>
        <v>1.36333333333333</v>
      </c>
      <c r="AB154" s="3" t="n">
        <f aca="false">25+37/60</f>
        <v>25.6166666666667</v>
      </c>
      <c r="AC154" s="2" t="n">
        <f aca="false">Z154*23*9/12</f>
        <v>51.75</v>
      </c>
      <c r="AD154" s="2" t="n">
        <v>451</v>
      </c>
      <c r="AE154" s="2" t="n">
        <v>82</v>
      </c>
      <c r="AF154" s="0" t="n">
        <v>108</v>
      </c>
      <c r="AG154" s="3" t="n">
        <f aca="false">23+15/60</f>
        <v>23.25</v>
      </c>
      <c r="AH154" s="3" t="n">
        <f aca="false">26+3/60</f>
        <v>26.05</v>
      </c>
      <c r="AI154" s="3" t="n">
        <f aca="false">26+27/60</f>
        <v>26.45</v>
      </c>
      <c r="AJ154" s="3" t="n">
        <f aca="false">27+40/60</f>
        <v>27.6666666666667</v>
      </c>
      <c r="AK154" s="3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4" t="n">
        <f aca="false">60*V154-SUM(AV154:AZ154)</f>
        <v>26.0166666666667</v>
      </c>
      <c r="AV154" s="3" t="n">
        <f aca="false">54+54/60</f>
        <v>54.9</v>
      </c>
      <c r="AW154" s="3" t="n">
        <f aca="false">23+9/60</f>
        <v>23.15</v>
      </c>
      <c r="AX154" s="3" t="n">
        <f aca="false">56/60</f>
        <v>0.933333333333333</v>
      </c>
      <c r="AY154" s="3" t="n">
        <v>0</v>
      </c>
      <c r="AZ154" s="3" t="n">
        <v>0</v>
      </c>
      <c r="BA154" s="0" t="s">
        <v>59</v>
      </c>
      <c r="BB154" s="0" t="s">
        <v>60</v>
      </c>
      <c r="BC154" s="0" t="n">
        <v>0</v>
      </c>
    </row>
    <row r="155" customFormat="false" ht="12.8" hidden="false" customHeight="false" outlineLevel="0" collapsed="false">
      <c r="A155" s="0" t="n">
        <f aca="false">A154+1</f>
        <v>686</v>
      </c>
      <c r="B155" s="1" t="n">
        <v>44032.5027777778</v>
      </c>
      <c r="C155" s="0" t="n">
        <v>1</v>
      </c>
      <c r="F155" s="0" t="s">
        <v>85</v>
      </c>
      <c r="G155" s="2" t="n">
        <v>92</v>
      </c>
      <c r="H155" s="2" t="n">
        <v>72</v>
      </c>
      <c r="I155" s="2" t="n">
        <v>53</v>
      </c>
      <c r="J155" s="2" t="s">
        <v>95</v>
      </c>
      <c r="K155" s="2" t="n">
        <v>7</v>
      </c>
      <c r="L155" s="2" t="n">
        <v>0</v>
      </c>
      <c r="M155" s="0" t="s">
        <v>94</v>
      </c>
      <c r="N155" s="0" t="n">
        <v>0</v>
      </c>
      <c r="O155" s="0" t="s">
        <v>120</v>
      </c>
      <c r="Q155" s="0" t="s">
        <v>121</v>
      </c>
      <c r="R155" s="3" t="n">
        <v>5.35</v>
      </c>
      <c r="V155" s="3" t="n">
        <f aca="false">(120+19)/60</f>
        <v>2.31666666666667</v>
      </c>
      <c r="W155" s="3" t="n">
        <f aca="false">(120+25)/60</f>
        <v>2.41666666666667</v>
      </c>
      <c r="X155" s="3" t="n">
        <f aca="false">W155-V155</f>
        <v>0.0999999999999996</v>
      </c>
      <c r="Y155" s="3" t="n">
        <f aca="false">R155/V155</f>
        <v>2.30935251798561</v>
      </c>
      <c r="Z155" s="0" t="n">
        <v>4</v>
      </c>
      <c r="AA155" s="3" t="n">
        <f aca="false">R155/Z155</f>
        <v>1.3375</v>
      </c>
      <c r="AB155" s="3" t="n">
        <f aca="false">AVERAGE(AG155:AL155)</f>
        <v>25.9506038647343</v>
      </c>
      <c r="AC155" s="2" t="n">
        <f aca="false">Z155*23*9/12</f>
        <v>69</v>
      </c>
      <c r="AD155" s="2" t="n">
        <v>634</v>
      </c>
      <c r="AE155" s="2" t="n">
        <v>90</v>
      </c>
      <c r="AF155" s="0" t="n">
        <v>113</v>
      </c>
      <c r="AG155" s="3" t="n">
        <f aca="false">24+28/60</f>
        <v>24.4666666666667</v>
      </c>
      <c r="AH155" s="3" t="n">
        <f aca="false">24+50/60</f>
        <v>24.8333333333333</v>
      </c>
      <c r="AI155" s="3" t="n">
        <f aca="false">27+12/60</f>
        <v>27.2</v>
      </c>
      <c r="AJ155" s="3" t="n">
        <f aca="false">27+16/60</f>
        <v>27.2666666666667</v>
      </c>
      <c r="AK155" s="3" t="n">
        <f aca="false">25+51/60</f>
        <v>25.85</v>
      </c>
      <c r="AL155" s="3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4" t="n">
        <f aca="false">60*V155-SUM(AV155:AZ155)</f>
        <v>9.83333333333331</v>
      </c>
      <c r="AV155" s="3" t="n">
        <f aca="false">43+3/60</f>
        <v>43.05</v>
      </c>
      <c r="AW155" s="3" t="n">
        <f aca="false">78+29/60</f>
        <v>78.4833333333333</v>
      </c>
      <c r="AX155" s="3" t="n">
        <f aca="false">7++38/60</f>
        <v>7.63333333333333</v>
      </c>
      <c r="AY155" s="3" t="n">
        <v>0</v>
      </c>
      <c r="AZ155" s="3" t="n">
        <v>0</v>
      </c>
      <c r="BA155" s="0" t="s">
        <v>59</v>
      </c>
      <c r="BB155" s="0" t="s">
        <v>60</v>
      </c>
      <c r="BC155" s="0" t="n">
        <v>0</v>
      </c>
    </row>
    <row r="156" customFormat="false" ht="12.8" hidden="false" customHeight="false" outlineLevel="0" collapsed="false">
      <c r="A156" s="0" t="n">
        <f aca="false">A155+1</f>
        <v>687</v>
      </c>
      <c r="B156" s="1" t="n">
        <v>44033.5368055556</v>
      </c>
      <c r="C156" s="0" t="n">
        <v>1</v>
      </c>
      <c r="F156" s="0" t="s">
        <v>84</v>
      </c>
      <c r="G156" s="2" t="n">
        <v>87</v>
      </c>
      <c r="H156" s="2" t="n">
        <v>73</v>
      </c>
      <c r="I156" s="2" t="n">
        <f aca="false">(72+65)/2</f>
        <v>68.5</v>
      </c>
      <c r="J156" s="2" t="s">
        <v>102</v>
      </c>
      <c r="K156" s="2" t="n">
        <v>7</v>
      </c>
      <c r="L156" s="2" t="n">
        <v>0</v>
      </c>
      <c r="M156" s="0" t="s">
        <v>94</v>
      </c>
      <c r="N156" s="0" t="n">
        <v>0</v>
      </c>
      <c r="O156" s="0" t="s">
        <v>57</v>
      </c>
      <c r="Q156" s="0" t="s">
        <v>121</v>
      </c>
      <c r="R156" s="3" t="n">
        <v>5.12</v>
      </c>
      <c r="V156" s="3" t="n">
        <f aca="false">(120+14)/60</f>
        <v>2.23333333333333</v>
      </c>
      <c r="W156" s="3" t="n">
        <f aca="false">(120+21)/60</f>
        <v>2.35</v>
      </c>
      <c r="X156" s="3" t="n">
        <f aca="false">W156-V156</f>
        <v>0.116666666666667</v>
      </c>
      <c r="Y156" s="3" t="n">
        <f aca="false">R156/V156</f>
        <v>2.29253731343284</v>
      </c>
      <c r="Z156" s="0" t="n">
        <v>4</v>
      </c>
      <c r="AA156" s="3" t="n">
        <f aca="false">R156/Z156</f>
        <v>1.28</v>
      </c>
      <c r="AB156" s="3" t="n">
        <f aca="false">26+12/60</f>
        <v>26.2</v>
      </c>
      <c r="AC156" s="2" t="n">
        <f aca="false">Z156*23*9/12</f>
        <v>69</v>
      </c>
      <c r="AD156" s="2" t="n">
        <v>725</v>
      </c>
      <c r="AE156" s="2" t="n">
        <v>99</v>
      </c>
      <c r="AF156" s="0" t="n">
        <v>127</v>
      </c>
      <c r="AG156" s="3" t="n">
        <f aca="false">24+49/60</f>
        <v>24.8166666666667</v>
      </c>
      <c r="AH156" s="3" t="n">
        <f aca="false">27+55/60</f>
        <v>27.9166666666667</v>
      </c>
      <c r="AI156" s="3" t="n">
        <f aca="false">27+24/60</f>
        <v>27.4</v>
      </c>
      <c r="AJ156" s="3" t="n">
        <f aca="false">25+32/60</f>
        <v>25.5333333333333</v>
      </c>
      <c r="AK156" s="3" t="n">
        <f aca="false">25+18/60</f>
        <v>25.3</v>
      </c>
      <c r="AL156" s="3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4" t="n">
        <f aca="false">60*V156-SUM(AV156:AZ156)</f>
        <v>0.650000000000006</v>
      </c>
      <c r="AV156" s="3" t="n">
        <f aca="false">15+29/60</f>
        <v>15.4833333333333</v>
      </c>
      <c r="AW156" s="3" t="n">
        <f aca="false">79+10/60</f>
        <v>79.1666666666667</v>
      </c>
      <c r="AX156" s="3" t="n">
        <f aca="false">31+52/60</f>
        <v>31.8666666666667</v>
      </c>
      <c r="AY156" s="3" t="n">
        <f aca="false">6+50/60</f>
        <v>6.83333333333333</v>
      </c>
      <c r="AZ156" s="3" t="n">
        <v>0</v>
      </c>
      <c r="BA156" s="0" t="s">
        <v>59</v>
      </c>
      <c r="BB156" s="0" t="s">
        <v>60</v>
      </c>
      <c r="BC156" s="0" t="n">
        <v>0</v>
      </c>
    </row>
    <row r="157" customFormat="false" ht="12.8" hidden="false" customHeight="false" outlineLevel="0" collapsed="false">
      <c r="A157" s="0" t="n">
        <f aca="false">A156+1</f>
        <v>688</v>
      </c>
      <c r="B157" s="1" t="n">
        <v>44034.4951388889</v>
      </c>
      <c r="C157" s="0" t="n">
        <v>0</v>
      </c>
      <c r="D157" s="11" t="s">
        <v>76</v>
      </c>
      <c r="F157" s="0" t="s">
        <v>85</v>
      </c>
      <c r="G157" s="2" t="n">
        <f aca="false">(87+79)/2</f>
        <v>83</v>
      </c>
      <c r="H157" s="2" t="n">
        <v>76</v>
      </c>
      <c r="I157" s="2" t="n">
        <f aca="false">(67+59)/2</f>
        <v>63</v>
      </c>
      <c r="J157" s="10" t="s">
        <v>111</v>
      </c>
      <c r="K157" s="2" t="n">
        <v>7</v>
      </c>
      <c r="L157" s="2" t="n">
        <v>0</v>
      </c>
      <c r="M157" s="0" t="s">
        <v>94</v>
      </c>
    </row>
    <row r="158" customFormat="false" ht="12.8" hidden="false" customHeight="false" outlineLevel="0" collapsed="false">
      <c r="A158" s="0" t="n">
        <f aca="false">A157+1</f>
        <v>689</v>
      </c>
      <c r="B158" s="1" t="n">
        <v>44035.4951388889</v>
      </c>
      <c r="C158" s="0" t="n">
        <v>0</v>
      </c>
      <c r="D158" s="0" t="s">
        <v>127</v>
      </c>
      <c r="F158" s="0" t="s">
        <v>84</v>
      </c>
      <c r="G158" s="2" t="n">
        <v>92</v>
      </c>
      <c r="H158" s="2" t="n">
        <v>75</v>
      </c>
      <c r="I158" s="2" t="n">
        <v>57</v>
      </c>
      <c r="J158" s="2" t="s">
        <v>103</v>
      </c>
      <c r="K158" s="2" t="n">
        <v>6</v>
      </c>
      <c r="L158" s="2" t="n">
        <v>0</v>
      </c>
      <c r="M158" s="0" t="s">
        <v>94</v>
      </c>
    </row>
    <row r="159" customFormat="false" ht="12.8" hidden="false" customHeight="false" outlineLevel="0" collapsed="false">
      <c r="A159" s="12" t="n">
        <f aca="false">A158+1</f>
        <v>690</v>
      </c>
      <c r="B159" s="1" t="n">
        <v>44036.4951388889</v>
      </c>
      <c r="C159" s="0" t="n">
        <v>0</v>
      </c>
      <c r="D159" s="0" t="s">
        <v>127</v>
      </c>
      <c r="F159" s="0" t="s">
        <v>84</v>
      </c>
      <c r="G159" s="2" t="n">
        <v>93</v>
      </c>
      <c r="H159" s="2" t="n">
        <v>72</v>
      </c>
      <c r="I159" s="2" t="n">
        <v>53</v>
      </c>
      <c r="J159" s="2" t="s">
        <v>110</v>
      </c>
      <c r="K159" s="2" t="n">
        <v>7</v>
      </c>
      <c r="L159" s="2" t="n">
        <v>0</v>
      </c>
      <c r="M159" s="0" t="s">
        <v>94</v>
      </c>
    </row>
    <row r="160" customFormat="false" ht="12.8" hidden="false" customHeight="false" outlineLevel="0" collapsed="false">
      <c r="A160" s="12" t="n">
        <f aca="false">A159+1</f>
        <v>691</v>
      </c>
      <c r="B160" s="1" t="n">
        <v>44037.4951388889</v>
      </c>
      <c r="C160" s="0" t="n">
        <v>0</v>
      </c>
      <c r="D160" s="0" t="s">
        <v>127</v>
      </c>
      <c r="F160" s="6" t="s">
        <v>71</v>
      </c>
      <c r="G160" s="2" t="n">
        <v>96</v>
      </c>
      <c r="H160" s="2" t="n">
        <v>72</v>
      </c>
      <c r="I160" s="2" t="n">
        <v>63</v>
      </c>
      <c r="J160" s="6" t="s">
        <v>97</v>
      </c>
      <c r="K160" s="2" t="n">
        <v>9</v>
      </c>
      <c r="L160" s="2" t="n">
        <v>0</v>
      </c>
      <c r="M160" s="0" t="s">
        <v>94</v>
      </c>
    </row>
    <row r="161" customFormat="false" ht="12.8" hidden="false" customHeight="false" outlineLevel="0" collapsed="false">
      <c r="A161" s="12" t="n">
        <f aca="false">A160+1</f>
        <v>692</v>
      </c>
      <c r="B161" s="1" t="n">
        <v>44038.4951388889</v>
      </c>
      <c r="C161" s="0" t="n">
        <v>0</v>
      </c>
      <c r="D161" s="0" t="s">
        <v>127</v>
      </c>
      <c r="F161" s="6" t="s">
        <v>71</v>
      </c>
      <c r="G161" s="2" t="n">
        <f aca="false">(88+86+86)/3</f>
        <v>86.6666666666667</v>
      </c>
      <c r="H161" s="2" t="n">
        <v>73</v>
      </c>
      <c r="I161" s="2" t="n">
        <f aca="false">(59+59+53)/3</f>
        <v>57</v>
      </c>
      <c r="J161" s="2" t="s">
        <v>102</v>
      </c>
      <c r="K161" s="2" t="n">
        <v>6</v>
      </c>
      <c r="L161" s="2" t="n">
        <v>0</v>
      </c>
      <c r="M161" s="0" t="s">
        <v>94</v>
      </c>
    </row>
    <row r="162" customFormat="false" ht="12.8" hidden="false" customHeight="false" outlineLevel="0" collapsed="false">
      <c r="A162" s="12" t="n">
        <f aca="false">A161+1</f>
        <v>693</v>
      </c>
      <c r="B162" s="1" t="n">
        <v>44039.4951388889</v>
      </c>
      <c r="C162" s="0" t="n">
        <v>0</v>
      </c>
      <c r="D162" s="0" t="s">
        <v>127</v>
      </c>
      <c r="F162" s="6" t="s">
        <v>71</v>
      </c>
      <c r="G162" s="2" t="n">
        <v>84</v>
      </c>
      <c r="H162" s="2" t="n">
        <v>72</v>
      </c>
      <c r="I162" s="2" t="n">
        <v>72</v>
      </c>
      <c r="J162" s="2" t="s">
        <v>103</v>
      </c>
      <c r="K162" s="2" t="n">
        <f aca="false">(7+7+3)/3</f>
        <v>5.66666666666667</v>
      </c>
      <c r="L162" s="2" t="n">
        <v>0</v>
      </c>
      <c r="M162" s="0" t="s">
        <v>94</v>
      </c>
    </row>
    <row r="163" customFormat="false" ht="12.8" hidden="false" customHeight="false" outlineLevel="0" collapsed="false">
      <c r="A163" s="12" t="n">
        <f aca="false">A162+1</f>
        <v>694</v>
      </c>
      <c r="B163" s="1" t="n">
        <v>44040.5034722222</v>
      </c>
      <c r="C163" s="0" t="n">
        <v>1</v>
      </c>
      <c r="F163" s="6" t="s">
        <v>105</v>
      </c>
      <c r="G163" s="2" t="n">
        <v>76</v>
      </c>
      <c r="H163" s="2" t="n">
        <v>76</v>
      </c>
      <c r="I163" s="2" t="n">
        <v>100</v>
      </c>
      <c r="J163" s="2" t="s">
        <v>103</v>
      </c>
      <c r="K163" s="2" t="n">
        <f aca="false">AVERAGE(6,9,10)</f>
        <v>8.33333333333333</v>
      </c>
      <c r="L163" s="2" t="n">
        <v>0</v>
      </c>
      <c r="M163" s="0" t="s">
        <v>94</v>
      </c>
      <c r="N163" s="0" t="n">
        <v>0</v>
      </c>
      <c r="O163" s="0" t="s">
        <v>120</v>
      </c>
      <c r="Q163" s="0" t="s">
        <v>116</v>
      </c>
      <c r="R163" s="3" t="n">
        <v>1.35</v>
      </c>
      <c r="V163" s="3" t="n">
        <f aca="false">(V164+V165)/5</f>
        <v>0.546666666666667</v>
      </c>
      <c r="W163" s="3" t="n">
        <f aca="false">V163</f>
        <v>0.546666666666667</v>
      </c>
      <c r="X163" s="3" t="n">
        <f aca="false">W163-V163</f>
        <v>0</v>
      </c>
      <c r="Y163" s="3" t="n">
        <f aca="false">R163/W163</f>
        <v>2.46951219512195</v>
      </c>
      <c r="Z163" s="0" t="n">
        <v>1</v>
      </c>
      <c r="AA163" s="3" t="n">
        <f aca="false">R163/1</f>
        <v>1.35</v>
      </c>
      <c r="AB163" s="3" t="n">
        <f aca="false">AVERAGE(AB165,AB164)</f>
        <v>24.8666666666667</v>
      </c>
      <c r="AC163" s="2" t="n">
        <f aca="false">Z163*23*9/12</f>
        <v>17.25</v>
      </c>
      <c r="AD163" s="2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60</v>
      </c>
      <c r="BC163" s="0" t="n">
        <v>0</v>
      </c>
    </row>
    <row r="164" customFormat="false" ht="12.8" hidden="false" customHeight="false" outlineLevel="0" collapsed="false">
      <c r="A164" s="12" t="n">
        <f aca="false">A163+1</f>
        <v>695</v>
      </c>
      <c r="B164" s="1" t="n">
        <v>44041.50625</v>
      </c>
      <c r="C164" s="0" t="n">
        <v>1</v>
      </c>
      <c r="F164" s="0" t="s">
        <v>56</v>
      </c>
      <c r="G164" s="2" t="n">
        <v>85</v>
      </c>
      <c r="H164" s="2" t="n">
        <v>74</v>
      </c>
      <c r="I164" s="2" t="n">
        <v>69</v>
      </c>
      <c r="J164" s="2" t="s">
        <v>95</v>
      </c>
      <c r="K164" s="2" t="n">
        <v>12</v>
      </c>
      <c r="L164" s="2" t="n">
        <v>0</v>
      </c>
      <c r="M164" s="0" t="s">
        <v>94</v>
      </c>
      <c r="N164" s="0" t="n">
        <v>0</v>
      </c>
      <c r="O164" s="0" t="s">
        <v>120</v>
      </c>
      <c r="Q164" s="0" t="s">
        <v>116</v>
      </c>
      <c r="R164" s="3" t="n">
        <v>2.66</v>
      </c>
      <c r="S164" s="2" t="n">
        <v>787</v>
      </c>
      <c r="T164" s="2" t="n">
        <v>9629</v>
      </c>
      <c r="U164" s="2" t="n">
        <f aca="false">T164-S164</f>
        <v>8842</v>
      </c>
      <c r="V164" s="3" t="n">
        <f aca="false">65/60</f>
        <v>1.08333333333333</v>
      </c>
      <c r="W164" s="3" t="n">
        <f aca="false">67/60</f>
        <v>1.11666666666667</v>
      </c>
      <c r="X164" s="3" t="n">
        <f aca="false">W164-V164</f>
        <v>0.0333333333333334</v>
      </c>
      <c r="Y164" s="3" t="n">
        <f aca="false">R164/V164</f>
        <v>2.45538461538462</v>
      </c>
      <c r="Z164" s="0" t="n">
        <v>2</v>
      </c>
      <c r="AA164" s="3" t="n">
        <f aca="false">R164/Z164</f>
        <v>1.33</v>
      </c>
      <c r="AB164" s="3" t="n">
        <f aca="false">24+30/60</f>
        <v>24.5</v>
      </c>
      <c r="AC164" s="2" t="n">
        <f aca="false">2*9*32/12</f>
        <v>48</v>
      </c>
      <c r="AD164" s="2" t="n">
        <v>307</v>
      </c>
      <c r="AE164" s="2" t="n">
        <v>86</v>
      </c>
      <c r="AF164" s="0" t="n">
        <v>108</v>
      </c>
      <c r="AG164" s="3" t="n">
        <f aca="false">25+46/60</f>
        <v>25.7666666666667</v>
      </c>
      <c r="AH164" s="3" t="n">
        <f aca="false">23+28/60</f>
        <v>23.4666666666667</v>
      </c>
      <c r="AI164" s="3" t="n">
        <f aca="false">60/2.5</f>
        <v>24</v>
      </c>
      <c r="AR164" s="0" t="n">
        <v>1</v>
      </c>
      <c r="AS164" s="0" t="n">
        <v>1</v>
      </c>
      <c r="AT164" s="0" t="n">
        <v>0</v>
      </c>
      <c r="AU164" s="4" t="n">
        <f aca="false">60*V164-SUM(AV164:AZ164)</f>
        <v>3.9</v>
      </c>
      <c r="AV164" s="3" t="n">
        <f aca="false">38+43/60</f>
        <v>38.7166666666667</v>
      </c>
      <c r="AW164" s="3" t="n">
        <f aca="false">21+45/60</f>
        <v>21.75</v>
      </c>
      <c r="AX164" s="3" t="n">
        <f aca="false">38/60</f>
        <v>0.633333333333333</v>
      </c>
      <c r="AY164" s="3" t="n">
        <v>0</v>
      </c>
      <c r="AZ164" s="3" t="n">
        <v>0</v>
      </c>
      <c r="BA164" s="0" t="s">
        <v>59</v>
      </c>
      <c r="BB164" s="0" t="s">
        <v>60</v>
      </c>
      <c r="BC164" s="0" t="n">
        <v>0</v>
      </c>
    </row>
    <row r="165" customFormat="false" ht="12.8" hidden="false" customHeight="false" outlineLevel="0" collapsed="false">
      <c r="A165" s="12" t="n">
        <f aca="false">A164+1</f>
        <v>696</v>
      </c>
      <c r="B165" s="1" t="n">
        <v>44042.5451388889</v>
      </c>
      <c r="C165" s="0" t="n">
        <v>1</v>
      </c>
      <c r="F165" s="0" t="s">
        <v>61</v>
      </c>
      <c r="G165" s="2" t="n">
        <v>90</v>
      </c>
      <c r="H165" s="2" t="n">
        <v>71</v>
      </c>
      <c r="I165" s="2" t="n">
        <v>54</v>
      </c>
      <c r="J165" s="2" t="s">
        <v>95</v>
      </c>
      <c r="K165" s="2" t="n">
        <v>15</v>
      </c>
      <c r="L165" s="2" t="n">
        <v>0</v>
      </c>
      <c r="M165" s="0" t="s">
        <v>94</v>
      </c>
      <c r="N165" s="0" t="n">
        <v>0</v>
      </c>
      <c r="O165" s="0" t="s">
        <v>120</v>
      </c>
      <c r="Q165" s="0" t="s">
        <v>116</v>
      </c>
      <c r="R165" s="3" t="n">
        <v>3.92</v>
      </c>
      <c r="S165" s="2" t="n">
        <v>705</v>
      </c>
      <c r="T165" s="2" t="n">
        <v>13336</v>
      </c>
      <c r="U165" s="2" t="n">
        <f aca="false">T165-S165</f>
        <v>12631</v>
      </c>
      <c r="V165" s="3" t="n">
        <f aca="false">99/60</f>
        <v>1.65</v>
      </c>
      <c r="W165" s="3" t="n">
        <f aca="false">100/60</f>
        <v>1.66666666666667</v>
      </c>
      <c r="X165" s="3" t="n">
        <f aca="false">W165-V165</f>
        <v>0.0166666666666668</v>
      </c>
      <c r="Y165" s="3" t="n">
        <f aca="false">R165/V165</f>
        <v>2.37575757575758</v>
      </c>
      <c r="Z165" s="0" t="n">
        <v>3</v>
      </c>
      <c r="AA165" s="3" t="n">
        <f aca="false">R165/Z165</f>
        <v>1.30666666666667</v>
      </c>
      <c r="AB165" s="3" t="n">
        <f aca="false">25+14/60</f>
        <v>25.2333333333333</v>
      </c>
      <c r="AC165" s="2" t="n">
        <f aca="false">Z165*23*9/12</f>
        <v>51.75</v>
      </c>
      <c r="AD165" s="2" t="n">
        <v>418</v>
      </c>
      <c r="AE165" s="2" t="n">
        <v>78</v>
      </c>
      <c r="AF165" s="0" t="n">
        <v>115</v>
      </c>
      <c r="AG165" s="3" t="n">
        <f aca="false">24+47/60</f>
        <v>24.7833333333333</v>
      </c>
      <c r="AH165" s="3" t="n">
        <f aca="false">24+23/60</f>
        <v>24.3833333333333</v>
      </c>
      <c r="AI165" s="3" t="n">
        <f aca="false">23+57/60</f>
        <v>23.95</v>
      </c>
      <c r="AJ165" s="3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4" t="n">
        <f aca="false">60*V165-SUM(AV165:AZ165)</f>
        <v>35.6166666666667</v>
      </c>
      <c r="AV165" s="3" t="n">
        <f aca="false">52+26/60</f>
        <v>52.4333333333333</v>
      </c>
      <c r="AW165" s="3" t="n">
        <f aca="false">8+49/60</f>
        <v>8.81666666666667</v>
      </c>
      <c r="AX165" s="3" t="n">
        <f aca="false">2+8/60</f>
        <v>2.13333333333333</v>
      </c>
      <c r="AY165" s="3" t="n">
        <v>0</v>
      </c>
      <c r="AZ165" s="3" t="n">
        <v>0</v>
      </c>
      <c r="BA165" s="0" t="s">
        <v>59</v>
      </c>
      <c r="BB165" s="0" t="s">
        <v>60</v>
      </c>
      <c r="BC165" s="0" t="n">
        <v>0</v>
      </c>
    </row>
    <row r="166" customFormat="false" ht="12.8" hidden="false" customHeight="false" outlineLevel="0" collapsed="false">
      <c r="A166" s="12" t="n">
        <f aca="false">A165+1</f>
        <v>697</v>
      </c>
      <c r="B166" s="1" t="n">
        <v>44043.5208333333</v>
      </c>
      <c r="C166" s="0" t="n">
        <v>1</v>
      </c>
      <c r="F166" s="6" t="s">
        <v>107</v>
      </c>
      <c r="G166" s="2" t="n">
        <v>86</v>
      </c>
      <c r="H166" s="2" t="n">
        <v>50</v>
      </c>
      <c r="I166" s="2" t="n">
        <v>59</v>
      </c>
      <c r="J166" s="6" t="s">
        <v>128</v>
      </c>
      <c r="K166" s="2" t="n">
        <v>10</v>
      </c>
      <c r="L166" s="2" t="n">
        <v>22</v>
      </c>
      <c r="M166" s="0" t="s">
        <v>94</v>
      </c>
      <c r="N166" s="0" t="n">
        <v>0</v>
      </c>
      <c r="O166" s="0" t="s">
        <v>120</v>
      </c>
      <c r="Q166" s="0" t="s">
        <v>116</v>
      </c>
      <c r="R166" s="3" t="n">
        <v>4.35</v>
      </c>
      <c r="S166" s="2" t="n">
        <v>1103</v>
      </c>
      <c r="T166" s="2" t="n">
        <v>13887</v>
      </c>
      <c r="U166" s="2" t="n">
        <f aca="false">T166-S166</f>
        <v>12784</v>
      </c>
      <c r="V166" s="3" t="n">
        <f aca="false">(60+41)/60</f>
        <v>1.68333333333333</v>
      </c>
      <c r="W166" s="3" t="n">
        <f aca="false">(60+48)/60</f>
        <v>1.8</v>
      </c>
      <c r="X166" s="3" t="n">
        <f aca="false">W166-V166</f>
        <v>0.116666666666667</v>
      </c>
      <c r="Y166" s="3" t="n">
        <f aca="false">R166/V166</f>
        <v>2.58415841584158</v>
      </c>
      <c r="Z166" s="0" t="n">
        <v>3</v>
      </c>
      <c r="AA166" s="3" t="n">
        <f aca="false">R166/Z166</f>
        <v>1.45</v>
      </c>
      <c r="AB166" s="3" t="n">
        <f aca="false">23+12/60</f>
        <v>23.2</v>
      </c>
      <c r="AC166" s="2" t="n">
        <f aca="false">Z166*23*9/12</f>
        <v>51.75</v>
      </c>
      <c r="AD166" s="2" t="n">
        <v>521</v>
      </c>
      <c r="AE166" s="2" t="n">
        <v>92</v>
      </c>
      <c r="AF166" s="0" t="n">
        <v>124</v>
      </c>
      <c r="AG166" s="3" t="n">
        <f aca="false">21+55/60</f>
        <v>21.9166666666667</v>
      </c>
      <c r="AH166" s="3" t="n">
        <f aca="false">21+56/60</f>
        <v>21.9333333333333</v>
      </c>
      <c r="AI166" s="3" t="n">
        <f aca="false">25+51/60</f>
        <v>25.85</v>
      </c>
      <c r="AJ166" s="3" t="n">
        <f aca="false">23+4/60</f>
        <v>23.0666666666667</v>
      </c>
      <c r="AK166" s="3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4" t="n">
        <f aca="false">60*V166-SUM(AV166:AZ166)</f>
        <v>41.88</v>
      </c>
      <c r="AV166" s="3" t="n">
        <f aca="false">28+52/60</f>
        <v>28.8666666666667</v>
      </c>
      <c r="AW166" s="3" t="n">
        <f aca="false">28+46/50</f>
        <v>28.92</v>
      </c>
      <c r="AX166" s="3" t="n">
        <f aca="false">1+20/60</f>
        <v>1.33333333333333</v>
      </c>
      <c r="AY166" s="3" t="n">
        <v>0</v>
      </c>
      <c r="AZ166" s="3" t="n">
        <v>0</v>
      </c>
      <c r="BA166" s="0" t="s">
        <v>59</v>
      </c>
      <c r="BB166" s="0" t="s">
        <v>60</v>
      </c>
      <c r="BC166" s="0" t="n">
        <v>0</v>
      </c>
    </row>
    <row r="167" customFormat="false" ht="12.8" hidden="false" customHeight="false" outlineLevel="0" collapsed="false">
      <c r="A167" s="12" t="n">
        <f aca="false">A166+1</f>
        <v>698</v>
      </c>
      <c r="B167" s="1" t="n">
        <v>44044.5020833333</v>
      </c>
      <c r="C167" s="0" t="n">
        <v>1</v>
      </c>
      <c r="F167" s="6" t="s">
        <v>71</v>
      </c>
      <c r="G167" s="2" t="n">
        <v>85</v>
      </c>
      <c r="H167" s="2" t="n">
        <v>66</v>
      </c>
      <c r="I167" s="2" t="n">
        <v>53</v>
      </c>
      <c r="J167" s="2" t="s">
        <v>96</v>
      </c>
      <c r="K167" s="2" t="n">
        <v>6</v>
      </c>
      <c r="L167" s="2" t="n">
        <v>0</v>
      </c>
      <c r="M167" s="0" t="s">
        <v>94</v>
      </c>
      <c r="N167" s="0" t="n">
        <v>0</v>
      </c>
      <c r="O167" s="0" t="s">
        <v>120</v>
      </c>
      <c r="Q167" s="0" t="s">
        <v>116</v>
      </c>
      <c r="R167" s="3" t="n">
        <v>4.35</v>
      </c>
      <c r="S167" s="2" t="n">
        <v>1160</v>
      </c>
      <c r="T167" s="2" t="n">
        <v>13166</v>
      </c>
      <c r="U167" s="2" t="n">
        <f aca="false">T167-S167</f>
        <v>12006</v>
      </c>
      <c r="V167" s="3" t="n">
        <f aca="false">(60+51)/60</f>
        <v>1.85</v>
      </c>
      <c r="W167" s="3" t="n">
        <f aca="false">(60+58)/60</f>
        <v>1.96666666666667</v>
      </c>
      <c r="X167" s="3" t="n">
        <f aca="false">W167-V167</f>
        <v>0.116666666666666</v>
      </c>
      <c r="Y167" s="3" t="n">
        <f aca="false">R167/V167</f>
        <v>2.35135135135135</v>
      </c>
      <c r="Z167" s="0" t="n">
        <v>3</v>
      </c>
      <c r="AA167" s="3" t="n">
        <f aca="false">R167/Z167</f>
        <v>1.45</v>
      </c>
      <c r="AB167" s="3" t="n">
        <f aca="false">25+31/60</f>
        <v>25.5166666666667</v>
      </c>
      <c r="AC167" s="2" t="n">
        <f aca="false">Z167*23*9/12</f>
        <v>51.75</v>
      </c>
      <c r="AD167" s="2" t="n">
        <v>459</v>
      </c>
      <c r="AE167" s="2" t="n">
        <v>84</v>
      </c>
      <c r="AF167" s="0" t="n">
        <v>115</v>
      </c>
      <c r="AG167" s="3" t="n">
        <f aca="false">23+43/60</f>
        <v>23.7166666666667</v>
      </c>
      <c r="AH167" s="3" t="n">
        <f aca="false">25+3/60</f>
        <v>25.05</v>
      </c>
      <c r="AI167" s="3" t="n">
        <f aca="false">24+57/60</f>
        <v>24.95</v>
      </c>
      <c r="AJ167" s="3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4" t="n">
        <f aca="false">60*V167-SUM(AV167:AZ167)</f>
        <v>8.7</v>
      </c>
      <c r="AV167" s="3" t="n">
        <f aca="false">73+17/60</f>
        <v>73.2833333333333</v>
      </c>
      <c r="AW167" s="3" t="n">
        <f aca="false">27+40/60</f>
        <v>27.6666666666667</v>
      </c>
      <c r="AX167" s="3" t="n">
        <f aca="false">1+21/60</f>
        <v>1.35</v>
      </c>
      <c r="AY167" s="3" t="n">
        <v>0</v>
      </c>
      <c r="AZ167" s="3" t="n">
        <v>0</v>
      </c>
      <c r="BA167" s="0" t="s">
        <v>59</v>
      </c>
      <c r="BB167" s="0" t="s">
        <v>60</v>
      </c>
      <c r="BC167" s="0" t="n">
        <v>0</v>
      </c>
    </row>
    <row r="168" customFormat="false" ht="12.8" hidden="false" customHeight="false" outlineLevel="0" collapsed="false">
      <c r="A168" s="12" t="n">
        <f aca="false">A167+1</f>
        <v>699</v>
      </c>
      <c r="B168" s="1" t="n">
        <v>44045.6055555556</v>
      </c>
      <c r="C168" s="0" t="n">
        <v>1</v>
      </c>
      <c r="F168" s="0" t="s">
        <v>61</v>
      </c>
      <c r="G168" s="2" t="n">
        <v>94</v>
      </c>
      <c r="H168" s="2" t="n">
        <v>60</v>
      </c>
      <c r="I168" s="2" t="n">
        <v>32</v>
      </c>
      <c r="J168" s="6" t="s">
        <v>96</v>
      </c>
      <c r="K168" s="2" t="n">
        <v>6</v>
      </c>
      <c r="L168" s="2" t="n">
        <v>0</v>
      </c>
      <c r="M168" s="0" t="s">
        <v>73</v>
      </c>
      <c r="N168" s="0" t="n">
        <v>0</v>
      </c>
      <c r="O168" s="0" t="s">
        <v>120</v>
      </c>
      <c r="Q168" s="0" t="s">
        <v>116</v>
      </c>
      <c r="R168" s="3" t="n">
        <v>4.27</v>
      </c>
      <c r="S168" s="2" t="n">
        <v>1405</v>
      </c>
      <c r="T168" s="2" t="n">
        <v>14959</v>
      </c>
      <c r="U168" s="2" t="n">
        <f aca="false">T168-S168</f>
        <v>13554</v>
      </c>
      <c r="V168" s="3" t="n">
        <f aca="false">(60+50)/60</f>
        <v>1.83333333333333</v>
      </c>
      <c r="W168" s="3" t="n">
        <f aca="false">(60+54)/60</f>
        <v>1.9</v>
      </c>
      <c r="X168" s="3" t="n">
        <f aca="false">W168-V168</f>
        <v>0.0666666666666667</v>
      </c>
      <c r="Y168" s="3" t="n">
        <f aca="false">R168/V168</f>
        <v>2.32909090909091</v>
      </c>
      <c r="Z168" s="0" t="n">
        <v>3</v>
      </c>
      <c r="AA168" s="3" t="n">
        <f aca="false">R168/Z168</f>
        <v>1.42333333333333</v>
      </c>
      <c r="AB168" s="3" t="n">
        <f aca="false">25+47/60</f>
        <v>25.7833333333333</v>
      </c>
      <c r="AC168" s="2" t="n">
        <f aca="false">Z168*23*9/12</f>
        <v>51.75</v>
      </c>
      <c r="AD168" s="2" t="n">
        <v>597</v>
      </c>
      <c r="AE168" s="2" t="n">
        <v>101</v>
      </c>
      <c r="AF168" s="0" t="n">
        <v>143</v>
      </c>
      <c r="AG168" s="3" t="n">
        <f aca="false">24+18/60</f>
        <v>24.3</v>
      </c>
      <c r="AH168" s="3" t="n">
        <f aca="false">26+1/60</f>
        <v>26.0166666666667</v>
      </c>
      <c r="AI168" s="3" t="n">
        <f aca="false">24+28/60</f>
        <v>24.4666666666667</v>
      </c>
      <c r="AJ168" s="3" t="n">
        <f aca="false">28+40/60</f>
        <v>28.6666666666667</v>
      </c>
      <c r="AK168" s="3" t="n">
        <f aca="false">60/2.4</f>
        <v>25</v>
      </c>
      <c r="AR168" s="0" t="n">
        <v>1</v>
      </c>
      <c r="AS168" s="0" t="n">
        <v>0</v>
      </c>
      <c r="AT168" s="0" t="n">
        <v>0</v>
      </c>
      <c r="AU168" s="4" t="n">
        <v>0</v>
      </c>
      <c r="AV168" s="3" t="n">
        <f aca="false">9+6/60</f>
        <v>9.1</v>
      </c>
      <c r="AW168" s="3" t="n">
        <f aca="false">56+18/60</f>
        <v>56.3</v>
      </c>
      <c r="AX168" s="3" t="n">
        <f aca="false">42+30/60</f>
        <v>42.5</v>
      </c>
      <c r="AY168" s="3" t="n">
        <f aca="false">1+52/60</f>
        <v>1.86666666666667</v>
      </c>
      <c r="AZ168" s="3" t="n">
        <f aca="false">22/60</f>
        <v>0.366666666666667</v>
      </c>
      <c r="BA168" s="0" t="s">
        <v>59</v>
      </c>
      <c r="BB168" s="0" t="s">
        <v>60</v>
      </c>
      <c r="BC168" s="0" t="n">
        <v>0</v>
      </c>
    </row>
    <row r="169" customFormat="false" ht="12.8" hidden="false" customHeight="false" outlineLevel="0" collapsed="false">
      <c r="A169" s="12" t="n">
        <f aca="false">A168+1</f>
        <v>700</v>
      </c>
      <c r="B169" s="1" t="n">
        <v>44046.575</v>
      </c>
      <c r="C169" s="0" t="n">
        <v>1</v>
      </c>
      <c r="F169" s="0" t="s">
        <v>61</v>
      </c>
      <c r="G169" s="2" t="n">
        <v>92</v>
      </c>
      <c r="H169" s="2" t="n">
        <v>63</v>
      </c>
      <c r="I169" s="2" t="n">
        <v>39</v>
      </c>
      <c r="J169" s="2" t="s">
        <v>110</v>
      </c>
      <c r="K169" s="2" t="n">
        <v>10</v>
      </c>
      <c r="L169" s="2" t="n">
        <v>17</v>
      </c>
      <c r="M169" s="0" t="s">
        <v>73</v>
      </c>
      <c r="N169" s="0" t="n">
        <v>0</v>
      </c>
      <c r="O169" s="0" t="s">
        <v>120</v>
      </c>
      <c r="Q169" s="0" t="s">
        <v>121</v>
      </c>
      <c r="R169" s="3" t="n">
        <v>5.68</v>
      </c>
      <c r="S169" s="2" t="n">
        <v>786</v>
      </c>
      <c r="T169" s="2" t="n">
        <v>17755</v>
      </c>
      <c r="U169" s="2" t="n">
        <f aca="false">T169-S169</f>
        <v>16969</v>
      </c>
      <c r="V169" s="3" t="n">
        <f aca="false">(120+16)/60</f>
        <v>2.26666666666667</v>
      </c>
      <c r="W169" s="3" t="n">
        <f aca="false">(120+25)/60</f>
        <v>2.41666666666667</v>
      </c>
      <c r="X169" s="3" t="n">
        <f aca="false">W169-V169</f>
        <v>0.15</v>
      </c>
      <c r="Y169" s="3" t="n">
        <f aca="false">R169/V169</f>
        <v>2.50588235294118</v>
      </c>
      <c r="Z169" s="0" t="n">
        <v>4</v>
      </c>
      <c r="AA169" s="3" t="n">
        <f aca="false">R169/Z169</f>
        <v>1.42</v>
      </c>
      <c r="AB169" s="3" t="n">
        <f aca="false">23+59/60</f>
        <v>23.9833333333333</v>
      </c>
      <c r="AC169" s="2" t="n">
        <f aca="false">Z169*23*9/12</f>
        <v>69</v>
      </c>
      <c r="AD169" s="2" t="n">
        <v>736</v>
      </c>
      <c r="AE169" s="2" t="n">
        <v>103</v>
      </c>
      <c r="AF169" s="0" t="n">
        <v>121</v>
      </c>
      <c r="AG169" s="3" t="n">
        <f aca="false">23+31/60</f>
        <v>23.5166666666667</v>
      </c>
      <c r="AH169" s="3" t="n">
        <f aca="false">25+50/60</f>
        <v>25.8333333333333</v>
      </c>
      <c r="AI169" s="3" t="n">
        <f aca="false">22+43/60</f>
        <v>22.7166666666667</v>
      </c>
      <c r="AJ169" s="3" t="n">
        <f aca="false">23+55/60</f>
        <v>23.9166666666667</v>
      </c>
      <c r="AK169" s="3" t="n">
        <f aca="false">24+16/60</f>
        <v>24.2666666666667</v>
      </c>
      <c r="AL169" s="3" t="n">
        <f aca="false">60/2.5</f>
        <v>24</v>
      </c>
      <c r="AR169" s="0" t="n">
        <v>3</v>
      </c>
      <c r="AS169" s="0" t="n">
        <v>0</v>
      </c>
      <c r="AT169" s="0" t="n">
        <v>0</v>
      </c>
      <c r="AU169" s="4" t="n">
        <v>0</v>
      </c>
      <c r="AV169" s="3" t="n">
        <f aca="false">4+51/60</f>
        <v>4.85</v>
      </c>
      <c r="AW169" s="3" t="n">
        <f aca="false">64+1/60</f>
        <v>64.0166666666667</v>
      </c>
      <c r="AX169" s="3" t="n">
        <f aca="false">67+16/60</f>
        <v>67.2666666666667</v>
      </c>
      <c r="AY169" s="3" t="n">
        <f aca="false">7/60</f>
        <v>0.116666666666667</v>
      </c>
      <c r="AZ169" s="3" t="n">
        <v>0</v>
      </c>
      <c r="BA169" s="0" t="s">
        <v>59</v>
      </c>
      <c r="BB169" s="0" t="s">
        <v>60</v>
      </c>
      <c r="BC169" s="0" t="n">
        <v>0</v>
      </c>
    </row>
    <row r="170" customFormat="false" ht="12.8" hidden="false" customHeight="false" outlineLevel="0" collapsed="false">
      <c r="A170" s="12" t="n">
        <f aca="false">A169+1</f>
        <v>701</v>
      </c>
      <c r="B170" s="1" t="n">
        <v>44047.5284722222</v>
      </c>
      <c r="C170" s="0" t="n">
        <v>1</v>
      </c>
      <c r="F170" s="0" t="s">
        <v>61</v>
      </c>
      <c r="G170" s="2" t="n">
        <v>87</v>
      </c>
      <c r="H170" s="2" t="n">
        <v>60</v>
      </c>
      <c r="I170" s="2" t="n">
        <v>40</v>
      </c>
      <c r="J170" s="2" t="s">
        <v>99</v>
      </c>
      <c r="K170" s="2" t="n">
        <v>5</v>
      </c>
      <c r="L170" s="2" t="n">
        <v>0</v>
      </c>
      <c r="M170" s="0" t="s">
        <v>73</v>
      </c>
      <c r="N170" s="0" t="n">
        <v>0</v>
      </c>
      <c r="O170" s="0" t="s">
        <v>120</v>
      </c>
      <c r="Q170" s="0" t="s">
        <v>121</v>
      </c>
      <c r="R170" s="3" t="n">
        <v>5.38</v>
      </c>
      <c r="S170" s="2" t="n">
        <v>1036</v>
      </c>
      <c r="T170" s="2" t="n">
        <v>18605</v>
      </c>
      <c r="U170" s="2" t="n">
        <f aca="false">T170-S170</f>
        <v>17569</v>
      </c>
      <c r="V170" s="3" t="n">
        <f aca="false">(120+25)/60</f>
        <v>2.41666666666667</v>
      </c>
      <c r="W170" s="3" t="n">
        <f aca="false">(120+26)/60</f>
        <v>2.43333333333333</v>
      </c>
      <c r="X170" s="3" t="n">
        <f aca="false">W170-V170</f>
        <v>0.0166666666666666</v>
      </c>
      <c r="Y170" s="3" t="n">
        <f aca="false">R170/V170</f>
        <v>2.22620689655172</v>
      </c>
      <c r="Z170" s="0" t="n">
        <v>4</v>
      </c>
      <c r="AA170" s="3" t="n">
        <f aca="false">R170/Z170</f>
        <v>1.345</v>
      </c>
      <c r="AB170" s="3" t="n">
        <f aca="false">26+56/60</f>
        <v>26.9333333333333</v>
      </c>
      <c r="AC170" s="2" t="n">
        <f aca="false">Z170*23*9/12</f>
        <v>69</v>
      </c>
      <c r="AD170" s="2" t="n">
        <v>794</v>
      </c>
      <c r="AE170" s="2" t="n">
        <v>103</v>
      </c>
      <c r="AF170" s="0" t="n">
        <v>131</v>
      </c>
      <c r="AG170" s="3" t="n">
        <f aca="false">24+15/60</f>
        <v>24.25</v>
      </c>
      <c r="AH170" s="3" t="n">
        <f aca="false">28+46/60</f>
        <v>28.7666666666667</v>
      </c>
      <c r="AI170" s="3" t="n">
        <f aca="false">24+28/60</f>
        <v>24.4666666666667</v>
      </c>
      <c r="AJ170" s="3" t="n">
        <f aca="false">29+45/60</f>
        <v>29.75</v>
      </c>
      <c r="AK170" s="3" t="n">
        <f aca="false">27+10/60</f>
        <v>27.1666666666667</v>
      </c>
      <c r="AL170" s="3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4" t="n">
        <f aca="false">60*V170-SUM(AV170:AZ170)</f>
        <v>10.05</v>
      </c>
      <c r="AV170" s="3" t="n">
        <f aca="false">1+49/60</f>
        <v>1.81666666666667</v>
      </c>
      <c r="AW170" s="3" t="n">
        <f aca="false">81+43/60</f>
        <v>81.7166666666667</v>
      </c>
      <c r="AX170" s="3" t="n">
        <f aca="false">48+30/60</f>
        <v>48.5</v>
      </c>
      <c r="AY170" s="3" t="n">
        <f aca="false">2+55/60</f>
        <v>2.91666666666667</v>
      </c>
      <c r="AZ170" s="3" t="n">
        <v>0</v>
      </c>
      <c r="BA170" s="0" t="s">
        <v>59</v>
      </c>
      <c r="BB170" s="0" t="s">
        <v>60</v>
      </c>
      <c r="BC170" s="0" t="n">
        <v>0</v>
      </c>
    </row>
    <row r="171" customFormat="false" ht="12.8" hidden="false" customHeight="false" outlineLevel="0" collapsed="false">
      <c r="A171" s="12" t="n">
        <f aca="false">A170+1</f>
        <v>702</v>
      </c>
      <c r="B171" s="1" t="n">
        <v>44048.5236111111</v>
      </c>
      <c r="C171" s="0" t="n">
        <v>1</v>
      </c>
      <c r="F171" s="6" t="s">
        <v>71</v>
      </c>
      <c r="G171" s="2" t="n">
        <f aca="false">(81+86)/2</f>
        <v>83.5</v>
      </c>
      <c r="H171" s="2" t="n">
        <f aca="false">(69+71)/2</f>
        <v>70</v>
      </c>
      <c r="I171" s="2" t="n">
        <f aca="false">(67+61)/2</f>
        <v>64</v>
      </c>
      <c r="J171" s="2" t="s">
        <v>102</v>
      </c>
      <c r="K171" s="2" t="n">
        <f aca="false">(13+8)/2</f>
        <v>10.5</v>
      </c>
      <c r="L171" s="2" t="n">
        <v>0</v>
      </c>
      <c r="M171" s="0" t="s">
        <v>73</v>
      </c>
      <c r="N171" s="0" t="n">
        <v>0</v>
      </c>
      <c r="O171" s="0" t="s">
        <v>120</v>
      </c>
      <c r="Q171" s="0" t="s">
        <v>116</v>
      </c>
      <c r="R171" s="3" t="n">
        <v>5.05</v>
      </c>
      <c r="S171" s="2" t="n">
        <v>950</v>
      </c>
      <c r="T171" s="2" t="n">
        <v>14188</v>
      </c>
      <c r="U171" s="2" t="n">
        <f aca="false">T171-S171</f>
        <v>13238</v>
      </c>
      <c r="V171" s="3" t="n">
        <f aca="false">(60+48)/60</f>
        <v>1.8</v>
      </c>
      <c r="W171" s="3" t="n">
        <f aca="false">(60+48)/60</f>
        <v>1.8</v>
      </c>
      <c r="X171" s="3" t="n">
        <f aca="false">W171-V171</f>
        <v>0</v>
      </c>
      <c r="Y171" s="3" t="n">
        <f aca="false">R171/V171</f>
        <v>2.80555555555556</v>
      </c>
      <c r="Z171" s="0" t="n">
        <v>3</v>
      </c>
      <c r="AA171" s="3" t="n">
        <f aca="false">R171/Z171</f>
        <v>1.68333333333333</v>
      </c>
      <c r="AB171" s="3" t="n">
        <f aca="false">21+24/60</f>
        <v>21.4</v>
      </c>
      <c r="AC171" s="2" t="n">
        <f aca="false">Z171*23*9/12</f>
        <v>51.75</v>
      </c>
      <c r="AD171" s="2" t="n">
        <v>478</v>
      </c>
      <c r="AE171" s="2" t="n">
        <v>88</v>
      </c>
      <c r="AF171" s="0" t="n">
        <v>125</v>
      </c>
      <c r="AG171" s="3" t="n">
        <f aca="false">19+49/60</f>
        <v>19.8166666666667</v>
      </c>
      <c r="AH171" s="3" t="n">
        <f aca="false">23+30/60</f>
        <v>23.5</v>
      </c>
      <c r="AI171" s="3" t="n">
        <f aca="false">23+26/60</f>
        <v>23.4333333333333</v>
      </c>
      <c r="AJ171" s="3" t="n">
        <f aca="false">20+31/60</f>
        <v>20.5166666666667</v>
      </c>
      <c r="AK171" s="3" t="n">
        <f aca="false">19+46/60</f>
        <v>19.7666666666667</v>
      </c>
      <c r="AL171" s="3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4" t="n">
        <f aca="false">60*V171-SUM(AV171:AZ171)</f>
        <v>8.13333333333334</v>
      </c>
      <c r="AV171" s="3" t="n">
        <f aca="false">57+40/60</f>
        <v>57.6666666666667</v>
      </c>
      <c r="AW171" s="3" t="n">
        <f aca="false">25+35/60</f>
        <v>25.5833333333333</v>
      </c>
      <c r="AX171" s="3" t="n">
        <f aca="false">15+51/60</f>
        <v>15.85</v>
      </c>
      <c r="AY171" s="3" t="n">
        <f aca="false">46/60</f>
        <v>0.766666666666667</v>
      </c>
      <c r="AZ171" s="3" t="n">
        <v>0</v>
      </c>
      <c r="BA171" s="0" t="s">
        <v>59</v>
      </c>
      <c r="BB171" s="0" t="s">
        <v>60</v>
      </c>
      <c r="BC171" s="0" t="n">
        <v>0</v>
      </c>
    </row>
    <row r="172" customFormat="false" ht="12.8" hidden="false" customHeight="false" outlineLevel="0" collapsed="false">
      <c r="A172" s="12" t="n">
        <f aca="false">A171+1</f>
        <v>703</v>
      </c>
      <c r="B172" s="1" t="n">
        <v>44049.5125</v>
      </c>
      <c r="C172" s="0" t="n">
        <v>1</v>
      </c>
      <c r="F172" s="0" t="s">
        <v>61</v>
      </c>
      <c r="G172" s="2" t="n">
        <f aca="false">(88+92)/2</f>
        <v>90</v>
      </c>
      <c r="H172" s="2" t="n">
        <f aca="false">AVERAGE(74+70)/2</f>
        <v>72</v>
      </c>
      <c r="I172" s="2" t="n">
        <f aca="false">(59+45)/2</f>
        <v>52</v>
      </c>
      <c r="J172" s="2" t="s">
        <v>103</v>
      </c>
      <c r="K172" s="2" t="n">
        <v>6</v>
      </c>
      <c r="L172" s="2" t="n">
        <v>0</v>
      </c>
      <c r="M172" s="0" t="s">
        <v>94</v>
      </c>
      <c r="N172" s="0" t="n">
        <v>0</v>
      </c>
      <c r="O172" s="0" t="s">
        <v>120</v>
      </c>
      <c r="Q172" s="0" t="s">
        <v>116</v>
      </c>
      <c r="R172" s="3" t="n">
        <v>4.48</v>
      </c>
      <c r="S172" s="2" t="n">
        <v>798</v>
      </c>
      <c r="T172" s="2" t="n">
        <v>14368</v>
      </c>
      <c r="U172" s="2" t="n">
        <f aca="false">T172-S172</f>
        <v>13570</v>
      </c>
      <c r="V172" s="3" t="n">
        <f aca="false">(60+49)/60</f>
        <v>1.81666666666667</v>
      </c>
      <c r="W172" s="3" t="n">
        <f aca="false">(60+49)/60</f>
        <v>1.81666666666667</v>
      </c>
      <c r="X172" s="3" t="n">
        <f aca="false">W172-V172</f>
        <v>0</v>
      </c>
      <c r="Y172" s="3" t="n">
        <f aca="false">R172/V172</f>
        <v>2.46605504587156</v>
      </c>
      <c r="Z172" s="0" t="n">
        <v>3</v>
      </c>
      <c r="AA172" s="3" t="n">
        <f aca="false">R172/Z172</f>
        <v>1.49333333333333</v>
      </c>
      <c r="AB172" s="3" t="n">
        <f aca="false">24+20/60</f>
        <v>24.3333333333333</v>
      </c>
      <c r="AC172" s="2" t="n">
        <f aca="false">Z172*23*9/12</f>
        <v>51.75</v>
      </c>
      <c r="AD172" s="2" t="n">
        <v>370</v>
      </c>
      <c r="AE172" s="2" t="n">
        <v>69</v>
      </c>
      <c r="AF172" s="0" t="n">
        <v>108</v>
      </c>
      <c r="AG172" s="3" t="n">
        <f aca="false">21+47/60</f>
        <v>21.7833333333333</v>
      </c>
      <c r="AH172" s="3" t="n">
        <f aca="false">22+25/60</f>
        <v>22.4166666666667</v>
      </c>
      <c r="AI172" s="3" t="n">
        <f aca="false">28+49/60</f>
        <v>28.8166666666667</v>
      </c>
      <c r="AJ172" s="3" t="n">
        <f aca="false">24+20/60</f>
        <v>24.3333333333333</v>
      </c>
      <c r="AK172" s="3" t="n">
        <f aca="false">60/2.5</f>
        <v>24</v>
      </c>
      <c r="AR172" s="0" t="n">
        <v>0</v>
      </c>
      <c r="AS172" s="0" t="n">
        <v>0</v>
      </c>
      <c r="AT172" s="0" t="n">
        <v>0</v>
      </c>
      <c r="AU172" s="5" t="n">
        <f aca="false">60*V172-SUM(AV172:AZ172)</f>
        <v>82.0333333333333</v>
      </c>
      <c r="AV172" s="3" t="n">
        <f aca="false">19+29/60</f>
        <v>19.4833333333333</v>
      </c>
      <c r="AW172" s="3" t="n">
        <f aca="false">6+46/60</f>
        <v>6.76666666666667</v>
      </c>
      <c r="AX172" s="3" t="n">
        <f aca="false">43/60</f>
        <v>0.716666666666667</v>
      </c>
      <c r="AY172" s="3" t="n">
        <v>0</v>
      </c>
      <c r="AZ172" s="3" t="n">
        <v>0</v>
      </c>
      <c r="BA172" s="0" t="s">
        <v>59</v>
      </c>
      <c r="BB172" s="0" t="s">
        <v>60</v>
      </c>
      <c r="BC172" s="0" t="n">
        <v>0</v>
      </c>
    </row>
    <row r="173" customFormat="false" ht="12.8" hidden="false" customHeight="false" outlineLevel="0" collapsed="false">
      <c r="A173" s="12" t="n">
        <f aca="false">A172+1</f>
        <v>704</v>
      </c>
      <c r="B173" s="1" t="n">
        <v>44050.4770833333</v>
      </c>
      <c r="C173" s="0" t="n">
        <v>1</v>
      </c>
      <c r="F173" s="6" t="s">
        <v>107</v>
      </c>
      <c r="G173" s="2" t="n">
        <v>91</v>
      </c>
      <c r="H173" s="2" t="n">
        <v>69</v>
      </c>
      <c r="I173" s="2" t="n">
        <v>50</v>
      </c>
      <c r="J173" s="2" t="s">
        <v>103</v>
      </c>
      <c r="K173" s="2" t="n">
        <f aca="false">(15+12)/2</f>
        <v>13.5</v>
      </c>
      <c r="L173" s="2" t="n">
        <v>0</v>
      </c>
      <c r="M173" s="0" t="s">
        <v>94</v>
      </c>
      <c r="N173" s="0" t="n">
        <v>0</v>
      </c>
      <c r="O173" s="0" t="s">
        <v>120</v>
      </c>
      <c r="Q173" s="0" t="s">
        <v>116</v>
      </c>
      <c r="R173" s="3" t="n">
        <v>4.5</v>
      </c>
      <c r="S173" s="2" t="n">
        <v>712</v>
      </c>
      <c r="T173" s="2" t="n">
        <v>14680</v>
      </c>
      <c r="U173" s="2" t="n">
        <f aca="false">T173-S173</f>
        <v>13968</v>
      </c>
      <c r="V173" s="3" t="n">
        <f aca="false">(60+50)/60</f>
        <v>1.83333333333333</v>
      </c>
      <c r="W173" s="3" t="n">
        <f aca="false">(60+50)/60</f>
        <v>1.83333333333333</v>
      </c>
      <c r="X173" s="3" t="n">
        <f aca="false">W173-V173</f>
        <v>0</v>
      </c>
      <c r="Y173" s="3" t="n">
        <f aca="false">R173/V173</f>
        <v>2.45454545454545</v>
      </c>
      <c r="Z173" s="0" t="n">
        <v>3</v>
      </c>
      <c r="AA173" s="3" t="n">
        <f aca="false">R173/Z173</f>
        <v>1.5</v>
      </c>
      <c r="AB173" s="3" t="n">
        <f aca="false">24+27/60</f>
        <v>24.45</v>
      </c>
      <c r="AC173" s="2" t="n">
        <f aca="false">Z173*23*9/12</f>
        <v>51.75</v>
      </c>
      <c r="AD173" s="2" t="n">
        <v>665</v>
      </c>
      <c r="AE173" s="2" t="n">
        <v>92</v>
      </c>
      <c r="AF173" s="0" t="n">
        <v>118</v>
      </c>
      <c r="AG173" s="3" t="n">
        <f aca="false">23+48/60</f>
        <v>23.8</v>
      </c>
      <c r="AH173" s="3" t="n">
        <f aca="false">23+7/60</f>
        <v>23.1166666666667</v>
      </c>
      <c r="AI173" s="3" t="n">
        <f aca="false">22+32/60</f>
        <v>22.5333333333333</v>
      </c>
      <c r="AJ173" s="3" t="n">
        <f aca="false">28+11/60</f>
        <v>28.1833333333333</v>
      </c>
      <c r="AK173" s="3" t="n">
        <f aca="false">60/2.5</f>
        <v>24</v>
      </c>
      <c r="AR173" s="0" t="n">
        <v>0</v>
      </c>
      <c r="AS173" s="0" t="n">
        <v>0</v>
      </c>
      <c r="AT173" s="0" t="n">
        <v>0</v>
      </c>
      <c r="AU173" s="4" t="n">
        <f aca="false">60*V173-SUM(AV173:AZ173)</f>
        <v>14.55</v>
      </c>
      <c r="AV173" s="3" t="n">
        <f aca="false">18+40/60</f>
        <v>18.6666666666667</v>
      </c>
      <c r="AW173" s="3" t="n">
        <f aca="false">66+7/10</f>
        <v>66.7</v>
      </c>
      <c r="AX173" s="3" t="n">
        <f aca="false">10+5/60</f>
        <v>10.0833333333333</v>
      </c>
      <c r="AY173" s="3" t="n">
        <v>0</v>
      </c>
      <c r="AZ173" s="3" t="n">
        <v>0</v>
      </c>
    </row>
    <row r="174" customFormat="false" ht="12.8" hidden="false" customHeight="false" outlineLevel="0" collapsed="false">
      <c r="A174" s="12" t="n">
        <f aca="false">A173+1</f>
        <v>705</v>
      </c>
      <c r="B174" s="1" t="n">
        <v>44051.5</v>
      </c>
      <c r="C174" s="0" t="n">
        <v>0</v>
      </c>
      <c r="D174" s="0" t="s">
        <v>112</v>
      </c>
      <c r="F174" s="6" t="s">
        <v>129</v>
      </c>
      <c r="G174" s="2" t="n">
        <v>92</v>
      </c>
      <c r="H174" s="2" t="n">
        <v>68</v>
      </c>
      <c r="I174" s="2" t="n">
        <f aca="false">(48+42)/2</f>
        <v>45</v>
      </c>
      <c r="J174" s="2" t="s">
        <v>103</v>
      </c>
      <c r="K174" s="2" t="n">
        <v>15</v>
      </c>
      <c r="L174" s="2" t="n">
        <v>24</v>
      </c>
      <c r="M174" s="0" t="s">
        <v>94</v>
      </c>
    </row>
    <row r="175" customFormat="false" ht="12.8" hidden="false" customHeight="false" outlineLevel="0" collapsed="false">
      <c r="A175" s="12" t="n">
        <f aca="false">A174+1</f>
        <v>706</v>
      </c>
      <c r="B175" s="1" t="n">
        <v>44052.5215277778</v>
      </c>
      <c r="C175" s="0" t="n">
        <v>1</v>
      </c>
      <c r="F175" s="0" t="s">
        <v>61</v>
      </c>
      <c r="G175" s="2" t="n">
        <f aca="false">(91+94)/2</f>
        <v>92.5</v>
      </c>
      <c r="H175" s="2" t="n">
        <v>72</v>
      </c>
      <c r="I175" s="2" t="n">
        <f aca="false">(53+47)/2</f>
        <v>50</v>
      </c>
      <c r="J175" s="2" t="s">
        <v>101</v>
      </c>
      <c r="K175" s="2" t="n">
        <f aca="false">(15+10)/2</f>
        <v>12.5</v>
      </c>
      <c r="L175" s="2" t="n">
        <v>0</v>
      </c>
      <c r="M175" s="0" t="s">
        <v>94</v>
      </c>
      <c r="N175" s="0" t="n">
        <v>0</v>
      </c>
      <c r="O175" s="0" t="s">
        <v>120</v>
      </c>
      <c r="Q175" s="0" t="s">
        <v>116</v>
      </c>
      <c r="R175" s="3" t="n">
        <v>4.5</v>
      </c>
      <c r="S175" s="2" t="n">
        <v>798</v>
      </c>
      <c r="T175" s="2" t="n">
        <v>14368</v>
      </c>
      <c r="U175" s="2" t="n">
        <f aca="false">T175-S175</f>
        <v>13570</v>
      </c>
      <c r="V175" s="3" t="n">
        <f aca="false">(60+52)/60</f>
        <v>1.86666666666667</v>
      </c>
      <c r="W175" s="3" t="n">
        <f aca="false">(60+53)/60</f>
        <v>1.88333333333333</v>
      </c>
      <c r="X175" s="3" t="n">
        <f aca="false">W175-V175</f>
        <v>0.0166666666666666</v>
      </c>
      <c r="Y175" s="3" t="n">
        <f aca="false">R175/V175</f>
        <v>2.41071428571429</v>
      </c>
      <c r="Z175" s="0" t="n">
        <v>3</v>
      </c>
      <c r="AA175" s="3" t="n">
        <f aca="false">R175/Z175</f>
        <v>1.5</v>
      </c>
      <c r="AB175" s="3" t="n">
        <f aca="false">24+52/60</f>
        <v>24.8666666666667</v>
      </c>
      <c r="AC175" s="2" t="n">
        <f aca="false">Z175*23*9/12</f>
        <v>51.75</v>
      </c>
      <c r="AD175" s="2" t="n">
        <v>570</v>
      </c>
      <c r="AE175" s="2" t="n">
        <v>98</v>
      </c>
      <c r="AF175" s="0" t="n">
        <v>124</v>
      </c>
      <c r="AG175" s="3" t="n">
        <f aca="false">24+41/60</f>
        <v>24.6833333333333</v>
      </c>
      <c r="AH175" s="3" t="n">
        <f aca="false">26+46/60</f>
        <v>26.7666666666667</v>
      </c>
      <c r="AI175" s="3" t="n">
        <f aca="false">24+50/60</f>
        <v>24.8333333333333</v>
      </c>
      <c r="AJ175" s="3" t="n">
        <f aca="false">23+47/60</f>
        <v>23.7833333333333</v>
      </c>
      <c r="AK175" s="3" t="n">
        <f aca="false">60/2.4</f>
        <v>25</v>
      </c>
      <c r="AR175" s="0" t="n">
        <v>0</v>
      </c>
      <c r="AS175" s="0" t="n">
        <v>0</v>
      </c>
      <c r="AT175" s="0" t="n">
        <v>0</v>
      </c>
      <c r="AU175" s="4" t="n">
        <f aca="false">60*V175-SUM(AV175:AZ175)</f>
        <v>0.0333333333333314</v>
      </c>
      <c r="AV175" s="3" t="n">
        <v>4</v>
      </c>
      <c r="AW175" s="3" t="n">
        <f aca="false">60+29.5</f>
        <v>89.5</v>
      </c>
      <c r="AX175" s="3" t="n">
        <f aca="false">17+13/60</f>
        <v>17.2166666666667</v>
      </c>
      <c r="AY175" s="3" t="n">
        <f aca="false">1+15/60</f>
        <v>1.25</v>
      </c>
      <c r="AZ175" s="3" t="n">
        <v>0</v>
      </c>
      <c r="BA175" s="0" t="s">
        <v>59</v>
      </c>
      <c r="BB175" s="0" t="s">
        <v>60</v>
      </c>
      <c r="BC175" s="0" t="n">
        <v>0</v>
      </c>
    </row>
    <row r="176" customFormat="false" ht="12.8" hidden="false" customHeight="false" outlineLevel="0" collapsed="false">
      <c r="A176" s="0" t="n">
        <f aca="false">A175+1</f>
        <v>707</v>
      </c>
      <c r="B176" s="1" t="n">
        <v>44053.5361111111</v>
      </c>
      <c r="C176" s="0" t="n">
        <v>1</v>
      </c>
      <c r="F176" s="0" t="s">
        <v>61</v>
      </c>
      <c r="G176" s="2" t="n">
        <f aca="false">(94+95)/2</f>
        <v>94.5</v>
      </c>
      <c r="H176" s="2" t="n">
        <f aca="false">(72+70)/2</f>
        <v>71</v>
      </c>
      <c r="I176" s="2" t="n">
        <f aca="false">(46+44)/2</f>
        <v>45</v>
      </c>
      <c r="J176" s="2" t="s">
        <v>123</v>
      </c>
      <c r="K176" s="2" t="n">
        <v>16</v>
      </c>
      <c r="L176" s="2" t="n">
        <v>0</v>
      </c>
      <c r="M176" s="0" t="s">
        <v>94</v>
      </c>
      <c r="N176" s="0" t="n">
        <v>0</v>
      </c>
      <c r="O176" s="0" t="s">
        <v>120</v>
      </c>
      <c r="Q176" s="0" t="s">
        <v>116</v>
      </c>
      <c r="R176" s="3" t="n">
        <v>3.39</v>
      </c>
      <c r="S176" s="2" t="n">
        <v>798</v>
      </c>
      <c r="T176" s="2" t="n">
        <v>11794</v>
      </c>
      <c r="U176" s="2" t="n">
        <f aca="false">T176-S176</f>
        <v>10996</v>
      </c>
      <c r="V176" s="3" t="n">
        <f aca="false">80/60</f>
        <v>1.33333333333333</v>
      </c>
      <c r="W176" s="3" t="n">
        <f aca="false">92/60</f>
        <v>1.53333333333333</v>
      </c>
      <c r="X176" s="3" t="n">
        <f aca="false">W176-V176</f>
        <v>0.2</v>
      </c>
      <c r="Y176" s="3" t="n">
        <f aca="false">R176/V176</f>
        <v>2.5425</v>
      </c>
      <c r="Z176" s="0" t="n">
        <v>2</v>
      </c>
      <c r="AA176" s="3" t="n">
        <f aca="false">R176/Z176</f>
        <v>1.695</v>
      </c>
      <c r="AB176" s="3" t="n">
        <f aca="false">23+28/60</f>
        <v>23.4666666666667</v>
      </c>
      <c r="AC176" s="2" t="n">
        <f aca="false">Z176*23*9/12</f>
        <v>34.5</v>
      </c>
      <c r="AD176" s="2" t="n">
        <v>476</v>
      </c>
      <c r="AE176" s="2" t="n">
        <v>89</v>
      </c>
      <c r="AF176" s="0" t="n">
        <v>122</v>
      </c>
      <c r="AG176" s="3" t="n">
        <f aca="false">25+39/60</f>
        <v>25.65</v>
      </c>
      <c r="AH176" s="3" t="n">
        <f aca="false">23+3/60</f>
        <v>23.05</v>
      </c>
      <c r="AI176" s="3" t="n">
        <f aca="false">22+4/60</f>
        <v>22.0666666666667</v>
      </c>
      <c r="AJ176" s="3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4" t="n">
        <f aca="false">60*V176-SUM(AV176:AZ176)</f>
        <v>6.71666666666667</v>
      </c>
      <c r="AV176" s="0" t="n">
        <f aca="false">37+54/60</f>
        <v>37.9</v>
      </c>
      <c r="AW176" s="3" t="n">
        <f aca="false">24+20/60</f>
        <v>24.3333333333333</v>
      </c>
      <c r="AX176" s="3" t="n">
        <f aca="false">10+47/60</f>
        <v>10.7833333333333</v>
      </c>
      <c r="AY176" s="3" t="n">
        <f aca="false">16/60</f>
        <v>0.266666666666667</v>
      </c>
      <c r="AZ176" s="3" t="n">
        <v>0</v>
      </c>
      <c r="BA176" s="0" t="s">
        <v>59</v>
      </c>
      <c r="BB176" s="0" t="s">
        <v>60</v>
      </c>
      <c r="BC176" s="0" t="n">
        <v>0</v>
      </c>
    </row>
    <row r="177" customFormat="false" ht="12.8" hidden="false" customHeight="false" outlineLevel="0" collapsed="false">
      <c r="A177" s="0" t="n">
        <f aca="false">A176+1</f>
        <v>708</v>
      </c>
      <c r="B177" s="1" t="n">
        <v>44054.4951388889</v>
      </c>
      <c r="C177" s="0" t="n">
        <v>1</v>
      </c>
      <c r="F177" s="6" t="s">
        <v>107</v>
      </c>
      <c r="G177" s="2" t="n">
        <f aca="false">(91+94)/2</f>
        <v>92.5</v>
      </c>
      <c r="H177" s="2" t="n">
        <v>75</v>
      </c>
      <c r="I177" s="2" t="n">
        <f aca="false">AVERAGE(59+52)/2</f>
        <v>55.5</v>
      </c>
      <c r="J177" s="6" t="s">
        <v>72</v>
      </c>
      <c r="K177" s="2" t="n">
        <v>15</v>
      </c>
      <c r="L177" s="2" t="n">
        <v>22</v>
      </c>
      <c r="M177" s="0" t="s">
        <v>94</v>
      </c>
      <c r="N177" s="0" t="n">
        <v>0</v>
      </c>
      <c r="O177" s="0" t="s">
        <v>120</v>
      </c>
      <c r="Q177" s="0" t="s">
        <v>116</v>
      </c>
      <c r="R177" s="3" t="n">
        <v>3.27</v>
      </c>
      <c r="S177" s="2" t="n">
        <v>798</v>
      </c>
      <c r="T177" s="2" t="n">
        <v>11661</v>
      </c>
      <c r="U177" s="2" t="n">
        <f aca="false">T177-S177</f>
        <v>10863</v>
      </c>
      <c r="V177" s="3" t="n">
        <f aca="false">(60+24)/60</f>
        <v>1.4</v>
      </c>
      <c r="W177" s="3" t="n">
        <f aca="false">(60+27)/60</f>
        <v>1.45</v>
      </c>
      <c r="X177" s="3" t="n">
        <f aca="false">W177-V177</f>
        <v>0.05</v>
      </c>
      <c r="Y177" s="3" t="n">
        <f aca="false">R177/V177</f>
        <v>2.33571428571429</v>
      </c>
      <c r="Z177" s="0" t="n">
        <v>2</v>
      </c>
      <c r="AA177" s="3" t="n">
        <f aca="false">R177/Z177</f>
        <v>1.635</v>
      </c>
      <c r="AB177" s="3" t="n">
        <f aca="false">25+40/60</f>
        <v>25.6666666666667</v>
      </c>
      <c r="AC177" s="2" t="n">
        <f aca="false">Z177*23*9/12</f>
        <v>34.5</v>
      </c>
      <c r="AD177" s="2" t="n">
        <v>529</v>
      </c>
      <c r="AE177" s="2" t="n">
        <v>106</v>
      </c>
      <c r="AF177" s="0" t="n">
        <v>132</v>
      </c>
      <c r="AG177" s="3" t="n">
        <f aca="false">23+42/60</f>
        <v>23.7</v>
      </c>
      <c r="AH177" s="3" t="n">
        <f aca="false">22+55/60</f>
        <v>22.9166666666667</v>
      </c>
      <c r="AI177" s="3" t="n">
        <f aca="false">29+15/60</f>
        <v>29.25</v>
      </c>
      <c r="AJ177" s="3" t="n">
        <f aca="false">60/2</f>
        <v>30</v>
      </c>
      <c r="AR177" s="0" t="n">
        <v>1</v>
      </c>
      <c r="AS177" s="0" t="n">
        <v>0</v>
      </c>
      <c r="AT177" s="0" t="n">
        <v>0</v>
      </c>
      <c r="AU177" s="4" t="n">
        <f aca="false">60*V177-SUM(AV177:AZ177)</f>
        <v>0.233333333333334</v>
      </c>
      <c r="AV177" s="3" t="n">
        <f aca="false">2.25</f>
        <v>2.25</v>
      </c>
      <c r="AW177" s="3" t="n">
        <f aca="false">37+26/60</f>
        <v>37.4333333333333</v>
      </c>
      <c r="AX177" s="3" t="n">
        <f aca="false">31+15/60</f>
        <v>31.25</v>
      </c>
      <c r="AY177" s="3" t="n">
        <f aca="false">12+50/60</f>
        <v>12.8333333333333</v>
      </c>
      <c r="AZ177" s="3" t="n">
        <v>0</v>
      </c>
      <c r="BA177" s="0" t="s">
        <v>59</v>
      </c>
      <c r="BB177" s="0" t="s">
        <v>60</v>
      </c>
      <c r="BC177" s="0" t="n">
        <v>0</v>
      </c>
    </row>
    <row r="178" customFormat="false" ht="12.8" hidden="false" customHeight="false" outlineLevel="0" collapsed="false">
      <c r="A178" s="0" t="n">
        <f aca="false">A177+1</f>
        <v>709</v>
      </c>
      <c r="B178" s="1" t="n">
        <v>44055.5215277778</v>
      </c>
      <c r="C178" s="0" t="n">
        <v>1</v>
      </c>
      <c r="F178" s="6" t="s">
        <v>107</v>
      </c>
      <c r="G178" s="2" t="n">
        <v>97</v>
      </c>
      <c r="H178" s="2" t="n">
        <v>73</v>
      </c>
      <c r="I178" s="2" t="n">
        <v>47</v>
      </c>
      <c r="J178" s="2" t="s">
        <v>95</v>
      </c>
      <c r="K178" s="2" t="n">
        <v>9</v>
      </c>
      <c r="L178" s="2" t="n">
        <v>0</v>
      </c>
      <c r="M178" s="0" t="s">
        <v>94</v>
      </c>
      <c r="N178" s="0" t="n">
        <v>0</v>
      </c>
      <c r="O178" s="0" t="s">
        <v>120</v>
      </c>
      <c r="Q178" s="0" t="s">
        <v>116</v>
      </c>
      <c r="R178" s="3" t="n">
        <v>2.74</v>
      </c>
      <c r="S178" s="2" t="n">
        <v>1331</v>
      </c>
      <c r="T178" s="2" t="n">
        <v>12332</v>
      </c>
      <c r="U178" s="2" t="n">
        <f aca="false">T178-S178</f>
        <v>11001</v>
      </c>
      <c r="V178" s="3" t="n">
        <f aca="false">(60+27)/60</f>
        <v>1.45</v>
      </c>
      <c r="W178" s="3" t="n">
        <f aca="false">(60+31)/60</f>
        <v>1.51666666666667</v>
      </c>
      <c r="X178" s="3" t="n">
        <f aca="false">W178-V178</f>
        <v>0.0666666666666667</v>
      </c>
      <c r="Y178" s="3" t="n">
        <f aca="false">R178/V178</f>
        <v>1.88965517241379</v>
      </c>
      <c r="Z178" s="0" t="n">
        <v>1</v>
      </c>
      <c r="AA178" s="3" t="n">
        <f aca="false">R178/Z178</f>
        <v>2.74</v>
      </c>
      <c r="AB178" s="3" t="n">
        <f aca="false">31+51/60</f>
        <v>31.85</v>
      </c>
      <c r="AC178" s="2" t="n">
        <f aca="false">AC175/3</f>
        <v>17.25</v>
      </c>
      <c r="AD178" s="2" t="n">
        <v>328</v>
      </c>
      <c r="AE178" s="2" t="n">
        <v>80</v>
      </c>
      <c r="AF178" s="0" t="n">
        <v>114</v>
      </c>
      <c r="AG178" s="3" t="n">
        <f aca="false">29+33/60</f>
        <v>29.55</v>
      </c>
      <c r="AH178" s="3" t="n">
        <f aca="false">37+17/60</f>
        <v>37.2833333333333</v>
      </c>
      <c r="AI178" s="3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4" t="n">
        <f aca="false">60*V178-SUM(AV178:AZ178)</f>
        <v>28.8166666666667</v>
      </c>
      <c r="AV178" s="3" t="n">
        <f aca="false">46+31/60</f>
        <v>46.5166666666667</v>
      </c>
      <c r="AW178" s="3" t="n">
        <f aca="false">7+6/60</f>
        <v>7.1</v>
      </c>
      <c r="AX178" s="3" t="n">
        <f aca="false">4+34/60</f>
        <v>4.56666666666667</v>
      </c>
      <c r="AY178" s="3" t="n">
        <v>0</v>
      </c>
      <c r="AZ178" s="3" t="n">
        <v>0</v>
      </c>
      <c r="BA178" s="0" t="s">
        <v>59</v>
      </c>
      <c r="BB178" s="0" t="s">
        <v>60</v>
      </c>
      <c r="BC178" s="0" t="n">
        <v>0</v>
      </c>
    </row>
    <row r="179" customFormat="false" ht="12.8" hidden="false" customHeight="false" outlineLevel="0" collapsed="false">
      <c r="A179" s="0" t="n">
        <f aca="false">A178+1</f>
        <v>710</v>
      </c>
      <c r="B179" s="1" t="n">
        <v>44056.4673611111</v>
      </c>
      <c r="C179" s="0" t="n">
        <v>1</v>
      </c>
      <c r="F179" s="0" t="s">
        <v>61</v>
      </c>
      <c r="G179" s="2" t="n">
        <f aca="false">(94+97)/2</f>
        <v>95.5</v>
      </c>
      <c r="H179" s="2" t="n">
        <v>75</v>
      </c>
      <c r="I179" s="2" t="n">
        <f aca="false">(54+47)/2</f>
        <v>50.5</v>
      </c>
      <c r="J179" s="2" t="s">
        <v>95</v>
      </c>
      <c r="K179" s="2" t="n">
        <f aca="false">(10+14)/2</f>
        <v>12</v>
      </c>
      <c r="L179" s="2" t="n">
        <v>21</v>
      </c>
      <c r="M179" s="0" t="s">
        <v>94</v>
      </c>
      <c r="N179" s="0" t="n">
        <v>0</v>
      </c>
      <c r="O179" s="0" t="s">
        <v>120</v>
      </c>
      <c r="Q179" s="0" t="s">
        <v>116</v>
      </c>
      <c r="R179" s="3" t="n">
        <v>4.55</v>
      </c>
      <c r="S179" s="2" t="n">
        <v>680</v>
      </c>
      <c r="T179" s="2" t="n">
        <v>17880</v>
      </c>
      <c r="U179" s="2" t="n">
        <f aca="false">T179-S179</f>
        <v>17200</v>
      </c>
      <c r="V179" s="3" t="n">
        <f aca="false">(60+52)/60</f>
        <v>1.86666666666667</v>
      </c>
      <c r="W179" s="3" t="n">
        <f aca="false">(60+55)/60</f>
        <v>1.91666666666667</v>
      </c>
      <c r="X179" s="3" t="n">
        <f aca="false">W179-V179</f>
        <v>0.05</v>
      </c>
      <c r="Y179" s="3" t="n">
        <f aca="false">R179/V179</f>
        <v>2.4375</v>
      </c>
      <c r="Z179" s="0" t="n">
        <v>3</v>
      </c>
      <c r="AA179" s="3" t="n">
        <f aca="false">R179/Z179</f>
        <v>1.51666666666667</v>
      </c>
      <c r="AB179" s="3" t="n">
        <f aca="false">24+39/60</f>
        <v>24.65</v>
      </c>
      <c r="AC179" s="2" t="n">
        <f aca="false">Z179*23*9/12</f>
        <v>51.75</v>
      </c>
      <c r="AD179" s="2" t="n">
        <v>491</v>
      </c>
      <c r="AE179" s="2" t="n">
        <v>80</v>
      </c>
      <c r="AF179" s="0" t="n">
        <v>112</v>
      </c>
      <c r="AG179" s="3" t="n">
        <f aca="false">24+59/60</f>
        <v>24.9833333333333</v>
      </c>
      <c r="AH179" s="3" t="n">
        <f aca="false">25+38/60</f>
        <v>25.6333333333333</v>
      </c>
      <c r="AI179" s="3" t="n">
        <f aca="false">24+51/60</f>
        <v>24.85</v>
      </c>
      <c r="AJ179" s="3" t="n">
        <f aca="false">24+32/60</f>
        <v>24.5333333333333</v>
      </c>
      <c r="AK179" s="3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4" t="n">
        <f aca="false">60*V179-SUM(AV179:AZ179)</f>
        <v>34.1666666666667</v>
      </c>
      <c r="AV179" s="3" t="n">
        <f aca="false">55+55/60</f>
        <v>55.9166666666667</v>
      </c>
      <c r="AW179" s="3" t="n">
        <f aca="false">18+6/60</f>
        <v>18.1</v>
      </c>
      <c r="AX179" s="3" t="n">
        <f aca="false">3+49/60</f>
        <v>3.81666666666667</v>
      </c>
      <c r="AY179" s="3" t="n">
        <v>0</v>
      </c>
      <c r="AZ179" s="3" t="n">
        <v>0</v>
      </c>
      <c r="BA179" s="0" t="s">
        <v>59</v>
      </c>
      <c r="BB179" s="0" t="s">
        <v>60</v>
      </c>
      <c r="BC179" s="0" t="n">
        <v>0</v>
      </c>
    </row>
    <row r="180" customFormat="false" ht="12.8" hidden="false" customHeight="false" outlineLevel="0" collapsed="false">
      <c r="A180" s="0" t="n">
        <f aca="false">A179+1</f>
        <v>711</v>
      </c>
      <c r="B180" s="1" t="n">
        <v>44057.4826388889</v>
      </c>
      <c r="C180" s="0" t="n">
        <v>1</v>
      </c>
      <c r="F180" s="6" t="s">
        <v>107</v>
      </c>
      <c r="G180" s="2" t="n">
        <f aca="false">(95+98)/2</f>
        <v>96.5</v>
      </c>
      <c r="H180" s="2" t="n">
        <v>71</v>
      </c>
      <c r="I180" s="2" t="n">
        <v>43</v>
      </c>
      <c r="J180" s="2" t="s">
        <v>95</v>
      </c>
      <c r="K180" s="2" t="n">
        <v>13</v>
      </c>
      <c r="L180" s="2" t="n">
        <v>21</v>
      </c>
      <c r="M180" s="0" t="s">
        <v>94</v>
      </c>
      <c r="N180" s="0" t="n">
        <v>0</v>
      </c>
      <c r="O180" s="0" t="s">
        <v>120</v>
      </c>
      <c r="Q180" s="0" t="s">
        <v>116</v>
      </c>
      <c r="R180" s="3" t="n">
        <v>4.55</v>
      </c>
      <c r="S180" s="2" t="n">
        <v>724</v>
      </c>
      <c r="T180" s="2" t="n">
        <v>15182</v>
      </c>
      <c r="U180" s="2" t="n">
        <f aca="false">T180-S180</f>
        <v>14458</v>
      </c>
      <c r="V180" s="3" t="n">
        <f aca="false">(60+51)/60</f>
        <v>1.85</v>
      </c>
      <c r="W180" s="3" t="n">
        <f aca="false">(60+57)/60</f>
        <v>1.95</v>
      </c>
      <c r="X180" s="3" t="n">
        <f aca="false">W180-V180</f>
        <v>0.0999999999999999</v>
      </c>
      <c r="Y180" s="3" t="n">
        <f aca="false">R180/V180</f>
        <v>2.45945945945946</v>
      </c>
      <c r="Z180" s="0" t="n">
        <v>3</v>
      </c>
      <c r="AA180" s="3" t="n">
        <f aca="false">R180/Z180</f>
        <v>1.51666666666667</v>
      </c>
      <c r="AB180" s="3" t="n">
        <f aca="false">24+24/60</f>
        <v>24.4</v>
      </c>
      <c r="AC180" s="2" t="n">
        <v>69</v>
      </c>
      <c r="AD180" s="2" t="n">
        <v>476</v>
      </c>
      <c r="AE180" s="2" t="n">
        <v>82</v>
      </c>
      <c r="AF180" s="0" t="n">
        <v>105</v>
      </c>
      <c r="AG180" s="3" t="n">
        <f aca="false">20+56/60</f>
        <v>20.9333333333333</v>
      </c>
      <c r="AH180" s="3" t="n">
        <f aca="false">23+45/60</f>
        <v>23.75</v>
      </c>
      <c r="AI180" s="3" t="n">
        <f aca="false">27</f>
        <v>27</v>
      </c>
      <c r="AJ180" s="3" t="n">
        <f aca="false">24+41/60</f>
        <v>24.6833333333333</v>
      </c>
      <c r="AK180" s="3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4" t="n">
        <f aca="false">60*V180-SUM(AV180:AZ180)</f>
        <v>14.3666666666667</v>
      </c>
      <c r="AV180" s="3" t="n">
        <f aca="false">78+31/60</f>
        <v>78.5166666666667</v>
      </c>
      <c r="AW180" s="3" t="n">
        <f aca="false">17+34/60</f>
        <v>17.5666666666667</v>
      </c>
      <c r="AX180" s="3" t="n">
        <f aca="false">33/60</f>
        <v>0.55</v>
      </c>
      <c r="AY180" s="3" t="n">
        <v>0</v>
      </c>
      <c r="AZ180" s="3" t="n">
        <v>0</v>
      </c>
      <c r="BA180" s="0" t="s">
        <v>59</v>
      </c>
      <c r="BB180" s="0" t="s">
        <v>60</v>
      </c>
      <c r="BC180" s="0" t="n">
        <v>0</v>
      </c>
    </row>
    <row r="181" customFormat="false" ht="12.8" hidden="false" customHeight="false" outlineLevel="0" collapsed="false">
      <c r="A181" s="0" t="n">
        <f aca="false">A180+1</f>
        <v>712</v>
      </c>
      <c r="B181" s="1" t="n">
        <v>44058.4097222222</v>
      </c>
      <c r="C181" s="0" t="n">
        <v>1</v>
      </c>
      <c r="F181" s="6" t="s">
        <v>107</v>
      </c>
      <c r="G181" s="2" t="n">
        <f aca="false">(86+89)/2</f>
        <v>87.5</v>
      </c>
      <c r="H181" s="2" t="n">
        <v>72</v>
      </c>
      <c r="I181" s="2" t="n">
        <f aca="false">(63+57)/2</f>
        <v>60</v>
      </c>
      <c r="J181" s="2" t="s">
        <v>95</v>
      </c>
      <c r="K181" s="2" t="n">
        <v>8</v>
      </c>
      <c r="L181" s="2" t="n">
        <v>0</v>
      </c>
      <c r="M181" s="0" t="s">
        <v>94</v>
      </c>
      <c r="N181" s="0" t="n">
        <v>0</v>
      </c>
      <c r="O181" s="0" t="s">
        <v>120</v>
      </c>
      <c r="Q181" s="0" t="s">
        <v>116</v>
      </c>
      <c r="R181" s="3" t="n">
        <v>4.87</v>
      </c>
      <c r="S181" s="2" t="n">
        <v>556</v>
      </c>
      <c r="T181" s="2" t="n">
        <v>16499</v>
      </c>
      <c r="U181" s="2" t="n">
        <f aca="false">T181-S181</f>
        <v>15943</v>
      </c>
      <c r="V181" s="3" t="n">
        <f aca="false">(120+3)/60</f>
        <v>2.05</v>
      </c>
      <c r="W181" s="3" t="n">
        <f aca="false">(120+8)/60</f>
        <v>2.13333333333333</v>
      </c>
      <c r="X181" s="3" t="n">
        <f aca="false">W181-V181</f>
        <v>0.0833333333333335</v>
      </c>
      <c r="Y181" s="3" t="n">
        <f aca="false">R181/V181</f>
        <v>2.37560975609756</v>
      </c>
      <c r="Z181" s="0" t="n">
        <v>3</v>
      </c>
      <c r="AA181" s="3" t="n">
        <f aca="false">R181/Z181</f>
        <v>1.62333333333333</v>
      </c>
      <c r="AB181" s="3" t="n">
        <f aca="false">25+13/60</f>
        <v>25.2166666666667</v>
      </c>
      <c r="AC181" s="2" t="n">
        <v>49</v>
      </c>
      <c r="AD181" s="2" t="n">
        <v>534</v>
      </c>
      <c r="AE181" s="2" t="n">
        <v>85</v>
      </c>
      <c r="AF181" s="0" t="n">
        <v>122</v>
      </c>
      <c r="AG181" s="3" t="n">
        <f aca="false">23+59/60</f>
        <v>23.9833333333333</v>
      </c>
      <c r="AH181" s="3" t="n">
        <f aca="false">27+2/60</f>
        <v>27.0333333333333</v>
      </c>
      <c r="AI181" s="3" t="n">
        <f aca="false">26+15/60</f>
        <v>26.25</v>
      </c>
      <c r="AJ181" s="3" t="n">
        <f aca="false">24+23/60</f>
        <v>24.3833333333333</v>
      </c>
      <c r="AK181" s="3" t="n">
        <f aca="false">60/2.5</f>
        <v>24</v>
      </c>
      <c r="AR181" s="0" t="n">
        <v>1</v>
      </c>
      <c r="AS181" s="0" t="n">
        <v>0</v>
      </c>
      <c r="AT181" s="0" t="n">
        <v>0</v>
      </c>
      <c r="AU181" s="4" t="n">
        <f aca="false">60*V181-SUM(AV181:AZ181)</f>
        <v>18.1166666666667</v>
      </c>
      <c r="AV181" s="3" t="n">
        <f aca="false">67+58/60</f>
        <v>67.9666666666667</v>
      </c>
      <c r="AW181" s="3" t="n">
        <f aca="false">33+2/60</f>
        <v>33.0333333333333</v>
      </c>
      <c r="AX181" s="3" t="n">
        <f aca="false">3+53/60</f>
        <v>3.88333333333333</v>
      </c>
      <c r="AY181" s="3" t="n">
        <v>0</v>
      </c>
      <c r="AZ181" s="3" t="n">
        <v>0</v>
      </c>
      <c r="BA181" s="0" t="s">
        <v>59</v>
      </c>
      <c r="BB181" s="0" t="s">
        <v>60</v>
      </c>
      <c r="BC181" s="0" t="n">
        <v>0</v>
      </c>
    </row>
    <row r="182" customFormat="false" ht="12.8" hidden="false" customHeight="false" outlineLevel="0" collapsed="false">
      <c r="A182" s="0" t="n">
        <f aca="false">A181+1</f>
        <v>713</v>
      </c>
      <c r="B182" s="1" t="n">
        <v>44059.5090277778</v>
      </c>
      <c r="C182" s="0" t="n">
        <v>1</v>
      </c>
      <c r="F182" s="6" t="s">
        <v>71</v>
      </c>
      <c r="G182" s="2" t="n">
        <f aca="false">(94+97)/2</f>
        <v>95.5</v>
      </c>
      <c r="H182" s="2" t="n">
        <f aca="false">(71+69)/2</f>
        <v>70</v>
      </c>
      <c r="I182" s="2" t="n">
        <f aca="false">(43+37)/2</f>
        <v>40</v>
      </c>
      <c r="J182" s="2" t="s">
        <v>130</v>
      </c>
      <c r="K182" s="2" t="n">
        <f aca="false">5/2</f>
        <v>2.5</v>
      </c>
      <c r="L182" s="2" t="n">
        <v>0</v>
      </c>
      <c r="M182" s="0" t="s">
        <v>94</v>
      </c>
      <c r="N182" s="0" t="n">
        <v>0</v>
      </c>
      <c r="O182" s="0" t="s">
        <v>120</v>
      </c>
      <c r="Q182" s="0" t="s">
        <v>116</v>
      </c>
      <c r="R182" s="3" t="n">
        <v>4.18</v>
      </c>
      <c r="S182" s="2" t="n">
        <v>776</v>
      </c>
      <c r="T182" s="2" t="n">
        <v>17266</v>
      </c>
      <c r="U182" s="2" t="n">
        <f aca="false">T182-S182</f>
        <v>16490</v>
      </c>
      <c r="V182" s="3" t="n">
        <f aca="false">(120+15)/60</f>
        <v>2.25</v>
      </c>
      <c r="W182" s="3" t="n">
        <f aca="false">(120+18)/60</f>
        <v>2.3</v>
      </c>
      <c r="X182" s="3" t="n">
        <f aca="false">W182-V182</f>
        <v>0.0499999999999998</v>
      </c>
      <c r="Y182" s="3" t="n">
        <f aca="false">R182/V182</f>
        <v>1.85777777777778</v>
      </c>
      <c r="Z182" s="0" t="n">
        <v>3</v>
      </c>
      <c r="AA182" s="3" t="n">
        <f aca="false">R182/Z182</f>
        <v>1.39333333333333</v>
      </c>
      <c r="AB182" s="3" t="n">
        <f aca="false">32+17/60</f>
        <v>32.2833333333333</v>
      </c>
      <c r="AC182" s="2" t="n">
        <v>62</v>
      </c>
      <c r="AD182" s="2" t="n">
        <v>744</v>
      </c>
      <c r="AE182" s="2" t="n">
        <v>106</v>
      </c>
      <c r="AF182" s="0" t="n">
        <v>133</v>
      </c>
      <c r="AG182" s="3" t="n">
        <f aca="false">28+48/60</f>
        <v>28.8</v>
      </c>
      <c r="AH182" s="3" t="n">
        <f aca="false">31+37/60</f>
        <v>31.6166666666667</v>
      </c>
      <c r="AI182" s="3" t="n">
        <f aca="false">32+35/60</f>
        <v>32.5833333333333</v>
      </c>
      <c r="AJ182" s="3" t="n">
        <f aca="false">36+35/60</f>
        <v>36.5833333333333</v>
      </c>
      <c r="AK182" s="3" t="n">
        <f aca="false">60/2</f>
        <v>30</v>
      </c>
      <c r="AR182" s="0" t="n">
        <v>0</v>
      </c>
      <c r="AS182" s="0" t="n">
        <v>0</v>
      </c>
      <c r="AT182" s="0" t="n">
        <v>0</v>
      </c>
      <c r="AU182" s="4" t="n">
        <f aca="false">60*V182-SUM(AV182:AZ182)</f>
        <v>0.0333333333333314</v>
      </c>
      <c r="AV182" s="3" t="n">
        <f aca="false">32/60</f>
        <v>0.533333333333333</v>
      </c>
      <c r="AW182" s="3" t="n">
        <f aca="false">55+17/60</f>
        <v>55.2833333333333</v>
      </c>
      <c r="AX182" s="3" t="n">
        <f aca="false">67+51/60</f>
        <v>67.85</v>
      </c>
      <c r="AY182" s="3" t="n">
        <f aca="false">11+18/60</f>
        <v>11.3</v>
      </c>
      <c r="AZ182" s="3" t="n">
        <v>0</v>
      </c>
      <c r="BA182" s="0" t="s">
        <v>59</v>
      </c>
      <c r="BB182" s="0" t="s">
        <v>60</v>
      </c>
      <c r="BC182" s="0" t="n">
        <v>1</v>
      </c>
      <c r="BD182" s="0" t="s">
        <v>86</v>
      </c>
    </row>
    <row r="183" customFormat="false" ht="12.8" hidden="false" customHeight="false" outlineLevel="0" collapsed="false">
      <c r="A183" s="0" t="n">
        <f aca="false">A182+1</f>
        <v>714</v>
      </c>
      <c r="B183" s="1" t="n">
        <v>44060.5</v>
      </c>
      <c r="C183" s="0" t="n">
        <v>1</v>
      </c>
      <c r="F183" s="6" t="s">
        <v>71</v>
      </c>
      <c r="G183" s="2" t="n">
        <v>87</v>
      </c>
      <c r="H183" s="2" t="n">
        <f aca="false">(67+70)/2</f>
        <v>68.5</v>
      </c>
      <c r="I183" s="2" t="n">
        <v>54</v>
      </c>
      <c r="J183" s="2" t="s">
        <v>100</v>
      </c>
      <c r="K183" s="2" t="n">
        <v>0</v>
      </c>
      <c r="L183" s="2" t="n">
        <v>0</v>
      </c>
      <c r="M183" s="0" t="s">
        <v>73</v>
      </c>
      <c r="N183" s="0" t="n">
        <v>1</v>
      </c>
      <c r="O183" s="0" t="s">
        <v>120</v>
      </c>
      <c r="Q183" s="0" t="s">
        <v>116</v>
      </c>
      <c r="R183" s="3" t="n">
        <f aca="false">AVERAGE(R164:R182)</f>
        <v>4.26055555555556</v>
      </c>
      <c r="U183" s="2" t="n">
        <f aca="false">AVERAGE(U175:U182)</f>
        <v>13815.125</v>
      </c>
      <c r="V183" s="3" t="n">
        <f aca="false">AVERAGE(V175:V182)</f>
        <v>1.75833333333333</v>
      </c>
      <c r="W183" s="3" t="n">
        <f aca="false">AVERAGE(W175:W182)</f>
        <v>1.83541666666667</v>
      </c>
      <c r="X183" s="3" t="n">
        <f aca="false">W183-V183</f>
        <v>0.0770833333333334</v>
      </c>
      <c r="Y183" s="3" t="n">
        <f aca="false">R183/V183</f>
        <v>2.42306477093207</v>
      </c>
      <c r="Z183" s="0" t="n">
        <v>3</v>
      </c>
      <c r="AA183" s="3" t="n">
        <f aca="false">R183/Z183</f>
        <v>1.42018518518519</v>
      </c>
      <c r="AB183" s="3" t="n">
        <f aca="false">60/Y183</f>
        <v>24.7620289477116</v>
      </c>
      <c r="AC183" s="2" t="n">
        <f aca="false">AVERAGE(AC175:AC182)</f>
        <v>46.21875</v>
      </c>
      <c r="AD183" s="2" t="n">
        <f aca="false">AVERAGE(AD175:AD182)</f>
        <v>518.5</v>
      </c>
      <c r="AE183" s="2" t="n">
        <f aca="false">AVERAGE(AE175:AE182)</f>
        <v>90.75</v>
      </c>
      <c r="AF183" s="0" t="n">
        <f aca="false">AVERAGE(AF176:AF182)</f>
        <v>120</v>
      </c>
      <c r="AG183" s="3" t="n">
        <f aca="false">AB183</f>
        <v>24.7620289477116</v>
      </c>
      <c r="AH183" s="3" t="n">
        <f aca="false">AB183</f>
        <v>24.7620289477116</v>
      </c>
      <c r="AI183" s="3" t="n">
        <f aca="false">AC183</f>
        <v>46.21875</v>
      </c>
      <c r="AJ183" s="3" t="n">
        <f aca="false">AD183</f>
        <v>518.5</v>
      </c>
      <c r="AK183" s="3" t="n">
        <f aca="false">AE183</f>
        <v>90.75</v>
      </c>
      <c r="AR183" s="0" t="n">
        <v>0</v>
      </c>
      <c r="AS183" s="0" t="n">
        <v>0</v>
      </c>
      <c r="AT183" s="0" t="n">
        <v>0</v>
      </c>
      <c r="AU183" s="4" t="n">
        <f aca="false">60*V183-SUM(AV183:AZ183)</f>
        <v>12.8104166666667</v>
      </c>
      <c r="AV183" s="3" t="n">
        <f aca="false">AVERAGE(AV175:AV182)</f>
        <v>36.7</v>
      </c>
      <c r="AW183" s="3" t="n">
        <f aca="false">AVERAGE(AW175:AW182)</f>
        <v>35.29375</v>
      </c>
      <c r="AX183" s="3" t="n">
        <f aca="false">AVERAGE(AX175:AX182)</f>
        <v>17.4895833333333</v>
      </c>
      <c r="AY183" s="3" t="n">
        <f aca="false">AVERAGE(AY175:AY182)</f>
        <v>3.20625</v>
      </c>
      <c r="AZ183" s="3" t="n">
        <v>0</v>
      </c>
      <c r="BA183" s="0" t="s">
        <v>59</v>
      </c>
      <c r="BB183" s="0" t="s">
        <v>60</v>
      </c>
      <c r="BC183" s="0" t="n">
        <v>0</v>
      </c>
    </row>
    <row r="184" customFormat="false" ht="12.8" hidden="false" customHeight="false" outlineLevel="0" collapsed="false">
      <c r="A184" s="0" t="n">
        <v>715</v>
      </c>
      <c r="B184" s="1" t="n">
        <v>44061.5</v>
      </c>
      <c r="C184" s="0" t="n">
        <v>0</v>
      </c>
      <c r="D184" s="0" t="s">
        <v>76</v>
      </c>
      <c r="F184" s="0" t="s">
        <v>61</v>
      </c>
      <c r="G184" s="2" t="n">
        <v>91</v>
      </c>
      <c r="H184" s="2" t="n">
        <v>68</v>
      </c>
      <c r="I184" s="2" t="n">
        <v>41</v>
      </c>
      <c r="J184" s="2" t="s">
        <v>96</v>
      </c>
      <c r="K184" s="2" t="n">
        <v>15</v>
      </c>
      <c r="L184" s="2" t="n">
        <v>25</v>
      </c>
      <c r="M184" s="0" t="s">
        <v>94</v>
      </c>
    </row>
    <row r="185" customFormat="false" ht="12.8" hidden="false" customHeight="false" outlineLevel="0" collapsed="false">
      <c r="A185" s="0" t="n">
        <f aca="false">A184+1</f>
        <v>716</v>
      </c>
      <c r="B185" s="1" t="n">
        <v>44062.5041666667</v>
      </c>
      <c r="C185" s="0" t="n">
        <v>1</v>
      </c>
      <c r="F185" s="6" t="s">
        <v>107</v>
      </c>
      <c r="G185" s="2" t="n">
        <v>87</v>
      </c>
      <c r="H185" s="2" t="n">
        <v>58</v>
      </c>
      <c r="I185" s="2" t="n">
        <v>37</v>
      </c>
      <c r="J185" s="2" t="s">
        <v>128</v>
      </c>
      <c r="K185" s="2" t="n">
        <v>8</v>
      </c>
      <c r="L185" s="2" t="n">
        <v>0</v>
      </c>
      <c r="M185" s="0" t="s">
        <v>73</v>
      </c>
      <c r="N185" s="0" t="n">
        <v>0</v>
      </c>
      <c r="O185" s="0" t="s">
        <v>120</v>
      </c>
      <c r="Q185" s="0" t="s">
        <v>116</v>
      </c>
      <c r="R185" s="3" t="n">
        <v>4.7</v>
      </c>
      <c r="S185" s="2" t="n">
        <v>1267</v>
      </c>
      <c r="T185" s="2" t="n">
        <v>17122</v>
      </c>
      <c r="U185" s="2" t="n">
        <f aca="false">T185-S185</f>
        <v>15855</v>
      </c>
      <c r="V185" s="3" t="n">
        <f aca="false">(120+7)/60</f>
        <v>2.11666666666667</v>
      </c>
      <c r="W185" s="3" t="n">
        <f aca="false">(120+16)/60</f>
        <v>2.26666666666667</v>
      </c>
      <c r="X185" s="3" t="n">
        <f aca="false">W185-V185</f>
        <v>0.15</v>
      </c>
      <c r="Y185" s="3" t="n">
        <f aca="false">R185/V185</f>
        <v>2.22047244094488</v>
      </c>
      <c r="Z185" s="0" t="n">
        <v>3</v>
      </c>
      <c r="AA185" s="3" t="n">
        <f aca="false">R185/Z185</f>
        <v>1.56666666666667</v>
      </c>
      <c r="AB185" s="3" t="n">
        <f aca="false">26+57/60</f>
        <v>26.95</v>
      </c>
      <c r="AC185" s="2" t="n">
        <v>59</v>
      </c>
      <c r="AD185" s="2" t="n">
        <v>602</v>
      </c>
      <c r="AE185" s="2" t="n">
        <v>86</v>
      </c>
      <c r="AF185" s="0" t="n">
        <v>124</v>
      </c>
      <c r="AG185" s="3" t="n">
        <f aca="false">25+26/60</f>
        <v>25.4333333333333</v>
      </c>
      <c r="AH185" s="3" t="n">
        <f aca="false">30+7/60</f>
        <v>30.1166666666667</v>
      </c>
      <c r="AI185" s="3" t="n">
        <f aca="false">26+36/60</f>
        <v>26.6</v>
      </c>
      <c r="AJ185" s="3" t="n">
        <f aca="false">26+25/60</f>
        <v>26.4166666666667</v>
      </c>
      <c r="AK185" s="3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4" t="n">
        <f aca="false">60*V185-SUM(AV185:AZ185)</f>
        <v>17.1666666666667</v>
      </c>
      <c r="AV185" s="3" t="n">
        <f aca="false">70+35/60</f>
        <v>70.5833333333333</v>
      </c>
      <c r="AW185" s="3" t="n">
        <f aca="false">26+19/60</f>
        <v>26.3166666666667</v>
      </c>
      <c r="AX185" s="3" t="n">
        <f aca="false">12+7/60</f>
        <v>12.1166666666667</v>
      </c>
      <c r="AY185" s="3" t="n">
        <f aca="false">49/60</f>
        <v>0.816666666666667</v>
      </c>
      <c r="AZ185" s="3" t="n">
        <v>0</v>
      </c>
      <c r="BA185" s="0" t="s">
        <v>59</v>
      </c>
      <c r="BB185" s="0" t="s">
        <v>60</v>
      </c>
      <c r="BC185" s="0" t="n">
        <v>0</v>
      </c>
    </row>
    <row r="186" customFormat="false" ht="12.8" hidden="false" customHeight="false" outlineLevel="0" collapsed="false">
      <c r="A186" s="0" t="n">
        <f aca="false">A185+1</f>
        <v>717</v>
      </c>
      <c r="B186" s="1" t="n">
        <v>44063.3291666667</v>
      </c>
      <c r="C186" s="0" t="n">
        <v>1</v>
      </c>
      <c r="F186" s="6" t="s">
        <v>129</v>
      </c>
      <c r="G186" s="2" t="n">
        <v>73</v>
      </c>
      <c r="H186" s="2" t="n">
        <v>54</v>
      </c>
      <c r="I186" s="2" t="n">
        <v>48</v>
      </c>
      <c r="J186" s="6" t="s">
        <v>114</v>
      </c>
      <c r="K186" s="2" t="n">
        <v>0</v>
      </c>
      <c r="L186" s="2" t="n">
        <v>0</v>
      </c>
      <c r="M186" s="0" t="s">
        <v>73</v>
      </c>
      <c r="N186" s="0" t="n">
        <v>0</v>
      </c>
      <c r="O186" s="0" t="s">
        <v>120</v>
      </c>
      <c r="Q186" s="0" t="s">
        <v>131</v>
      </c>
      <c r="R186" s="3" t="n">
        <v>4.08</v>
      </c>
      <c r="S186" s="2" t="n">
        <v>813</v>
      </c>
      <c r="T186" s="2" t="n">
        <v>9135</v>
      </c>
      <c r="U186" s="2" t="n">
        <f aca="false">T186-S186</f>
        <v>8322</v>
      </c>
      <c r="V186" s="3" t="n">
        <f aca="false">65/60</f>
        <v>1.08333333333333</v>
      </c>
      <c r="W186" s="3" t="n">
        <f aca="false">66/60</f>
        <v>1.1</v>
      </c>
      <c r="X186" s="3" t="n">
        <f aca="false">W186-V186</f>
        <v>0.0166666666666668</v>
      </c>
      <c r="Y186" s="3" t="n">
        <f aca="false">R186/V186</f>
        <v>3.76615384615385</v>
      </c>
      <c r="Z186" s="0" t="n">
        <v>1</v>
      </c>
      <c r="AA186" s="3" t="n">
        <f aca="false">R186/Z186</f>
        <v>4.08</v>
      </c>
      <c r="AB186" s="3" t="n">
        <f aca="false">15+59/60</f>
        <v>15.9833333333333</v>
      </c>
      <c r="AC186" s="2" t="n">
        <v>105</v>
      </c>
      <c r="AD186" s="2" t="n">
        <v>525</v>
      </c>
      <c r="AE186" s="2" t="n">
        <v>113</v>
      </c>
      <c r="AF186" s="0" t="n">
        <v>151</v>
      </c>
      <c r="AG186" s="3" t="n">
        <f aca="false">15+33/60</f>
        <v>15.55</v>
      </c>
      <c r="AH186" s="3" t="n">
        <f aca="false">16+11/60</f>
        <v>16.1833333333333</v>
      </c>
      <c r="AI186" s="3" t="n">
        <f aca="false">16+24/60</f>
        <v>16.4</v>
      </c>
      <c r="AJ186" s="3" t="n">
        <f aca="false">15+49/60</f>
        <v>15.8166666666667</v>
      </c>
      <c r="AK186" s="3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4" t="n">
        <v>0</v>
      </c>
      <c r="AV186" s="3" t="n">
        <f aca="false">4+54/60</f>
        <v>4.9</v>
      </c>
      <c r="AW186" s="3" t="n">
        <f aca="false">28+9/60</f>
        <v>28.15</v>
      </c>
      <c r="AX186" s="3" t="n">
        <f aca="false">5+51/60</f>
        <v>5.85</v>
      </c>
      <c r="AY186" s="3" t="n">
        <f aca="false">7+3/60</f>
        <v>7.05</v>
      </c>
      <c r="AZ186" s="3" t="n">
        <f aca="false">19+18/60</f>
        <v>19.3</v>
      </c>
      <c r="BA186" s="0" t="s">
        <v>59</v>
      </c>
      <c r="BB186" s="0" t="s">
        <v>60</v>
      </c>
      <c r="BC186" s="0" t="n">
        <v>1</v>
      </c>
      <c r="BD186" s="0" t="s">
        <v>86</v>
      </c>
    </row>
    <row r="187" customFormat="false" ht="12.8" hidden="false" customHeight="false" outlineLevel="0" collapsed="false">
      <c r="A187" s="0" t="n">
        <f aca="false">A186+1</f>
        <v>718</v>
      </c>
      <c r="B187" s="1" t="n">
        <v>44064.5680555556</v>
      </c>
      <c r="C187" s="0" t="n">
        <v>1</v>
      </c>
      <c r="F187" s="6" t="s">
        <v>129</v>
      </c>
      <c r="G187" s="6" t="n">
        <v>93</v>
      </c>
      <c r="H187" s="2" t="n">
        <v>62</v>
      </c>
      <c r="I187" s="2" t="n">
        <v>37</v>
      </c>
      <c r="J187" s="2" t="s">
        <v>132</v>
      </c>
      <c r="K187" s="2" t="n">
        <v>3</v>
      </c>
      <c r="L187" s="2" t="n">
        <v>0</v>
      </c>
      <c r="M187" s="0" t="s">
        <v>94</v>
      </c>
      <c r="N187" s="0" t="n">
        <v>0</v>
      </c>
      <c r="O187" s="0" t="s">
        <v>120</v>
      </c>
      <c r="Q187" s="0" t="s">
        <v>116</v>
      </c>
      <c r="R187" s="3" t="n">
        <f aca="false">AVERAGE(R179:R183,R185:R186)*2/3</f>
        <v>2.9705291005291</v>
      </c>
      <c r="U187" s="2" t="n">
        <f aca="false">AVERAGE(U179:U183,U185)</f>
        <v>15626.8541666667</v>
      </c>
      <c r="V187" s="3" t="n">
        <f aca="false">(60+11)/60</f>
        <v>1.18333333333333</v>
      </c>
      <c r="W187" s="3" t="n">
        <f aca="false">(60+16)/60</f>
        <v>1.26666666666667</v>
      </c>
      <c r="X187" s="3" t="n">
        <f aca="false">W187-V187</f>
        <v>0.0833333333333333</v>
      </c>
      <c r="Y187" s="3" t="n">
        <f aca="false">R187/V187</f>
        <v>2.51030628213727</v>
      </c>
      <c r="Z187" s="0" t="n">
        <v>2</v>
      </c>
      <c r="AA187" s="3" t="n">
        <f aca="false">R187/Z187</f>
        <v>1.48526455026455</v>
      </c>
      <c r="AB187" s="3" t="n">
        <f aca="false">60/Y187</f>
        <v>23.9014658995779</v>
      </c>
      <c r="AC187" s="2" t="n">
        <v>56</v>
      </c>
      <c r="AD187" s="2" t="n">
        <v>454</v>
      </c>
      <c r="AE187" s="2" t="n">
        <v>98</v>
      </c>
      <c r="AF187" s="0" t="n">
        <v>131</v>
      </c>
      <c r="AG187" s="3" t="n">
        <f aca="false">AB187</f>
        <v>23.9014658995779</v>
      </c>
      <c r="AH187" s="3" t="n">
        <f aca="false">AG187</f>
        <v>23.9014658995779</v>
      </c>
      <c r="AI187" s="3" t="n">
        <f aca="false">AH187</f>
        <v>23.9014658995779</v>
      </c>
      <c r="AJ187" s="3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4" t="n">
        <v>0</v>
      </c>
      <c r="AV187" s="3" t="n">
        <f aca="false">20+59/60</f>
        <v>20.9833333333333</v>
      </c>
      <c r="AW187" s="3" t="n">
        <f aca="false">26+52/60</f>
        <v>26.8666666666667</v>
      </c>
      <c r="AX187" s="3" t="n">
        <f aca="false">20+52/60</f>
        <v>20.8666666666667</v>
      </c>
      <c r="AY187" s="3" t="n">
        <f aca="false">10+36/60</f>
        <v>10.6</v>
      </c>
      <c r="AZ187" s="3" t="n">
        <v>0</v>
      </c>
      <c r="BA187" s="0" t="s">
        <v>59</v>
      </c>
      <c r="BB187" s="0" t="s">
        <v>60</v>
      </c>
      <c r="BC187" s="0" t="n">
        <v>0</v>
      </c>
    </row>
    <row r="188" customFormat="false" ht="12.8" hidden="false" customHeight="false" outlineLevel="0" collapsed="false">
      <c r="A188" s="0" t="n">
        <f aca="false">A187+1</f>
        <v>719</v>
      </c>
      <c r="B188" s="1" t="n">
        <v>44065.5138888889</v>
      </c>
      <c r="C188" s="0" t="n">
        <v>1</v>
      </c>
      <c r="F188" s="6" t="s">
        <v>107</v>
      </c>
      <c r="G188" s="2" t="n">
        <f aca="false">(90+93)/2</f>
        <v>91.5</v>
      </c>
      <c r="H188" s="2" t="n">
        <f aca="false">(65+62)/2</f>
        <v>63.5</v>
      </c>
      <c r="I188" s="2" t="n">
        <f aca="false">(35+28)/2</f>
        <v>31.5</v>
      </c>
      <c r="J188" s="2" t="s">
        <v>133</v>
      </c>
      <c r="K188" s="2" t="n">
        <f aca="false">(7+12)/2</f>
        <v>9.5</v>
      </c>
      <c r="L188" s="2" t="n">
        <v>0</v>
      </c>
      <c r="M188" s="0" t="s">
        <v>94</v>
      </c>
      <c r="N188" s="0" t="n">
        <v>0</v>
      </c>
      <c r="O188" s="0" t="s">
        <v>120</v>
      </c>
      <c r="Q188" s="0" t="s">
        <v>134</v>
      </c>
      <c r="R188" s="3" t="n">
        <v>2.3</v>
      </c>
      <c r="S188" s="2" t="n">
        <v>901</v>
      </c>
      <c r="T188" s="2" t="n">
        <v>6585</v>
      </c>
      <c r="U188" s="2" t="n">
        <f aca="false">T188-S188</f>
        <v>5684</v>
      </c>
      <c r="V188" s="3" t="n">
        <f aca="false">48/60</f>
        <v>0.8</v>
      </c>
      <c r="W188" s="3" t="n">
        <f aca="false">56/60</f>
        <v>0.933333333333333</v>
      </c>
      <c r="X188" s="3" t="n">
        <f aca="false">W188-V188</f>
        <v>0.133333333333333</v>
      </c>
      <c r="Y188" s="3" t="n">
        <f aca="false">R188/V188</f>
        <v>2.875</v>
      </c>
      <c r="Z188" s="0" t="n">
        <v>1</v>
      </c>
      <c r="AA188" s="3" t="n">
        <f aca="false">R188/Z188</f>
        <v>2.3</v>
      </c>
      <c r="AB188" s="3" t="n">
        <f aca="false">21+3/60</f>
        <v>21.05</v>
      </c>
      <c r="AC188" s="2" t="n">
        <v>269</v>
      </c>
      <c r="AD188" s="2" t="n">
        <v>435</v>
      </c>
      <c r="AE188" s="2" t="n">
        <v>124</v>
      </c>
      <c r="AF188" s="0" t="n">
        <v>152</v>
      </c>
      <c r="AG188" s="3" t="n">
        <f aca="false">20+20/60</f>
        <v>20.3333333333333</v>
      </c>
      <c r="AH188" s="3" t="n">
        <f aca="false">21+58/60</f>
        <v>21.9666666666667</v>
      </c>
      <c r="AI188" s="3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4" t="n">
        <v>0</v>
      </c>
      <c r="AV188" s="3" t="n">
        <v>0</v>
      </c>
      <c r="AW188" s="3" t="n">
        <f aca="false">6</f>
        <v>6</v>
      </c>
      <c r="AX188" s="3" t="n">
        <f aca="false">7+19/60</f>
        <v>7.31666666666667</v>
      </c>
      <c r="AY188" s="3" t="n">
        <f aca="false">21+30/60</f>
        <v>21.5</v>
      </c>
      <c r="AZ188" s="3" t="n">
        <f aca="false">13+41/60</f>
        <v>13.6833333333333</v>
      </c>
      <c r="BA188" s="0" t="s">
        <v>59</v>
      </c>
      <c r="BB188" s="0" t="s">
        <v>60</v>
      </c>
      <c r="BC188" s="0" t="n">
        <v>0</v>
      </c>
    </row>
    <row r="189" customFormat="false" ht="12.8" hidden="false" customHeight="false" outlineLevel="0" collapsed="false">
      <c r="A189" s="0" t="n">
        <f aca="false">A188+1</f>
        <v>720</v>
      </c>
      <c r="B189" s="1" t="n">
        <v>44066.4951388889</v>
      </c>
      <c r="C189" s="0" t="n">
        <v>0</v>
      </c>
      <c r="D189" s="0" t="s">
        <v>70</v>
      </c>
      <c r="F189" s="6" t="s">
        <v>129</v>
      </c>
      <c r="G189" s="2" t="n">
        <v>91</v>
      </c>
      <c r="H189" s="2" t="n">
        <v>63</v>
      </c>
      <c r="I189" s="2" t="n">
        <v>38</v>
      </c>
      <c r="J189" s="2" t="s">
        <v>103</v>
      </c>
      <c r="K189" s="2" t="n">
        <v>3</v>
      </c>
      <c r="L189" s="2" t="n">
        <v>0</v>
      </c>
      <c r="M189" s="0" t="s">
        <v>94</v>
      </c>
    </row>
    <row r="190" customFormat="false" ht="12.8" hidden="false" customHeight="false" outlineLevel="0" collapsed="false">
      <c r="A190" s="0" t="n">
        <f aca="false">A189+1</f>
        <v>721</v>
      </c>
      <c r="B190" s="1" t="n">
        <v>44067.4951388889</v>
      </c>
      <c r="C190" s="0" t="n">
        <v>0</v>
      </c>
      <c r="D190" s="11" t="s">
        <v>76</v>
      </c>
      <c r="F190" s="6" t="s">
        <v>129</v>
      </c>
      <c r="G190" s="2" t="n">
        <v>94</v>
      </c>
      <c r="H190" s="2" t="n">
        <v>65</v>
      </c>
      <c r="I190" s="2" t="n">
        <v>38</v>
      </c>
      <c r="J190" s="2" t="s">
        <v>135</v>
      </c>
      <c r="K190" s="2" t="n">
        <v>9</v>
      </c>
      <c r="L190" s="2" t="n">
        <v>0</v>
      </c>
      <c r="M190" s="0" t="s">
        <v>94</v>
      </c>
    </row>
    <row r="191" customFormat="false" ht="12.8" hidden="false" customHeight="false" outlineLevel="0" collapsed="false">
      <c r="A191" s="0" t="n">
        <f aca="false">A190+1</f>
        <v>722</v>
      </c>
      <c r="B191" s="1" t="n">
        <v>44068.4805555556</v>
      </c>
      <c r="C191" s="0" t="n">
        <v>1</v>
      </c>
      <c r="F191" s="6" t="s">
        <v>107</v>
      </c>
      <c r="G191" s="2" t="n">
        <f aca="false">(91+94)/2</f>
        <v>92.5</v>
      </c>
      <c r="H191" s="2" t="n">
        <v>67</v>
      </c>
      <c r="I191" s="2" t="n">
        <f aca="false">(47+41)/2</f>
        <v>44</v>
      </c>
      <c r="J191" s="2" t="s">
        <v>100</v>
      </c>
      <c r="K191" s="2" t="n">
        <v>0</v>
      </c>
      <c r="L191" s="2" t="n">
        <v>0</v>
      </c>
      <c r="M191" s="0" t="s">
        <v>94</v>
      </c>
      <c r="N191" s="0" t="n">
        <v>0</v>
      </c>
      <c r="O191" s="0" t="s">
        <v>120</v>
      </c>
      <c r="Q191" s="0" t="s">
        <v>116</v>
      </c>
      <c r="R191" s="3" t="n">
        <v>4.85</v>
      </c>
      <c r="S191" s="2" t="n">
        <v>541</v>
      </c>
      <c r="T191" s="2" t="n">
        <v>16204</v>
      </c>
      <c r="U191" s="2" t="n">
        <f aca="false">T191-S191</f>
        <v>15663</v>
      </c>
      <c r="V191" s="3" t="n">
        <f aca="false">(123)/60</f>
        <v>2.05</v>
      </c>
      <c r="W191" s="3" t="n">
        <f aca="false">126/60</f>
        <v>2.1</v>
      </c>
      <c r="X191" s="3" t="n">
        <f aca="false">W191-V191</f>
        <v>0.0500000000000003</v>
      </c>
      <c r="Y191" s="3" t="n">
        <f aca="false">R191/V191</f>
        <v>2.36585365853659</v>
      </c>
      <c r="Z191" s="0" t="n">
        <v>3</v>
      </c>
      <c r="AA191" s="3" t="n">
        <f aca="false">R191/Z191</f>
        <v>1.61666666666667</v>
      </c>
      <c r="AB191" s="3" t="n">
        <f aca="false">25+17/60</f>
        <v>25.2833333333333</v>
      </c>
      <c r="AC191" s="2" t="n">
        <v>79</v>
      </c>
      <c r="AD191" s="2" t="n">
        <v>508</v>
      </c>
      <c r="AE191" s="2" t="n">
        <v>87</v>
      </c>
      <c r="AF191" s="0" t="n">
        <v>113</v>
      </c>
      <c r="AG191" s="3" t="n">
        <f aca="false">23+46/60</f>
        <v>23.7666666666667</v>
      </c>
      <c r="AH191" s="3" t="n">
        <f aca="false">25+32/60</f>
        <v>25.5333333333333</v>
      </c>
      <c r="AI191" s="3" t="n">
        <f aca="false">24+65/60</f>
        <v>25.0833333333333</v>
      </c>
      <c r="AJ191" s="3" t="n">
        <f aca="false">25+52/60</f>
        <v>25.8666666666667</v>
      </c>
      <c r="AK191" s="3" t="n">
        <f aca="false">60/2.4</f>
        <v>25</v>
      </c>
      <c r="AR191" s="0" t="n">
        <v>1</v>
      </c>
      <c r="AS191" s="0" t="n">
        <v>1</v>
      </c>
      <c r="AT191" s="0" t="n">
        <v>0</v>
      </c>
      <c r="AU191" s="4" t="n">
        <f aca="false">60*V191-SUM(AV191:AZ191)</f>
        <v>7.55</v>
      </c>
      <c r="AV191" s="3" t="n">
        <f aca="false">67+3/60</f>
        <v>67.05</v>
      </c>
      <c r="AW191" s="3" t="n">
        <f aca="false">44+55/60</f>
        <v>44.9166666666667</v>
      </c>
      <c r="AX191" s="3" t="n">
        <f aca="false">3+29/60</f>
        <v>3.48333333333333</v>
      </c>
      <c r="AY191" s="3" t="n">
        <v>0</v>
      </c>
      <c r="AZ191" s="3" t="n">
        <v>0</v>
      </c>
      <c r="BA191" s="0" t="s">
        <v>59</v>
      </c>
      <c r="BB191" s="0" t="s">
        <v>60</v>
      </c>
      <c r="BC191" s="0" t="n">
        <v>0</v>
      </c>
    </row>
    <row r="192" customFormat="false" ht="12.8" hidden="false" customHeight="false" outlineLevel="0" collapsed="false">
      <c r="A192" s="0" t="n">
        <f aca="false">A191+1</f>
        <v>723</v>
      </c>
      <c r="B192" s="1" t="n">
        <v>44069.4180555556</v>
      </c>
      <c r="C192" s="0" t="n">
        <v>1</v>
      </c>
      <c r="F192" s="6" t="s">
        <v>71</v>
      </c>
      <c r="G192" s="2" t="n">
        <v>86</v>
      </c>
      <c r="H192" s="2" t="n">
        <v>86</v>
      </c>
      <c r="I192" s="2" t="n">
        <v>73</v>
      </c>
      <c r="J192" s="2" t="s">
        <v>132</v>
      </c>
      <c r="K192" s="2" t="n">
        <f aca="false">(5+8)/2</f>
        <v>6.5</v>
      </c>
      <c r="L192" s="2" t="n">
        <v>0</v>
      </c>
      <c r="M192" s="0" t="s">
        <v>94</v>
      </c>
      <c r="N192" s="0" t="n">
        <v>0</v>
      </c>
      <c r="O192" s="0" t="s">
        <v>120</v>
      </c>
      <c r="Q192" s="0" t="s">
        <v>78</v>
      </c>
      <c r="R192" s="3" t="n">
        <v>4.68</v>
      </c>
      <c r="T192" s="2" t="n">
        <v>10418</v>
      </c>
      <c r="V192" s="3" t="n">
        <f aca="false">81/60</f>
        <v>1.35</v>
      </c>
      <c r="W192" s="3" t="n">
        <f aca="false">99/60</f>
        <v>1.65</v>
      </c>
      <c r="X192" s="3" t="n">
        <f aca="false">W192-V192</f>
        <v>0.3</v>
      </c>
      <c r="Y192" s="3" t="n">
        <f aca="false">R192/V192</f>
        <v>3.46666666666667</v>
      </c>
      <c r="Z192" s="0" t="n">
        <v>1</v>
      </c>
      <c r="AA192" s="3" t="n">
        <f aca="false">R192/Z192</f>
        <v>4.68</v>
      </c>
      <c r="AB192" s="3" t="n">
        <f aca="false">17+19/60</f>
        <v>17.3166666666667</v>
      </c>
      <c r="AC192" s="2" t="n">
        <v>397</v>
      </c>
      <c r="AD192" s="2" t="n">
        <v>768</v>
      </c>
      <c r="AE192" s="2" t="n">
        <v>122</v>
      </c>
      <c r="AF192" s="0" t="n">
        <v>168</v>
      </c>
      <c r="AG192" s="3" t="n">
        <f aca="false">16+20/60</f>
        <v>16.3333333333333</v>
      </c>
      <c r="AH192" s="3" t="n">
        <f aca="false">16+35/60</f>
        <v>16.5833333333333</v>
      </c>
      <c r="AI192" s="3" t="n">
        <f aca="false">16+41/60</f>
        <v>16.6833333333333</v>
      </c>
      <c r="AJ192" s="3" t="n">
        <f aca="false">18+6/60</f>
        <v>18.1</v>
      </c>
      <c r="AK192" s="3" t="n">
        <f aca="false">60/2</f>
        <v>30</v>
      </c>
      <c r="AR192" s="0" t="n">
        <v>3</v>
      </c>
      <c r="AS192" s="0" t="n">
        <v>0</v>
      </c>
      <c r="AT192" s="0" t="n">
        <v>0</v>
      </c>
      <c r="AU192" s="4" t="n">
        <f aca="false">60*V192-SUM(AV192:AZ192)</f>
        <v>6.8</v>
      </c>
      <c r="AV192" s="3" t="n">
        <f aca="false">11/60</f>
        <v>0.183333333333333</v>
      </c>
      <c r="AW192" s="3" t="n">
        <f aca="false">17+29/60</f>
        <v>17.4833333333333</v>
      </c>
      <c r="AX192" s="3" t="n">
        <f aca="false">8+41/60</f>
        <v>8.68333333333333</v>
      </c>
      <c r="AY192" s="3" t="n">
        <f aca="false">5+27/60</f>
        <v>5.45</v>
      </c>
      <c r="AZ192" s="3" t="n">
        <f aca="false">42+24/60</f>
        <v>42.4</v>
      </c>
      <c r="BA192" s="0" t="s">
        <v>59</v>
      </c>
      <c r="BB192" s="0" t="s">
        <v>60</v>
      </c>
      <c r="BC192" s="0" t="n">
        <v>1</v>
      </c>
      <c r="BD192" s="0" t="s">
        <v>136</v>
      </c>
    </row>
    <row r="193" customFormat="false" ht="12.8" hidden="false" customHeight="false" outlineLevel="0" collapsed="false">
      <c r="A193" s="0" t="n">
        <f aca="false">A192+1</f>
        <v>724</v>
      </c>
      <c r="B193" s="1" t="n">
        <v>44070.4486111111</v>
      </c>
      <c r="C193" s="0" t="n">
        <v>1</v>
      </c>
      <c r="F193" s="6" t="s">
        <v>107</v>
      </c>
      <c r="G193" s="2" t="n">
        <f aca="false">(81+90)/2</f>
        <v>85.5</v>
      </c>
      <c r="H193" s="2" t="n">
        <v>71</v>
      </c>
      <c r="I193" s="2" t="n">
        <f aca="false">AVERAGE(59,52)</f>
        <v>55.5</v>
      </c>
      <c r="J193" s="2" t="s">
        <v>96</v>
      </c>
      <c r="K193" s="2" t="n">
        <f aca="false">AVERAGE(6,3)</f>
        <v>4.5</v>
      </c>
      <c r="L193" s="2" t="n">
        <v>0</v>
      </c>
      <c r="M193" s="0" t="s">
        <v>94</v>
      </c>
      <c r="N193" s="0" t="n">
        <v>0</v>
      </c>
      <c r="O193" s="0" t="s">
        <v>120</v>
      </c>
      <c r="Q193" s="0" t="s">
        <v>116</v>
      </c>
      <c r="R193" s="3" t="n">
        <v>3.8</v>
      </c>
      <c r="V193" s="3" t="n">
        <f aca="false">96/60</f>
        <v>1.6</v>
      </c>
      <c r="W193" s="3" t="n">
        <f aca="false">99/60</f>
        <v>1.65</v>
      </c>
      <c r="X193" s="3" t="n">
        <f aca="false">W193-V193</f>
        <v>0.0499999999999998</v>
      </c>
      <c r="Y193" s="3" t="n">
        <f aca="false">R193/V193</f>
        <v>2.375</v>
      </c>
      <c r="Z193" s="0" t="n">
        <v>2</v>
      </c>
      <c r="AA193" s="3" t="n">
        <f aca="false">R193/Z193</f>
        <v>1.9</v>
      </c>
      <c r="AB193" s="3" t="n">
        <f aca="false">25+10/60</f>
        <v>25.1666666666667</v>
      </c>
      <c r="AC193" s="2" t="n">
        <v>43</v>
      </c>
      <c r="AD193" s="2" t="n">
        <v>408</v>
      </c>
      <c r="AE193" s="2" t="n">
        <v>84</v>
      </c>
      <c r="AF193" s="0" t="n">
        <v>125</v>
      </c>
      <c r="AG193" s="3" t="n">
        <f aca="false">19+26/60</f>
        <v>19.4333333333333</v>
      </c>
      <c r="AH193" s="3" t="n">
        <f aca="false">25+46/60</f>
        <v>25.7666666666667</v>
      </c>
      <c r="AI193" s="3" t="n">
        <f aca="false">29+21/60</f>
        <v>29.35</v>
      </c>
      <c r="AJ193" s="3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4" t="n">
        <f aca="false">38+58/60</f>
        <v>38.9666666666667</v>
      </c>
      <c r="AV193" s="3" t="n">
        <f aca="false">34+127/60</f>
        <v>36.1166666666667</v>
      </c>
      <c r="AW193" s="3" t="n">
        <f aca="false">1+51/60</f>
        <v>1.85</v>
      </c>
      <c r="AX193" s="3" t="n">
        <f aca="false">20/60</f>
        <v>0.333333333333333</v>
      </c>
      <c r="AY193" s="3" t="n">
        <v>0</v>
      </c>
      <c r="AZ193" s="3" t="n">
        <v>0</v>
      </c>
      <c r="BA193" s="0" t="s">
        <v>59</v>
      </c>
      <c r="BB193" s="0" t="s">
        <v>60</v>
      </c>
      <c r="BC193" s="0" t="n">
        <v>0</v>
      </c>
    </row>
    <row r="194" customFormat="false" ht="12.8" hidden="false" customHeight="false" outlineLevel="0" collapsed="false">
      <c r="A194" s="0" t="n">
        <f aca="false">A193+1</f>
        <v>725</v>
      </c>
      <c r="B194" s="1" t="n">
        <v>44071.4854166667</v>
      </c>
      <c r="C194" s="0" t="n">
        <v>1</v>
      </c>
      <c r="F194" s="6" t="s">
        <v>129</v>
      </c>
      <c r="G194" s="2" t="n">
        <f aca="false">(93+97)/2</f>
        <v>95</v>
      </c>
      <c r="H194" s="2" t="n">
        <v>73</v>
      </c>
      <c r="I194" s="2" t="n">
        <f aca="false">(46+43)/2</f>
        <v>44.5</v>
      </c>
      <c r="J194" s="2" t="s">
        <v>95</v>
      </c>
      <c r="K194" s="2" t="n">
        <v>5</v>
      </c>
      <c r="L194" s="2" t="n">
        <v>0</v>
      </c>
      <c r="M194" s="0" t="s">
        <v>94</v>
      </c>
      <c r="N194" s="0" t="n">
        <v>0</v>
      </c>
      <c r="O194" s="0" t="s">
        <v>120</v>
      </c>
      <c r="Q194" s="0" t="s">
        <v>58</v>
      </c>
      <c r="R194" s="3" t="n">
        <v>3.54</v>
      </c>
      <c r="V194" s="3" t="n">
        <f aca="false">95/60</f>
        <v>1.58333333333333</v>
      </c>
      <c r="W194" s="3" t="n">
        <f aca="false">99/60</f>
        <v>1.65</v>
      </c>
      <c r="X194" s="3" t="n">
        <f aca="false">W194-V194</f>
        <v>0.0666666666666667</v>
      </c>
      <c r="Y194" s="3" t="n">
        <f aca="false">R193/V194</f>
        <v>2.4</v>
      </c>
      <c r="Z194" s="0" t="n">
        <v>3</v>
      </c>
      <c r="AA194" s="3" t="n">
        <f aca="false">R193/Z194</f>
        <v>1.26666666666667</v>
      </c>
      <c r="AB194" s="3" t="n">
        <f aca="false">25+10/60</f>
        <v>25.1666666666667</v>
      </c>
      <c r="AC194" s="2" t="n">
        <v>43</v>
      </c>
      <c r="AD194" s="2" t="n">
        <v>408</v>
      </c>
      <c r="AE194" s="2" t="n">
        <v>122</v>
      </c>
      <c r="AF194" s="0" t="n">
        <v>145</v>
      </c>
      <c r="AG194" s="3" t="n">
        <f aca="false">18+44/60</f>
        <v>18.7333333333333</v>
      </c>
      <c r="AH194" s="3" t="n">
        <f aca="false">19+46/60</f>
        <v>19.7666666666667</v>
      </c>
      <c r="AI194" s="3" t="n">
        <f aca="false">22+45/60</f>
        <v>22.75</v>
      </c>
      <c r="AJ194" s="3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4" t="n">
        <f aca="false">60*V194-SUM(AV194:AZ194)</f>
        <v>29.4566666666667</v>
      </c>
      <c r="AV194" s="3" t="n">
        <f aca="false">38+51/60</f>
        <v>38.85</v>
      </c>
      <c r="AW194" s="3" t="n">
        <f aca="false">24+17/50</f>
        <v>24.34</v>
      </c>
      <c r="AX194" s="3" t="n">
        <f aca="false">1+51/50</f>
        <v>2.02</v>
      </c>
      <c r="AY194" s="3" t="n">
        <f aca="false">20/60</f>
        <v>0.333333333333333</v>
      </c>
      <c r="AZ194" s="3" t="n">
        <v>0</v>
      </c>
      <c r="BA194" s="0" t="s">
        <v>59</v>
      </c>
      <c r="BB194" s="0" t="s">
        <v>60</v>
      </c>
      <c r="BC194" s="0" t="n">
        <v>0</v>
      </c>
    </row>
    <row r="195" customFormat="false" ht="12.8" hidden="false" customHeight="false" outlineLevel="0" collapsed="false">
      <c r="A195" s="0" t="n">
        <f aca="false">A194+1</f>
        <v>726</v>
      </c>
      <c r="B195" s="1" t="n">
        <v>44072.4569444444</v>
      </c>
      <c r="C195" s="0" t="n">
        <v>1</v>
      </c>
      <c r="F195" s="6" t="s">
        <v>129</v>
      </c>
      <c r="G195" s="2" t="n">
        <f aca="false">(90+94)/2</f>
        <v>92</v>
      </c>
      <c r="H195" s="2" t="n">
        <v>75</v>
      </c>
      <c r="I195" s="2" t="n">
        <f aca="false">(63+54)/2</f>
        <v>58.5</v>
      </c>
      <c r="J195" s="6" t="s">
        <v>72</v>
      </c>
      <c r="K195" s="2" t="n">
        <f aca="false">(16+13)/2</f>
        <v>14.5</v>
      </c>
      <c r="L195" s="2" t="n">
        <v>0</v>
      </c>
      <c r="M195" s="0" t="s">
        <v>94</v>
      </c>
      <c r="N195" s="0" t="n">
        <v>0</v>
      </c>
      <c r="O195" s="0" t="s">
        <v>120</v>
      </c>
      <c r="Q195" s="0" t="s">
        <v>116</v>
      </c>
      <c r="R195" s="3" t="n">
        <v>3.31</v>
      </c>
      <c r="S195" s="2" t="n">
        <v>1277</v>
      </c>
      <c r="T195" s="2" t="n">
        <v>11928</v>
      </c>
      <c r="U195" s="2" t="n">
        <f aca="false">T195-S195</f>
        <v>10651</v>
      </c>
      <c r="V195" s="3" t="n">
        <f aca="false">85/60</f>
        <v>1.41666666666667</v>
      </c>
      <c r="W195" s="3" t="n">
        <f aca="false">85/60</f>
        <v>1.41666666666667</v>
      </c>
      <c r="X195" s="3" t="n">
        <f aca="false">W195-V195</f>
        <v>0</v>
      </c>
      <c r="Y195" s="3" t="n">
        <f aca="false">R194/V195</f>
        <v>2.49882352941176</v>
      </c>
      <c r="Z195" s="0" t="n">
        <v>2</v>
      </c>
      <c r="AA195" s="3" t="n">
        <f aca="false">R195/W195</f>
        <v>2.33647058823529</v>
      </c>
      <c r="AB195" s="3" t="n">
        <f aca="false">25+34/60</f>
        <v>25.5666666666667</v>
      </c>
      <c r="AC195" s="2" t="n">
        <v>39</v>
      </c>
      <c r="AD195" s="2" t="n">
        <v>347</v>
      </c>
      <c r="AE195" s="2" t="n">
        <v>80</v>
      </c>
      <c r="AF195" s="0" t="n">
        <v>111</v>
      </c>
      <c r="AG195" s="3" t="n">
        <f aca="false">21+31/60</f>
        <v>21.5166666666667</v>
      </c>
      <c r="AH195" s="3" t="n">
        <f aca="false">27+9/60</f>
        <v>27.15</v>
      </c>
      <c r="AI195" s="3" t="n">
        <f aca="false">28+35/60</f>
        <v>28.5833333333333</v>
      </c>
      <c r="AJ195" s="3" t="n">
        <f aca="false">60/2.5</f>
        <v>24</v>
      </c>
      <c r="AR195" s="0" t="n">
        <v>0</v>
      </c>
      <c r="AS195" s="0" t="n">
        <v>0</v>
      </c>
      <c r="AT195" s="0" t="n">
        <v>0</v>
      </c>
      <c r="AU195" s="4" t="n">
        <f aca="false">60*V195-SUM(AV195:AZ195)</f>
        <v>35.4166666666667</v>
      </c>
      <c r="AV195" s="4" t="n">
        <f aca="false">26+33/60</f>
        <v>26.55</v>
      </c>
      <c r="AW195" s="3" t="n">
        <f aca="false">20+15/60</f>
        <v>20.25</v>
      </c>
      <c r="AX195" s="3" t="n">
        <f aca="false">2+47/60</f>
        <v>2.78333333333333</v>
      </c>
      <c r="AY195" s="3" t="n">
        <v>0</v>
      </c>
      <c r="AZ195" s="3" t="n">
        <v>0</v>
      </c>
      <c r="BA195" s="0" t="s">
        <v>59</v>
      </c>
      <c r="BB195" s="0" t="s">
        <v>60</v>
      </c>
      <c r="BC195" s="0" t="n">
        <v>0</v>
      </c>
    </row>
    <row r="196" customFormat="false" ht="12.8" hidden="false" customHeight="false" outlineLevel="0" collapsed="false">
      <c r="A196" s="0" t="n">
        <f aca="false">A195+1</f>
        <v>727</v>
      </c>
      <c r="B196" s="1" t="n">
        <v>44073.5763888889</v>
      </c>
      <c r="C196" s="0" t="n">
        <v>1</v>
      </c>
      <c r="F196" s="6" t="s">
        <v>71</v>
      </c>
      <c r="G196" s="2" t="n">
        <f aca="false">(84+88)/2</f>
        <v>86</v>
      </c>
      <c r="H196" s="2" t="n">
        <v>76</v>
      </c>
      <c r="I196" s="2" t="n">
        <f aca="false">AVERAGE(76+70)/2</f>
        <v>73</v>
      </c>
      <c r="J196" s="2" t="s">
        <v>95</v>
      </c>
      <c r="K196" s="2" t="n">
        <f aca="false">(8+4)/2</f>
        <v>6</v>
      </c>
      <c r="L196" s="2" t="n">
        <v>0</v>
      </c>
      <c r="M196" s="0" t="s">
        <v>94</v>
      </c>
      <c r="N196" s="0" t="n">
        <v>0</v>
      </c>
      <c r="O196" s="0" t="s">
        <v>120</v>
      </c>
      <c r="Q196" s="0" t="s">
        <v>65</v>
      </c>
      <c r="R196" s="3" t="n">
        <v>4.29</v>
      </c>
      <c r="S196" s="2" t="n">
        <v>1560</v>
      </c>
      <c r="T196" s="2" t="n">
        <v>10829</v>
      </c>
      <c r="U196" s="2" t="n">
        <f aca="false">T196-S196</f>
        <v>9269</v>
      </c>
      <c r="V196" s="3" t="n">
        <f aca="false">73/60</f>
        <v>1.21666666666667</v>
      </c>
      <c r="W196" s="3" t="n">
        <f aca="false">85/60</f>
        <v>1.41666666666667</v>
      </c>
      <c r="X196" s="3" t="n">
        <f aca="false">W196-V196</f>
        <v>0.2</v>
      </c>
      <c r="Y196" s="3" t="n">
        <f aca="false">R196/V196</f>
        <v>3.52602739726027</v>
      </c>
      <c r="Z196" s="0" t="n">
        <v>1</v>
      </c>
      <c r="AA196" s="3" t="n">
        <f aca="false">R196/Z196</f>
        <v>4.29</v>
      </c>
      <c r="AB196" s="3" t="n">
        <f aca="false">17+5/60</f>
        <v>17.0833333333333</v>
      </c>
      <c r="AC196" s="2" t="n">
        <v>260</v>
      </c>
      <c r="AD196" s="2" t="n">
        <v>710</v>
      </c>
      <c r="AE196" s="2" t="n">
        <v>127</v>
      </c>
      <c r="AF196" s="0" t="n">
        <v>150</v>
      </c>
      <c r="AG196" s="3" t="n">
        <f aca="false">16+14/60</f>
        <v>16.2333333333333</v>
      </c>
      <c r="AH196" s="3" t="n">
        <f aca="false">16+35/60</f>
        <v>16.5833333333333</v>
      </c>
      <c r="AI196" s="3" t="n">
        <f aca="false">17+30/60</f>
        <v>17.5</v>
      </c>
      <c r="AJ196" s="3" t="n">
        <f aca="false">17+48/60</f>
        <v>17.8</v>
      </c>
      <c r="AK196" s="3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4" t="n">
        <v>0</v>
      </c>
      <c r="AV196" s="3" t="n">
        <f aca="false">36/60</f>
        <v>0.6</v>
      </c>
      <c r="AW196" s="3" t="n">
        <f aca="false">15+21/60</f>
        <v>15.35</v>
      </c>
      <c r="AX196" s="3" t="n">
        <f aca="false">4+43/60</f>
        <v>4.71666666666667</v>
      </c>
      <c r="AY196" s="3" t="n">
        <f aca="false">7+54/60</f>
        <v>7.9</v>
      </c>
      <c r="AZ196" s="3" t="n">
        <f aca="false">44+43/60</f>
        <v>44.7166666666667</v>
      </c>
      <c r="BA196" s="0" t="s">
        <v>59</v>
      </c>
      <c r="BB196" s="0" t="s">
        <v>60</v>
      </c>
      <c r="BC196" s="0" t="n">
        <v>0</v>
      </c>
    </row>
    <row r="197" customFormat="false" ht="12.8" hidden="false" customHeight="false" outlineLevel="0" collapsed="false">
      <c r="A197" s="0" t="n">
        <v>728</v>
      </c>
      <c r="B197" s="1" t="n">
        <v>44074.4576388889</v>
      </c>
      <c r="C197" s="0" t="n">
        <v>1</v>
      </c>
      <c r="F197" s="6" t="s">
        <v>71</v>
      </c>
      <c r="G197" s="2" t="n">
        <v>90</v>
      </c>
      <c r="H197" s="2" t="n">
        <v>77</v>
      </c>
      <c r="I197" s="2" t="n">
        <v>66</v>
      </c>
      <c r="J197" s="6" t="s">
        <v>72</v>
      </c>
      <c r="K197" s="2" t="n">
        <v>12</v>
      </c>
      <c r="L197" s="2" t="n">
        <v>0</v>
      </c>
      <c r="M197" s="0" t="s">
        <v>94</v>
      </c>
      <c r="N197" s="0" t="n">
        <v>0</v>
      </c>
      <c r="O197" s="0" t="s">
        <v>120</v>
      </c>
      <c r="Q197" s="0" t="s">
        <v>87</v>
      </c>
      <c r="R197" s="3" t="n">
        <v>4.04</v>
      </c>
      <c r="V197" s="3" t="n">
        <f aca="false">67/60</f>
        <v>1.11666666666667</v>
      </c>
      <c r="W197" s="3" t="n">
        <f aca="false">83/60</f>
        <v>1.38333333333333</v>
      </c>
      <c r="X197" s="3" t="n">
        <f aca="false">W197-V197</f>
        <v>0.266666666666667</v>
      </c>
      <c r="Y197" s="3" t="n">
        <f aca="false">R197/V197</f>
        <v>3.61791044776119</v>
      </c>
      <c r="Z197" s="0" t="n">
        <v>1</v>
      </c>
      <c r="AA197" s="3" t="n">
        <f aca="false">R197/Z197</f>
        <v>4.04</v>
      </c>
      <c r="AB197" s="3" t="n">
        <f aca="false">16+36/60</f>
        <v>16.6</v>
      </c>
      <c r="AC197" s="2" t="n">
        <v>1020</v>
      </c>
      <c r="AD197" s="2" t="n">
        <v>606</v>
      </c>
      <c r="AE197" s="2" t="n">
        <v>121</v>
      </c>
      <c r="AF197" s="0" t="n">
        <v>159</v>
      </c>
      <c r="AG197" s="3" t="n">
        <f aca="false">15+47/60</f>
        <v>15.7833333333333</v>
      </c>
      <c r="AH197" s="3" t="n">
        <f aca="false">17+7/60</f>
        <v>17.1166666666667</v>
      </c>
      <c r="AI197" s="3" t="n">
        <f aca="false">16+34/60</f>
        <v>16.5666666666667</v>
      </c>
      <c r="AJ197" s="3" t="n">
        <f aca="false">16+49/60</f>
        <v>16.8166666666667</v>
      </c>
      <c r="AK197" s="3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4" t="n">
        <v>0</v>
      </c>
      <c r="AV197" s="3" t="n">
        <f aca="false">14/60</f>
        <v>0.233333333333333</v>
      </c>
      <c r="AW197" s="3" t="n">
        <f aca="false">22+10/60</f>
        <v>22.1666666666667</v>
      </c>
      <c r="AX197" s="3" t="n">
        <f aca="false">11+47/60</f>
        <v>11.7833333333333</v>
      </c>
      <c r="AY197" s="3" t="n">
        <f aca="false">6+56/60</f>
        <v>6.93333333333333</v>
      </c>
      <c r="AZ197" s="3" t="n">
        <f aca="false">26+2/60</f>
        <v>26.0333333333333</v>
      </c>
      <c r="BA197" s="0" t="s">
        <v>59</v>
      </c>
      <c r="BB197" s="0" t="s">
        <v>60</v>
      </c>
      <c r="BC197" s="0" t="n">
        <v>0</v>
      </c>
    </row>
    <row r="198" customFormat="false" ht="12.8" hidden="false" customHeight="false" outlineLevel="0" collapsed="false">
      <c r="A198" s="0" t="n">
        <v>729</v>
      </c>
      <c r="B198" s="1" t="n">
        <v>44075.4951388889</v>
      </c>
      <c r="C198" s="0" t="n">
        <v>0</v>
      </c>
      <c r="D198" s="11" t="s">
        <v>76</v>
      </c>
      <c r="F198" s="6" t="s">
        <v>84</v>
      </c>
      <c r="G198" s="2" t="n">
        <v>78</v>
      </c>
      <c r="H198" s="2" t="n">
        <v>71</v>
      </c>
      <c r="I198" s="2" t="n">
        <v>81</v>
      </c>
      <c r="J198" s="2" t="s">
        <v>135</v>
      </c>
      <c r="K198" s="2" t="n">
        <v>24</v>
      </c>
      <c r="L198" s="2" t="n">
        <v>32</v>
      </c>
      <c r="M198" s="0" t="s">
        <v>94</v>
      </c>
    </row>
    <row r="199" customFormat="false" ht="12.8" hidden="false" customHeight="false" outlineLevel="0" collapsed="false">
      <c r="A199" s="0" t="n">
        <f aca="false">A198+1</f>
        <v>730</v>
      </c>
      <c r="B199" s="1" t="n">
        <v>44076.5590277778</v>
      </c>
      <c r="C199" s="0" t="n">
        <v>1</v>
      </c>
      <c r="F199" s="6" t="s">
        <v>71</v>
      </c>
      <c r="G199" s="2" t="n">
        <v>77</v>
      </c>
      <c r="H199" s="2" t="n">
        <v>73</v>
      </c>
      <c r="I199" s="2" t="n">
        <v>84</v>
      </c>
      <c r="J199" s="6" t="s">
        <v>111</v>
      </c>
      <c r="K199" s="2" t="n">
        <v>14</v>
      </c>
      <c r="L199" s="2" t="n">
        <v>24</v>
      </c>
      <c r="M199" s="0" t="s">
        <v>73</v>
      </c>
      <c r="N199" s="0" t="n">
        <v>0</v>
      </c>
      <c r="O199" s="0" t="s">
        <v>120</v>
      </c>
      <c r="Q199" s="0" t="s">
        <v>63</v>
      </c>
      <c r="R199" s="3" t="n">
        <v>4.98</v>
      </c>
      <c r="S199" s="2" t="n">
        <v>1123</v>
      </c>
      <c r="T199" s="2" t="n">
        <v>11819</v>
      </c>
      <c r="U199" s="2" t="n">
        <f aca="false">T199-S199</f>
        <v>10696</v>
      </c>
      <c r="V199" s="3" t="n">
        <f aca="false">85/60</f>
        <v>1.41666666666667</v>
      </c>
      <c r="W199" s="3" t="n">
        <f aca="false">88/60</f>
        <v>1.46666666666667</v>
      </c>
      <c r="X199" s="3" t="n">
        <f aca="false">W199-V199</f>
        <v>0.0499999999999998</v>
      </c>
      <c r="Y199" s="3" t="n">
        <f aca="false">R199/V199</f>
        <v>3.51529411764705</v>
      </c>
      <c r="Z199" s="0" t="n">
        <v>1</v>
      </c>
      <c r="AA199" s="3" t="n">
        <f aca="false">R199/Z199</f>
        <v>4.98</v>
      </c>
      <c r="AB199" s="3" t="n">
        <f aca="false">17+9/60</f>
        <v>17.15</v>
      </c>
      <c r="AC199" s="2" t="n">
        <v>509</v>
      </c>
      <c r="AD199" s="2" t="n">
        <v>631</v>
      </c>
      <c r="AE199" s="2" t="n">
        <v>113</v>
      </c>
      <c r="AF199" s="0" t="n">
        <v>141</v>
      </c>
      <c r="AG199" s="3" t="n">
        <f aca="false">17+30/60</f>
        <v>17.5</v>
      </c>
      <c r="AH199" s="3" t="n">
        <f aca="false">17+8/60</f>
        <v>17.1333333333333</v>
      </c>
      <c r="AI199" s="3" t="n">
        <f aca="false">17+5/60</f>
        <v>17.0833333333333</v>
      </c>
      <c r="AJ199" s="3" t="n">
        <f aca="false">17+11/60</f>
        <v>17.1833333333333</v>
      </c>
      <c r="AK199" s="3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4" t="n">
        <f aca="false">60*V199-SUM(AV199:AZ199)</f>
        <v>9.45000000000023</v>
      </c>
      <c r="AV199" s="3" t="n">
        <f aca="false">4+18/60</f>
        <v>4.3</v>
      </c>
      <c r="AW199" s="3" t="n">
        <f aca="false">18+29/60</f>
        <v>18.4833333333333</v>
      </c>
      <c r="AX199" s="3" t="n">
        <f aca="false">28+7/60</f>
        <v>28.1166666666667</v>
      </c>
      <c r="AY199" s="3" t="n">
        <f aca="false">21+41/60</f>
        <v>21.6833333333333</v>
      </c>
      <c r="AZ199" s="3" t="n">
        <f aca="false">2+58/60</f>
        <v>2.96666666666667</v>
      </c>
      <c r="BA199" s="0" t="s">
        <v>59</v>
      </c>
      <c r="BB199" s="0" t="s">
        <v>60</v>
      </c>
      <c r="BC199" s="0" t="n">
        <v>0</v>
      </c>
    </row>
    <row r="200" customFormat="false" ht="12.8" hidden="false" customHeight="false" outlineLevel="0" collapsed="false">
      <c r="A200" s="0" t="n">
        <f aca="false">A199+1</f>
        <v>731</v>
      </c>
      <c r="B200" s="1" t="n">
        <v>44077.4701388889</v>
      </c>
      <c r="C200" s="0" t="n">
        <v>1</v>
      </c>
      <c r="F200" s="0" t="s">
        <v>56</v>
      </c>
      <c r="G200" s="2" t="n">
        <v>77</v>
      </c>
      <c r="H200" s="2" t="n">
        <v>73</v>
      </c>
      <c r="I200" s="2" t="n">
        <f aca="false">(91+84)/2</f>
        <v>87.5</v>
      </c>
      <c r="J200" s="6" t="s">
        <v>126</v>
      </c>
      <c r="K200" s="2" t="n">
        <v>8</v>
      </c>
      <c r="L200" s="2" t="n">
        <v>0</v>
      </c>
      <c r="M200" s="0" t="s">
        <v>73</v>
      </c>
      <c r="N200" s="0" t="n">
        <v>0</v>
      </c>
      <c r="O200" s="0" t="s">
        <v>120</v>
      </c>
      <c r="Q200" s="0" t="s">
        <v>62</v>
      </c>
      <c r="R200" s="3" t="n">
        <v>6.45</v>
      </c>
      <c r="S200" s="2" t="n">
        <v>947</v>
      </c>
      <c r="T200" s="2" t="n">
        <v>14525</v>
      </c>
      <c r="U200" s="2" t="n">
        <f aca="false">T200-S200</f>
        <v>13578</v>
      </c>
      <c r="V200" s="3" t="n">
        <f aca="false">106/60</f>
        <v>1.76666666666667</v>
      </c>
      <c r="W200" s="3" t="n">
        <f aca="false">109/60</f>
        <v>1.81666666666667</v>
      </c>
      <c r="X200" s="3" t="n">
        <f aca="false">W200-V200</f>
        <v>0.05</v>
      </c>
      <c r="Y200" s="3" t="n">
        <f aca="false">R200/V200</f>
        <v>3.65094339622642</v>
      </c>
      <c r="Z200" s="0" t="n">
        <v>1</v>
      </c>
      <c r="AA200" s="3" t="n">
        <f aca="false">R200/Z200</f>
        <v>6.45</v>
      </c>
      <c r="AB200" s="3" t="n">
        <f aca="false">16+30/60</f>
        <v>16.5</v>
      </c>
      <c r="AC200" s="2" t="n">
        <v>522</v>
      </c>
      <c r="AD200" s="2" t="n">
        <v>693</v>
      </c>
      <c r="AE200" s="2" t="n">
        <v>92</v>
      </c>
      <c r="AF200" s="0" t="n">
        <v>120</v>
      </c>
      <c r="AG200" s="3" t="n">
        <f aca="false">16+4/60</f>
        <v>16.0666666666667</v>
      </c>
      <c r="AH200" s="3" t="n">
        <f aca="false">15+54/60</f>
        <v>15.9</v>
      </c>
      <c r="AI200" s="3" t="n">
        <f aca="false">16+57/60</f>
        <v>16.95</v>
      </c>
      <c r="AJ200" s="3" t="n">
        <f aca="false">17+2/60</f>
        <v>17.0333333333333</v>
      </c>
      <c r="AK200" s="3" t="n">
        <f aca="false">16+24/60</f>
        <v>16.4</v>
      </c>
      <c r="AL200" s="3" t="n">
        <f aca="false">16+40/60</f>
        <v>16.6666666666667</v>
      </c>
      <c r="AM200" s="3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4" t="n">
        <v>0</v>
      </c>
      <c r="AV200" s="3" t="n">
        <f aca="false">39+40/60</f>
        <v>39.6666666666667</v>
      </c>
      <c r="AW200" s="3" t="n">
        <f aca="false">55+10/60</f>
        <v>55.1666666666667</v>
      </c>
      <c r="AX200" s="3" t="n">
        <f aca="false">11+19/60</f>
        <v>11.3166666666667</v>
      </c>
      <c r="AY200" s="3" t="n">
        <f aca="false">7/60</f>
        <v>0.116666666666667</v>
      </c>
      <c r="AZ200" s="3" t="n">
        <v>0</v>
      </c>
      <c r="BA200" s="0" t="s">
        <v>59</v>
      </c>
      <c r="BB200" s="0" t="s">
        <v>60</v>
      </c>
      <c r="BC200" s="0" t="n">
        <v>0</v>
      </c>
    </row>
    <row r="201" customFormat="false" ht="13.8" hidden="false" customHeight="false" outlineLevel="0" collapsed="false">
      <c r="A201" s="0" t="n">
        <f aca="false">A200+1</f>
        <v>732</v>
      </c>
      <c r="B201" s="1" t="n">
        <v>44078.4743055556</v>
      </c>
      <c r="C201" s="0" t="n">
        <v>1</v>
      </c>
      <c r="F201" s="6" t="s">
        <v>71</v>
      </c>
      <c r="G201" s="2" t="n">
        <v>83</v>
      </c>
      <c r="H201" s="2" t="n">
        <v>72</v>
      </c>
      <c r="I201" s="2" t="n">
        <f aca="false">(76+71)/2</f>
        <v>73.5</v>
      </c>
      <c r="J201" s="6" t="s">
        <v>115</v>
      </c>
      <c r="K201" s="2" t="n">
        <v>5</v>
      </c>
      <c r="L201" s="2" t="n">
        <v>0</v>
      </c>
      <c r="M201" s="0" t="s">
        <v>94</v>
      </c>
      <c r="N201" s="0" t="n">
        <v>0</v>
      </c>
      <c r="O201" s="0" t="s">
        <v>120</v>
      </c>
      <c r="Q201" s="13" t="s">
        <v>104</v>
      </c>
      <c r="R201" s="3" t="n">
        <v>5.12</v>
      </c>
      <c r="S201" s="2" t="n">
        <v>800</v>
      </c>
      <c r="T201" s="2" t="n">
        <v>11895</v>
      </c>
      <c r="U201" s="2" t="n">
        <f aca="false">T201-S201</f>
        <v>11095</v>
      </c>
      <c r="V201" s="3" t="n">
        <f aca="false">(60+29)/60</f>
        <v>1.48333333333333</v>
      </c>
      <c r="W201" s="3" t="n">
        <f aca="false">(60+38)/60</f>
        <v>1.63333333333333</v>
      </c>
      <c r="X201" s="3" t="n">
        <f aca="false">W201-V201</f>
        <v>0.15</v>
      </c>
      <c r="Y201" s="3" t="n">
        <f aca="false">R201/V201</f>
        <v>3.45168539325843</v>
      </c>
      <c r="Z201" s="0" t="n">
        <v>1</v>
      </c>
      <c r="AA201" s="3" t="n">
        <f aca="false">R201/Z201</f>
        <v>5.12</v>
      </c>
      <c r="AB201" s="3" t="n">
        <f aca="false">17+22/60</f>
        <v>17.3666666666667</v>
      </c>
      <c r="AC201" s="2" t="n">
        <v>656</v>
      </c>
      <c r="AD201" s="2" t="n">
        <v>895</v>
      </c>
      <c r="AE201" s="2" t="n">
        <v>128</v>
      </c>
      <c r="AF201" s="0" t="n">
        <v>152</v>
      </c>
      <c r="AG201" s="3" t="n">
        <f aca="false">16+37/60</f>
        <v>16.6166666666667</v>
      </c>
      <c r="AH201" s="3" t="n">
        <f aca="false">16+41/60</f>
        <v>16.6833333333333</v>
      </c>
      <c r="AI201" s="3" t="n">
        <f aca="false">16+51/60</f>
        <v>16.85</v>
      </c>
      <c r="AJ201" s="3" t="n">
        <f aca="false">16+57/60</f>
        <v>16.95</v>
      </c>
      <c r="AK201" s="3" t="n">
        <f aca="false">19+33/60</f>
        <v>19.55</v>
      </c>
      <c r="AL201" s="3" t="n">
        <f aca="false">60/3.2</f>
        <v>18.75</v>
      </c>
      <c r="AR201" s="0" t="n">
        <v>3</v>
      </c>
      <c r="AS201" s="0" t="n">
        <v>1</v>
      </c>
      <c r="AT201" s="0" t="n">
        <v>0</v>
      </c>
      <c r="AU201" s="4" t="n">
        <f aca="false">60*V201-SUM(AV201:AZ201)</f>
        <v>8.38333333333313</v>
      </c>
      <c r="AV201" s="3" t="n">
        <f aca="false">0</f>
        <v>0</v>
      </c>
      <c r="AW201" s="3" t="n">
        <f aca="false">6+37/60</f>
        <v>6.61666666666667</v>
      </c>
      <c r="AX201" s="3" t="n">
        <f aca="false">9+3/60</f>
        <v>9.05</v>
      </c>
      <c r="AY201" s="3" t="n">
        <f aca="false">41/60+41</f>
        <v>41.6833333333333</v>
      </c>
      <c r="AZ201" s="3" t="n">
        <f aca="false">23+16/60</f>
        <v>23.2666666666667</v>
      </c>
      <c r="BA201" s="0" t="s">
        <v>59</v>
      </c>
      <c r="BB201" s="0" t="s">
        <v>60</v>
      </c>
      <c r="BC201" s="0" t="n">
        <v>0</v>
      </c>
    </row>
    <row r="202" customFormat="false" ht="12.8" hidden="false" customHeight="false" outlineLevel="0" collapsed="false">
      <c r="A202" s="0" t="n">
        <f aca="false">A201+1</f>
        <v>733</v>
      </c>
      <c r="B202" s="1" t="n">
        <v>44079.6229166667</v>
      </c>
      <c r="C202" s="0" t="n">
        <v>1</v>
      </c>
      <c r="F202" s="6" t="s">
        <v>71</v>
      </c>
      <c r="G202" s="6" t="n">
        <v>89</v>
      </c>
      <c r="H202" s="0" t="n">
        <v>70</v>
      </c>
      <c r="I202" s="0" t="n">
        <v>53</v>
      </c>
      <c r="J202" s="0" t="s">
        <v>99</v>
      </c>
      <c r="K202" s="0" t="n">
        <v>7</v>
      </c>
      <c r="L202" s="0" t="n">
        <v>0</v>
      </c>
      <c r="M202" s="0" t="s">
        <v>73</v>
      </c>
      <c r="R202" s="0"/>
      <c r="S202" s="14"/>
      <c r="T202" s="0"/>
      <c r="U202" s="14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4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0" t="n">
        <f aca="false">A202+1</f>
        <v>734</v>
      </c>
      <c r="B203" s="1" t="n">
        <v>44080.4951388889</v>
      </c>
      <c r="C203" s="0" t="n">
        <v>0</v>
      </c>
      <c r="D203" s="0" t="s">
        <v>112</v>
      </c>
      <c r="F203" s="6" t="s">
        <v>129</v>
      </c>
      <c r="G203" s="2" t="n">
        <v>83</v>
      </c>
      <c r="H203" s="2" t="n">
        <v>75</v>
      </c>
      <c r="I203" s="2" t="n">
        <v>77</v>
      </c>
      <c r="J203" s="2" t="s">
        <v>123</v>
      </c>
      <c r="K203" s="2" t="n">
        <v>8</v>
      </c>
      <c r="L203" s="2" t="n">
        <v>0</v>
      </c>
      <c r="M203" s="0" t="s">
        <v>94</v>
      </c>
      <c r="N203" s="0" t="n">
        <v>0</v>
      </c>
      <c r="O203" s="0" t="s">
        <v>120</v>
      </c>
      <c r="Q203" s="0" t="s">
        <v>83</v>
      </c>
      <c r="R203" s="3" t="n">
        <v>2.22</v>
      </c>
      <c r="S203" s="2" t="n">
        <v>1167</v>
      </c>
      <c r="T203" s="2" t="n">
        <v>5976</v>
      </c>
      <c r="U203" s="2" t="n">
        <f aca="false">T203-S203</f>
        <v>4809</v>
      </c>
      <c r="V203" s="3" t="n">
        <f aca="false">36/60</f>
        <v>0.6</v>
      </c>
      <c r="W203" s="3" t="n">
        <f aca="false">36/60</f>
        <v>0.6</v>
      </c>
      <c r="X203" s="3" t="n">
        <f aca="false">W203-V203</f>
        <v>0</v>
      </c>
      <c r="Y203" s="3" t="n">
        <f aca="false">R203/V203</f>
        <v>3.7</v>
      </c>
      <c r="Z203" s="0" t="n">
        <v>2</v>
      </c>
      <c r="AA203" s="3" t="n">
        <f aca="false">R203/Z203</f>
        <v>1.11</v>
      </c>
      <c r="AB203" s="3" t="n">
        <f aca="false">16+15/60</f>
        <v>16.25</v>
      </c>
      <c r="AC203" s="2" t="n">
        <v>43</v>
      </c>
      <c r="AD203" s="2" t="n">
        <v>235</v>
      </c>
      <c r="AE203" s="2" t="n">
        <v>100</v>
      </c>
      <c r="AF203" s="0" t="n">
        <v>124</v>
      </c>
      <c r="AG203" s="3" t="n">
        <f aca="false">16+27/60</f>
        <v>16.45</v>
      </c>
      <c r="AH203" s="3" t="n">
        <f aca="false">16+5/60</f>
        <v>16.0833333333333</v>
      </c>
      <c r="AI203" s="3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4" t="n">
        <f aca="false">60*V203-SUM(AV203:AZ203)</f>
        <v>0.150000000000006</v>
      </c>
      <c r="AV203" s="3" t="n">
        <f aca="false">2+2/60</f>
        <v>2.03333333333333</v>
      </c>
      <c r="AW203" s="3" t="n">
        <f aca="false">26+4/60</f>
        <v>26.0666666666667</v>
      </c>
      <c r="AX203" s="3" t="n">
        <f aca="false">6+57/60</f>
        <v>6.95</v>
      </c>
      <c r="AY203" s="3" t="n">
        <f aca="false">48/60</f>
        <v>0.8</v>
      </c>
      <c r="AZ203" s="3" t="n">
        <v>0</v>
      </c>
      <c r="BA203" s="0" t="s">
        <v>59</v>
      </c>
      <c r="BB203" s="0" t="s">
        <v>60</v>
      </c>
      <c r="BC203" s="0" t="n">
        <v>0</v>
      </c>
    </row>
    <row r="204" customFormat="false" ht="12.8" hidden="false" customHeight="false" outlineLevel="0" collapsed="false">
      <c r="A204" s="0" t="n">
        <f aca="false">A203+1</f>
        <v>735</v>
      </c>
      <c r="B204" s="1" t="n">
        <v>44081.4673611111</v>
      </c>
      <c r="C204" s="0" t="n">
        <v>1</v>
      </c>
      <c r="F204" s="6" t="s">
        <v>107</v>
      </c>
      <c r="G204" s="2" t="n">
        <v>92</v>
      </c>
      <c r="H204" s="2" t="n">
        <v>70</v>
      </c>
      <c r="I204" s="6" t="n">
        <v>52</v>
      </c>
      <c r="J204" s="6" t="s">
        <v>72</v>
      </c>
      <c r="K204" s="2" t="n">
        <v>12</v>
      </c>
      <c r="L204" s="2" t="n">
        <v>0</v>
      </c>
      <c r="M204" s="0" t="s">
        <v>94</v>
      </c>
      <c r="N204" s="0" t="n">
        <v>0</v>
      </c>
      <c r="O204" s="0" t="s">
        <v>120</v>
      </c>
      <c r="Q204" s="0" t="s">
        <v>98</v>
      </c>
      <c r="R204" s="3" t="n">
        <v>5.86</v>
      </c>
      <c r="S204" s="2" t="n">
        <v>786</v>
      </c>
      <c r="V204" s="3" t="n">
        <f aca="false">(60+47)/60</f>
        <v>1.78333333333333</v>
      </c>
      <c r="W204" s="3" t="n">
        <f aca="false">(120+12)/60</f>
        <v>2.2</v>
      </c>
      <c r="X204" s="3" t="n">
        <f aca="false">W204-V204</f>
        <v>0.416666666666667</v>
      </c>
      <c r="Y204" s="3" t="n">
        <f aca="false">R204/V204</f>
        <v>3.28598130841121</v>
      </c>
      <c r="Z204" s="0" t="n">
        <v>1</v>
      </c>
      <c r="AA204" s="3" t="n">
        <f aca="false">R204/Z204</f>
        <v>5.86</v>
      </c>
      <c r="AB204" s="3" t="n">
        <f aca="false">18+17/60</f>
        <v>18.2833333333333</v>
      </c>
      <c r="AC204" s="2" t="n">
        <v>850</v>
      </c>
      <c r="AD204" s="2" t="n">
        <v>991</v>
      </c>
      <c r="AE204" s="2" t="n">
        <v>121</v>
      </c>
      <c r="AF204" s="0" t="n">
        <v>128</v>
      </c>
      <c r="AG204" s="3" t="n">
        <f aca="false">16+13/60</f>
        <v>16.2166666666667</v>
      </c>
      <c r="AH204" s="3" t="n">
        <f aca="false">17+1/60</f>
        <v>17.0166666666667</v>
      </c>
      <c r="AI204" s="3" t="n">
        <f aca="false">18+55/60</f>
        <v>18.9166666666667</v>
      </c>
      <c r="AJ204" s="3" t="n">
        <f aca="false">18+49/60</f>
        <v>18.8166666666667</v>
      </c>
      <c r="AK204" s="3" t="n">
        <f aca="false">19+32/60</f>
        <v>19.5333333333333</v>
      </c>
      <c r="AL204" s="3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4" t="n">
        <v>0</v>
      </c>
      <c r="AV204" s="3" t="n">
        <f aca="false">14/60</f>
        <v>0.233333333333333</v>
      </c>
      <c r="AW204" s="3" t="n">
        <f aca="false">26+56/60</f>
        <v>26.9333333333333</v>
      </c>
      <c r="AX204" s="3" t="n">
        <f aca="false">9+20/60</f>
        <v>9.33333333333333</v>
      </c>
      <c r="AY204" s="3" t="n">
        <f aca="false">42+27/60</f>
        <v>42.45</v>
      </c>
      <c r="AZ204" s="3" t="n">
        <f aca="false">28+17/60</f>
        <v>28.2833333333333</v>
      </c>
      <c r="BA204" s="0" t="s">
        <v>59</v>
      </c>
      <c r="BB204" s="0" t="s">
        <v>60</v>
      </c>
      <c r="BC204" s="0" t="n">
        <v>0</v>
      </c>
    </row>
    <row r="205" customFormat="false" ht="12.8" hidden="false" customHeight="false" outlineLevel="0" collapsed="false">
      <c r="A205" s="0" t="n">
        <f aca="false">A204+1</f>
        <v>736</v>
      </c>
      <c r="B205" s="1" t="n">
        <v>44082.4756944445</v>
      </c>
      <c r="C205" s="0" t="n">
        <v>1</v>
      </c>
      <c r="F205" s="6" t="s">
        <v>71</v>
      </c>
      <c r="G205" s="2" t="n">
        <v>87</v>
      </c>
      <c r="H205" s="2" t="n">
        <v>73</v>
      </c>
      <c r="I205" s="2" t="n">
        <f aca="false">(67+61)/2</f>
        <v>64</v>
      </c>
      <c r="J205" s="2" t="s">
        <v>95</v>
      </c>
      <c r="K205" s="2" t="n">
        <v>16</v>
      </c>
      <c r="L205" s="2" t="n">
        <v>28</v>
      </c>
      <c r="M205" s="0" t="s">
        <v>73</v>
      </c>
      <c r="N205" s="0" t="n">
        <v>0</v>
      </c>
      <c r="O205" s="0" t="s">
        <v>120</v>
      </c>
      <c r="Q205" s="0" t="s">
        <v>82</v>
      </c>
      <c r="R205" s="3" t="n">
        <v>5.24</v>
      </c>
      <c r="V205" s="3" t="n">
        <f aca="false">(60+26)/60</f>
        <v>1.43333333333333</v>
      </c>
      <c r="W205" s="3" t="n">
        <f aca="false">(60+40)/60</f>
        <v>1.66666666666667</v>
      </c>
      <c r="X205" s="3" t="n">
        <f aca="false">W205-V205</f>
        <v>0.233333333333333</v>
      </c>
      <c r="Y205" s="3" t="n">
        <f aca="false">R205/V205</f>
        <v>3.65581395348837</v>
      </c>
      <c r="Z205" s="0" t="n">
        <v>1</v>
      </c>
      <c r="AA205" s="3" t="n">
        <f aca="false">R205/Z205</f>
        <v>5.24</v>
      </c>
      <c r="AB205" s="3" t="n">
        <f aca="false">16+27/60</f>
        <v>16.45</v>
      </c>
      <c r="AC205" s="2" t="n">
        <v>1355</v>
      </c>
      <c r="AD205" s="2" t="n">
        <v>810</v>
      </c>
      <c r="AE205" s="2" t="n">
        <v>111</v>
      </c>
      <c r="AF205" s="0" t="n">
        <v>151</v>
      </c>
      <c r="AG205" s="3" t="n">
        <f aca="false">15+41/60</f>
        <v>15.6833333333333</v>
      </c>
      <c r="AH205" s="3" t="n">
        <f aca="false">15+48/60</f>
        <v>15.8</v>
      </c>
      <c r="AI205" s="3" t="n">
        <f aca="false">16+45/60</f>
        <v>16.75</v>
      </c>
      <c r="AJ205" s="3" t="n">
        <f aca="false">16+44/60</f>
        <v>16.7333333333333</v>
      </c>
      <c r="AK205" s="3" t="n">
        <f aca="false">16+45/60</f>
        <v>16.75</v>
      </c>
      <c r="AL205" s="3" t="n">
        <f aca="false">60/3.2</f>
        <v>18.75</v>
      </c>
      <c r="AR205" s="0" t="n">
        <v>4</v>
      </c>
      <c r="AS205" s="0" t="n">
        <v>0</v>
      </c>
      <c r="AT205" s="0" t="n">
        <v>0</v>
      </c>
      <c r="AU205" s="4" t="n">
        <f aca="false">60*V205-SUM(AV205:AZ205)</f>
        <v>13.6</v>
      </c>
      <c r="AV205" s="3" t="n">
        <f aca="false">18+29/60</f>
        <v>18.4833333333333</v>
      </c>
      <c r="AW205" s="3" t="n">
        <f aca="false">3+23/60</f>
        <v>3.38333333333333</v>
      </c>
      <c r="AX205" s="3" t="n">
        <f aca="false">3+4/60</f>
        <v>3.06666666666667</v>
      </c>
      <c r="AY205" s="3" t="n">
        <f aca="false">8+27/60</f>
        <v>8.45</v>
      </c>
      <c r="AZ205" s="3" t="n">
        <f aca="false">39+1/60</f>
        <v>39.0166666666667</v>
      </c>
      <c r="BA205" s="0" t="s">
        <v>59</v>
      </c>
      <c r="BB205" s="0" t="s">
        <v>60</v>
      </c>
      <c r="BC205" s="0" t="n">
        <v>0</v>
      </c>
    </row>
    <row r="206" customFormat="false" ht="12.8" hidden="false" customHeight="false" outlineLevel="0" collapsed="false">
      <c r="A206" s="0" t="n">
        <f aca="false">A205+1</f>
        <v>737</v>
      </c>
      <c r="B206" s="1" t="n">
        <v>44083.4951388889</v>
      </c>
      <c r="C206" s="0" t="n">
        <v>0</v>
      </c>
      <c r="D206" s="0" t="s">
        <v>86</v>
      </c>
      <c r="F206" s="6" t="s">
        <v>74</v>
      </c>
      <c r="G206" s="2" t="n">
        <v>81</v>
      </c>
      <c r="H206" s="2" t="n">
        <v>74</v>
      </c>
      <c r="I206" s="2" t="n">
        <v>76</v>
      </c>
      <c r="J206" s="6" t="s">
        <v>111</v>
      </c>
      <c r="K206" s="2" t="n">
        <v>10</v>
      </c>
      <c r="L206" s="2" t="n">
        <v>0</v>
      </c>
      <c r="M206" s="0" t="s">
        <v>73</v>
      </c>
    </row>
    <row r="207" customFormat="false" ht="12.8" hidden="false" customHeight="false" outlineLevel="0" collapsed="false">
      <c r="A207" s="0" t="n">
        <f aca="false">A206+1</f>
        <v>738</v>
      </c>
      <c r="B207" s="1" t="n">
        <v>44084.5798611111</v>
      </c>
      <c r="C207" s="0" t="n">
        <v>1</v>
      </c>
      <c r="F207" s="6" t="s">
        <v>71</v>
      </c>
      <c r="G207" s="2" t="n">
        <v>74</v>
      </c>
      <c r="H207" s="2" t="n">
        <v>63</v>
      </c>
      <c r="I207" s="2" t="n">
        <v>68</v>
      </c>
      <c r="J207" s="6" t="s">
        <v>137</v>
      </c>
      <c r="K207" s="2" t="n">
        <v>9</v>
      </c>
      <c r="L207" s="2" t="n">
        <v>0</v>
      </c>
      <c r="M207" s="6" t="s">
        <v>73</v>
      </c>
      <c r="N207" s="0" t="n">
        <v>0</v>
      </c>
      <c r="O207" s="0" t="s">
        <v>120</v>
      </c>
      <c r="Q207" s="0" t="s">
        <v>87</v>
      </c>
      <c r="R207" s="3" t="n">
        <v>6</v>
      </c>
      <c r="S207" s="2" t="n">
        <v>513</v>
      </c>
      <c r="T207" s="2" t="n">
        <v>12809</v>
      </c>
      <c r="U207" s="2" t="n">
        <f aca="false">T207-S207</f>
        <v>12296</v>
      </c>
      <c r="V207" s="3" t="n">
        <f aca="false">(60+34)/60</f>
        <v>1.56666666666667</v>
      </c>
      <c r="W207" s="3" t="n">
        <f aca="false">(60+39)/60</f>
        <v>1.65</v>
      </c>
      <c r="X207" s="3" t="n">
        <f aca="false">W207-V207</f>
        <v>0.0833333333333333</v>
      </c>
      <c r="Y207" s="3" t="n">
        <f aca="false">R207/V207</f>
        <v>3.82978723404255</v>
      </c>
      <c r="Z207" s="0" t="n">
        <v>1</v>
      </c>
      <c r="AA207" s="3" t="n">
        <f aca="false">R207/Z207</f>
        <v>6</v>
      </c>
      <c r="AB207" s="3" t="n">
        <f aca="false">15+35/60</f>
        <v>15.5833333333333</v>
      </c>
      <c r="AC207" s="2" t="n">
        <v>312</v>
      </c>
      <c r="AD207" s="2" t="n">
        <v>644</v>
      </c>
      <c r="AE207" s="2" t="n">
        <v>90</v>
      </c>
      <c r="AF207" s="0" t="n">
        <v>115</v>
      </c>
      <c r="AG207" s="3" t="n">
        <f aca="false">15+28/60</f>
        <v>15.4666666666667</v>
      </c>
      <c r="AH207" s="3" t="n">
        <f aca="false">15+21/60</f>
        <v>15.35</v>
      </c>
      <c r="AI207" s="3" t="n">
        <f aca="false">15+39/60</f>
        <v>15.65</v>
      </c>
      <c r="AJ207" s="3" t="n">
        <f aca="false">16+13/60</f>
        <v>16.2166666666667</v>
      </c>
      <c r="AK207" s="3" t="n">
        <f aca="false">15+6/60</f>
        <v>15.1</v>
      </c>
      <c r="AL207" s="3" t="n">
        <f aca="false">15+41/60</f>
        <v>15.6833333333333</v>
      </c>
      <c r="AM207" s="3" t="n">
        <v>0</v>
      </c>
      <c r="AR207" s="0" t="n">
        <v>2</v>
      </c>
      <c r="AS207" s="0" t="n">
        <v>0</v>
      </c>
      <c r="AT207" s="0" t="n">
        <v>0</v>
      </c>
      <c r="AU207" s="4" t="n">
        <f aca="false">60*V207-SUM(AV207:AZ207)</f>
        <v>13.1166666666667</v>
      </c>
      <c r="AV207" s="3" t="n">
        <f aca="false">21+33/60</f>
        <v>21.55</v>
      </c>
      <c r="AW207" s="3" t="n">
        <f aca="false">55+36/60</f>
        <v>55.6</v>
      </c>
      <c r="AX207" s="3" t="n">
        <f aca="false">3+44/60</f>
        <v>3.73333333333333</v>
      </c>
      <c r="AY207" s="3" t="n">
        <v>0</v>
      </c>
      <c r="AZ207" s="3" t="n">
        <v>0</v>
      </c>
      <c r="BA207" s="0" t="s">
        <v>59</v>
      </c>
      <c r="BB207" s="0" t="s">
        <v>60</v>
      </c>
      <c r="BC207" s="0" t="n">
        <v>0</v>
      </c>
    </row>
    <row r="208" customFormat="false" ht="12.8" hidden="false" customHeight="false" outlineLevel="0" collapsed="false">
      <c r="A208" s="0" t="n">
        <f aca="false">A207+1</f>
        <v>739</v>
      </c>
      <c r="B208" s="1" t="n">
        <v>44085.5104166667</v>
      </c>
      <c r="C208" s="0" t="n">
        <v>1</v>
      </c>
      <c r="F208" s="6" t="s">
        <v>71</v>
      </c>
      <c r="G208" s="2" t="n">
        <v>71</v>
      </c>
      <c r="H208" s="2" t="n">
        <v>63</v>
      </c>
      <c r="I208" s="2" t="n">
        <v>68</v>
      </c>
      <c r="J208" s="6" t="s">
        <v>128</v>
      </c>
      <c r="K208" s="2" t="n">
        <v>3</v>
      </c>
      <c r="L208" s="2" t="n">
        <v>0</v>
      </c>
      <c r="M208" s="6" t="s">
        <v>73</v>
      </c>
      <c r="N208" s="0" t="n">
        <v>0</v>
      </c>
      <c r="O208" s="0" t="s">
        <v>138</v>
      </c>
      <c r="Q208" s="0" t="s">
        <v>65</v>
      </c>
      <c r="R208" s="3" t="n">
        <v>6.09</v>
      </c>
      <c r="S208" s="2" t="n">
        <v>581</v>
      </c>
      <c r="T208" s="2" t="n">
        <v>13154</v>
      </c>
      <c r="U208" s="2" t="n">
        <f aca="false">T208-S208</f>
        <v>12573</v>
      </c>
      <c r="V208" s="3" t="n">
        <f aca="false">(60+39)/60</f>
        <v>1.65</v>
      </c>
      <c r="W208" s="3" t="n">
        <f aca="false">(60+42)/60</f>
        <v>1.7</v>
      </c>
      <c r="X208" s="3" t="n">
        <f aca="false">W208-V208</f>
        <v>0.05</v>
      </c>
      <c r="Y208" s="3" t="n">
        <f aca="false">R208/V208</f>
        <v>3.69090909090909</v>
      </c>
      <c r="Z208" s="0" t="n">
        <v>1</v>
      </c>
      <c r="AA208" s="3" t="n">
        <f aca="false">R208/Z208</f>
        <v>6.09</v>
      </c>
      <c r="AB208" s="3" t="n">
        <f aca="false">16+19/60</f>
        <v>16.3166666666667</v>
      </c>
      <c r="AC208" s="2" t="n">
        <v>925</v>
      </c>
      <c r="AD208" s="2" t="n">
        <v>666</v>
      </c>
      <c r="AE208" s="2" t="n">
        <v>88</v>
      </c>
      <c r="AF208" s="0" t="n">
        <v>128</v>
      </c>
      <c r="AG208" s="3" t="n">
        <f aca="false">16+5/60</f>
        <v>16.0833333333333</v>
      </c>
      <c r="AH208" s="3" t="n">
        <f aca="false">15+46/60</f>
        <v>15.7666666666667</v>
      </c>
      <c r="AI208" s="3" t="n">
        <f aca="false">15+59/60</f>
        <v>15.9833333333333</v>
      </c>
      <c r="AJ208" s="3" t="n">
        <f aca="false">16+26/60</f>
        <v>16.4333333333333</v>
      </c>
      <c r="AK208" s="3" t="n">
        <f aca="false">16+27/60</f>
        <v>16.45</v>
      </c>
      <c r="AL208" s="3" t="n">
        <f aca="false">16+40/60</f>
        <v>16.6666666666667</v>
      </c>
      <c r="AM208" s="3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4" t="n">
        <f aca="false">60*V208-SUM(AV208:AZ208)</f>
        <v>15.0833333333333</v>
      </c>
      <c r="AV208" s="3" t="n">
        <f aca="false">37+28/60</f>
        <v>37.4666666666667</v>
      </c>
      <c r="AW208" s="3" t="n">
        <f aca="false">35+56/60</f>
        <v>35.9333333333333</v>
      </c>
      <c r="AX208" s="3" t="n">
        <f aca="false">7+14/60</f>
        <v>7.23333333333333</v>
      </c>
      <c r="AY208" s="3" t="n">
        <f aca="false">3+17/60</f>
        <v>3.28333333333333</v>
      </c>
      <c r="AZ208" s="3" t="n">
        <v>0</v>
      </c>
      <c r="BA208" s="0" t="s">
        <v>59</v>
      </c>
      <c r="BB208" s="0" t="s">
        <v>60</v>
      </c>
      <c r="BC208" s="0" t="n">
        <v>0</v>
      </c>
    </row>
    <row r="209" customFormat="false" ht="12.8" hidden="false" customHeight="false" outlineLevel="0" collapsed="false">
      <c r="A209" s="0" t="n">
        <f aca="false">A208+1</f>
        <v>740</v>
      </c>
      <c r="B209" s="1" t="n">
        <v>44086.4458333333</v>
      </c>
      <c r="C209" s="0" t="n">
        <v>1</v>
      </c>
      <c r="F209" s="6" t="s">
        <v>71</v>
      </c>
      <c r="G209" s="2" t="n">
        <f aca="false">79+35/60*(81-79)</f>
        <v>80.1666666666667</v>
      </c>
      <c r="H209" s="2" t="n">
        <v>68</v>
      </c>
      <c r="I209" s="2" t="n">
        <v>69</v>
      </c>
      <c r="J209" s="6" t="s">
        <v>128</v>
      </c>
      <c r="K209" s="2" t="n">
        <v>3</v>
      </c>
      <c r="L209" s="2" t="n">
        <v>0</v>
      </c>
      <c r="M209" s="6" t="s">
        <v>73</v>
      </c>
      <c r="N209" s="0" t="n">
        <v>0</v>
      </c>
      <c r="O209" s="0" t="s">
        <v>138</v>
      </c>
      <c r="Q209" s="0" t="s">
        <v>134</v>
      </c>
      <c r="R209" s="3" t="n">
        <v>4.84</v>
      </c>
      <c r="S209" s="2" t="n">
        <v>546</v>
      </c>
      <c r="T209" s="2" t="n">
        <v>11454</v>
      </c>
      <c r="U209" s="2" t="n">
        <f aca="false">T209-S209</f>
        <v>10908</v>
      </c>
      <c r="V209" s="3" t="n">
        <f aca="false">(60+35)/60</f>
        <v>1.58333333333333</v>
      </c>
      <c r="W209" s="3" t="n">
        <f aca="false">(60+48)/60</f>
        <v>1.8</v>
      </c>
      <c r="X209" s="3" t="n">
        <f aca="false">W209-V209</f>
        <v>0.216666666666667</v>
      </c>
      <c r="Y209" s="3" t="n">
        <f aca="false">R209/V209</f>
        <v>3.05684210526316</v>
      </c>
      <c r="Z209" s="0" t="n">
        <v>1</v>
      </c>
      <c r="AA209" s="3" t="n">
        <f aca="false">R209/Z209</f>
        <v>4.84</v>
      </c>
      <c r="AB209" s="3" t="n">
        <f aca="false">19+42/60</f>
        <v>19.7</v>
      </c>
      <c r="AC209" s="2" t="n">
        <v>604</v>
      </c>
      <c r="AD209" s="2" t="n">
        <v>554</v>
      </c>
      <c r="AE209" s="2" t="n">
        <v>112</v>
      </c>
      <c r="AF209" s="0" t="n">
        <v>139</v>
      </c>
      <c r="AG209" s="3" t="n">
        <f aca="false">17+45/60</f>
        <v>17.75</v>
      </c>
      <c r="AH209" s="3" t="n">
        <f aca="false">21+52/60</f>
        <v>21.8666666666667</v>
      </c>
      <c r="AI209" s="3" t="n">
        <f aca="false">21+47/60</f>
        <v>21.7833333333333</v>
      </c>
      <c r="AJ209" s="3" t="n">
        <f aca="false">17+43/60</f>
        <v>17.7166666666667</v>
      </c>
      <c r="AK209" s="3" t="n">
        <f aca="false">16+18/2</f>
        <v>25</v>
      </c>
      <c r="AL209" s="3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4" t="n">
        <f aca="false">60*V209-SUM(AV209:AZ209)</f>
        <v>1.46666666666667</v>
      </c>
      <c r="AV209" s="3" t="n">
        <f aca="false">28+36/60</f>
        <v>28.6</v>
      </c>
      <c r="AW209" s="3" t="n">
        <f aca="false">54+7/60</f>
        <v>54.1166666666667</v>
      </c>
      <c r="AX209" s="3" t="n">
        <f aca="false">10+49/60</f>
        <v>10.8166666666667</v>
      </c>
      <c r="AY209" s="3" t="n">
        <v>0</v>
      </c>
      <c r="AZ209" s="3" t="n">
        <v>0</v>
      </c>
      <c r="BA209" s="0" t="s">
        <v>59</v>
      </c>
      <c r="BB209" s="0" t="s">
        <v>60</v>
      </c>
      <c r="BC209" s="0" t="n">
        <v>0</v>
      </c>
    </row>
    <row r="210" customFormat="false" ht="12.8" hidden="false" customHeight="false" outlineLevel="0" collapsed="false">
      <c r="A210" s="0" t="n">
        <f aca="false">A209+1</f>
        <v>741</v>
      </c>
      <c r="B210" s="1" t="n">
        <v>44087.5770833333</v>
      </c>
      <c r="C210" s="0" t="n">
        <v>1</v>
      </c>
      <c r="F210" s="6" t="s">
        <v>107</v>
      </c>
      <c r="G210" s="2" t="n">
        <v>69</v>
      </c>
      <c r="H210" s="2" t="n">
        <v>69</v>
      </c>
      <c r="I210" s="2" t="n">
        <f aca="false">(57+51)/2</f>
        <v>54</v>
      </c>
      <c r="J210" s="6" t="s">
        <v>128</v>
      </c>
      <c r="K210" s="2" t="n">
        <f aca="false">(14+10)/2</f>
        <v>12</v>
      </c>
      <c r="L210" s="2" t="n">
        <v>21</v>
      </c>
      <c r="M210" s="6" t="s">
        <v>73</v>
      </c>
      <c r="N210" s="0" t="n">
        <v>0</v>
      </c>
      <c r="O210" s="0" t="s">
        <v>138</v>
      </c>
      <c r="Q210" s="0" t="s">
        <v>78</v>
      </c>
      <c r="R210" s="3" t="n">
        <v>5.32</v>
      </c>
      <c r="S210" s="2" t="n">
        <v>1557</v>
      </c>
      <c r="T210" s="2" t="n">
        <f aca="false">13164</f>
        <v>13164</v>
      </c>
      <c r="U210" s="2" t="n">
        <f aca="false">T210-S210</f>
        <v>11607</v>
      </c>
      <c r="V210" s="3" t="n">
        <f aca="false">(60+37)/60</f>
        <v>1.61666666666667</v>
      </c>
      <c r="W210" s="3" t="n">
        <f aca="false">(60+39)/60</f>
        <v>1.65</v>
      </c>
      <c r="X210" s="3" t="n">
        <f aca="false">W210-V210</f>
        <v>0.0333333333333332</v>
      </c>
      <c r="Y210" s="3" t="n">
        <f aca="false">R210/V210</f>
        <v>3.29072164948454</v>
      </c>
      <c r="Z210" s="0" t="n">
        <v>1</v>
      </c>
      <c r="AA210" s="3" t="n">
        <f aca="false">R210/Z210</f>
        <v>5.32</v>
      </c>
      <c r="AB210" s="3" t="n">
        <f aca="false">18+14/60</f>
        <v>18.2333333333333</v>
      </c>
      <c r="AC210" s="2" t="n">
        <v>338</v>
      </c>
      <c r="AD210" s="2" t="n">
        <v>632</v>
      </c>
      <c r="AE210" s="2" t="n">
        <v>130</v>
      </c>
      <c r="AF210" s="0" t="n">
        <v>142</v>
      </c>
      <c r="AG210" s="3" t="n">
        <f aca="false">16+53/60</f>
        <v>16.8833333333333</v>
      </c>
      <c r="AH210" s="3" t="n">
        <f aca="false">17+5/60</f>
        <v>17.0833333333333</v>
      </c>
      <c r="AI210" s="3" t="n">
        <f aca="false">17+29/60</f>
        <v>17.4833333333333</v>
      </c>
      <c r="AJ210" s="3" t="n">
        <f aca="false">18+51/60</f>
        <v>18.85</v>
      </c>
      <c r="AK210" s="3" t="n">
        <f aca="false">19+37/50</f>
        <v>19.74</v>
      </c>
      <c r="AL210" s="3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4" t="n">
        <v>0</v>
      </c>
      <c r="AV210" s="3" t="n">
        <f aca="false">1+38/60</f>
        <v>1.63333333333333</v>
      </c>
      <c r="AW210" s="3" t="n">
        <f aca="false">15+26/60</f>
        <v>15.4333333333333</v>
      </c>
      <c r="AX210" s="3" t="n">
        <f aca="false">79+58/60</f>
        <v>79.9666666666667</v>
      </c>
      <c r="AY210" s="3" t="n">
        <v>0</v>
      </c>
      <c r="AZ210" s="3" t="n">
        <v>0</v>
      </c>
      <c r="BA210" s="0" t="s">
        <v>59</v>
      </c>
      <c r="BB210" s="0" t="s">
        <v>60</v>
      </c>
      <c r="BC210" s="0" t="n">
        <v>0</v>
      </c>
    </row>
    <row r="211" customFormat="false" ht="13.8" hidden="false" customHeight="false" outlineLevel="0" collapsed="false">
      <c r="A211" s="0" t="n">
        <f aca="false">A210+1</f>
        <v>742</v>
      </c>
      <c r="B211" s="1" t="n">
        <v>44088.7625</v>
      </c>
      <c r="C211" s="0" t="n">
        <v>1</v>
      </c>
      <c r="F211" s="6" t="s">
        <v>129</v>
      </c>
      <c r="G211" s="2" t="n">
        <v>88</v>
      </c>
      <c r="H211" s="2" t="n">
        <v>66</v>
      </c>
      <c r="I211" s="2" t="n">
        <v>52</v>
      </c>
      <c r="J211" s="2" t="s">
        <v>96</v>
      </c>
      <c r="K211" s="2" t="n">
        <v>7</v>
      </c>
      <c r="L211" s="2" t="n">
        <v>0</v>
      </c>
      <c r="M211" s="0" t="s">
        <v>73</v>
      </c>
      <c r="N211" s="0" t="n">
        <v>0</v>
      </c>
      <c r="O211" s="0" t="s">
        <v>138</v>
      </c>
      <c r="Q211" s="13" t="s">
        <v>104</v>
      </c>
      <c r="R211" s="3" t="n">
        <v>6.35</v>
      </c>
      <c r="S211" s="2" t="n">
        <v>2103</v>
      </c>
      <c r="T211" s="2" t="n">
        <v>13168</v>
      </c>
      <c r="U211" s="2" t="n">
        <f aca="false">T211-S211</f>
        <v>11065</v>
      </c>
      <c r="V211" s="3" t="n">
        <f aca="false">(60+52)/60</f>
        <v>1.86666666666667</v>
      </c>
      <c r="W211" s="3" t="n">
        <f aca="false">(60+56)/60</f>
        <v>1.93333333333333</v>
      </c>
      <c r="X211" s="3" t="n">
        <f aca="false">W211-V211</f>
        <v>0.0666666666666667</v>
      </c>
      <c r="Y211" s="3" t="n">
        <f aca="false">R211/V211</f>
        <v>3.40178571428571</v>
      </c>
      <c r="Z211" s="0" t="n">
        <v>1</v>
      </c>
      <c r="AA211" s="3" t="n">
        <f aca="false">R211/Z211</f>
        <v>6.35</v>
      </c>
      <c r="AB211" s="3" t="n">
        <f aca="false">18+14/60</f>
        <v>18.2333333333333</v>
      </c>
      <c r="AC211" s="2" t="n">
        <v>626</v>
      </c>
      <c r="AD211" s="2" t="n">
        <v>701</v>
      </c>
      <c r="AE211" s="2" t="n">
        <v>115</v>
      </c>
      <c r="AF211" s="0" t="n">
        <v>140</v>
      </c>
      <c r="AG211" s="3" t="n">
        <f aca="false">17+23/60</f>
        <v>17.3833333333333</v>
      </c>
      <c r="AH211" s="3" t="n">
        <f aca="false">17+19/60</f>
        <v>17.3166666666667</v>
      </c>
      <c r="AI211" s="3" t="n">
        <f aca="false">17+17/60</f>
        <v>17.2833333333333</v>
      </c>
      <c r="AJ211" s="3" t="n">
        <f aca="false">+18+11/60</f>
        <v>18.1833333333333</v>
      </c>
      <c r="AK211" s="3" t="n">
        <f aca="false">18+11/60</f>
        <v>18.1833333333333</v>
      </c>
      <c r="AL211" s="3" t="n">
        <f aca="false">18+11/60</f>
        <v>18.1833333333333</v>
      </c>
      <c r="AM211" s="3" t="n">
        <f aca="false">60/3.2</f>
        <v>18.75</v>
      </c>
      <c r="AR211" s="0" t="n">
        <v>4</v>
      </c>
      <c r="AS211" s="0" t="n">
        <v>0</v>
      </c>
      <c r="AT211" s="0" t="n">
        <v>0</v>
      </c>
      <c r="AU211" s="4" t="n">
        <f aca="false">60*V211-SUM(AV211:AZ211)</f>
        <v>4.96666666666667</v>
      </c>
      <c r="AV211" s="3" t="n">
        <f aca="false">27+23/60</f>
        <v>27.3833333333333</v>
      </c>
      <c r="AW211" s="3" t="n">
        <f aca="false">49+26/60</f>
        <v>49.4333333333333</v>
      </c>
      <c r="AX211" s="3" t="n">
        <f aca="false">30+13/60</f>
        <v>30.2166666666667</v>
      </c>
      <c r="AY211" s="3" t="n">
        <v>0</v>
      </c>
      <c r="AZ211" s="3" t="n">
        <v>0</v>
      </c>
      <c r="BA211" s="0" t="s">
        <v>59</v>
      </c>
      <c r="BB211" s="0" t="s">
        <v>60</v>
      </c>
      <c r="BC211" s="0" t="n">
        <v>0</v>
      </c>
    </row>
    <row r="212" customFormat="false" ht="12.8" hidden="false" customHeight="false" outlineLevel="0" collapsed="false">
      <c r="A212" s="0" t="n">
        <f aca="false">A211+1</f>
        <v>743</v>
      </c>
      <c r="B212" s="1" t="n">
        <v>44089.4618055556</v>
      </c>
      <c r="C212" s="0" t="n">
        <v>1</v>
      </c>
      <c r="F212" s="6" t="s">
        <v>107</v>
      </c>
      <c r="G212" s="2" t="n">
        <v>85</v>
      </c>
      <c r="H212" s="2" t="n">
        <v>70</v>
      </c>
      <c r="I212" s="2" t="n">
        <f aca="false">(63+59)/2</f>
        <v>61</v>
      </c>
      <c r="J212" s="2" t="s">
        <v>96</v>
      </c>
      <c r="K212" s="2" t="n">
        <f aca="false">(3+7)/2</f>
        <v>5</v>
      </c>
      <c r="L212" s="2" t="n">
        <v>0</v>
      </c>
      <c r="M212" s="0" t="s">
        <v>94</v>
      </c>
      <c r="N212" s="0" t="n">
        <v>0</v>
      </c>
      <c r="O212" s="0" t="s">
        <v>138</v>
      </c>
      <c r="Q212" s="0" t="s">
        <v>63</v>
      </c>
      <c r="R212" s="3" t="n">
        <v>5.89</v>
      </c>
      <c r="S212" s="2" t="n">
        <v>776</v>
      </c>
      <c r="T212" s="2" t="n">
        <v>13433</v>
      </c>
      <c r="U212" s="2" t="n">
        <f aca="false">T212-S212</f>
        <v>12657</v>
      </c>
      <c r="V212" s="3" t="n">
        <f aca="false">(60+41)/60</f>
        <v>1.68333333333333</v>
      </c>
      <c r="W212" s="3" t="n">
        <f aca="false">(60+56)/60</f>
        <v>1.93333333333333</v>
      </c>
      <c r="X212" s="3" t="n">
        <f aca="false">W212-V212</f>
        <v>0.25</v>
      </c>
      <c r="Y212" s="3" t="n">
        <f aca="false">R212/V212</f>
        <v>3.4990099009901</v>
      </c>
      <c r="Z212" s="0" t="n">
        <v>1</v>
      </c>
      <c r="AA212" s="3" t="n">
        <f aca="false">R212/Z212</f>
        <v>5.89</v>
      </c>
      <c r="AB212" s="3" t="n">
        <f aca="false">17+4/60</f>
        <v>17.0666666666667</v>
      </c>
      <c r="AC212" s="2" t="n">
        <v>761</v>
      </c>
      <c r="AD212" s="2" t="n">
        <v>692</v>
      </c>
      <c r="AE212" s="2" t="n">
        <v>118</v>
      </c>
      <c r="AF212" s="0" t="n">
        <v>149</v>
      </c>
      <c r="AG212" s="3" t="n">
        <f aca="false">16+16/60</f>
        <v>16.2666666666667</v>
      </c>
      <c r="AH212" s="3" t="n">
        <f aca="false">16+17/60</f>
        <v>16.2833333333333</v>
      </c>
      <c r="AI212" s="3" t="n">
        <f aca="false">17+22/60</f>
        <v>17.3666666666667</v>
      </c>
      <c r="AJ212" s="3" t="n">
        <f aca="false">18+10/60</f>
        <v>18.1666666666667</v>
      </c>
      <c r="AK212" s="3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4" t="n">
        <f aca="false">60*V212-SUM(AV212:AZ212)</f>
        <v>0.36666666666666</v>
      </c>
      <c r="AV212" s="4" t="n">
        <f aca="false">32+59/60</f>
        <v>32.9833333333333</v>
      </c>
      <c r="AW212" s="3" t="n">
        <f aca="false">31+4/60</f>
        <v>31.0666666666667</v>
      </c>
      <c r="AX212" s="3" t="n">
        <f aca="false">34+11/60</f>
        <v>34.1833333333333</v>
      </c>
      <c r="AY212" s="3" t="n">
        <f aca="false">2+24/60</f>
        <v>2.4</v>
      </c>
      <c r="AZ212" s="3" t="n">
        <v>0</v>
      </c>
      <c r="BA212" s="0" t="s">
        <v>59</v>
      </c>
      <c r="BB212" s="0" t="s">
        <v>60</v>
      </c>
      <c r="BC212" s="0" t="n">
        <v>0</v>
      </c>
    </row>
    <row r="213" customFormat="false" ht="12.8" hidden="false" customHeight="false" outlineLevel="0" collapsed="false">
      <c r="A213" s="0" t="n">
        <f aca="false">A212+1</f>
        <v>744</v>
      </c>
      <c r="B213" s="1" t="n">
        <v>44090.5486111111</v>
      </c>
      <c r="C213" s="0" t="n">
        <v>0</v>
      </c>
      <c r="D213" s="0" t="s">
        <v>70</v>
      </c>
      <c r="F213" s="6" t="s">
        <v>129</v>
      </c>
      <c r="G213" s="2" t="n">
        <v>89</v>
      </c>
      <c r="H213" s="2" t="n">
        <v>70</v>
      </c>
      <c r="I213" s="2" t="n">
        <f aca="false">(57+51)/2</f>
        <v>54</v>
      </c>
      <c r="J213" s="2" t="s">
        <v>96</v>
      </c>
      <c r="K213" s="2" t="n">
        <v>9</v>
      </c>
      <c r="L213" s="2" t="n">
        <v>0</v>
      </c>
      <c r="M213" s="0" t="s">
        <v>94</v>
      </c>
      <c r="N213" s="0" t="n">
        <v>0</v>
      </c>
      <c r="O213" s="0" t="s">
        <v>138</v>
      </c>
      <c r="Q213" s="0" t="s">
        <v>98</v>
      </c>
      <c r="R213" s="3" t="n">
        <v>5.41</v>
      </c>
      <c r="S213" s="2" t="n">
        <v>426</v>
      </c>
      <c r="T213" s="2" t="n">
        <v>12416</v>
      </c>
      <c r="U213" s="2" t="n">
        <f aca="false">T213-S213</f>
        <v>11990</v>
      </c>
      <c r="V213" s="3" t="n">
        <f aca="false">(60+33)/60</f>
        <v>1.55</v>
      </c>
      <c r="W213" s="3" t="n">
        <f aca="false">(60+40)/60</f>
        <v>1.66666666666667</v>
      </c>
      <c r="X213" s="3" t="n">
        <f aca="false">W213-V213</f>
        <v>0.116666666666667</v>
      </c>
      <c r="Y213" s="3" t="n">
        <f aca="false">R213/V213</f>
        <v>3.49032258064516</v>
      </c>
      <c r="Z213" s="0" t="n">
        <v>1</v>
      </c>
      <c r="AA213" s="3" t="n">
        <f aca="false">R213/Z213</f>
        <v>5.41</v>
      </c>
      <c r="AB213" s="3" t="n">
        <f aca="false">17+10/60</f>
        <v>17.1666666666667</v>
      </c>
      <c r="AC213" s="2" t="n">
        <v>679</v>
      </c>
      <c r="AD213" s="2" t="n">
        <v>631</v>
      </c>
      <c r="AE213" s="2" t="n">
        <v>124</v>
      </c>
      <c r="AF213" s="0" t="n">
        <v>140</v>
      </c>
      <c r="AG213" s="3" t="n">
        <f aca="false">15+35/60</f>
        <v>15.5833333333333</v>
      </c>
      <c r="AH213" s="3" t="n">
        <f aca="false">17+14/60</f>
        <v>17.2333333333333</v>
      </c>
      <c r="AI213" s="3" t="n">
        <f aca="false">19+2/60</f>
        <v>19.0333333333333</v>
      </c>
      <c r="AJ213" s="3" t="n">
        <f aca="false">17+17/60</f>
        <v>17.2833333333333</v>
      </c>
      <c r="AK213" s="3" t="n">
        <f aca="false">16+50/60</f>
        <v>16.8333333333333</v>
      </c>
      <c r="AL213" s="3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4" t="n">
        <f aca="false">60*V213-SUM(AV213:AZ213)</f>
        <v>0.0499999999999972</v>
      </c>
      <c r="AV213" s="3" t="n">
        <f aca="false">5+10/60</f>
        <v>5.16666666666667</v>
      </c>
      <c r="AW213" s="0" t="n">
        <f aca="false">35+15/60</f>
        <v>35.25</v>
      </c>
      <c r="AX213" s="3" t="n">
        <f aca="false">52+32/60</f>
        <v>52.5333333333333</v>
      </c>
      <c r="AY213" s="3" t="n">
        <v>0</v>
      </c>
      <c r="AZ213" s="3" t="n">
        <v>0</v>
      </c>
      <c r="BA213" s="0" t="s">
        <v>59</v>
      </c>
      <c r="BB213" s="0" t="s">
        <v>60</v>
      </c>
      <c r="BC213" s="0" t="n">
        <v>0</v>
      </c>
    </row>
    <row r="214" customFormat="false" ht="12.8" hidden="false" customHeight="false" outlineLevel="0" collapsed="false">
      <c r="A214" s="0" t="n">
        <f aca="false">A213+1</f>
        <v>745</v>
      </c>
      <c r="B214" s="1" t="n">
        <v>44091.5111111111</v>
      </c>
      <c r="C214" s="0" t="n">
        <v>1</v>
      </c>
      <c r="F214" s="6" t="s">
        <v>107</v>
      </c>
      <c r="G214" s="2" t="n">
        <v>88</v>
      </c>
      <c r="H214" s="2" t="n">
        <f aca="false">(65+62)/2</f>
        <v>63.5</v>
      </c>
      <c r="I214" s="2" t="n">
        <f aca="false">(51+54)/2</f>
        <v>52.5</v>
      </c>
      <c r="J214" s="6" t="s">
        <v>128</v>
      </c>
      <c r="K214" s="2" t="n">
        <v>8</v>
      </c>
      <c r="L214" s="2" t="n">
        <v>0</v>
      </c>
      <c r="M214" s="0" t="s">
        <v>73</v>
      </c>
      <c r="N214" s="0" t="n">
        <v>0</v>
      </c>
      <c r="O214" s="0" t="s">
        <v>138</v>
      </c>
      <c r="Q214" s="0" t="s">
        <v>82</v>
      </c>
      <c r="R214" s="3" t="n">
        <v>6.49</v>
      </c>
      <c r="S214" s="2" t="n">
        <v>1196</v>
      </c>
      <c r="T214" s="2" t="n">
        <f aca="false">15478-500</f>
        <v>14978</v>
      </c>
      <c r="U214" s="2" t="n">
        <f aca="false">T214-S214</f>
        <v>13782</v>
      </c>
      <c r="V214" s="3" t="n">
        <f aca="false">(60+46)/60</f>
        <v>1.76666666666667</v>
      </c>
      <c r="W214" s="3" t="n">
        <f aca="false">(120+9)/60</f>
        <v>2.15</v>
      </c>
      <c r="X214" s="3" t="n">
        <f aca="false">W214-V214</f>
        <v>0.383333333333333</v>
      </c>
      <c r="Y214" s="3" t="n">
        <f aca="false">R214/V214</f>
        <v>3.67358490566038</v>
      </c>
      <c r="Z214" s="0" t="n">
        <v>1</v>
      </c>
      <c r="AA214" s="3" t="n">
        <f aca="false">R214/Z214</f>
        <v>6.49</v>
      </c>
      <c r="AB214" s="3" t="n">
        <f aca="false">16+18/60</f>
        <v>16.3</v>
      </c>
      <c r="AC214" s="2" t="n">
        <v>591</v>
      </c>
      <c r="AD214" s="2" t="n">
        <v>648</v>
      </c>
      <c r="AE214" s="2" t="n">
        <v>93</v>
      </c>
      <c r="AF214" s="0" t="n">
        <v>119</v>
      </c>
      <c r="AG214" s="3" t="n">
        <f aca="false">16+1/60</f>
        <v>16.0166666666667</v>
      </c>
      <c r="AH214" s="3" t="n">
        <f aca="false">15+56/60</f>
        <v>15.9333333333333</v>
      </c>
      <c r="AI214" s="3" t="n">
        <f aca="false">16+2/60</f>
        <v>16.0333333333333</v>
      </c>
      <c r="AJ214" s="3" t="n">
        <f aca="false">16+42/60</f>
        <v>16.7</v>
      </c>
      <c r="AK214" s="3" t="n">
        <f aca="false">16+10/60</f>
        <v>16.1666666666667</v>
      </c>
      <c r="AL214" s="3" t="n">
        <f aca="false">16+41/60</f>
        <v>16.6833333333333</v>
      </c>
      <c r="AM214" s="3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4" t="n">
        <f aca="false">60*V214-SUM(AV214:AZ214)</f>
        <v>24.0166666666667</v>
      </c>
      <c r="AV214" s="3" t="n">
        <f aca="false">68+32/60</f>
        <v>68.5333333333333</v>
      </c>
      <c r="AW214" s="3" t="n">
        <f aca="false">13+27/60</f>
        <v>13.45</v>
      </c>
      <c r="AX214" s="3" t="n">
        <v>0</v>
      </c>
      <c r="AY214" s="3" t="n">
        <v>0</v>
      </c>
      <c r="AZ214" s="3" t="n">
        <v>0</v>
      </c>
      <c r="BA214" s="0" t="s">
        <v>59</v>
      </c>
      <c r="BB214" s="0" t="s">
        <v>60</v>
      </c>
      <c r="BC214" s="0" t="n">
        <v>0</v>
      </c>
    </row>
    <row r="215" customFormat="false" ht="12.8" hidden="false" customHeight="false" outlineLevel="0" collapsed="false">
      <c r="A215" s="0" t="n">
        <f aca="false">A214+1</f>
        <v>746</v>
      </c>
      <c r="B215" s="1" t="n">
        <v>44092.5263888889</v>
      </c>
      <c r="C215" s="0" t="n">
        <v>1</v>
      </c>
      <c r="F215" s="6" t="s">
        <v>107</v>
      </c>
      <c r="G215" s="2" t="n">
        <v>86</v>
      </c>
      <c r="H215" s="2" t="n">
        <v>64</v>
      </c>
      <c r="I215" s="2" t="n">
        <v>49</v>
      </c>
      <c r="J215" s="2" t="s">
        <v>110</v>
      </c>
      <c r="K215" s="2" t="n">
        <v>7</v>
      </c>
      <c r="L215" s="2" t="n">
        <v>0</v>
      </c>
      <c r="M215" s="0" t="s">
        <v>73</v>
      </c>
      <c r="N215" s="0" t="n">
        <v>0</v>
      </c>
      <c r="O215" s="0" t="s">
        <v>138</v>
      </c>
      <c r="Q215" s="0" t="s">
        <v>87</v>
      </c>
      <c r="R215" s="3" t="n">
        <v>6.17</v>
      </c>
      <c r="S215" s="2" t="n">
        <v>1315</v>
      </c>
      <c r="T215" s="2" t="n">
        <v>14154</v>
      </c>
      <c r="U215" s="2" t="n">
        <f aca="false">T215-S215</f>
        <v>12839</v>
      </c>
      <c r="V215" s="3" t="n">
        <f aca="false">(60+41)/60</f>
        <v>1.68333333333333</v>
      </c>
      <c r="W215" s="3" t="n">
        <f aca="false">(60+53)/60</f>
        <v>1.88333333333333</v>
      </c>
      <c r="X215" s="3" t="n">
        <f aca="false">W215-V215</f>
        <v>0.2</v>
      </c>
      <c r="Y215" s="3" t="n">
        <f aca="false">R215/V215</f>
        <v>3.66534653465347</v>
      </c>
      <c r="Z215" s="0" t="n">
        <v>1</v>
      </c>
      <c r="AA215" s="3" t="n">
        <f aca="false">R215/Z215</f>
        <v>6.17</v>
      </c>
      <c r="AB215" s="3" t="n">
        <f aca="false">16+25/60</f>
        <v>16.4166666666667</v>
      </c>
      <c r="AC215" s="2" t="n">
        <v>279</v>
      </c>
      <c r="AD215" s="2" t="n">
        <v>691</v>
      </c>
      <c r="AE215" s="2" t="n">
        <v>106</v>
      </c>
      <c r="AF215" s="0" t="n">
        <v>142</v>
      </c>
      <c r="AG215" s="3" t="n">
        <f aca="false">16+8/60</f>
        <v>16.1333333333333</v>
      </c>
      <c r="AH215" s="3" t="n">
        <f aca="false">16+17/60</f>
        <v>16.2833333333333</v>
      </c>
      <c r="AI215" s="3" t="n">
        <f aca="false">16+12/60</f>
        <v>16.2</v>
      </c>
      <c r="AJ215" s="3" t="n">
        <f aca="false">18+7/60</f>
        <v>18.1166666666667</v>
      </c>
      <c r="AK215" s="3" t="n">
        <f aca="false">15+38/60</f>
        <v>15.6333333333333</v>
      </c>
      <c r="AL215" s="3" t="n">
        <f aca="false">16+4/60</f>
        <v>16.0666666666667</v>
      </c>
      <c r="AM215" s="3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4" t="n">
        <f aca="false">60*V215-SUM(AV215:AZ215)</f>
        <v>25.5666666666667</v>
      </c>
      <c r="AV215" s="3" t="n">
        <f aca="false">32+29/60</f>
        <v>32.4833333333333</v>
      </c>
      <c r="AW215" s="3" t="n">
        <f aca="false">16+6/60</f>
        <v>16.1</v>
      </c>
      <c r="AX215" s="3" t="n">
        <f aca="false">26+51/60</f>
        <v>26.85</v>
      </c>
      <c r="AY215" s="3" t="n">
        <v>0</v>
      </c>
      <c r="AZ215" s="3" t="n">
        <v>0</v>
      </c>
      <c r="BA215" s="0" t="s">
        <v>59</v>
      </c>
      <c r="BB215" s="0" t="s">
        <v>60</v>
      </c>
      <c r="BC215" s="0" t="n">
        <v>0</v>
      </c>
    </row>
    <row r="216" customFormat="false" ht="12.8" hidden="false" customHeight="false" outlineLevel="0" collapsed="false">
      <c r="A216" s="0" t="n">
        <f aca="false">A215+1</f>
        <v>747</v>
      </c>
      <c r="B216" s="1" t="n">
        <v>44093.5027777778</v>
      </c>
      <c r="C216" s="0" t="n">
        <v>1</v>
      </c>
      <c r="F216" s="6" t="s">
        <v>129</v>
      </c>
      <c r="G216" s="2" t="n">
        <v>75</v>
      </c>
      <c r="H216" s="2" t="n">
        <v>59</v>
      </c>
      <c r="I216" s="2" t="n">
        <v>57</v>
      </c>
      <c r="J216" s="6" t="s">
        <v>108</v>
      </c>
      <c r="K216" s="2" t="n">
        <v>10</v>
      </c>
      <c r="L216" s="2" t="n">
        <v>0</v>
      </c>
      <c r="M216" s="0" t="s">
        <v>73</v>
      </c>
      <c r="N216" s="0" t="n">
        <v>0</v>
      </c>
      <c r="O216" s="0" t="s">
        <v>138</v>
      </c>
      <c r="Q216" s="0" t="s">
        <v>98</v>
      </c>
      <c r="R216" s="3" t="n">
        <v>7.2</v>
      </c>
      <c r="S216" s="2" t="n">
        <v>455</v>
      </c>
      <c r="T216" s="2" t="n">
        <v>15511</v>
      </c>
      <c r="U216" s="2" t="n">
        <f aca="false">T216-S216</f>
        <v>15056</v>
      </c>
      <c r="V216" s="3" t="n">
        <f aca="false">121/60</f>
        <v>2.01666666666667</v>
      </c>
      <c r="W216" s="3" t="n">
        <f aca="false">128/60</f>
        <v>2.13333333333333</v>
      </c>
      <c r="X216" s="3" t="n">
        <f aca="false">W216-V216</f>
        <v>0.116666666666667</v>
      </c>
      <c r="Y216" s="3" t="n">
        <f aca="false">R216/V216</f>
        <v>3.5702479338843</v>
      </c>
      <c r="Z216" s="0" t="n">
        <v>1</v>
      </c>
      <c r="AA216" s="3" t="n">
        <f aca="false">R216/Z216</f>
        <v>7.2</v>
      </c>
      <c r="AB216" s="3" t="n">
        <f aca="false">16+52/60</f>
        <v>16.8666666666667</v>
      </c>
      <c r="AC216" s="2" t="n">
        <v>331</v>
      </c>
      <c r="AD216" s="2" t="n">
        <v>739</v>
      </c>
      <c r="AE216" s="2" t="n">
        <v>82</v>
      </c>
      <c r="AF216" s="0" t="n">
        <v>112</v>
      </c>
      <c r="AG216" s="3" t="n">
        <f aca="false">15+47/60</f>
        <v>15.7833333333333</v>
      </c>
      <c r="AH216" s="3" t="n">
        <f aca="false">16+33/60</f>
        <v>16.55</v>
      </c>
      <c r="AI216" s="3" t="n">
        <f aca="false">17+6/60</f>
        <v>17.1</v>
      </c>
      <c r="AJ216" s="3" t="n">
        <f aca="false">17+27/60</f>
        <v>17.45</v>
      </c>
      <c r="AK216" s="3" t="n">
        <f aca="false">17+20/60</f>
        <v>17.3333333333333</v>
      </c>
      <c r="AL216" s="3" t="n">
        <f aca="false">+16+22/60</f>
        <v>16.3666666666667</v>
      </c>
      <c r="AM216" s="3" t="n">
        <f aca="false">17+22.4/60</f>
        <v>17.3733333333333</v>
      </c>
      <c r="AN216" s="3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4" t="n">
        <f aca="false">60*V216-SUM(AV216:AZ216)</f>
        <v>79.65</v>
      </c>
      <c r="AV216" s="3" t="n">
        <f aca="false">40+46/60</f>
        <v>40.7666666666667</v>
      </c>
      <c r="AW216" s="3" t="n">
        <f aca="false">35/60</f>
        <v>0.583333333333333</v>
      </c>
      <c r="AX216" s="3" t="n">
        <v>0</v>
      </c>
      <c r="AY216" s="3" t="n">
        <v>0</v>
      </c>
      <c r="AZ216" s="3" t="n">
        <v>0</v>
      </c>
      <c r="BA216" s="0" t="s">
        <v>59</v>
      </c>
      <c r="BB216" s="0" t="s">
        <v>60</v>
      </c>
      <c r="BC216" s="0" t="n">
        <v>0</v>
      </c>
    </row>
    <row r="217" customFormat="false" ht="12.8" hidden="false" customHeight="false" outlineLevel="0" collapsed="false">
      <c r="A217" s="0" t="n">
        <f aca="false">A216+1</f>
        <v>748</v>
      </c>
      <c r="B217" s="1" t="n">
        <v>44094.5625</v>
      </c>
      <c r="C217" s="0" t="n">
        <v>1</v>
      </c>
      <c r="F217" s="0" t="s">
        <v>61</v>
      </c>
      <c r="G217" s="2" t="n">
        <v>80</v>
      </c>
      <c r="H217" s="2" t="n">
        <v>56</v>
      </c>
      <c r="I217" s="2" t="n">
        <v>80</v>
      </c>
      <c r="J217" s="2" t="s">
        <v>135</v>
      </c>
      <c r="K217" s="2" t="n">
        <v>12</v>
      </c>
      <c r="L217" s="2" t="n">
        <v>20</v>
      </c>
      <c r="M217" s="0" t="s">
        <v>73</v>
      </c>
      <c r="N217" s="0" t="n">
        <v>0</v>
      </c>
      <c r="O217" s="0" t="s">
        <v>138</v>
      </c>
      <c r="Q217" s="0" t="s">
        <v>139</v>
      </c>
      <c r="R217" s="0" t="n">
        <v>6.18</v>
      </c>
      <c r="S217" s="14" t="n">
        <v>1556</v>
      </c>
      <c r="T217" s="0" t="n">
        <v>15104</v>
      </c>
      <c r="U217" s="2" t="n">
        <f aca="false">T217-S217</f>
        <v>13548</v>
      </c>
      <c r="V217" s="3" t="n">
        <f aca="false">(60+46)/60</f>
        <v>1.76666666666667</v>
      </c>
      <c r="W217" s="3" t="n">
        <f aca="false">(120+7)/60</f>
        <v>2.11666666666667</v>
      </c>
      <c r="X217" s="3" t="n">
        <f aca="false">W217-V217</f>
        <v>0.35</v>
      </c>
      <c r="Y217" s="3" t="n">
        <f aca="false">R217/V217</f>
        <v>3.49811320754717</v>
      </c>
      <c r="Z217" s="0" t="n">
        <v>1</v>
      </c>
      <c r="AA217" s="3" t="n">
        <f aca="false">R217/Z217</f>
        <v>6.18</v>
      </c>
      <c r="AB217" s="3" t="n">
        <f aca="false">17+12/60</f>
        <v>17.2</v>
      </c>
      <c r="AC217" s="2" t="n">
        <v>154</v>
      </c>
      <c r="AD217" s="2" t="n">
        <v>671</v>
      </c>
      <c r="AE217" s="2" t="n">
        <v>104</v>
      </c>
      <c r="AF217" s="0" t="n">
        <v>129</v>
      </c>
      <c r="AG217" s="3" t="n">
        <f aca="false">16+22/60</f>
        <v>16.3666666666667</v>
      </c>
      <c r="AH217" s="3" t="n">
        <f aca="false">16+52/60</f>
        <v>16.8666666666667</v>
      </c>
      <c r="AI217" s="3" t="n">
        <f aca="false">18+45/60</f>
        <v>18.75</v>
      </c>
      <c r="AJ217" s="3" t="n">
        <f aca="false">17+6/60</f>
        <v>17.1</v>
      </c>
      <c r="AK217" s="3" t="n">
        <f aca="false">16+29/60</f>
        <v>16.4833333333333</v>
      </c>
      <c r="AL217" s="3" t="n">
        <f aca="false">17+1/60</f>
        <v>17.0166666666667</v>
      </c>
      <c r="AM217" s="3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4" t="n">
        <f aca="false">60*V217-SUM(AV217:AZ217)</f>
        <v>0.556666666666672</v>
      </c>
      <c r="AV217" s="3" t="n">
        <v>76.41</v>
      </c>
      <c r="AW217" s="3" t="n">
        <f aca="false">26+36/60</f>
        <v>26.6</v>
      </c>
      <c r="AX217" s="3" t="n">
        <f aca="false">2+26/60</f>
        <v>2.43333333333333</v>
      </c>
      <c r="AY217" s="3" t="n">
        <v>0</v>
      </c>
      <c r="AZ217" s="3" t="n">
        <v>0</v>
      </c>
      <c r="BA217" s="0" t="s">
        <v>59</v>
      </c>
      <c r="BB217" s="0" t="s">
        <v>60</v>
      </c>
      <c r="BC217" s="0" t="n">
        <v>0</v>
      </c>
    </row>
    <row r="218" customFormat="false" ht="12.8" hidden="false" customHeight="false" outlineLevel="0" collapsed="false">
      <c r="A218" s="0" t="n">
        <f aca="false">A217+1</f>
        <v>749</v>
      </c>
      <c r="B218" s="1" t="n">
        <v>44095.49375</v>
      </c>
      <c r="C218" s="0" t="n">
        <v>1</v>
      </c>
      <c r="F218" s="0" t="s">
        <v>56</v>
      </c>
      <c r="G218" s="2" t="n">
        <v>76</v>
      </c>
      <c r="H218" s="2" t="n">
        <v>65</v>
      </c>
      <c r="I218" s="2" t="n">
        <v>71</v>
      </c>
      <c r="J218" s="2" t="s">
        <v>99</v>
      </c>
      <c r="K218" s="2" t="n">
        <v>9</v>
      </c>
      <c r="L218" s="2" t="n">
        <v>0</v>
      </c>
      <c r="M218" s="0" t="s">
        <v>73</v>
      </c>
      <c r="N218" s="0" t="n">
        <v>0</v>
      </c>
      <c r="O218" s="0" t="s">
        <v>138</v>
      </c>
      <c r="Q218" s="0" t="s">
        <v>134</v>
      </c>
      <c r="R218" s="3" t="n">
        <v>5.79</v>
      </c>
      <c r="S218" s="2" t="n">
        <v>1195</v>
      </c>
      <c r="T218" s="2" t="n">
        <v>14173</v>
      </c>
      <c r="U218" s="2" t="n">
        <f aca="false">T218-S218</f>
        <v>12978</v>
      </c>
      <c r="V218" s="3" t="n">
        <f aca="false">(50+51)/60</f>
        <v>1.68333333333333</v>
      </c>
      <c r="W218" s="3" t="n">
        <f aca="false">(50+59)/60</f>
        <v>1.81666666666667</v>
      </c>
      <c r="X218" s="3" t="n">
        <f aca="false">W218-V218</f>
        <v>0.133333333333333</v>
      </c>
      <c r="Y218" s="3" t="n">
        <f aca="false">R218/V218</f>
        <v>3.43960396039604</v>
      </c>
      <c r="Z218" s="0" t="n">
        <v>1</v>
      </c>
      <c r="AA218" s="3" t="n">
        <f aca="false">R218/Z218</f>
        <v>5.79</v>
      </c>
      <c r="AB218" s="3" t="n">
        <f aca="false">19+12/60</f>
        <v>19.2</v>
      </c>
      <c r="AC218" s="2" t="n">
        <v>689</v>
      </c>
      <c r="AD218" s="2" t="n">
        <v>660</v>
      </c>
      <c r="AE218" s="2" t="n">
        <v>119</v>
      </c>
      <c r="AF218" s="0" t="n">
        <v>142</v>
      </c>
      <c r="AG218" s="3" t="n">
        <f aca="false">16+24/60</f>
        <v>16.4</v>
      </c>
      <c r="AH218" s="3" t="n">
        <f aca="false">17+15/60</f>
        <v>17.25</v>
      </c>
      <c r="AI218" s="3" t="n">
        <f aca="false">22+44/60</f>
        <v>22.7333333333333</v>
      </c>
      <c r="AJ218" s="3" t="n">
        <f aca="false">21+13/60</f>
        <v>21.2166666666667</v>
      </c>
      <c r="AK218" s="3" t="n">
        <f aca="false">19+19/60</f>
        <v>19.3166666666667</v>
      </c>
      <c r="AL218" s="3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4" t="n">
        <v>0</v>
      </c>
      <c r="AV218" s="3" t="n">
        <f aca="false">11+4/60</f>
        <v>11.0666666666667</v>
      </c>
      <c r="AW218" s="3" t="n">
        <f aca="false">74+36/60</f>
        <v>74.6</v>
      </c>
      <c r="AX218" s="3" t="n">
        <f aca="false">25+34/60/60</f>
        <v>25.0094444444444</v>
      </c>
      <c r="AY218" s="3" t="n">
        <v>0</v>
      </c>
      <c r="AZ218" s="3" t="n">
        <v>0</v>
      </c>
      <c r="BA218" s="0" t="s">
        <v>59</v>
      </c>
      <c r="BB218" s="0" t="s">
        <v>60</v>
      </c>
      <c r="BC218" s="0" t="n">
        <v>0</v>
      </c>
    </row>
    <row r="219" customFormat="false" ht="12.8" hidden="false" customHeight="false" outlineLevel="0" collapsed="false">
      <c r="A219" s="0" t="n">
        <f aca="false">A218+1</f>
        <v>750</v>
      </c>
      <c r="B219" s="1" t="n">
        <v>44096.4951388889</v>
      </c>
      <c r="C219" s="0" t="n">
        <v>0</v>
      </c>
      <c r="D219" s="0" t="s">
        <v>88</v>
      </c>
      <c r="F219" s="0" t="s">
        <v>56</v>
      </c>
      <c r="G219" s="2" t="n">
        <v>69</v>
      </c>
      <c r="H219" s="2" t="n">
        <v>67</v>
      </c>
      <c r="I219" s="2" t="n">
        <v>96</v>
      </c>
      <c r="J219" s="2" t="s">
        <v>99</v>
      </c>
      <c r="K219" s="2" t="n">
        <v>8</v>
      </c>
      <c r="L219" s="2" t="n">
        <v>0</v>
      </c>
      <c r="M219" s="0" t="s">
        <v>94</v>
      </c>
    </row>
    <row r="220" customFormat="false" ht="13.8" hidden="false" customHeight="false" outlineLevel="0" collapsed="false">
      <c r="A220" s="0" t="n">
        <f aca="false">A219+1</f>
        <v>751</v>
      </c>
      <c r="B220" s="1" t="n">
        <v>44097.5972222222</v>
      </c>
      <c r="C220" s="0" t="n">
        <v>1</v>
      </c>
      <c r="F220" s="6" t="s">
        <v>74</v>
      </c>
      <c r="G220" s="2" t="n">
        <v>71</v>
      </c>
      <c r="H220" s="2" t="n">
        <v>63</v>
      </c>
      <c r="I220" s="2" t="n">
        <v>75</v>
      </c>
      <c r="J220" s="2" t="s">
        <v>96</v>
      </c>
      <c r="K220" s="2" t="n">
        <v>13</v>
      </c>
      <c r="L220" s="2" t="n">
        <v>0</v>
      </c>
      <c r="M220" s="0" t="s">
        <v>73</v>
      </c>
      <c r="N220" s="0" t="n">
        <v>0</v>
      </c>
      <c r="O220" s="0" t="s">
        <v>138</v>
      </c>
      <c r="Q220" s="13" t="s">
        <v>104</v>
      </c>
      <c r="R220" s="3" t="n">
        <v>6.38</v>
      </c>
      <c r="S220" s="2" t="n">
        <v>1227</v>
      </c>
      <c r="T220" s="2" t="n">
        <v>14924</v>
      </c>
      <c r="U220" s="2" t="n">
        <f aca="false">T220-S220</f>
        <v>13697</v>
      </c>
      <c r="V220" s="3" t="n">
        <f aca="false">(60+52)/60</f>
        <v>1.86666666666667</v>
      </c>
      <c r="W220" s="3" t="n">
        <f aca="false">(60+59)/60</f>
        <v>1.98333333333333</v>
      </c>
      <c r="X220" s="3" t="n">
        <f aca="false">W220-V220</f>
        <v>0.11666666666666</v>
      </c>
      <c r="Y220" s="3" t="n">
        <f aca="false">R220/V220</f>
        <v>3.41785714285714</v>
      </c>
      <c r="Z220" s="0" t="n">
        <v>1</v>
      </c>
      <c r="AA220" s="3" t="n">
        <f aca="false">R220/Z220</f>
        <v>6.38</v>
      </c>
      <c r="AB220" s="3" t="n">
        <f aca="false">17+35/60</f>
        <v>17.5833333333333</v>
      </c>
      <c r="AC220" s="2" t="n">
        <v>315</v>
      </c>
      <c r="AD220" s="2" t="n">
        <v>694</v>
      </c>
      <c r="AE220" s="2" t="n">
        <v>88</v>
      </c>
      <c r="AF220" s="0" t="n">
        <v>115</v>
      </c>
      <c r="AG220" s="3" t="n">
        <f aca="false">16+41/60</f>
        <v>16.6833333333333</v>
      </c>
      <c r="AH220" s="3" t="n">
        <f aca="false">17+2/60</f>
        <v>17.0333333333333</v>
      </c>
      <c r="AI220" s="3" t="n">
        <f aca="false">17+14/60</f>
        <v>17.2333333333333</v>
      </c>
      <c r="AJ220" s="3" t="n">
        <f aca="false">20+18/60</f>
        <v>20.3</v>
      </c>
      <c r="AK220" s="3" t="n">
        <f aca="false">17+36/60</f>
        <v>17.6</v>
      </c>
      <c r="AL220" s="3" t="n">
        <f aca="false">16+52/60</f>
        <v>16.8666666666667</v>
      </c>
      <c r="AM220" s="3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4" t="n">
        <f aca="false">60*V220-SUM(AV220:AZ220)</f>
        <v>59.7000000000002</v>
      </c>
      <c r="AV220" s="3" t="n">
        <f aca="false">45+39/60</f>
        <v>45.65</v>
      </c>
      <c r="AW220" s="3" t="n">
        <f aca="false">6+39/60</f>
        <v>6.65</v>
      </c>
      <c r="AX220" s="3" t="n">
        <v>0</v>
      </c>
      <c r="AY220" s="3" t="n">
        <v>0</v>
      </c>
      <c r="AZ220" s="3" t="n">
        <v>0</v>
      </c>
      <c r="BA220" s="0" t="s">
        <v>59</v>
      </c>
      <c r="BB220" s="0" t="s">
        <v>60</v>
      </c>
      <c r="BC220" s="0" t="n">
        <v>0</v>
      </c>
    </row>
    <row r="221" customFormat="false" ht="12.8" hidden="false" customHeight="false" outlineLevel="0" collapsed="false">
      <c r="A221" s="0" t="n">
        <f aca="false">A220+1</f>
        <v>752</v>
      </c>
      <c r="B221" s="1" t="n">
        <v>44098.6152777778</v>
      </c>
      <c r="C221" s="0" t="n">
        <v>1</v>
      </c>
      <c r="F221" s="6" t="s">
        <v>71</v>
      </c>
      <c r="G221" s="2" t="n">
        <v>70</v>
      </c>
      <c r="H221" s="2" t="n">
        <v>61</v>
      </c>
      <c r="I221" s="2" t="n">
        <v>73</v>
      </c>
      <c r="J221" s="6" t="s">
        <v>114</v>
      </c>
      <c r="K221" s="2" t="n">
        <v>0</v>
      </c>
      <c r="L221" s="2" t="n">
        <v>0</v>
      </c>
      <c r="M221" s="0" t="s">
        <v>73</v>
      </c>
      <c r="N221" s="0" t="n">
        <v>0</v>
      </c>
      <c r="O221" s="0" t="s">
        <v>138</v>
      </c>
      <c r="Q221" s="6" t="s">
        <v>81</v>
      </c>
      <c r="R221" s="3" t="n">
        <v>4.84</v>
      </c>
      <c r="V221" s="3" t="n">
        <f aca="false">80/60</f>
        <v>1.33333333333333</v>
      </c>
      <c r="W221" s="3" t="n">
        <f aca="false">81/60</f>
        <v>1.35</v>
      </c>
      <c r="X221" s="3" t="n">
        <f aca="false">W221-V221</f>
        <v>0.0166666666666668</v>
      </c>
      <c r="Y221" s="3" t="n">
        <f aca="false">R221/V221</f>
        <v>3.63</v>
      </c>
      <c r="Z221" s="0" t="n">
        <v>2</v>
      </c>
      <c r="AA221" s="3" t="n">
        <f aca="false">R221/Z221</f>
        <v>2.42</v>
      </c>
      <c r="AB221" s="3" t="n">
        <f aca="false">16+36/60</f>
        <v>16.6</v>
      </c>
      <c r="AC221" s="2" t="n">
        <v>262</v>
      </c>
      <c r="AD221" s="2" t="n">
        <v>600</v>
      </c>
      <c r="AE221" s="2" t="n">
        <v>124</v>
      </c>
      <c r="AF221" s="0" t="n">
        <v>158</v>
      </c>
      <c r="AG221" s="3" t="n">
        <f aca="false">17+26/60</f>
        <v>17.4333333333333</v>
      </c>
      <c r="AH221" s="3" t="n">
        <f aca="false">15+25/60</f>
        <v>15.4166666666667</v>
      </c>
      <c r="AI221" s="3" t="n">
        <f aca="false">16+30/60</f>
        <v>16.5</v>
      </c>
      <c r="AJ221" s="3" t="n">
        <f aca="false">16+30/60</f>
        <v>16.5</v>
      </c>
      <c r="AK221" s="3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4" t="n">
        <f aca="false">60*V221-SUM(AV221:AZ221)</f>
        <v>3.63333333333333</v>
      </c>
      <c r="AV221" s="3" t="n">
        <f aca="false">16+29/60</f>
        <v>16.4833333333333</v>
      </c>
      <c r="AW221" s="3" t="n">
        <f aca="false">8+44/60</f>
        <v>8.73333333333333</v>
      </c>
      <c r="AX221" s="3" t="n">
        <f aca="false">51+9/60</f>
        <v>51.15</v>
      </c>
      <c r="AY221" s="3" t="n">
        <v>0</v>
      </c>
      <c r="AZ221" s="3" t="n">
        <v>0</v>
      </c>
      <c r="BA221" s="0" t="s">
        <v>59</v>
      </c>
      <c r="BB221" s="0" t="s">
        <v>60</v>
      </c>
      <c r="BC221" s="0" t="n">
        <v>0</v>
      </c>
    </row>
    <row r="222" customFormat="false" ht="12.8" hidden="false" customHeight="false" outlineLevel="0" collapsed="false">
      <c r="A222" s="0" t="n">
        <f aca="false">A221+1</f>
        <v>753</v>
      </c>
      <c r="B222" s="1" t="n">
        <v>44099.5118055556</v>
      </c>
      <c r="C222" s="0" t="n">
        <v>1</v>
      </c>
      <c r="F222" s="6" t="s">
        <v>129</v>
      </c>
      <c r="G222" s="2" t="n">
        <f aca="false">(73+76)/2</f>
        <v>74.5</v>
      </c>
      <c r="H222" s="2" t="n">
        <v>64</v>
      </c>
      <c r="I222" s="2" t="n">
        <f aca="false">(73+67)/2</f>
        <v>70</v>
      </c>
      <c r="J222" s="2" t="s">
        <v>95</v>
      </c>
      <c r="K222" s="2" t="n">
        <v>10</v>
      </c>
      <c r="L222" s="2" t="n">
        <v>0</v>
      </c>
      <c r="M222" s="0" t="s">
        <v>73</v>
      </c>
      <c r="O222" s="0" t="s">
        <v>138</v>
      </c>
      <c r="Q222" s="0" t="s">
        <v>65</v>
      </c>
      <c r="R222" s="3" t="n">
        <v>6.83</v>
      </c>
      <c r="S222" s="2" t="n">
        <v>616</v>
      </c>
      <c r="T222" s="2" t="n">
        <v>15219</v>
      </c>
      <c r="U222" s="2" t="n">
        <f aca="false">T222-S222</f>
        <v>14603</v>
      </c>
      <c r="V222" s="3" t="n">
        <f aca="false">(60+58)/60</f>
        <v>1.96666666666667</v>
      </c>
      <c r="W222" s="3" t="n">
        <f aca="false">(120+23)/60</f>
        <v>2.38333333333333</v>
      </c>
      <c r="X222" s="3" t="n">
        <f aca="false">W222-V222</f>
        <v>0.416666666666667</v>
      </c>
      <c r="Y222" s="3" t="n">
        <f aca="false">R222/V222</f>
        <v>3.4728813559322</v>
      </c>
      <c r="Z222" s="0" t="n">
        <v>1</v>
      </c>
      <c r="AA222" s="3" t="n">
        <f aca="false">R222/Z222</f>
        <v>6.83</v>
      </c>
      <c r="AB222" s="3" t="n">
        <f aca="false">17+16/60</f>
        <v>17.2666666666667</v>
      </c>
      <c r="AC222" s="2" t="n">
        <v>1752</v>
      </c>
      <c r="AD222" s="2" t="n">
        <v>696</v>
      </c>
      <c r="AE222" s="2" t="n">
        <v>103</v>
      </c>
      <c r="AF222" s="0" t="n">
        <v>150</v>
      </c>
      <c r="AG222" s="3" t="n">
        <f aca="false">15+46/60</f>
        <v>15.7666666666667</v>
      </c>
      <c r="AH222" s="3" t="n">
        <f aca="false">15+19/60</f>
        <v>15.3166666666667</v>
      </c>
      <c r="AI222" s="3" t="n">
        <f aca="false">15+29/60</f>
        <v>15.4833333333333</v>
      </c>
      <c r="AJ222" s="3" t="n">
        <f aca="false">16+47/60</f>
        <v>16.7833333333333</v>
      </c>
      <c r="AK222" s="3" t="n">
        <f aca="false">18+44/60</f>
        <v>18.7333333333333</v>
      </c>
      <c r="AL222" s="3" t="n">
        <f aca="false">18+33/60</f>
        <v>18.55</v>
      </c>
      <c r="AM222" s="3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4" t="n">
        <f aca="false">60*V222-SUM(AV222:AZ222)</f>
        <v>29.65</v>
      </c>
      <c r="AV222" s="3" t="n">
        <f aca="false">27+57/60</f>
        <v>27.95</v>
      </c>
      <c r="AW222" s="3" t="n">
        <f aca="false">37+56/60</f>
        <v>37.9333333333333</v>
      </c>
      <c r="AX222" s="3" t="n">
        <f aca="false">20+34/60</f>
        <v>20.5666666666667</v>
      </c>
      <c r="AY222" s="3" t="n">
        <f aca="false">1+54/60</f>
        <v>1.9</v>
      </c>
      <c r="AZ222" s="3" t="n">
        <v>0</v>
      </c>
      <c r="BA222" s="0" t="s">
        <v>59</v>
      </c>
      <c r="BB222" s="0" t="s">
        <v>60</v>
      </c>
      <c r="BC222" s="0" t="n">
        <v>0</v>
      </c>
    </row>
    <row r="223" customFormat="false" ht="12.8" hidden="false" customHeight="false" outlineLevel="0" collapsed="false">
      <c r="A223" s="0" t="n">
        <f aca="false">A222+1</f>
        <v>754</v>
      </c>
      <c r="B223" s="1" t="n">
        <v>44100.5222222222</v>
      </c>
      <c r="C223" s="0" t="n">
        <v>1</v>
      </c>
      <c r="F223" s="0" t="s">
        <v>61</v>
      </c>
      <c r="G223" s="2" t="n">
        <f aca="false">(84+86+87)/3</f>
        <v>85.6666666666667</v>
      </c>
      <c r="H223" s="2" t="n">
        <f aca="false">(69+69+66)/3</f>
        <v>68</v>
      </c>
      <c r="I223" s="2" t="n">
        <f aca="false">(67+57+49)/3</f>
        <v>57.6666666666667</v>
      </c>
      <c r="J223" s="2" t="s">
        <v>95</v>
      </c>
      <c r="K223" s="2" t="n">
        <f aca="false">(12+16+15)/2</f>
        <v>21.5</v>
      </c>
      <c r="L223" s="2" t="n">
        <v>24</v>
      </c>
      <c r="M223" s="0" t="s">
        <v>94</v>
      </c>
      <c r="N223" s="0" t="n">
        <v>0</v>
      </c>
      <c r="O223" s="0" t="s">
        <v>138</v>
      </c>
      <c r="Q223" s="0" t="s">
        <v>134</v>
      </c>
      <c r="R223" s="3" t="n">
        <v>5.95</v>
      </c>
      <c r="S223" s="2" t="n">
        <v>708</v>
      </c>
      <c r="T223" s="2" t="n">
        <v>14498</v>
      </c>
      <c r="U223" s="2" t="n">
        <f aca="false">T223-S223</f>
        <v>13790</v>
      </c>
      <c r="V223" s="3" t="n">
        <f aca="false">(60+84)/60</f>
        <v>2.4</v>
      </c>
      <c r="W223" s="3" t="n">
        <f aca="false">(120+29)/60</f>
        <v>2.48333333333333</v>
      </c>
      <c r="X223" s="3" t="n">
        <f aca="false">W223-V223</f>
        <v>0.0833333333333335</v>
      </c>
      <c r="Y223" s="3" t="n">
        <f aca="false">R223/V223</f>
        <v>2.47916666666667</v>
      </c>
      <c r="Z223" s="0" t="n">
        <v>1</v>
      </c>
      <c r="AA223" s="3" t="n">
        <f aca="false">R223/Z223</f>
        <v>5.95</v>
      </c>
      <c r="AB223" s="3" t="n">
        <f aca="false">19+46/60</f>
        <v>19.7666666666667</v>
      </c>
      <c r="AC223" s="2" t="n">
        <v>1795</v>
      </c>
      <c r="AD223" s="2" t="n">
        <v>716</v>
      </c>
      <c r="AE223" s="2" t="n">
        <v>109</v>
      </c>
      <c r="AF223" s="0" t="n">
        <v>143</v>
      </c>
      <c r="AG223" s="3" t="n">
        <f aca="false">16+57/60</f>
        <v>16.95</v>
      </c>
      <c r="AH223" s="3" t="n">
        <f aca="false">17+46/60</f>
        <v>17.7666666666667</v>
      </c>
      <c r="AI223" s="3" t="n">
        <f aca="false">18+56/60</f>
        <v>18.9333333333333</v>
      </c>
      <c r="AJ223" s="3" t="n">
        <f aca="false">22+51/60</f>
        <v>22.85</v>
      </c>
      <c r="AK223" s="3" t="n">
        <f aca="false">22+51/60</f>
        <v>22.85</v>
      </c>
      <c r="AL223" s="3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4" t="n">
        <f aca="false">60*V223-SUM(AV223:AZ223)</f>
        <v>32.3166666666667</v>
      </c>
      <c r="AV223" s="3" t="n">
        <f aca="false">41+4/60</f>
        <v>41.0666666666667</v>
      </c>
      <c r="AW223" s="3" t="n">
        <f aca="false">56+8/60</f>
        <v>56.1333333333333</v>
      </c>
      <c r="AX223" s="3" t="n">
        <f aca="false">14+26/60</f>
        <v>14.4333333333333</v>
      </c>
      <c r="AY223" s="3" t="n">
        <f aca="false">3/60</f>
        <v>0.05</v>
      </c>
      <c r="AZ223" s="3" t="n">
        <v>0</v>
      </c>
      <c r="BA223" s="0" t="s">
        <v>59</v>
      </c>
      <c r="BB223" s="0" t="s">
        <v>60</v>
      </c>
      <c r="BC223" s="0" t="n">
        <v>0</v>
      </c>
    </row>
    <row r="224" customFormat="false" ht="14.9" hidden="false" customHeight="true" outlineLevel="0" collapsed="false">
      <c r="A224" s="0" t="n">
        <f aca="false">A223+1</f>
        <v>755</v>
      </c>
      <c r="B224" s="1" t="n">
        <v>44101.525</v>
      </c>
      <c r="C224" s="0" t="n">
        <v>1</v>
      </c>
      <c r="F224" s="6" t="s">
        <v>84</v>
      </c>
      <c r="G224" s="2" t="n">
        <v>86</v>
      </c>
      <c r="H224" s="2" t="n">
        <v>72</v>
      </c>
      <c r="I224" s="2" t="n">
        <v>63</v>
      </c>
      <c r="J224" s="2" t="s">
        <v>95</v>
      </c>
      <c r="K224" s="2" t="n">
        <v>26</v>
      </c>
      <c r="L224" s="2" t="n">
        <v>35</v>
      </c>
      <c r="M224" s="0" t="s">
        <v>94</v>
      </c>
      <c r="N224" s="0" t="n">
        <v>0</v>
      </c>
      <c r="O224" s="0" t="s">
        <v>138</v>
      </c>
      <c r="Q224" s="0" t="s">
        <v>78</v>
      </c>
      <c r="R224" s="3" t="n">
        <v>4.5</v>
      </c>
      <c r="S224" s="2" t="n">
        <v>1310</v>
      </c>
      <c r="T224" s="2" t="n">
        <v>10870</v>
      </c>
      <c r="U224" s="2" t="n">
        <f aca="false">T224-S224</f>
        <v>9560</v>
      </c>
      <c r="V224" s="3" t="n">
        <f aca="false">(60+20)/60</f>
        <v>1.33333333333333</v>
      </c>
      <c r="W224" s="3" t="n">
        <f aca="false">(60+34)/60</f>
        <v>1.56666666666667</v>
      </c>
      <c r="X224" s="3" t="n">
        <f aca="false">W224-V224</f>
        <v>0.233333333333333</v>
      </c>
      <c r="Y224" s="3" t="n">
        <f aca="false">R224/V224</f>
        <v>3.375</v>
      </c>
      <c r="Z224" s="0" t="n">
        <v>1</v>
      </c>
      <c r="AA224" s="3" t="n">
        <f aca="false">R224/Z224</f>
        <v>4.5</v>
      </c>
      <c r="AB224" s="3" t="n">
        <f aca="false">17+54/60</f>
        <v>17.9</v>
      </c>
      <c r="AC224" s="2" t="n">
        <f aca="false">420</f>
        <v>420</v>
      </c>
      <c r="AD224" s="2" t="n">
        <v>500</v>
      </c>
      <c r="AE224" s="2" t="n">
        <v>104</v>
      </c>
      <c r="AF224" s="0" t="n">
        <v>142</v>
      </c>
      <c r="AG224" s="3" t="n">
        <f aca="false">16+52/60</f>
        <v>16.8666666666667</v>
      </c>
      <c r="AH224" s="3" t="n">
        <f aca="false">16+53/60</f>
        <v>16.8833333333333</v>
      </c>
      <c r="AI224" s="3" t="n">
        <f aca="false">17+30/60</f>
        <v>17.5</v>
      </c>
      <c r="AJ224" s="3" t="n">
        <f aca="false">19+44/60</f>
        <v>19.7333333333333</v>
      </c>
      <c r="AK224" s="3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4" t="n">
        <v>0</v>
      </c>
      <c r="AV224" s="3" t="n">
        <f aca="false">58+56/60</f>
        <v>58.9333333333333</v>
      </c>
      <c r="AW224" s="3" t="n">
        <f aca="false">16+66/60</f>
        <v>17.1</v>
      </c>
      <c r="AX224" s="3" t="n">
        <f aca="false">4+17/60</f>
        <v>4.28333333333333</v>
      </c>
      <c r="AY224" s="3" t="n">
        <v>0</v>
      </c>
      <c r="AZ224" s="3" t="n">
        <v>0</v>
      </c>
      <c r="BA224" s="0" t="s">
        <v>59</v>
      </c>
      <c r="BB224" s="0" t="s">
        <v>60</v>
      </c>
      <c r="BC224" s="0" t="n">
        <v>0</v>
      </c>
    </row>
    <row r="225" customFormat="false" ht="12.8" hidden="false" customHeight="false" outlineLevel="0" collapsed="false">
      <c r="A225" s="0" t="n">
        <f aca="false">A224+1</f>
        <v>756</v>
      </c>
      <c r="B225" s="1" t="n">
        <v>44102.5430555556</v>
      </c>
      <c r="C225" s="0" t="n">
        <v>1</v>
      </c>
      <c r="F225" s="6" t="s">
        <v>85</v>
      </c>
      <c r="G225" s="2" t="n">
        <v>76</v>
      </c>
      <c r="H225" s="2" t="n">
        <v>43</v>
      </c>
      <c r="I225" s="2" t="n">
        <f aca="false">(33+29)/2</f>
        <v>31</v>
      </c>
      <c r="J225" s="2" t="s">
        <v>96</v>
      </c>
      <c r="K225" s="2" t="n">
        <f aca="false">(18+21)/2</f>
        <v>19.5</v>
      </c>
      <c r="L225" s="2" t="n">
        <v>30</v>
      </c>
      <c r="M225" s="0" t="s">
        <v>73</v>
      </c>
      <c r="N225" s="0" t="n">
        <v>0</v>
      </c>
      <c r="O225" s="0" t="s">
        <v>138</v>
      </c>
      <c r="Q225" s="0" t="s">
        <v>82</v>
      </c>
      <c r="R225" s="3" t="n">
        <v>6.91</v>
      </c>
      <c r="S225" s="2" t="n">
        <v>1991</v>
      </c>
      <c r="T225" s="2" t="n">
        <v>16178</v>
      </c>
      <c r="U225" s="2" t="n">
        <f aca="false">T225-S225</f>
        <v>14187</v>
      </c>
      <c r="V225" s="3" t="n">
        <f aca="false">(60+50)/60</f>
        <v>1.83333333333333</v>
      </c>
      <c r="W225" s="3" t="n">
        <f aca="false">120/60</f>
        <v>2</v>
      </c>
      <c r="X225" s="3" t="n">
        <f aca="false">W225-V225</f>
        <v>0.166666666666667</v>
      </c>
      <c r="Y225" s="3" t="n">
        <f aca="false">R225/V225</f>
        <v>3.76909090909091</v>
      </c>
      <c r="Z225" s="0" t="n">
        <v>1</v>
      </c>
      <c r="AA225" s="3" t="n">
        <f aca="false">R225/Z225</f>
        <v>6.91</v>
      </c>
      <c r="AB225" s="3" t="n">
        <f aca="false">15+53/60</f>
        <v>15.8833333333333</v>
      </c>
      <c r="AC225" s="2" t="n">
        <v>102</v>
      </c>
      <c r="AD225" s="2" t="n">
        <v>719</v>
      </c>
      <c r="AE225" s="2" t="n">
        <v>95</v>
      </c>
      <c r="AF225" s="0" t="n">
        <v>125</v>
      </c>
      <c r="AG225" s="3" t="n">
        <f aca="false">15+34/60</f>
        <v>15.5666666666667</v>
      </c>
      <c r="AH225" s="3" t="n">
        <f aca="false">15+22/60</f>
        <v>15.3666666666667</v>
      </c>
      <c r="AI225" s="3" t="n">
        <f aca="false">16+27/60</f>
        <v>16.45</v>
      </c>
      <c r="AJ225" s="3" t="n">
        <f aca="false">16+23/60</f>
        <v>16.3833333333333</v>
      </c>
      <c r="AK225" s="3" t="n">
        <f aca="false">16+3/60</f>
        <v>16.05</v>
      </c>
      <c r="AL225" s="3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4" t="n">
        <f aca="false">60*V225-SUM(AV225:AZ225)</f>
        <v>23.7633333333333</v>
      </c>
      <c r="AV225" s="3" t="n">
        <f aca="false">79+26/50</f>
        <v>79.52</v>
      </c>
      <c r="AW225" s="3" t="n">
        <f aca="false">6+42/60</f>
        <v>6.7</v>
      </c>
      <c r="AX225" s="3" t="n">
        <f aca="false">1/60</f>
        <v>0.0166666666666667</v>
      </c>
      <c r="AY225" s="3" t="n">
        <v>0</v>
      </c>
      <c r="AZ225" s="3" t="n">
        <v>0</v>
      </c>
      <c r="BA225" s="0" t="s">
        <v>59</v>
      </c>
      <c r="BB225" s="0" t="s">
        <v>60</v>
      </c>
      <c r="BC225" s="0" t="n">
        <v>0</v>
      </c>
    </row>
    <row r="226" customFormat="false" ht="12.8" hidden="false" customHeight="false" outlineLevel="0" collapsed="false">
      <c r="A226" s="0" t="n">
        <f aca="false">A225+1</f>
        <v>757</v>
      </c>
      <c r="B226" s="1" t="n">
        <v>44103.5375</v>
      </c>
      <c r="C226" s="0" t="n">
        <v>1</v>
      </c>
      <c r="F226" s="0" t="s">
        <v>61</v>
      </c>
      <c r="G226" s="2" t="n">
        <v>81</v>
      </c>
      <c r="H226" s="2" t="n">
        <v>32</v>
      </c>
      <c r="I226" s="2" t="n">
        <v>17</v>
      </c>
      <c r="J226" s="2" t="s">
        <v>99</v>
      </c>
      <c r="K226" s="2" t="n">
        <v>11</v>
      </c>
      <c r="L226" s="2" t="n">
        <f aca="false">(20+32)/2</f>
        <v>26</v>
      </c>
      <c r="M226" s="0" t="s">
        <v>73</v>
      </c>
      <c r="N226" s="0" t="n">
        <v>0</v>
      </c>
      <c r="O226" s="0" t="s">
        <v>138</v>
      </c>
      <c r="Q226" s="0" t="s">
        <v>87</v>
      </c>
      <c r="R226" s="3" t="n">
        <v>6.16</v>
      </c>
      <c r="S226" s="2" t="n">
        <v>1078</v>
      </c>
      <c r="T226" s="2" t="n">
        <v>13392</v>
      </c>
      <c r="U226" s="2" t="n">
        <f aca="false">T226-S226</f>
        <v>12314</v>
      </c>
      <c r="V226" s="3" t="n">
        <f aca="false">(60+37)/60</f>
        <v>1.61666666666667</v>
      </c>
      <c r="W226" s="3" t="n">
        <f aca="false">(60+42)/60</f>
        <v>1.7</v>
      </c>
      <c r="X226" s="3" t="n">
        <f aca="false">W226-V226</f>
        <v>0.0833333333333333</v>
      </c>
      <c r="Y226" s="3" t="n">
        <f aca="false">R226/V226</f>
        <v>3.81030927835052</v>
      </c>
      <c r="Z226" s="0" t="n">
        <v>1</v>
      </c>
      <c r="AA226" s="3" t="n">
        <f aca="false">R226/Z226</f>
        <v>6.16</v>
      </c>
      <c r="AB226" s="3" t="n">
        <f aca="false">15+39/60</f>
        <v>15.65</v>
      </c>
      <c r="AC226" s="2" t="n">
        <v>308</v>
      </c>
      <c r="AD226" s="2" t="n">
        <v>565</v>
      </c>
      <c r="AE226" s="2" t="n">
        <v>84</v>
      </c>
      <c r="AF226" s="0" t="n">
        <v>125</v>
      </c>
      <c r="AG226" s="3" t="n">
        <f aca="false">15+24/60</f>
        <v>15.4</v>
      </c>
      <c r="AH226" s="3" t="n">
        <f aca="false">15+27/60</f>
        <v>15.45</v>
      </c>
      <c r="AI226" s="3" t="n">
        <f aca="false">15+27/60</f>
        <v>15.45</v>
      </c>
      <c r="AJ226" s="3" t="n">
        <f aca="false">17+6/60</f>
        <v>17.1</v>
      </c>
      <c r="AK226" s="3" t="n">
        <f aca="false">15+6/60</f>
        <v>15.1</v>
      </c>
      <c r="AL226" s="3" t="n">
        <f aca="false">15+23/60</f>
        <v>15.3833333333333</v>
      </c>
      <c r="AM226" s="3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4" t="n">
        <f aca="false">60*V226-SUM(AV226:AZ226)</f>
        <v>68.3333333333333</v>
      </c>
      <c r="AV226" s="3" t="n">
        <f aca="false">26+1/60</f>
        <v>26.0166666666667</v>
      </c>
      <c r="AW226" s="3" t="n">
        <f aca="false">2+39/60</f>
        <v>2.65</v>
      </c>
      <c r="AX226" s="3" t="n">
        <v>0</v>
      </c>
      <c r="AY226" s="3" t="n">
        <v>0</v>
      </c>
      <c r="AZ226" s="3" t="n">
        <v>0</v>
      </c>
      <c r="BA226" s="0" t="s">
        <v>59</v>
      </c>
      <c r="BB226" s="0" t="s">
        <v>60</v>
      </c>
      <c r="BC226" s="0" t="n">
        <v>0</v>
      </c>
    </row>
    <row r="227" customFormat="false" ht="12.8" hidden="false" customHeight="false" outlineLevel="0" collapsed="false">
      <c r="A227" s="0" t="n">
        <f aca="false">A226+1</f>
        <v>758</v>
      </c>
      <c r="B227" s="1" t="n">
        <v>44104.5222222222</v>
      </c>
      <c r="C227" s="0" t="n">
        <v>1</v>
      </c>
      <c r="F227" s="0" t="s">
        <v>61</v>
      </c>
      <c r="G227" s="2" t="n">
        <v>90</v>
      </c>
      <c r="H227" s="2" t="n">
        <v>42</v>
      </c>
      <c r="I227" s="2" t="n">
        <v>19</v>
      </c>
      <c r="J227" s="0" t="s">
        <v>135</v>
      </c>
      <c r="K227" s="2" t="n">
        <v>5</v>
      </c>
      <c r="L227" s="2" t="n">
        <v>0</v>
      </c>
      <c r="M227" s="0" t="s">
        <v>73</v>
      </c>
      <c r="N227" s="0" t="n">
        <v>0</v>
      </c>
      <c r="O227" s="0" t="s">
        <v>138</v>
      </c>
      <c r="Q227" s="0" t="s">
        <v>65</v>
      </c>
      <c r="R227" s="3" t="n">
        <v>6.82</v>
      </c>
      <c r="S227" s="2" t="n">
        <v>246</v>
      </c>
      <c r="V227" s="3" t="n">
        <f aca="false">(60+57)/60</f>
        <v>1.95</v>
      </c>
      <c r="W227" s="3" t="n">
        <f aca="false">(120+15)/60</f>
        <v>2.25</v>
      </c>
      <c r="X227" s="3" t="n">
        <f aca="false">W227-V227</f>
        <v>0.3</v>
      </c>
      <c r="Y227" s="3" t="n">
        <f aca="false">R227/W227</f>
        <v>3.03111111111111</v>
      </c>
      <c r="Z227" s="0" t="n">
        <v>1</v>
      </c>
      <c r="AA227" s="3" t="n">
        <f aca="false">R227/Z227</f>
        <v>6.82</v>
      </c>
      <c r="AB227" s="3" t="n">
        <f aca="false">17+12/60</f>
        <v>17.2</v>
      </c>
      <c r="AC227" s="2" t="n">
        <v>433</v>
      </c>
      <c r="AD227" s="2" t="n">
        <v>787</v>
      </c>
      <c r="AE227" s="2" t="n">
        <v>115</v>
      </c>
      <c r="AF227" s="0" t="n">
        <v>140</v>
      </c>
      <c r="AG227" s="3" t="n">
        <f aca="false">16+24/60</f>
        <v>16.4</v>
      </c>
      <c r="AH227" s="3" t="n">
        <f aca="false">16+18/60</f>
        <v>16.3</v>
      </c>
      <c r="AI227" s="3" t="n">
        <f aca="false">17+2/60</f>
        <v>17.0333333333333</v>
      </c>
      <c r="AJ227" s="3" t="n">
        <f aca="false">18-28/60</f>
        <v>17.5333333333333</v>
      </c>
      <c r="AK227" s="3" t="n">
        <f aca="false">17+20/60</f>
        <v>17.3333333333333</v>
      </c>
      <c r="AL227" s="3" t="n">
        <f aca="false">17+18/60</f>
        <v>17.3</v>
      </c>
      <c r="AM227" s="3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4" t="n">
        <f aca="false">60*V227-SUM(AV227:AZ227)</f>
        <v>0.550000000000011</v>
      </c>
      <c r="AV227" s="3" t="n">
        <f aca="false">28+54/60</f>
        <v>28.9</v>
      </c>
      <c r="AW227" s="3" t="n">
        <f aca="false">61+44/60</f>
        <v>61.7333333333333</v>
      </c>
      <c r="AX227" s="3" t="n">
        <f aca="false">25+49/60</f>
        <v>25.8166666666667</v>
      </c>
      <c r="AY227" s="3" t="n">
        <v>0</v>
      </c>
      <c r="AZ227" s="3" t="n">
        <v>0</v>
      </c>
      <c r="BA227" s="0" t="s">
        <v>59</v>
      </c>
      <c r="BB227" s="0" t="s">
        <v>60</v>
      </c>
      <c r="BC227" s="0" t="n">
        <v>0</v>
      </c>
    </row>
    <row r="228" customFormat="false" ht="12.8" hidden="false" customHeight="false" outlineLevel="0" collapsed="false">
      <c r="A228" s="0" t="n">
        <f aca="false">A227+1</f>
        <v>759</v>
      </c>
      <c r="B228" s="1" t="n">
        <v>44105.4479166667</v>
      </c>
      <c r="C228" s="0" t="n">
        <v>1</v>
      </c>
      <c r="F228" s="0" t="s">
        <v>61</v>
      </c>
      <c r="G228" s="2" t="n">
        <v>80</v>
      </c>
      <c r="H228" s="2" t="n">
        <v>46</v>
      </c>
      <c r="I228" s="2" t="n">
        <v>31</v>
      </c>
      <c r="J228" s="2" t="s">
        <v>133</v>
      </c>
      <c r="K228" s="2" t="n">
        <v>14</v>
      </c>
      <c r="L228" s="2" t="n">
        <v>0</v>
      </c>
      <c r="M228" s="0" t="s">
        <v>73</v>
      </c>
      <c r="N228" s="0" t="n">
        <v>0</v>
      </c>
      <c r="O228" s="0" t="s">
        <v>138</v>
      </c>
      <c r="Q228" s="0" t="s">
        <v>98</v>
      </c>
      <c r="R228" s="3" t="n">
        <v>7.4</v>
      </c>
      <c r="S228" s="2" t="n">
        <v>958</v>
      </c>
      <c r="T228" s="2" t="n">
        <v>16670</v>
      </c>
      <c r="U228" s="2" t="n">
        <f aca="false">T228-S228</f>
        <v>15712</v>
      </c>
      <c r="V228" s="3" t="n">
        <f aca="false">(120+9)/60</f>
        <v>2.15</v>
      </c>
      <c r="W228" s="3" t="n">
        <f aca="false">(120+28)/60</f>
        <v>2.46666666666667</v>
      </c>
      <c r="X228" s="3" t="n">
        <f aca="false">W228-V228</f>
        <v>0.316666666666667</v>
      </c>
      <c r="Y228" s="3" t="n">
        <f aca="false">R228/W228</f>
        <v>3</v>
      </c>
      <c r="Z228" s="0" t="n">
        <v>1</v>
      </c>
      <c r="AA228" s="3" t="n">
        <f aca="false">R228/Z228</f>
        <v>7.4</v>
      </c>
      <c r="AB228" s="3" t="n">
        <f aca="false">17+30/60</f>
        <v>17.5</v>
      </c>
      <c r="AC228" s="2" t="n">
        <v>164</v>
      </c>
      <c r="AD228" s="2" t="n">
        <v>799</v>
      </c>
      <c r="AE228" s="2" t="n">
        <v>109</v>
      </c>
      <c r="AF228" s="0" t="n">
        <v>137</v>
      </c>
      <c r="AG228" s="3" t="n">
        <f aca="false">16+9/60</f>
        <v>16.15</v>
      </c>
      <c r="AH228" s="3" t="n">
        <f aca="false">16+2/60</f>
        <v>16.0333333333333</v>
      </c>
      <c r="AI228" s="3" t="n">
        <f aca="false">17+29/60</f>
        <v>17.4833333333333</v>
      </c>
      <c r="AJ228" s="3" t="n">
        <f aca="false">18+42/60</f>
        <v>18.7</v>
      </c>
      <c r="AK228" s="3" t="n">
        <f aca="false">18+37/60</f>
        <v>18.6166666666667</v>
      </c>
      <c r="AL228" s="3" t="n">
        <f aca="false">17+7/60</f>
        <v>17.1166666666667</v>
      </c>
      <c r="AM228" s="3" t="n">
        <f aca="false">18+24/60</f>
        <v>18.4</v>
      </c>
      <c r="AN228" s="3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4" t="n">
        <v>0</v>
      </c>
      <c r="AV228" s="3" t="n">
        <f aca="false">46+39/60</f>
        <v>46.65</v>
      </c>
      <c r="AW228" s="3" t="n">
        <f aca="false">120+27/60</f>
        <v>120.45</v>
      </c>
      <c r="AX228" s="3" t="n">
        <f aca="false">1+22/60</f>
        <v>1.36666666666667</v>
      </c>
      <c r="AY228" s="3" t="n">
        <v>0</v>
      </c>
      <c r="AZ228" s="3" t="n">
        <v>0</v>
      </c>
      <c r="BA228" s="0" t="s">
        <v>59</v>
      </c>
      <c r="BB228" s="0" t="s">
        <v>60</v>
      </c>
      <c r="BC228" s="0" t="n">
        <v>0</v>
      </c>
    </row>
    <row r="229" customFormat="false" ht="13.8" hidden="false" customHeight="false" outlineLevel="0" collapsed="false">
      <c r="A229" s="0" t="n">
        <f aca="false">A228+1</f>
        <v>760</v>
      </c>
      <c r="B229" s="1" t="n">
        <v>44106.4555555556</v>
      </c>
      <c r="C229" s="0" t="n">
        <v>1</v>
      </c>
      <c r="F229" s="0" t="s">
        <v>61</v>
      </c>
      <c r="G229" s="2" t="n">
        <f aca="false">(70+73)/2</f>
        <v>71.5</v>
      </c>
      <c r="H229" s="2" t="n">
        <f aca="false">(39+36)/2</f>
        <v>37.5</v>
      </c>
      <c r="I229" s="2" t="n">
        <f aca="false">(32+26)/2</f>
        <v>29</v>
      </c>
      <c r="J229" s="2" t="s">
        <v>99</v>
      </c>
      <c r="K229" s="2" t="n">
        <v>9</v>
      </c>
      <c r="L229" s="2" t="n">
        <v>0</v>
      </c>
      <c r="M229" s="0" t="s">
        <v>73</v>
      </c>
      <c r="N229" s="0" t="n">
        <v>0</v>
      </c>
      <c r="O229" s="0" t="s">
        <v>138</v>
      </c>
      <c r="Q229" s="13" t="s">
        <v>104</v>
      </c>
      <c r="R229" s="3" t="n">
        <v>6.93</v>
      </c>
      <c r="S229" s="2" t="n">
        <v>296</v>
      </c>
      <c r="T229" s="2" t="n">
        <v>15107</v>
      </c>
      <c r="U229" s="2" t="n">
        <f aca="false">T229-S229</f>
        <v>14811</v>
      </c>
      <c r="V229" s="3" t="n">
        <f aca="false">(60+57)/60</f>
        <v>1.95</v>
      </c>
      <c r="W229" s="3" t="n">
        <f aca="false">(120+7)/60</f>
        <v>2.11666666666667</v>
      </c>
      <c r="X229" s="3" t="n">
        <f aca="false">W229-V229</f>
        <v>0.166666666666667</v>
      </c>
      <c r="Y229" s="3" t="n">
        <f aca="false">R229/W229</f>
        <v>3.2740157480315</v>
      </c>
      <c r="Z229" s="0" t="n">
        <v>1</v>
      </c>
      <c r="AA229" s="3" t="n">
        <f aca="false">R229/Z229</f>
        <v>6.93</v>
      </c>
      <c r="AB229" s="3" t="n">
        <f aca="false">16+55/60</f>
        <v>16.9166666666667</v>
      </c>
      <c r="AC229" s="2" t="n">
        <v>659</v>
      </c>
      <c r="AD229" s="2" t="n">
        <v>756</v>
      </c>
      <c r="AE229" s="2" t="n">
        <v>95</v>
      </c>
      <c r="AF229" s="0" t="n">
        <v>125</v>
      </c>
      <c r="AG229" s="3" t="n">
        <f aca="false">16+28/60</f>
        <v>16.4666666666667</v>
      </c>
      <c r="AH229" s="3" t="n">
        <f aca="false">16+44/60</f>
        <v>16.7333333333333</v>
      </c>
      <c r="AI229" s="3" t="n">
        <f aca="false">17+6/30</f>
        <v>17.2</v>
      </c>
      <c r="AJ229" s="3" t="n">
        <f aca="false">17+17/60</f>
        <v>17.2833333333333</v>
      </c>
      <c r="AK229" s="3" t="n">
        <f aca="false">16+55/60</f>
        <v>16.9166666666667</v>
      </c>
      <c r="AL229" s="3" t="n">
        <f aca="false">16+7/60</f>
        <v>16.1166666666667</v>
      </c>
      <c r="AM229" s="3" t="n">
        <f aca="false">60/3.5</f>
        <v>17.1428571428571</v>
      </c>
      <c r="AQ229" s="2" t="n">
        <v>8</v>
      </c>
      <c r="AR229" s="0" t="n">
        <v>1</v>
      </c>
      <c r="AS229" s="0" t="n">
        <v>0</v>
      </c>
      <c r="AT229" s="0" t="n">
        <v>0</v>
      </c>
      <c r="AU229" s="4" t="n">
        <f aca="false">60*V229-SUM(AV229:AZ229)</f>
        <v>40.4666666666667</v>
      </c>
      <c r="AV229" s="3" t="n">
        <f aca="false">62+55/60</f>
        <v>62.9166666666667</v>
      </c>
      <c r="AW229" s="3" t="n">
        <f aca="false">13+37/60</f>
        <v>13.6166666666667</v>
      </c>
      <c r="AX229" s="3" t="n">
        <v>0</v>
      </c>
      <c r="AY229" s="3" t="n">
        <v>0</v>
      </c>
      <c r="AZ229" s="3" t="n">
        <v>0</v>
      </c>
      <c r="BA229" s="0" t="s">
        <v>59</v>
      </c>
      <c r="BB229" s="0" t="s">
        <v>60</v>
      </c>
      <c r="BC229" s="0" t="n">
        <v>0</v>
      </c>
    </row>
    <row r="230" customFormat="false" ht="12.8" hidden="false" customHeight="false" outlineLevel="0" collapsed="false">
      <c r="A230" s="0" t="n">
        <f aca="false">A229+1</f>
        <v>761</v>
      </c>
      <c r="B230" s="1" t="n">
        <v>44107.5201388889</v>
      </c>
      <c r="C230" s="0" t="n">
        <v>1</v>
      </c>
      <c r="F230" s="0" t="s">
        <v>61</v>
      </c>
      <c r="G230" s="2" t="n">
        <f aca="false">(79+83)/2</f>
        <v>81</v>
      </c>
      <c r="H230" s="2" t="n">
        <v>52</v>
      </c>
      <c r="I230" s="2" t="n">
        <f aca="false">(46+39)/2</f>
        <v>42.5</v>
      </c>
      <c r="J230" s="2" t="s">
        <v>103</v>
      </c>
      <c r="K230" s="2" t="n">
        <v>23</v>
      </c>
      <c r="L230" s="2" t="n">
        <v>29</v>
      </c>
      <c r="M230" s="0" t="s">
        <v>73</v>
      </c>
      <c r="N230" s="0" t="n">
        <v>0</v>
      </c>
      <c r="O230" s="0" t="s">
        <v>138</v>
      </c>
      <c r="Q230" s="0" t="s">
        <v>63</v>
      </c>
      <c r="R230" s="3" t="n">
        <v>6.14</v>
      </c>
      <c r="S230" s="2" t="n">
        <v>484</v>
      </c>
      <c r="T230" s="2" t="n">
        <v>13467</v>
      </c>
      <c r="U230" s="2" t="n">
        <f aca="false">T230-S230</f>
        <v>12983</v>
      </c>
      <c r="V230" s="3" t="n">
        <f aca="false">(60+43)/60</f>
        <v>1.71666666666667</v>
      </c>
      <c r="W230" s="3" t="n">
        <f aca="false">(60+48)/60</f>
        <v>1.8</v>
      </c>
      <c r="X230" s="3" t="n">
        <f aca="false">W230-V230</f>
        <v>0.0833333333333335</v>
      </c>
      <c r="Y230" s="3" t="n">
        <f aca="false">R230/W230</f>
        <v>3.41111111111111</v>
      </c>
      <c r="Z230" s="0" t="n">
        <v>1</v>
      </c>
      <c r="AA230" s="3" t="n">
        <f aca="false">R230/Z230</f>
        <v>6.14</v>
      </c>
      <c r="AB230" s="3" t="n">
        <f aca="false">16+44/60</f>
        <v>16.7333333333333</v>
      </c>
      <c r="AC230" s="2" t="n">
        <v>584</v>
      </c>
      <c r="AD230" s="2" t="n">
        <v>709</v>
      </c>
      <c r="AE230" s="2" t="n">
        <v>118</v>
      </c>
      <c r="AF230" s="0" t="n">
        <v>145</v>
      </c>
      <c r="AG230" s="3" t="n">
        <f aca="false">16+14/60</f>
        <v>16.2333333333333</v>
      </c>
      <c r="AH230" s="3" t="n">
        <f aca="false">16+11/60</f>
        <v>16.1833333333333</v>
      </c>
      <c r="AI230" s="3" t="n">
        <f aca="false">16+22/60</f>
        <v>16.3666666666667</v>
      </c>
      <c r="AJ230" s="3" t="n">
        <f aca="false">18+11/60</f>
        <v>18.1833333333333</v>
      </c>
      <c r="AK230" s="3" t="n">
        <f aca="false">16+42/60</f>
        <v>16.7</v>
      </c>
      <c r="AL230" s="3" t="n">
        <f aca="false">16+46/60</f>
        <v>16.7666666666667</v>
      </c>
      <c r="AM230" s="3" t="n">
        <f aca="false">60/3.6</f>
        <v>16.6666666666667</v>
      </c>
      <c r="AQ230" s="2" t="n">
        <v>2</v>
      </c>
      <c r="AR230" s="0" t="n">
        <v>2</v>
      </c>
      <c r="AS230" s="0" t="n">
        <v>0</v>
      </c>
      <c r="AT230" s="0" t="n">
        <v>0</v>
      </c>
      <c r="AU230" s="4" t="n">
        <f aca="false">60*V230-SUM(AV230:AZ230)</f>
        <v>14.5333333333335</v>
      </c>
      <c r="AV230" s="3" t="n">
        <f aca="false">5+29/60</f>
        <v>5.48333333333333</v>
      </c>
      <c r="AW230" s="3" t="n">
        <f aca="false">40+27/60</f>
        <v>40.45</v>
      </c>
      <c r="AX230" s="3" t="n">
        <f aca="false">41+13/60</f>
        <v>41.2166666666667</v>
      </c>
      <c r="AY230" s="3" t="n">
        <f aca="false">1+19/60</f>
        <v>1.31666666666667</v>
      </c>
      <c r="AZ230" s="3" t="n">
        <v>0</v>
      </c>
      <c r="BA230" s="0" t="s">
        <v>59</v>
      </c>
      <c r="BB230" s="0" t="s">
        <v>60</v>
      </c>
      <c r="BC230" s="0" t="n">
        <v>0</v>
      </c>
    </row>
    <row r="231" customFormat="false" ht="12.8" hidden="false" customHeight="false" outlineLevel="0" collapsed="false">
      <c r="A231" s="0" t="n">
        <f aca="false">A230+1</f>
        <v>762</v>
      </c>
      <c r="B231" s="1" t="n">
        <v>44108.5993055556</v>
      </c>
      <c r="C231" s="0" t="n">
        <v>1</v>
      </c>
      <c r="F231" s="0" t="s">
        <v>61</v>
      </c>
      <c r="G231" s="2" t="n">
        <v>78</v>
      </c>
      <c r="H231" s="2" t="n">
        <v>45</v>
      </c>
      <c r="I231" s="2" t="n">
        <f aca="false">(32+29)/2</f>
        <v>30.5</v>
      </c>
      <c r="J231" s="2" t="s">
        <v>96</v>
      </c>
      <c r="K231" s="2" t="n">
        <v>17</v>
      </c>
      <c r="L231" s="2" t="n">
        <v>24</v>
      </c>
      <c r="M231" s="0" t="s">
        <v>73</v>
      </c>
      <c r="N231" s="0" t="n">
        <v>0</v>
      </c>
      <c r="O231" s="0" t="s">
        <v>138</v>
      </c>
      <c r="Q231" s="0" t="s">
        <v>78</v>
      </c>
      <c r="R231" s="3" t="n">
        <v>6.12</v>
      </c>
      <c r="S231" s="2" t="n">
        <v>1582</v>
      </c>
      <c r="T231" s="2" t="n">
        <v>14460</v>
      </c>
      <c r="U231" s="2" t="n">
        <v>12878</v>
      </c>
      <c r="V231" s="3" t="n">
        <f aca="false">(60+47)/60</f>
        <v>1.78333333333333</v>
      </c>
      <c r="W231" s="3" t="n">
        <f aca="false">(60+50)/60</f>
        <v>1.83333333333333</v>
      </c>
      <c r="X231" s="3" t="n">
        <f aca="false">W231-V231</f>
        <v>0.0499999999999998</v>
      </c>
      <c r="Y231" s="3" t="n">
        <f aca="false">R231/W231</f>
        <v>3.33818181818182</v>
      </c>
      <c r="Z231" s="0" t="n">
        <v>1</v>
      </c>
      <c r="AA231" s="3" t="n">
        <f aca="false">R231/Z231</f>
        <v>6.12</v>
      </c>
      <c r="AB231" s="3" t="n">
        <f aca="false">17+27/60</f>
        <v>17.45</v>
      </c>
      <c r="AC231" s="2" t="n">
        <v>105</v>
      </c>
      <c r="AD231" s="2" t="n">
        <v>642</v>
      </c>
      <c r="AE231" s="2" t="n">
        <v>108</v>
      </c>
      <c r="AF231" s="0" t="n">
        <v>130</v>
      </c>
      <c r="AG231" s="3" t="n">
        <f aca="false">16+59/60</f>
        <v>16.9833333333333</v>
      </c>
      <c r="AH231" s="3" t="n">
        <f aca="false">16+55/60</f>
        <v>16.9166666666667</v>
      </c>
      <c r="AI231" s="3" t="n">
        <f aca="false">17+8/60</f>
        <v>17.1333333333333</v>
      </c>
      <c r="AJ231" s="3" t="n">
        <f aca="false">17+523.6/60</f>
        <v>25.7266666666667</v>
      </c>
      <c r="AK231" s="3" t="n">
        <f aca="false">18+48/60</f>
        <v>18.8</v>
      </c>
      <c r="AL231" s="3" t="n">
        <f aca="false">17+2/60</f>
        <v>17.0333333333333</v>
      </c>
      <c r="AM231" s="3" t="n">
        <f aca="false">60/3.4</f>
        <v>17.6470588235294</v>
      </c>
      <c r="AQ231" s="2" t="n">
        <v>0</v>
      </c>
      <c r="AR231" s="0" t="n">
        <v>1</v>
      </c>
      <c r="AS231" s="0" t="n">
        <v>2</v>
      </c>
      <c r="AT231" s="0" t="n">
        <v>0</v>
      </c>
      <c r="AU231" s="4" t="n">
        <f aca="false">60*V231-SUM(AV231:AZ231)</f>
        <v>13.5833333333333</v>
      </c>
      <c r="AV231" s="3" t="n">
        <f aca="false">16+36/60</f>
        <v>16.6</v>
      </c>
      <c r="AW231" s="3" t="n">
        <f aca="false">74+41/60</f>
        <v>74.6833333333333</v>
      </c>
      <c r="AX231" s="3" t="n">
        <f aca="false">2+8/60</f>
        <v>2.13333333333333</v>
      </c>
      <c r="AY231" s="3" t="n">
        <v>0</v>
      </c>
      <c r="AZ231" s="3" t="n">
        <v>0</v>
      </c>
      <c r="BA231" s="0" t="s">
        <v>59</v>
      </c>
      <c r="BB231" s="0" t="s">
        <v>60</v>
      </c>
      <c r="BC231" s="0" t="n">
        <v>0</v>
      </c>
    </row>
    <row r="232" customFormat="false" ht="12.8" hidden="false" customHeight="false" outlineLevel="0" collapsed="false">
      <c r="A232" s="0" t="n">
        <f aca="false">A231+1</f>
        <v>763</v>
      </c>
      <c r="B232" s="1" t="n">
        <v>44109.5152777778</v>
      </c>
      <c r="C232" s="0" t="n">
        <v>1</v>
      </c>
      <c r="F232" s="0" t="s">
        <v>61</v>
      </c>
      <c r="G232" s="2" t="n">
        <v>73</v>
      </c>
      <c r="H232" s="2" t="n">
        <v>53</v>
      </c>
      <c r="I232" s="2" t="n">
        <f aca="false">(51+48)/2</f>
        <v>49.5</v>
      </c>
      <c r="J232" s="2" t="s">
        <v>95</v>
      </c>
      <c r="K232" s="2" t="n">
        <v>7</v>
      </c>
      <c r="L232" s="2" t="n">
        <v>0</v>
      </c>
      <c r="M232" s="0" t="s">
        <v>73</v>
      </c>
      <c r="N232" s="0" t="n">
        <v>0</v>
      </c>
      <c r="O232" s="0" t="s">
        <v>138</v>
      </c>
      <c r="Q232" s="0" t="s">
        <v>82</v>
      </c>
      <c r="R232" s="3" t="n">
        <v>7.56</v>
      </c>
      <c r="S232" s="2" t="n">
        <v>777</v>
      </c>
      <c r="T232" s="2" t="n">
        <v>16649</v>
      </c>
      <c r="U232" s="2" t="n">
        <f aca="false">T232-S232</f>
        <v>15872</v>
      </c>
      <c r="V232" s="3" t="n">
        <f aca="false">(120+2)/60</f>
        <v>2.03333333333333</v>
      </c>
      <c r="W232" s="3" t="n">
        <f aca="false">(120+10)/60</f>
        <v>2.16666666666667</v>
      </c>
      <c r="X232" s="3" t="n">
        <f aca="false">W232-V232</f>
        <v>0.133333333333333</v>
      </c>
      <c r="Y232" s="3" t="n">
        <f aca="false">R232/W232</f>
        <v>3.48923076923077</v>
      </c>
      <c r="Z232" s="0" t="n">
        <v>1</v>
      </c>
      <c r="AA232" s="3" t="n">
        <f aca="false">R232/Z232</f>
        <v>7.56</v>
      </c>
      <c r="AB232" s="3" t="n">
        <f aca="false">16+9/60</f>
        <v>16.15</v>
      </c>
      <c r="AC232" s="2" t="n">
        <v>433</v>
      </c>
      <c r="AD232" s="2" t="n">
        <v>808</v>
      </c>
      <c r="AE232" s="2" t="n">
        <v>118</v>
      </c>
      <c r="AF232" s="0" t="n">
        <v>138</v>
      </c>
      <c r="AG232" s="3" t="n">
        <f aca="false">15+37/60</f>
        <v>15.6166666666667</v>
      </c>
      <c r="AH232" s="3" t="n">
        <f aca="false">15+38/60</f>
        <v>15.6333333333333</v>
      </c>
      <c r="AI232" s="3" t="n">
        <f aca="false">16+23/60</f>
        <v>16.3833333333333</v>
      </c>
      <c r="AJ232" s="3" t="n">
        <f aca="false">16+19/60</f>
        <v>16.3166666666667</v>
      </c>
      <c r="AK232" s="3" t="n">
        <f aca="false">16+15/60</f>
        <v>16.25</v>
      </c>
      <c r="AL232" s="3" t="n">
        <f aca="false">16+4/60</f>
        <v>16.0666666666667</v>
      </c>
      <c r="AM232" s="3" t="n">
        <f aca="false">16+44/60</f>
        <v>16.7333333333333</v>
      </c>
      <c r="AN232" s="3" t="n">
        <f aca="false">60/3.7</f>
        <v>16.2162162162162</v>
      </c>
      <c r="AQ232" s="2" t="n">
        <v>0</v>
      </c>
      <c r="AR232" s="0" t="n">
        <v>2</v>
      </c>
      <c r="AS232" s="0" t="n">
        <v>1</v>
      </c>
      <c r="AT232" s="0" t="n">
        <v>0</v>
      </c>
      <c r="AU232" s="4" t="n">
        <f aca="false">60*V232-SUM(AV232:AZ232)</f>
        <v>0.816666666666663</v>
      </c>
      <c r="AV232" s="3" t="n">
        <f aca="false">19+22/60</f>
        <v>19.3666666666667</v>
      </c>
      <c r="AW232" s="3" t="n">
        <f aca="false">+(80+6/60)</f>
        <v>80.1</v>
      </c>
      <c r="AX232" s="3" t="n">
        <f aca="false">21+43/60</f>
        <v>21.7166666666667</v>
      </c>
      <c r="AY232" s="3" t="n">
        <v>0</v>
      </c>
      <c r="AZ232" s="3" t="n">
        <v>0</v>
      </c>
      <c r="BA232" s="0" t="s">
        <v>59</v>
      </c>
      <c r="BB232" s="0" t="s">
        <v>60</v>
      </c>
      <c r="BC232" s="0" t="n">
        <v>0</v>
      </c>
    </row>
    <row r="233" customFormat="false" ht="12.8" hidden="false" customHeight="false" outlineLevel="0" collapsed="false">
      <c r="A233" s="0" t="n">
        <f aca="false">A232+1</f>
        <v>764</v>
      </c>
      <c r="B233" s="1" t="n">
        <v>44110.4819444444</v>
      </c>
      <c r="C233" s="0" t="n">
        <v>1</v>
      </c>
      <c r="F233" s="0" t="s">
        <v>61</v>
      </c>
      <c r="G233" s="2" t="n">
        <f aca="false">(80+83+84)/3</f>
        <v>82.3333333333333</v>
      </c>
      <c r="H233" s="2" t="n">
        <v>65</v>
      </c>
      <c r="I233" s="2" t="n">
        <f aca="false">(60+64+63)/3</f>
        <v>62.3333333333333</v>
      </c>
      <c r="J233" s="2" t="s">
        <v>103</v>
      </c>
      <c r="K233" s="2" t="n">
        <f aca="false">(7+10+5)/3</f>
        <v>7.33333333333333</v>
      </c>
      <c r="L233" s="2" t="n">
        <v>0</v>
      </c>
      <c r="M233" s="0" t="s">
        <v>73</v>
      </c>
      <c r="N233" s="0" t="n">
        <v>0</v>
      </c>
      <c r="O233" s="0" t="s">
        <v>138</v>
      </c>
      <c r="Q233" s="0" t="s">
        <v>134</v>
      </c>
      <c r="R233" s="3" t="n">
        <v>6.93</v>
      </c>
      <c r="S233" s="2" t="n">
        <v>828</v>
      </c>
      <c r="T233" s="2" t="n">
        <v>17207</v>
      </c>
      <c r="U233" s="2" t="n">
        <f aca="false">T233-S233</f>
        <v>16379</v>
      </c>
      <c r="V233" s="3" t="n">
        <f aca="false">(120+23)/60</f>
        <v>2.38333333333333</v>
      </c>
      <c r="W233" s="3" t="n">
        <f aca="false">(120+46)/60</f>
        <v>2.76666666666667</v>
      </c>
      <c r="X233" s="3" t="n">
        <f aca="false">W233-V233</f>
        <v>0.383333333333333</v>
      </c>
      <c r="Y233" s="3" t="n">
        <f aca="false">R233/V233</f>
        <v>2.90769230769231</v>
      </c>
      <c r="Z233" s="0" t="n">
        <v>1</v>
      </c>
      <c r="AA233" s="3" t="n">
        <f aca="false">R233/Z233</f>
        <v>6.93</v>
      </c>
      <c r="AB233" s="3" t="n">
        <f aca="false">20+19/60</f>
        <v>20.3166666666667</v>
      </c>
      <c r="AC233" s="2" t="n">
        <v>1289</v>
      </c>
      <c r="AD233" s="2" t="n">
        <v>872</v>
      </c>
      <c r="AE233" s="2" t="n">
        <v>126</v>
      </c>
      <c r="AF233" s="0" t="n">
        <v>152</v>
      </c>
      <c r="AG233" s="3" t="n">
        <f aca="false">17+8/60</f>
        <v>17.1333333333333</v>
      </c>
      <c r="AH233" s="3" t="n">
        <f aca="false">17+30/60</f>
        <v>17.5</v>
      </c>
      <c r="AI233" s="3" t="n">
        <f aca="false">18+30/60</f>
        <v>18.5</v>
      </c>
      <c r="AJ233" s="3" t="n">
        <f aca="false">24+18/60</f>
        <v>24.3</v>
      </c>
      <c r="AK233" s="3" t="n">
        <f aca="false">23+53/60</f>
        <v>23.8833333333333</v>
      </c>
      <c r="AL233" s="3" t="n">
        <f aca="false">19+60/60</f>
        <v>20</v>
      </c>
      <c r="AM233" s="3" t="n">
        <f aca="false">60/2.9</f>
        <v>20.6896551724138</v>
      </c>
      <c r="AQ233" s="2" t="n">
        <v>4</v>
      </c>
      <c r="AR233" s="0" t="n">
        <v>3</v>
      </c>
      <c r="AS233" s="0" t="n">
        <v>3</v>
      </c>
      <c r="AT233" s="0" t="n">
        <v>0</v>
      </c>
      <c r="AU233" s="4" t="n">
        <f aca="false">60*V233-SUM(AV233:AZ233)</f>
        <v>2.71666666666667</v>
      </c>
      <c r="AV233" s="3" t="n">
        <f aca="false">16+18/60</f>
        <v>16.3</v>
      </c>
      <c r="AW233" s="3" t="n">
        <f aca="false">28+15/60</f>
        <v>28.25</v>
      </c>
      <c r="AX233" s="3" t="n">
        <f aca="false">87+40/60</f>
        <v>87.6666666666667</v>
      </c>
      <c r="AY233" s="3" t="n">
        <f aca="false">8+4/60</f>
        <v>8.06666666666667</v>
      </c>
      <c r="AZ233" s="3" t="n">
        <v>0</v>
      </c>
      <c r="BA233" s="0" t="s">
        <v>59</v>
      </c>
      <c r="BB233" s="0" t="s">
        <v>60</v>
      </c>
      <c r="BC233" s="0" t="n">
        <v>0</v>
      </c>
    </row>
    <row r="234" customFormat="false" ht="12.8" hidden="false" customHeight="false" outlineLevel="0" collapsed="false">
      <c r="A234" s="0" t="n">
        <f aca="false">A233+1</f>
        <v>765</v>
      </c>
      <c r="B234" s="1" t="n">
        <v>44111.4381944445</v>
      </c>
      <c r="C234" s="0" t="n">
        <v>1</v>
      </c>
      <c r="F234" s="0" t="s">
        <v>61</v>
      </c>
      <c r="G234" s="2" t="n">
        <v>88</v>
      </c>
      <c r="H234" s="2" t="n">
        <v>62</v>
      </c>
      <c r="I234" s="2" t="n">
        <f aca="false">(60+54)/2</f>
        <v>57</v>
      </c>
      <c r="J234" s="6" t="s">
        <v>111</v>
      </c>
      <c r="K234" s="2" t="n">
        <v>9</v>
      </c>
      <c r="L234" s="2" t="n">
        <v>0</v>
      </c>
      <c r="M234" s="0" t="s">
        <v>73</v>
      </c>
      <c r="N234" s="0" t="n">
        <v>0</v>
      </c>
      <c r="O234" s="0" t="s">
        <v>138</v>
      </c>
      <c r="Q234" s="0" t="s">
        <v>87</v>
      </c>
      <c r="R234" s="3" t="n">
        <v>6.3</v>
      </c>
      <c r="S234" s="2" t="n">
        <v>1101</v>
      </c>
      <c r="T234" s="2" t="n">
        <v>14636</v>
      </c>
      <c r="U234" s="2" t="n">
        <f aca="false">T234-S234</f>
        <v>13535</v>
      </c>
      <c r="V234" s="3" t="n">
        <f aca="false">(60+46)/60</f>
        <v>1.76666666666667</v>
      </c>
      <c r="W234" s="3" t="n">
        <f aca="false">(60+52)/60</f>
        <v>1.86666666666667</v>
      </c>
      <c r="X234" s="3" t="n">
        <f aca="false">W234-V234</f>
        <v>0.1</v>
      </c>
      <c r="Y234" s="3" t="n">
        <f aca="false">R234/V234</f>
        <v>3.56603773584906</v>
      </c>
      <c r="Z234" s="0" t="n">
        <v>1</v>
      </c>
      <c r="AA234" s="3" t="n">
        <f aca="false">R234/Z234</f>
        <v>6.3</v>
      </c>
      <c r="AB234" s="3" t="n">
        <f aca="false">16+50/60</f>
        <v>16.8333333333333</v>
      </c>
      <c r="AC234" s="2" t="n">
        <v>522</v>
      </c>
      <c r="AD234" s="2" t="n">
        <v>670</v>
      </c>
      <c r="AE234" s="2" t="n">
        <v>122</v>
      </c>
      <c r="AF234" s="0" t="n">
        <v>140</v>
      </c>
      <c r="AG234" s="3" t="n">
        <f aca="false">16+28/60</f>
        <v>16.4666666666667</v>
      </c>
      <c r="AH234" s="3" t="n">
        <f aca="false">16+55/60</f>
        <v>16.9166666666667</v>
      </c>
      <c r="AI234" s="3" t="n">
        <f aca="false">16+30/60</f>
        <v>16.5</v>
      </c>
      <c r="AJ234" s="3" t="n">
        <f aca="false">17+16/60</f>
        <v>17.2666666666667</v>
      </c>
      <c r="AK234" s="3" t="n">
        <f aca="false">16+33/60</f>
        <v>16.55</v>
      </c>
      <c r="AL234" s="3" t="n">
        <f aca="false">17+8/60</f>
        <v>17.1333333333333</v>
      </c>
      <c r="AM234" s="3" t="n">
        <f aca="false">60/3.61</f>
        <v>16.6204986149585</v>
      </c>
      <c r="AQ234" s="2" t="n">
        <v>0</v>
      </c>
      <c r="AR234" s="0" t="n">
        <v>3</v>
      </c>
      <c r="AS234" s="0" t="n">
        <v>0</v>
      </c>
      <c r="AT234" s="0" t="n">
        <v>0</v>
      </c>
      <c r="AU234" s="4" t="n">
        <v>0</v>
      </c>
      <c r="AV234" s="3" t="n">
        <f aca="false">2+59/60</f>
        <v>2.98333333333333</v>
      </c>
      <c r="AW234" s="3" t="n">
        <f aca="false">67+35/60</f>
        <v>67.5833333333333</v>
      </c>
      <c r="AX234" s="3" t="n">
        <f aca="false">35+34/60</f>
        <v>35.5666666666667</v>
      </c>
      <c r="AY234" s="3" t="n">
        <v>0</v>
      </c>
      <c r="AZ234" s="3" t="n">
        <v>0</v>
      </c>
      <c r="BA234" s="0" t="s">
        <v>59</v>
      </c>
      <c r="BB234" s="0" t="s">
        <v>60</v>
      </c>
      <c r="BC234" s="0" t="n">
        <v>0</v>
      </c>
    </row>
    <row r="235" customFormat="false" ht="12.8" hidden="false" customHeight="false" outlineLevel="0" collapsed="false">
      <c r="A235" s="0" t="n">
        <f aca="false">A234+1</f>
        <v>766</v>
      </c>
      <c r="B235" s="1" t="n">
        <v>44112.50625</v>
      </c>
      <c r="C235" s="0" t="n">
        <v>1</v>
      </c>
      <c r="F235" s="0" t="s">
        <v>61</v>
      </c>
      <c r="G235" s="2" t="n">
        <f aca="false">(79+81)/2</f>
        <v>80</v>
      </c>
      <c r="H235" s="2" t="n">
        <v>61</v>
      </c>
      <c r="I235" s="2" t="n">
        <f aca="false">(54+47)/2</f>
        <v>50.5</v>
      </c>
      <c r="J235" s="2" t="s">
        <v>103</v>
      </c>
      <c r="K235" s="2" t="n">
        <v>6</v>
      </c>
      <c r="L235" s="2" t="n">
        <v>0</v>
      </c>
      <c r="M235" s="6" t="s">
        <v>73</v>
      </c>
      <c r="N235" s="0" t="n">
        <v>0</v>
      </c>
      <c r="O235" s="0" t="s">
        <v>138</v>
      </c>
      <c r="Q235" s="6" t="s">
        <v>81</v>
      </c>
      <c r="R235" s="3" t="n">
        <v>4.12</v>
      </c>
      <c r="S235" s="2" t="n">
        <v>1505</v>
      </c>
      <c r="T235" s="2" t="n">
        <v>10493</v>
      </c>
      <c r="U235" s="2" t="n">
        <f aca="false">T235-S235</f>
        <v>8988</v>
      </c>
      <c r="V235" s="3" t="n">
        <f aca="false">(60+12)/60</f>
        <v>1.2</v>
      </c>
      <c r="W235" s="3" t="n">
        <f aca="false">(60+15)/60</f>
        <v>1.25</v>
      </c>
      <c r="X235" s="3" t="n">
        <f aca="false">W235-V235</f>
        <v>0.05</v>
      </c>
      <c r="Y235" s="3" t="n">
        <f aca="false">R235/V235</f>
        <v>3.43333333333333</v>
      </c>
      <c r="Z235" s="0" t="n">
        <v>2</v>
      </c>
      <c r="AA235" s="3" t="n">
        <f aca="false">R235/Z235</f>
        <v>2.06</v>
      </c>
      <c r="AB235" s="3" t="n">
        <f aca="false">17+29/60</f>
        <v>17.4833333333333</v>
      </c>
      <c r="AC235" s="2" t="n">
        <v>515</v>
      </c>
      <c r="AD235" s="2" t="n">
        <v>462</v>
      </c>
      <c r="AE235" s="2" t="n">
        <v>122</v>
      </c>
      <c r="AF235" s="0" t="n">
        <v>148</v>
      </c>
      <c r="AG235" s="3" t="n">
        <f aca="false">17+44/60</f>
        <v>17.7333333333333</v>
      </c>
      <c r="AH235" s="3" t="n">
        <f aca="false">16+36/60</f>
        <v>16.6</v>
      </c>
      <c r="AI235" s="3" t="n">
        <f aca="false">18+30/60</f>
        <v>18.5</v>
      </c>
      <c r="AJ235" s="3" t="n">
        <f aca="false">17+8/60</f>
        <v>17.1333333333333</v>
      </c>
      <c r="AK235" s="3" t="n">
        <f aca="false">60/3.5</f>
        <v>17.1428571428571</v>
      </c>
      <c r="AQ235" s="2" t="n">
        <v>0</v>
      </c>
      <c r="AR235" s="0" t="n">
        <v>1</v>
      </c>
      <c r="AS235" s="0" t="n">
        <v>0</v>
      </c>
      <c r="AT235" s="0" t="n">
        <v>0</v>
      </c>
      <c r="AU235" s="4" t="n">
        <f aca="false">60*V235-SUM(AV235:AZ235)</f>
        <v>1.3</v>
      </c>
      <c r="AV235" s="3" t="n">
        <v>15</v>
      </c>
      <c r="AW235" s="3" t="n">
        <f aca="false">12+30/60</f>
        <v>12.5</v>
      </c>
      <c r="AX235" s="3" t="n">
        <f aca="false">41+53/60</f>
        <v>41.8833333333333</v>
      </c>
      <c r="AY235" s="3" t="n">
        <f aca="false">1+19/60</f>
        <v>1.31666666666667</v>
      </c>
      <c r="AZ235" s="3" t="n">
        <v>0</v>
      </c>
      <c r="BA235" s="0" t="s">
        <v>59</v>
      </c>
      <c r="BB235" s="0" t="s">
        <v>60</v>
      </c>
      <c r="BC235" s="0" t="n">
        <v>0</v>
      </c>
    </row>
    <row r="236" customFormat="false" ht="12.8" hidden="false" customHeight="false" outlineLevel="0" collapsed="false">
      <c r="A236" s="0" t="n">
        <f aca="false">A235+1</f>
        <v>767</v>
      </c>
      <c r="B236" s="1" t="n">
        <v>44113.49375</v>
      </c>
      <c r="C236" s="0" t="n">
        <v>1</v>
      </c>
      <c r="F236" s="6" t="s">
        <v>107</v>
      </c>
      <c r="G236" s="2" t="n">
        <v>80</v>
      </c>
      <c r="H236" s="2" t="n">
        <v>69</v>
      </c>
      <c r="I236" s="2" t="n">
        <f aca="false">(69+72)/2</f>
        <v>70.5</v>
      </c>
      <c r="J236" s="2" t="s">
        <v>99</v>
      </c>
      <c r="K236" s="2" t="n">
        <f aca="false">(5+8)/2</f>
        <v>6.5</v>
      </c>
      <c r="L236" s="2" t="n">
        <v>0</v>
      </c>
      <c r="M236" s="6" t="s">
        <v>73</v>
      </c>
      <c r="N236" s="0" t="n">
        <v>0</v>
      </c>
      <c r="O236" s="0" t="s">
        <v>138</v>
      </c>
      <c r="Q236" s="0" t="s">
        <v>78</v>
      </c>
      <c r="R236" s="3" t="n">
        <v>7.85</v>
      </c>
      <c r="S236" s="2" t="n">
        <v>1038</v>
      </c>
      <c r="T236" s="2" t="n">
        <v>17518</v>
      </c>
      <c r="U236" s="2" t="n">
        <f aca="false">T236-S236</f>
        <v>16480</v>
      </c>
      <c r="V236" s="3" t="n">
        <f aca="false">(120+12)/60</f>
        <v>2.2</v>
      </c>
      <c r="W236" s="3" t="n">
        <f aca="false">(120+36)/60</f>
        <v>2.6</v>
      </c>
      <c r="X236" s="3" t="n">
        <f aca="false">W236-V236</f>
        <v>0.4</v>
      </c>
      <c r="Y236" s="3" t="n">
        <f aca="false">R236/V236</f>
        <v>3.56818181818182</v>
      </c>
      <c r="Z236" s="0" t="n">
        <v>1</v>
      </c>
      <c r="AA236" s="3" t="n">
        <f aca="false">R236/Z236</f>
        <v>7.85</v>
      </c>
      <c r="AB236" s="3" t="n">
        <f aca="false">16+50/60</f>
        <v>16.8333333333333</v>
      </c>
      <c r="AC236" s="2" t="n">
        <v>1135</v>
      </c>
      <c r="AD236" s="2" t="n">
        <v>839</v>
      </c>
      <c r="AE236" s="2" t="n">
        <v>124</v>
      </c>
      <c r="AF236" s="0" t="n">
        <v>146</v>
      </c>
      <c r="AG236" s="3" t="n">
        <f aca="false">16+5/60</f>
        <v>16.0833333333333</v>
      </c>
      <c r="AH236" s="3" t="n">
        <f aca="false">16+18/60</f>
        <v>16.3</v>
      </c>
      <c r="AI236" s="3" t="n">
        <f aca="false">16+36/60</f>
        <v>16.6</v>
      </c>
      <c r="AJ236" s="3" t="n">
        <f aca="false">16+26/60</f>
        <v>16.4333333333333</v>
      </c>
      <c r="AK236" s="3" t="n">
        <f aca="false">17+23/60</f>
        <v>17.3833333333333</v>
      </c>
      <c r="AL236" s="3" t="n">
        <f aca="false">17+11/60</f>
        <v>17.1833333333333</v>
      </c>
      <c r="AM236" s="3" t="n">
        <f aca="false">17+46/60</f>
        <v>17.7666666666667</v>
      </c>
      <c r="AN236" s="3" t="n">
        <f aca="false">60/3.6</f>
        <v>16.6666666666667</v>
      </c>
      <c r="AQ236" s="2" t="n">
        <v>2</v>
      </c>
      <c r="AR236" s="0" t="n">
        <v>2</v>
      </c>
      <c r="AS236" s="0" t="n">
        <v>2</v>
      </c>
      <c r="AT236" s="0" t="n">
        <v>0</v>
      </c>
      <c r="AU236" s="4" t="n">
        <v>0</v>
      </c>
      <c r="AV236" s="3" t="n">
        <f aca="false">15+46/60</f>
        <v>15.7666666666667</v>
      </c>
      <c r="AW236" s="3" t="n">
        <f aca="false">32+25/60</f>
        <v>32.4166666666667</v>
      </c>
      <c r="AX236" s="3" t="n">
        <f aca="false">83+28/60</f>
        <v>83.4666666666667</v>
      </c>
      <c r="AY236" s="3" t="n">
        <f aca="false">27/60</f>
        <v>0.45</v>
      </c>
      <c r="AZ236" s="3" t="n">
        <v>0</v>
      </c>
      <c r="BA236" s="0" t="s">
        <v>59</v>
      </c>
      <c r="BB236" s="0" t="s">
        <v>60</v>
      </c>
      <c r="BC236" s="0" t="n">
        <v>0</v>
      </c>
    </row>
    <row r="237" customFormat="false" ht="12.8" hidden="false" customHeight="false" outlineLevel="0" collapsed="false">
      <c r="A237" s="0" t="n">
        <f aca="false">A236+1</f>
        <v>768</v>
      </c>
      <c r="B237" s="1" t="n">
        <v>44114.5034722222</v>
      </c>
      <c r="C237" s="0" t="n">
        <v>1</v>
      </c>
      <c r="F237" s="6" t="s">
        <v>129</v>
      </c>
      <c r="G237" s="2" t="n">
        <f aca="false">78+23/60*(81-78)</f>
        <v>79.15</v>
      </c>
      <c r="H237" s="2" t="n">
        <f aca="false">68+23/60*(65-68)</f>
        <v>66.85</v>
      </c>
      <c r="I237" s="2" t="n">
        <f aca="false">78-23/60*(71-58)</f>
        <v>73.0166666666667</v>
      </c>
      <c r="J237" s="2" t="s">
        <v>101</v>
      </c>
      <c r="K237" s="2" t="n">
        <v>3</v>
      </c>
      <c r="L237" s="2" t="n">
        <v>0</v>
      </c>
      <c r="M237" s="6" t="s">
        <v>73</v>
      </c>
      <c r="N237" s="0" t="n">
        <v>0</v>
      </c>
      <c r="O237" s="0" t="s">
        <v>138</v>
      </c>
      <c r="Q237" s="0" t="s">
        <v>62</v>
      </c>
      <c r="R237" s="3" t="n">
        <v>4.96</v>
      </c>
      <c r="S237" s="2" t="n">
        <v>441</v>
      </c>
      <c r="T237" s="2" t="n">
        <v>11013</v>
      </c>
      <c r="U237" s="2" t="n">
        <f aca="false">T237-S237</f>
        <v>10572</v>
      </c>
      <c r="V237" s="3" t="n">
        <f aca="false">(60+24)/60</f>
        <v>1.4</v>
      </c>
      <c r="W237" s="3" t="n">
        <f aca="false">(60+27)/60</f>
        <v>1.45</v>
      </c>
      <c r="X237" s="3" t="n">
        <f aca="false">W237-V237</f>
        <v>0.05</v>
      </c>
      <c r="Y237" s="0"/>
      <c r="Z237" s="0" t="n">
        <v>2</v>
      </c>
      <c r="AA237" s="3" t="n">
        <f aca="false">R237/Z237</f>
        <v>2.48</v>
      </c>
      <c r="AB237" s="3" t="n">
        <f aca="false">16+49/60</f>
        <v>16.8166666666667</v>
      </c>
      <c r="AC237" s="2" t="n">
        <v>236</v>
      </c>
      <c r="AD237" s="2" t="n">
        <v>521</v>
      </c>
      <c r="AE237" s="2" t="n">
        <v>119</v>
      </c>
      <c r="AF237" s="0" t="n">
        <v>135</v>
      </c>
      <c r="AG237" s="3" t="n">
        <f aca="false">16+22/60</f>
        <v>16.3666666666667</v>
      </c>
      <c r="AH237" s="3" t="n">
        <f aca="false">16+23/60</f>
        <v>16.3833333333333</v>
      </c>
      <c r="AI237" s="3" t="n">
        <f aca="false">17+1/60</f>
        <v>17.0166666666667</v>
      </c>
      <c r="AJ237" s="3" t="n">
        <f aca="false">17+6/60</f>
        <v>17.1</v>
      </c>
      <c r="AK237" s="3" t="n">
        <f aca="false">60/3.6</f>
        <v>16.6666666666667</v>
      </c>
      <c r="AQ237" s="2" t="n">
        <v>0</v>
      </c>
      <c r="AR237" s="0" t="n">
        <v>1</v>
      </c>
      <c r="AS237" s="0" t="n">
        <v>0</v>
      </c>
      <c r="AT237" s="0" t="n">
        <v>0</v>
      </c>
      <c r="AU237" s="4" t="n">
        <f aca="false">60*V237-SUM(AV237:AZ237)</f>
        <v>0.700000000000003</v>
      </c>
      <c r="AV237" s="3" t="n">
        <f aca="false">13/60</f>
        <v>0.216666666666667</v>
      </c>
      <c r="AW237" s="3" t="n">
        <f aca="false">76+29/60</f>
        <v>76.4833333333333</v>
      </c>
      <c r="AX237" s="3" t="n">
        <f aca="false">6+48/80</f>
        <v>6.6</v>
      </c>
      <c r="AY237" s="3" t="n">
        <v>0</v>
      </c>
      <c r="AZ237" s="3" t="n">
        <v>0</v>
      </c>
      <c r="BA237" s="0" t="s">
        <v>59</v>
      </c>
      <c r="BB237" s="0" t="s">
        <v>60</v>
      </c>
      <c r="BC237" s="0" t="n">
        <v>0</v>
      </c>
    </row>
    <row r="238" customFormat="false" ht="12.8" hidden="false" customHeight="false" outlineLevel="0" collapsed="false">
      <c r="A238" s="0" t="n">
        <f aca="false">A237+1</f>
        <v>769</v>
      </c>
      <c r="B238" s="1" t="n">
        <v>44115.4951388889</v>
      </c>
      <c r="C238" s="0" t="n">
        <v>0</v>
      </c>
      <c r="D238" s="0" t="s">
        <v>88</v>
      </c>
      <c r="F238" s="0" t="s">
        <v>61</v>
      </c>
      <c r="G238" s="2" t="n">
        <v>71</v>
      </c>
      <c r="H238" s="2" t="n">
        <v>61</v>
      </c>
      <c r="I238" s="2" t="n">
        <v>72</v>
      </c>
      <c r="J238" s="2" t="s">
        <v>128</v>
      </c>
      <c r="K238" s="2" t="n">
        <v>9</v>
      </c>
      <c r="L238" s="2" t="n">
        <v>0</v>
      </c>
      <c r="M238" s="0" t="s">
        <v>73</v>
      </c>
      <c r="N238" s="0" t="n">
        <v>0</v>
      </c>
    </row>
    <row r="239" customFormat="false" ht="13.8" hidden="false" customHeight="false" outlineLevel="0" collapsed="false">
      <c r="A239" s="0" t="n">
        <f aca="false">A238+1</f>
        <v>770</v>
      </c>
      <c r="B239" s="1" t="n">
        <v>44116.4597222222</v>
      </c>
      <c r="C239" s="0" t="n">
        <v>1</v>
      </c>
      <c r="F239" s="0" t="s">
        <v>61</v>
      </c>
      <c r="G239" s="2" t="n">
        <f aca="false">(75+79)/2</f>
        <v>77</v>
      </c>
      <c r="H239" s="2" t="n">
        <v>42</v>
      </c>
      <c r="I239" s="2" t="n">
        <v>28</v>
      </c>
      <c r="J239" s="2" t="s">
        <v>96</v>
      </c>
      <c r="K239" s="2" t="n">
        <v>22</v>
      </c>
      <c r="L239" s="2" t="n">
        <v>30</v>
      </c>
      <c r="M239" s="0" t="s">
        <v>73</v>
      </c>
      <c r="N239" s="0" t="n">
        <v>0</v>
      </c>
      <c r="O239" s="0" t="s">
        <v>138</v>
      </c>
      <c r="Q239" s="13" t="s">
        <v>104</v>
      </c>
      <c r="R239" s="3" t="n">
        <v>6.85</v>
      </c>
      <c r="S239" s="2" t="n">
        <v>860</v>
      </c>
      <c r="T239" s="2" t="n">
        <f aca="false">U239+S239</f>
        <v>15780</v>
      </c>
      <c r="U239" s="2" t="n">
        <v>14920</v>
      </c>
      <c r="V239" s="3" t="n">
        <f aca="false">(120+3)/60</f>
        <v>2.05</v>
      </c>
      <c r="W239" s="3" t="n">
        <f aca="false">(120+16)/60</f>
        <v>2.26666666666667</v>
      </c>
      <c r="X239" s="3" t="n">
        <f aca="false">W239-V239</f>
        <v>0.216666666666667</v>
      </c>
      <c r="Y239" s="3" t="n">
        <f aca="false">R237/V237</f>
        <v>3.54285714285714</v>
      </c>
      <c r="Z239" s="0" t="n">
        <v>1</v>
      </c>
      <c r="AA239" s="3" t="n">
        <f aca="false">R239/Z239</f>
        <v>6.85</v>
      </c>
      <c r="AB239" s="3" t="n">
        <f aca="false">17+56/60</f>
        <v>17.9333333333333</v>
      </c>
      <c r="AC239" s="2" t="n">
        <v>292</v>
      </c>
      <c r="AD239" s="2" t="n">
        <v>555</v>
      </c>
      <c r="AE239" s="2" t="n">
        <v>69</v>
      </c>
      <c r="AF239" s="0" t="n">
        <v>110</v>
      </c>
      <c r="AG239" s="3" t="n">
        <f aca="false">16+52/60</f>
        <v>16.8666666666667</v>
      </c>
      <c r="AH239" s="3" t="n">
        <f aca="false">17+31/60</f>
        <v>17.5166666666667</v>
      </c>
      <c r="AI239" s="3" t="n">
        <f aca="false">17+54/60</f>
        <v>17.9</v>
      </c>
      <c r="AJ239" s="3" t="n">
        <f aca="false">18+51/60</f>
        <v>18.85</v>
      </c>
      <c r="AK239" s="3" t="n">
        <f aca="false">18+14/60</f>
        <v>18.2333333333333</v>
      </c>
      <c r="AL239" s="3" t="n">
        <f aca="false">17+54/60</f>
        <v>17.9</v>
      </c>
      <c r="AM239" s="3" t="n">
        <f aca="false">60/3.3</f>
        <v>18.1818181818182</v>
      </c>
      <c r="AN239" s="0"/>
      <c r="AQ239" s="2" t="n">
        <v>8</v>
      </c>
      <c r="AR239" s="0" t="n">
        <v>2</v>
      </c>
      <c r="AS239" s="0" t="n">
        <v>0</v>
      </c>
      <c r="AT239" s="0" t="n">
        <v>0</v>
      </c>
      <c r="AU239" s="4" t="n">
        <f aca="false">60*V239-SUM(AV239:AZ239)</f>
        <v>116.433333333333</v>
      </c>
      <c r="AV239" s="3" t="n">
        <f aca="false">6+18/60</f>
        <v>6.3</v>
      </c>
      <c r="AW239" s="3" t="n">
        <f aca="false">16/60</f>
        <v>0.266666666666667</v>
      </c>
      <c r="AX239" s="3" t="n">
        <v>0</v>
      </c>
      <c r="AY239" s="3" t="n">
        <v>0</v>
      </c>
      <c r="AZ239" s="3" t="n">
        <v>0</v>
      </c>
      <c r="BA239" s="0" t="s">
        <v>59</v>
      </c>
      <c r="BB239" s="0" t="s">
        <v>60</v>
      </c>
      <c r="BC239" s="0" t="n">
        <v>0</v>
      </c>
    </row>
    <row r="240" customFormat="false" ht="12.8" hidden="false" customHeight="false" outlineLevel="0" collapsed="false">
      <c r="A240" s="0" t="n">
        <v>771</v>
      </c>
      <c r="B240" s="1" t="n">
        <v>44117.5930555556</v>
      </c>
      <c r="C240" s="0" t="n">
        <v>1</v>
      </c>
      <c r="F240" s="6" t="s">
        <v>107</v>
      </c>
      <c r="G240" s="2" t="n">
        <f aca="false">(77+81)/2</f>
        <v>79</v>
      </c>
      <c r="H240" s="2" t="n">
        <v>42</v>
      </c>
      <c r="I240" s="2" t="n">
        <v>26</v>
      </c>
      <c r="J240" s="2" t="s">
        <v>123</v>
      </c>
      <c r="K240" s="2" t="n">
        <v>6</v>
      </c>
      <c r="L240" s="2" t="n">
        <v>0</v>
      </c>
      <c r="M240" s="0" t="s">
        <v>73</v>
      </c>
      <c r="N240" s="0" t="n">
        <v>0</v>
      </c>
      <c r="O240" s="0" t="s">
        <v>138</v>
      </c>
      <c r="Q240" s="0" t="s">
        <v>140</v>
      </c>
      <c r="R240" s="3" t="n">
        <v>7.71</v>
      </c>
      <c r="S240" s="2" t="n">
        <v>500</v>
      </c>
      <c r="T240" s="2" t="n">
        <v>17039</v>
      </c>
      <c r="U240" s="2" t="n">
        <f aca="false">T240-S240</f>
        <v>16539</v>
      </c>
      <c r="V240" s="3" t="n">
        <f aca="false">(120+6)/60</f>
        <v>2.1</v>
      </c>
      <c r="W240" s="3" t="n">
        <f aca="false">(120+15)/60</f>
        <v>2.25</v>
      </c>
      <c r="X240" s="3" t="n">
        <f aca="false">W240-V240</f>
        <v>0.15</v>
      </c>
      <c r="Y240" s="3" t="n">
        <f aca="false">R240/V240</f>
        <v>3.67142857142857</v>
      </c>
      <c r="Z240" s="0" t="n">
        <v>1</v>
      </c>
      <c r="AA240" s="3" t="n">
        <f aca="false">R240/Z240</f>
        <v>7.71</v>
      </c>
      <c r="AB240" s="3" t="n">
        <f aca="false">16+24/60</f>
        <v>16.4</v>
      </c>
      <c r="AC240" s="2" t="n">
        <v>1037</v>
      </c>
      <c r="AD240" s="2" t="n">
        <v>820</v>
      </c>
      <c r="AE240" s="2" t="n">
        <v>128</v>
      </c>
      <c r="AF240" s="0" t="n">
        <v>141</v>
      </c>
      <c r="AG240" s="3" t="n">
        <f aca="false">16+31/60</f>
        <v>16.5166666666667</v>
      </c>
      <c r="AH240" s="3" t="n">
        <f aca="false">15+58/60</f>
        <v>15.9666666666667</v>
      </c>
      <c r="AI240" s="3" t="n">
        <f aca="false">16+7/60</f>
        <v>16.1166666666667</v>
      </c>
      <c r="AJ240" s="3" t="n">
        <f aca="false">16+38/60</f>
        <v>16.6333333333333</v>
      </c>
      <c r="AK240" s="3" t="n">
        <f aca="false">16+26/60</f>
        <v>16.4333333333333</v>
      </c>
      <c r="AL240" s="3" t="n">
        <f aca="false">15+54/60</f>
        <v>15.9</v>
      </c>
      <c r="AM240" s="3" t="n">
        <f aca="false">60/3.7</f>
        <v>16.2162162162162</v>
      </c>
      <c r="AQ240" s="2" t="n">
        <v>11</v>
      </c>
      <c r="AR240" s="0" t="n">
        <v>2</v>
      </c>
      <c r="AS240" s="0" t="n">
        <v>0</v>
      </c>
      <c r="AT240" s="0" t="n">
        <v>0</v>
      </c>
      <c r="AU240" s="4" t="n">
        <v>0</v>
      </c>
      <c r="AV240" s="3" t="n">
        <f aca="false">4+41/60</f>
        <v>4.68333333333333</v>
      </c>
      <c r="AW240" s="3" t="n">
        <f aca="false">26+32/60</f>
        <v>26.5333333333333</v>
      </c>
      <c r="AX240" s="3" t="n">
        <f aca="false">(95+14/60)</f>
        <v>95.2333333333333</v>
      </c>
      <c r="AY240" s="3" t="n">
        <v>0</v>
      </c>
      <c r="AZ240" s="3" t="n">
        <v>0</v>
      </c>
      <c r="BA240" s="0" t="s">
        <v>59</v>
      </c>
      <c r="BB240" s="0" t="s">
        <v>60</v>
      </c>
      <c r="BC240" s="0" t="n">
        <v>0</v>
      </c>
    </row>
    <row r="241" customFormat="false" ht="12.8" hidden="false" customHeight="false" outlineLevel="0" collapsed="false">
      <c r="A241" s="0" t="n">
        <v>772</v>
      </c>
      <c r="B241" s="1" t="n">
        <v>44118.4534722222</v>
      </c>
      <c r="C241" s="0" t="n">
        <v>1</v>
      </c>
      <c r="F241" s="0" t="s">
        <v>61</v>
      </c>
      <c r="G241" s="2" t="n">
        <f aca="false">79+11/60*(83-79)</f>
        <v>79.7333333333333</v>
      </c>
      <c r="H241" s="2" t="n">
        <f aca="false">60+11/60*(64-60)</f>
        <v>60.7333333333333</v>
      </c>
      <c r="I241" s="2" t="n">
        <f aca="false">56+11/60+(60-63)</f>
        <v>53.1833333333333</v>
      </c>
      <c r="J241" s="2" t="s">
        <v>95</v>
      </c>
      <c r="K241" s="2" t="n">
        <v>13</v>
      </c>
      <c r="L241" s="2" t="n">
        <v>28</v>
      </c>
      <c r="M241" s="0" t="s">
        <v>73</v>
      </c>
      <c r="N241" s="0" t="n">
        <v>1</v>
      </c>
      <c r="O241" s="0" t="s">
        <v>138</v>
      </c>
      <c r="Q241" s="0" t="s">
        <v>83</v>
      </c>
      <c r="R241" s="3" t="n">
        <v>4.2</v>
      </c>
      <c r="U241" s="2" t="n">
        <v>9478</v>
      </c>
      <c r="V241" s="3" t="n">
        <v>1.11</v>
      </c>
      <c r="Y241" s="3" t="n">
        <f aca="false">R241/V241</f>
        <v>3.78378378378378</v>
      </c>
      <c r="Z241" s="0" t="n">
        <v>4</v>
      </c>
      <c r="AA241" s="3" t="n">
        <f aca="false">R241/Z241</f>
        <v>1.05</v>
      </c>
      <c r="AB241" s="3" t="n">
        <v>15.9</v>
      </c>
      <c r="AC241" s="2" t="n">
        <v>98.5</v>
      </c>
      <c r="AD241" s="2" t="n">
        <v>552</v>
      </c>
      <c r="AQ241" s="2" t="n">
        <v>0</v>
      </c>
      <c r="AR241" s="0" t="n">
        <v>1</v>
      </c>
      <c r="AS241" s="0" t="n">
        <v>1</v>
      </c>
      <c r="AT241" s="0" t="n">
        <v>0</v>
      </c>
      <c r="BA241" s="0" t="s">
        <v>59</v>
      </c>
      <c r="BB241" s="0" t="s">
        <v>60</v>
      </c>
      <c r="BC241" s="0" t="n">
        <v>1</v>
      </c>
      <c r="BD241" s="0" t="s">
        <v>141</v>
      </c>
    </row>
    <row r="242" customFormat="false" ht="12.8" hidden="false" customHeight="false" outlineLevel="0" collapsed="false">
      <c r="A242" s="0" t="n">
        <v>773</v>
      </c>
      <c r="B242" s="1" t="n">
        <v>44119.5958333333</v>
      </c>
      <c r="C242" s="0" t="n">
        <v>1</v>
      </c>
      <c r="F242" s="6" t="s">
        <v>74</v>
      </c>
      <c r="G242" s="2" t="n">
        <v>70</v>
      </c>
      <c r="H242" s="2" t="n">
        <v>57</v>
      </c>
      <c r="I242" s="2" t="n">
        <v>62</v>
      </c>
      <c r="J242" s="2" t="s">
        <v>135</v>
      </c>
      <c r="K242" s="2" t="n">
        <v>18</v>
      </c>
      <c r="L242" s="2" t="n">
        <v>31</v>
      </c>
      <c r="M242" s="0" t="s">
        <v>73</v>
      </c>
      <c r="N242" s="0" t="n">
        <v>0</v>
      </c>
      <c r="O242" s="0" t="s">
        <v>138</v>
      </c>
      <c r="Q242" s="0" t="s">
        <v>62</v>
      </c>
      <c r="R242" s="3" t="n">
        <v>4.9</v>
      </c>
      <c r="V242" s="3" t="n">
        <f aca="false">(60+17)/60</f>
        <v>1.28333333333333</v>
      </c>
      <c r="W242" s="3" t="n">
        <f aca="false">V242</f>
        <v>1.28333333333333</v>
      </c>
      <c r="X242" s="3" t="n">
        <f aca="false">W242-V242</f>
        <v>0</v>
      </c>
      <c r="Y242" s="3" t="n">
        <f aca="false">R242/V242</f>
        <v>3.81818181818182</v>
      </c>
      <c r="Z242" s="0" t="n">
        <v>2</v>
      </c>
      <c r="AA242" s="3" t="n">
        <f aca="false">R242/Z242</f>
        <v>2.45</v>
      </c>
      <c r="AB242" s="3" t="n">
        <f aca="false">15+43/60</f>
        <v>15.7166666666667</v>
      </c>
      <c r="AC242" s="2" t="n">
        <v>121</v>
      </c>
      <c r="AD242" s="2" t="n">
        <v>614</v>
      </c>
      <c r="AE242" s="2" t="n">
        <v>78</v>
      </c>
      <c r="AF242" s="0" t="n">
        <v>99</v>
      </c>
      <c r="AG242" s="3" t="n">
        <f aca="false">15+31/60</f>
        <v>15.5166666666667</v>
      </c>
      <c r="AH242" s="3" t="n">
        <v>16</v>
      </c>
      <c r="AI242" s="3" t="n">
        <f aca="false">15+41/60</f>
        <v>15.6833333333333</v>
      </c>
      <c r="AJ242" s="3" t="n">
        <f aca="false">15+41/60</f>
        <v>15.6833333333333</v>
      </c>
      <c r="AK242" s="3" t="n">
        <f aca="false">60/3.8</f>
        <v>15.7894736842105</v>
      </c>
      <c r="AQ242" s="2" t="n">
        <v>0</v>
      </c>
      <c r="AR242" s="0" t="n">
        <v>0</v>
      </c>
      <c r="AS242" s="0" t="n">
        <v>0</v>
      </c>
      <c r="AT242" s="0" t="n">
        <v>0</v>
      </c>
      <c r="AU242" s="4" t="n">
        <f aca="false">60*V242-SUM(AV242:AZ242)</f>
        <v>67.2833333333333</v>
      </c>
      <c r="AV242" s="3" t="n">
        <f aca="false">9+43/60</f>
        <v>9.71666666666667</v>
      </c>
      <c r="AW242" s="3" t="n">
        <v>0</v>
      </c>
      <c r="AX242" s="3" t="n">
        <v>0</v>
      </c>
      <c r="AY242" s="3" t="n">
        <v>0</v>
      </c>
      <c r="AZ242" s="3" t="n">
        <v>0</v>
      </c>
      <c r="BA242" s="0" t="s">
        <v>59</v>
      </c>
      <c r="BB242" s="0" t="s">
        <v>60</v>
      </c>
      <c r="BC242" s="0" t="n">
        <v>0</v>
      </c>
    </row>
    <row r="243" customFormat="false" ht="12.8" hidden="false" customHeight="false" outlineLevel="0" collapsed="false">
      <c r="A243" s="0" t="n">
        <v>774</v>
      </c>
      <c r="B243" s="1" t="n">
        <v>44120.6159722222</v>
      </c>
      <c r="C243" s="0" t="n">
        <v>1</v>
      </c>
      <c r="F243" s="6" t="s">
        <v>71</v>
      </c>
      <c r="G243" s="2" t="n">
        <v>71</v>
      </c>
      <c r="H243" s="2" t="n">
        <v>70</v>
      </c>
      <c r="I243" s="2" t="n">
        <v>79</v>
      </c>
      <c r="J243" s="2" t="s">
        <v>96</v>
      </c>
      <c r="K243" s="2" t="n">
        <v>6</v>
      </c>
      <c r="L243" s="2" t="n">
        <v>0</v>
      </c>
      <c r="M243" s="0" t="s">
        <v>73</v>
      </c>
      <c r="N243" s="0" t="n">
        <v>0</v>
      </c>
      <c r="O243" s="0" t="s">
        <v>138</v>
      </c>
      <c r="Q243" s="0" t="s">
        <v>98</v>
      </c>
      <c r="R243" s="3" t="n">
        <v>7.32</v>
      </c>
      <c r="S243" s="2" t="n">
        <v>500</v>
      </c>
      <c r="T243" s="2" t="n">
        <v>16244</v>
      </c>
      <c r="U243" s="2" t="n">
        <f aca="false">T243-S243</f>
        <v>15744</v>
      </c>
      <c r="V243" s="3" t="n">
        <f aca="false">(120+3)/60</f>
        <v>2.05</v>
      </c>
      <c r="W243" s="3" t="n">
        <f aca="false">(120+16)/60</f>
        <v>2.26666666666667</v>
      </c>
      <c r="X243" s="3" t="n">
        <f aca="false">W243-V243</f>
        <v>0.216666666666667</v>
      </c>
      <c r="Y243" s="3" t="n">
        <f aca="false">R243/V243</f>
        <v>3.57073170731707</v>
      </c>
      <c r="Z243" s="0" t="n">
        <v>1</v>
      </c>
      <c r="AA243" s="3" t="n">
        <f aca="false">R243/Z243</f>
        <v>7.32</v>
      </c>
      <c r="AB243" s="3" t="n">
        <f aca="false">16+49/60</f>
        <v>16.8166666666667</v>
      </c>
      <c r="AC243" s="2" t="n">
        <v>210</v>
      </c>
      <c r="AD243" s="2" t="n">
        <v>777</v>
      </c>
      <c r="AE243" s="2" t="n">
        <v>111</v>
      </c>
      <c r="AF243" s="0" t="n">
        <v>130</v>
      </c>
      <c r="AG243" s="3" t="n">
        <f aca="false">16+11/60</f>
        <v>16.1833333333333</v>
      </c>
      <c r="AH243" s="3" t="n">
        <f aca="false">16+41/60</f>
        <v>16.6833333333333</v>
      </c>
      <c r="AI243" s="3" t="n">
        <f aca="false">17+43/60</f>
        <v>17.7166666666667</v>
      </c>
      <c r="AJ243" s="3" t="n">
        <f aca="false">16+41/60</f>
        <v>16.6833333333333</v>
      </c>
      <c r="AK243" s="3" t="n">
        <f aca="false">16+45/60</f>
        <v>16.75</v>
      </c>
      <c r="AL243" s="3" t="n">
        <f aca="false">16+21/60</f>
        <v>16.35</v>
      </c>
      <c r="AM243" s="3" t="n">
        <f aca="false">60/3.6</f>
        <v>16.6666666666667</v>
      </c>
      <c r="AQ243" s="2" t="n">
        <v>0</v>
      </c>
      <c r="AR243" s="0" t="n">
        <v>0</v>
      </c>
      <c r="AS243" s="0" t="n">
        <v>0</v>
      </c>
      <c r="AT243" s="0" t="n">
        <v>0</v>
      </c>
      <c r="AU243" s="4" t="n">
        <f aca="false">60*V243-SUM(AV243:AZ243)</f>
        <v>0.633333333333326</v>
      </c>
      <c r="AV243" s="3" t="n">
        <f aca="false">29+11/60</f>
        <v>29.1833333333333</v>
      </c>
      <c r="AW243" s="3" t="n">
        <f aca="false">(60+32) +4/60</f>
        <v>92.0666666666667</v>
      </c>
      <c r="AX243" s="3" t="n">
        <f aca="false">1+7/60</f>
        <v>1.11666666666667</v>
      </c>
      <c r="AY243" s="3" t="n">
        <v>0</v>
      </c>
      <c r="AZ243" s="3" t="n">
        <v>0</v>
      </c>
      <c r="BA243" s="0" t="s">
        <v>59</v>
      </c>
      <c r="BB243" s="0" t="s">
        <v>60</v>
      </c>
      <c r="BC243" s="0" t="n">
        <v>0</v>
      </c>
    </row>
    <row r="244" customFormat="false" ht="12.8" hidden="false" customHeight="false" outlineLevel="0" collapsed="false">
      <c r="A244" s="0" t="n">
        <v>775</v>
      </c>
      <c r="B244" s="1" t="n">
        <v>44121.5291666667</v>
      </c>
      <c r="C244" s="0" t="n">
        <v>1</v>
      </c>
      <c r="F244" s="6" t="s">
        <v>74</v>
      </c>
      <c r="G244" s="2" t="n">
        <v>69</v>
      </c>
      <c r="H244" s="2" t="n">
        <v>55</v>
      </c>
      <c r="I244" s="2" t="n">
        <v>61</v>
      </c>
      <c r="J244" s="2" t="s">
        <v>95</v>
      </c>
      <c r="K244" s="2" t="n">
        <v>15</v>
      </c>
      <c r="L244" s="2" t="n">
        <v>29</v>
      </c>
      <c r="M244" s="0" t="s">
        <v>73</v>
      </c>
      <c r="N244" s="0" t="n">
        <v>0</v>
      </c>
      <c r="O244" s="0" t="s">
        <v>138</v>
      </c>
      <c r="Q244" s="0" t="s">
        <v>82</v>
      </c>
      <c r="R244" s="3" t="n">
        <v>8.35</v>
      </c>
      <c r="S244" s="2" t="n">
        <v>779</v>
      </c>
      <c r="T244" s="2" t="n">
        <v>17975</v>
      </c>
      <c r="U244" s="2" t="n">
        <f aca="false">T244-S244</f>
        <v>17196</v>
      </c>
      <c r="V244" s="3" t="n">
        <f aca="false">(120+8)/60</f>
        <v>2.13333333333333</v>
      </c>
      <c r="W244" s="3" t="n">
        <f aca="false">(120+15)/60</f>
        <v>2.25</v>
      </c>
      <c r="X244" s="3" t="n">
        <f aca="false">W244-V244</f>
        <v>0.116666666666667</v>
      </c>
      <c r="Y244" s="3" t="n">
        <f aca="false">R244/V244</f>
        <v>3.9140625</v>
      </c>
      <c r="Z244" s="0" t="n">
        <v>1</v>
      </c>
      <c r="AA244" s="3" t="n">
        <f aca="false">R244/Z244</f>
        <v>8.35</v>
      </c>
      <c r="AB244" s="3" t="n">
        <f aca="false">15+21/50</f>
        <v>15.42</v>
      </c>
      <c r="AC244" s="2" t="n">
        <v>856</v>
      </c>
      <c r="AD244" s="2" t="n">
        <v>698</v>
      </c>
      <c r="AE244" s="2" t="n">
        <v>76</v>
      </c>
      <c r="AF244" s="0" t="n">
        <v>112</v>
      </c>
      <c r="AG244" s="3" t="n">
        <f aca="false">15+13/60</f>
        <v>15.2166666666667</v>
      </c>
      <c r="AH244" s="3" t="n">
        <f aca="false">15+11/60</f>
        <v>15.1833333333333</v>
      </c>
      <c r="AI244" s="3" t="n">
        <f aca="false">15+8/60</f>
        <v>15.1333333333333</v>
      </c>
      <c r="AJ244" s="3" t="n">
        <f aca="false">16+4/60</f>
        <v>16.0666666666667</v>
      </c>
      <c r="AK244" s="3" t="n">
        <f aca="false">15+3/60</f>
        <v>15.05</v>
      </c>
      <c r="AL244" s="3" t="n">
        <f aca="false">15+8/60</f>
        <v>15.1333333333333</v>
      </c>
      <c r="AM244" s="3" t="n">
        <f aca="false">15+24/60</f>
        <v>15.4</v>
      </c>
      <c r="AN244" s="3" t="n">
        <f aca="false">15+30/60</f>
        <v>15.5</v>
      </c>
      <c r="AO244" s="3" t="n">
        <f aca="false">60/3.8</f>
        <v>15.7894736842105</v>
      </c>
      <c r="AQ244" s="2" t="n">
        <v>1</v>
      </c>
      <c r="AR244" s="0" t="n">
        <v>2</v>
      </c>
      <c r="AS244" s="0" t="n">
        <v>0</v>
      </c>
      <c r="AT244" s="0" t="n">
        <v>0</v>
      </c>
      <c r="AU244" s="4" t="n">
        <f aca="false">60*V244-SUM(AV244:AZ244)</f>
        <v>113.933333333333</v>
      </c>
      <c r="AV244" s="3" t="n">
        <f aca="false">13+20/60</f>
        <v>13.3333333333333</v>
      </c>
      <c r="AW244" s="3" t="n">
        <f aca="false">44/60</f>
        <v>0.733333333333333</v>
      </c>
      <c r="AX244" s="3" t="n">
        <v>0</v>
      </c>
      <c r="AY244" s="3" t="n">
        <v>0</v>
      </c>
      <c r="AZ244" s="3" t="n">
        <v>0</v>
      </c>
      <c r="BA244" s="0" t="s">
        <v>59</v>
      </c>
      <c r="BB244" s="0" t="s">
        <v>60</v>
      </c>
      <c r="BC244" s="0" t="n">
        <v>0</v>
      </c>
    </row>
    <row r="245" customFormat="false" ht="12.8" hidden="false" customHeight="false" outlineLevel="0" collapsed="false">
      <c r="A245" s="0" t="n">
        <v>776</v>
      </c>
      <c r="B245" s="1" t="n">
        <v>44122.5194444444</v>
      </c>
      <c r="C245" s="0" t="n">
        <v>1</v>
      </c>
      <c r="F245" s="6" t="s">
        <v>71</v>
      </c>
      <c r="G245" s="2" t="n">
        <v>82</v>
      </c>
      <c r="H245" s="2" t="n">
        <v>68</v>
      </c>
      <c r="I245" s="2" t="n">
        <f aca="false">(58+55)/2</f>
        <v>56.5</v>
      </c>
      <c r="J245" s="2" t="s">
        <v>95</v>
      </c>
      <c r="K245" s="2" t="n">
        <f aca="false">(18+21)/2</f>
        <v>19.5</v>
      </c>
      <c r="L245" s="2" t="n">
        <v>30</v>
      </c>
      <c r="M245" s="0" t="s">
        <v>73</v>
      </c>
      <c r="N245" s="0" t="n">
        <v>0</v>
      </c>
      <c r="O245" s="0" t="s">
        <v>138</v>
      </c>
      <c r="Q245" s="0" t="s">
        <v>134</v>
      </c>
      <c r="R245" s="3" t="n">
        <v>5.07</v>
      </c>
      <c r="V245" s="3" t="n">
        <f aca="false">(60+43)/60</f>
        <v>1.71666666666667</v>
      </c>
      <c r="W245" s="3" t="n">
        <f aca="false">(60+56)/60</f>
        <v>1.93333333333333</v>
      </c>
      <c r="X245" s="3" t="n">
        <f aca="false">W245-V245</f>
        <v>0.216666666666667</v>
      </c>
      <c r="Y245" s="3" t="n">
        <f aca="false">R245/V245</f>
        <v>2.95339805825243</v>
      </c>
      <c r="Z245" s="0" t="n">
        <v>1</v>
      </c>
      <c r="AA245" s="3" t="n">
        <f aca="false">R245/Z245</f>
        <v>5.07</v>
      </c>
      <c r="AB245" s="3" t="n">
        <f aca="false">20+14/60</f>
        <v>20.2333333333333</v>
      </c>
      <c r="AC245" s="2" t="n">
        <v>715</v>
      </c>
      <c r="AD245" s="2" t="n">
        <v>563</v>
      </c>
      <c r="AE245" s="2" t="n">
        <v>122</v>
      </c>
      <c r="AF245" s="0" t="n">
        <v>150</v>
      </c>
      <c r="AG245" s="3" t="n">
        <f aca="false">17+14/60</f>
        <v>17.2333333333333</v>
      </c>
      <c r="AH245" s="3" t="n">
        <f aca="false">17+35/60</f>
        <v>17.5833333333333</v>
      </c>
      <c r="AI245" s="3" t="n">
        <f aca="false">23+3/60</f>
        <v>23.05</v>
      </c>
      <c r="AJ245" s="3" t="n">
        <f aca="false">24+11/60</f>
        <v>24.1833333333333</v>
      </c>
      <c r="AK245" s="3" t="n">
        <f aca="false">19+8/60</f>
        <v>19.1333333333333</v>
      </c>
      <c r="AL245" s="3" t="n">
        <f aca="false">60/2.9</f>
        <v>20.6896551724138</v>
      </c>
      <c r="AQ245" s="2" t="n">
        <v>4</v>
      </c>
      <c r="AR245" s="0" t="n">
        <v>2</v>
      </c>
      <c r="AS245" s="0" t="n">
        <v>0</v>
      </c>
      <c r="AT245" s="0" t="n">
        <v>0</v>
      </c>
      <c r="AU245" s="4" t="n">
        <f aca="false">60*V245-SUM(AV245:AZ245)</f>
        <v>0.48333333333332</v>
      </c>
      <c r="AV245" s="3" t="n">
        <f aca="false">1+9/60</f>
        <v>1.15</v>
      </c>
      <c r="AW245" s="3" t="n">
        <f aca="false">68+46/60</f>
        <v>68.7666666666667</v>
      </c>
      <c r="AX245" s="3" t="n">
        <f aca="false">32+19/60</f>
        <v>32.3166666666667</v>
      </c>
      <c r="AY245" s="3" t="n">
        <f aca="false">17/60</f>
        <v>0.283333333333333</v>
      </c>
      <c r="AZ245" s="3" t="n">
        <v>0</v>
      </c>
      <c r="BA245" s="0" t="s">
        <v>59</v>
      </c>
      <c r="BB245" s="0" t="s">
        <v>60</v>
      </c>
      <c r="BC245" s="0" t="n">
        <v>0</v>
      </c>
    </row>
    <row r="246" customFormat="false" ht="12.8" hidden="false" customHeight="false" outlineLevel="0" collapsed="false">
      <c r="A246" s="0" t="n">
        <v>777</v>
      </c>
      <c r="B246" s="1" t="n">
        <v>44123.4583333333</v>
      </c>
      <c r="C246" s="0" t="n">
        <v>0</v>
      </c>
      <c r="D246" s="6" t="s">
        <v>88</v>
      </c>
      <c r="F246" s="6" t="s">
        <v>142</v>
      </c>
      <c r="G246" s="2" t="n">
        <v>56</v>
      </c>
      <c r="H246" s="2" t="n">
        <v>52</v>
      </c>
      <c r="I246" s="2" t="n">
        <v>87</v>
      </c>
      <c r="J246" s="6" t="s">
        <v>128</v>
      </c>
      <c r="K246" s="2" t="n">
        <v>70</v>
      </c>
      <c r="L246" s="2" t="n">
        <v>0</v>
      </c>
      <c r="M246" s="0" t="s">
        <v>143</v>
      </c>
    </row>
    <row r="247" customFormat="false" ht="12.8" hidden="false" customHeight="false" outlineLevel="0" collapsed="false">
      <c r="A247" s="0" t="n">
        <v>778</v>
      </c>
      <c r="B247" s="1" t="n">
        <v>44124.5625</v>
      </c>
      <c r="C247" s="0" t="n">
        <v>1</v>
      </c>
      <c r="F247" s="6" t="s">
        <v>85</v>
      </c>
      <c r="G247" s="2" t="n">
        <v>77</v>
      </c>
      <c r="H247" s="2" t="n">
        <v>62</v>
      </c>
      <c r="I247" s="2" t="n">
        <v>60</v>
      </c>
      <c r="J247" s="6" t="s">
        <v>72</v>
      </c>
      <c r="K247" s="2" t="n">
        <v>20</v>
      </c>
      <c r="L247" s="2" t="n">
        <v>0</v>
      </c>
      <c r="M247" s="0" t="s">
        <v>73</v>
      </c>
      <c r="N247" s="0" t="n">
        <v>0</v>
      </c>
      <c r="O247" s="0" t="s">
        <v>138</v>
      </c>
      <c r="Q247" s="0" t="s">
        <v>87</v>
      </c>
      <c r="R247" s="3" t="n">
        <v>6.31</v>
      </c>
      <c r="S247" s="2" t="n">
        <v>643</v>
      </c>
      <c r="T247" s="2" t="n">
        <v>14684</v>
      </c>
      <c r="U247" s="2" t="n">
        <f aca="false">T247-S247</f>
        <v>14041</v>
      </c>
      <c r="V247" s="3" t="n">
        <f aca="false">(60+42)/60</f>
        <v>1.7</v>
      </c>
      <c r="W247" s="3" t="n">
        <f aca="false">(60+53)/60</f>
        <v>1.88333333333333</v>
      </c>
      <c r="X247" s="3" t="n">
        <f aca="false">W247-V247</f>
        <v>0.183333333333333</v>
      </c>
      <c r="Y247" s="3" t="n">
        <f aca="false">R247/V247</f>
        <v>3.71176470588235</v>
      </c>
      <c r="Z247" s="0" t="n">
        <v>1</v>
      </c>
      <c r="AA247" s="3" t="n">
        <f aca="false">R247/Z247</f>
        <v>6.31</v>
      </c>
      <c r="AB247" s="3" t="n">
        <f aca="false">16+14/60</f>
        <v>16.2333333333333</v>
      </c>
      <c r="AC247" s="2" t="n">
        <v>233</v>
      </c>
      <c r="AD247" s="2" t="n">
        <v>673</v>
      </c>
      <c r="AE247" s="2" t="n">
        <v>136</v>
      </c>
      <c r="AF247" s="0" t="n">
        <v>140</v>
      </c>
      <c r="AG247" s="3" t="n">
        <f aca="false">16+8/60</f>
        <v>16.1333333333333</v>
      </c>
      <c r="AH247" s="3" t="n">
        <f aca="false">16+27/60</f>
        <v>16.45</v>
      </c>
      <c r="AI247" s="3" t="n">
        <f aca="false">15+58/60</f>
        <v>15.9666666666667</v>
      </c>
      <c r="AJ247" s="3" t="n">
        <f aca="false">16+30/60</f>
        <v>16.5</v>
      </c>
      <c r="AK247" s="3" t="n">
        <f aca="false">16</f>
        <v>16</v>
      </c>
      <c r="AL247" s="3" t="n">
        <f aca="false">16+18/60</f>
        <v>16.3</v>
      </c>
      <c r="AM247" s="3" t="n">
        <f aca="false">60/3.7</f>
        <v>16.2162162162162</v>
      </c>
      <c r="AQ247" s="2" t="n">
        <v>0</v>
      </c>
      <c r="AR247" s="0" t="n">
        <v>2</v>
      </c>
      <c r="AS247" s="0" t="n">
        <v>1</v>
      </c>
      <c r="AT247" s="0" t="n">
        <v>0</v>
      </c>
      <c r="AU247" s="4" t="n">
        <v>0</v>
      </c>
      <c r="AV247" s="3" t="n">
        <f aca="false">53/60</f>
        <v>0.883333333333333</v>
      </c>
      <c r="AW247" s="3" t="n">
        <f aca="false">6+1/60</f>
        <v>6.01666666666667</v>
      </c>
      <c r="AX247" s="3" t="n">
        <f aca="false">81+35/60</f>
        <v>81.5833333333333</v>
      </c>
      <c r="AY247" s="3" t="n">
        <f aca="false">14+2/60</f>
        <v>14.0333333333333</v>
      </c>
      <c r="AZ247" s="3" t="n">
        <v>0</v>
      </c>
      <c r="BA247" s="0" t="s">
        <v>59</v>
      </c>
      <c r="BB247" s="0" t="s">
        <v>60</v>
      </c>
      <c r="BC247" s="0" t="n">
        <v>0</v>
      </c>
    </row>
    <row r="248" customFormat="false" ht="12.8" hidden="false" customHeight="false" outlineLevel="0" collapsed="false">
      <c r="A248" s="0" t="n">
        <v>779</v>
      </c>
      <c r="B248" s="1" t="n">
        <v>44125.5173611111</v>
      </c>
      <c r="C248" s="0" t="n">
        <v>1</v>
      </c>
      <c r="F248" s="6" t="s">
        <v>71</v>
      </c>
      <c r="G248" s="2" t="n">
        <v>79</v>
      </c>
      <c r="H248" s="2" t="n">
        <v>66</v>
      </c>
      <c r="I248" s="2" t="n">
        <v>64</v>
      </c>
      <c r="J248" s="2" t="s">
        <v>95</v>
      </c>
      <c r="K248" s="2" t="n">
        <v>17</v>
      </c>
      <c r="L248" s="2" t="n">
        <v>29</v>
      </c>
      <c r="M248" s="0" t="s">
        <v>73</v>
      </c>
      <c r="N248" s="0" t="n">
        <v>0</v>
      </c>
      <c r="O248" s="0" t="s">
        <v>138</v>
      </c>
      <c r="Q248" s="6" t="s">
        <v>81</v>
      </c>
      <c r="R248" s="3" t="n">
        <v>4.14</v>
      </c>
      <c r="S248" s="2" t="n">
        <v>878</v>
      </c>
      <c r="T248" s="2" t="n">
        <v>9876</v>
      </c>
      <c r="U248" s="2" t="n">
        <f aca="false">T248-S248</f>
        <v>8998</v>
      </c>
      <c r="V248" s="3" t="n">
        <f aca="false">71/60</f>
        <v>1.18333333333333</v>
      </c>
      <c r="W248" s="3" t="n">
        <f aca="false">75/60</f>
        <v>1.25</v>
      </c>
      <c r="X248" s="3" t="n">
        <f aca="false">W248-V248</f>
        <v>0.0666666666666667</v>
      </c>
      <c r="Y248" s="3" t="n">
        <f aca="false">R248/V248</f>
        <v>3.49859154929577</v>
      </c>
      <c r="Z248" s="0" t="n">
        <v>2</v>
      </c>
      <c r="AA248" s="3" t="n">
        <f aca="false">R248/Z248</f>
        <v>2.07</v>
      </c>
      <c r="AB248" s="3" t="n">
        <f aca="false">17+15/60</f>
        <v>17.25</v>
      </c>
      <c r="AC248" s="2" t="n">
        <v>545</v>
      </c>
      <c r="AD248" s="2" t="n">
        <v>459</v>
      </c>
      <c r="AE248" s="2" t="n">
        <v>122</v>
      </c>
      <c r="AF248" s="0" t="n">
        <v>152</v>
      </c>
      <c r="AG248" s="3" t="n">
        <f aca="false">17+17/60</f>
        <v>17.2833333333333</v>
      </c>
      <c r="AH248" s="3" t="n">
        <f aca="false">16+17/60</f>
        <v>16.2833333333333</v>
      </c>
      <c r="AI248" s="3" t="n">
        <f aca="false">18+47.6</f>
        <v>65.6</v>
      </c>
      <c r="AJ248" s="3" t="n">
        <f aca="false">16+34/60</f>
        <v>16.5666666666667</v>
      </c>
      <c r="AK248" s="3" t="n">
        <f aca="false">60/3.5</f>
        <v>17.1428571428571</v>
      </c>
      <c r="AQ248" s="2" t="n">
        <v>0</v>
      </c>
      <c r="AR248" s="0" t="n">
        <v>2</v>
      </c>
      <c r="AS248" s="0" t="n">
        <v>0</v>
      </c>
      <c r="AT248" s="0" t="n">
        <v>0</v>
      </c>
      <c r="AU248" s="4" t="n">
        <f aca="false">60*V248-SUM(AV248:AZ248)</f>
        <v>0.0033333333333303</v>
      </c>
      <c r="AV248" s="3" t="n">
        <f aca="false">11+33/60</f>
        <v>11.55</v>
      </c>
      <c r="AW248" s="3" t="n">
        <f aca="false">24+27/60</f>
        <v>24.45</v>
      </c>
      <c r="AX248" s="3" t="n">
        <f aca="false">32+43/60</f>
        <v>32.7166666666667</v>
      </c>
      <c r="AY248" s="3" t="n">
        <v>2.28</v>
      </c>
      <c r="AZ248" s="3" t="n">
        <v>0</v>
      </c>
      <c r="BA248" s="0" t="s">
        <v>59</v>
      </c>
      <c r="BB248" s="0" t="s">
        <v>60</v>
      </c>
      <c r="BC248" s="0" t="n">
        <v>0</v>
      </c>
    </row>
    <row r="249" customFormat="false" ht="13.8" hidden="false" customHeight="false" outlineLevel="0" collapsed="false">
      <c r="A249" s="0" t="n">
        <v>780</v>
      </c>
      <c r="B249" s="1" t="n">
        <v>44126.4777777778</v>
      </c>
      <c r="C249" s="0" t="n">
        <v>1</v>
      </c>
      <c r="F249" s="6" t="s">
        <v>71</v>
      </c>
      <c r="G249" s="2" t="n">
        <f aca="false">AVERAGE(82,84,84,86)</f>
        <v>84</v>
      </c>
      <c r="H249" s="2" t="n">
        <f aca="false">AVERAGE(66,66,66,67)</f>
        <v>66.25</v>
      </c>
      <c r="I249" s="2" t="n">
        <f aca="false">AVERAGE(62,59,55,55)</f>
        <v>57.75</v>
      </c>
      <c r="J249" s="2" t="s">
        <v>103</v>
      </c>
      <c r="K249" s="2" t="n">
        <f aca="false">AVERAGE(14,14,16,20)</f>
        <v>16</v>
      </c>
      <c r="L249" s="2" t="n">
        <v>29</v>
      </c>
      <c r="M249" s="0" t="s">
        <v>73</v>
      </c>
      <c r="N249" s="0" t="n">
        <v>0</v>
      </c>
      <c r="O249" s="0" t="s">
        <v>138</v>
      </c>
      <c r="Q249" s="13" t="s">
        <v>104</v>
      </c>
      <c r="R249" s="3" t="n">
        <v>6.94</v>
      </c>
      <c r="S249" s="2" t="n">
        <v>667</v>
      </c>
      <c r="T249" s="2" t="n">
        <v>15896</v>
      </c>
      <c r="U249" s="2" t="n">
        <f aca="false">T249-S249</f>
        <v>15229</v>
      </c>
      <c r="V249" s="3" t="n">
        <f aca="false">(120+2)/60</f>
        <v>2.03333333333333</v>
      </c>
      <c r="W249" s="3" t="n">
        <f aca="false">(120+14)/60</f>
        <v>2.23333333333333</v>
      </c>
      <c r="X249" s="3" t="n">
        <f aca="false">W249-V249</f>
        <v>0.2</v>
      </c>
      <c r="Y249" s="3" t="n">
        <f aca="false">R249/V249</f>
        <v>3.41311475409836</v>
      </c>
      <c r="Z249" s="0" t="n">
        <v>1</v>
      </c>
      <c r="AA249" s="3" t="n">
        <f aca="false">R249/Z249</f>
        <v>6.94</v>
      </c>
      <c r="AB249" s="3" t="n">
        <f aca="false">17+37/60</f>
        <v>17.6166666666667</v>
      </c>
      <c r="AC249" s="2" t="n">
        <v>761</v>
      </c>
      <c r="AD249" s="2" t="n">
        <v>749</v>
      </c>
      <c r="AE249" s="2" t="n">
        <v>125</v>
      </c>
      <c r="AF249" s="0" t="n">
        <v>149</v>
      </c>
      <c r="AG249" s="3" t="n">
        <f aca="false">17+1/60</f>
        <v>17.0166666666667</v>
      </c>
      <c r="AH249" s="3" t="n">
        <f aca="false">17+17/60</f>
        <v>17.2833333333333</v>
      </c>
      <c r="AI249" s="3" t="n">
        <f aca="false">17+36/60</f>
        <v>17.6</v>
      </c>
      <c r="AJ249" s="3" t="n">
        <f aca="false">18+8/60</f>
        <v>18.1333333333333</v>
      </c>
      <c r="AK249" s="3" t="n">
        <f aca="false">17+36/60</f>
        <v>17.6</v>
      </c>
      <c r="AL249" s="3" t="n">
        <f aca="false">17+17/60</f>
        <v>17.2833333333333</v>
      </c>
      <c r="AM249" s="3" t="n">
        <f aca="false">60/3.3</f>
        <v>18.1818181818182</v>
      </c>
      <c r="AQ249" s="2" t="n">
        <v>7</v>
      </c>
      <c r="AR249" s="0" t="n">
        <v>1</v>
      </c>
      <c r="AS249" s="0" t="n">
        <v>0</v>
      </c>
      <c r="AT249" s="0" t="n">
        <v>0</v>
      </c>
      <c r="AU249" s="4" t="n">
        <f aca="false">60*V249-SUM(AV249:AZ249)</f>
        <v>2.78333333333333</v>
      </c>
      <c r="AV249" s="3" t="n">
        <f aca="false">9+10/60</f>
        <v>9.16666666666667</v>
      </c>
      <c r="AW249" s="3" t="n">
        <f aca="false">29+2/60</f>
        <v>29.0333333333333</v>
      </c>
      <c r="AX249" s="3" t="n">
        <f aca="false">79+59/60</f>
        <v>79.9833333333333</v>
      </c>
      <c r="AY249" s="3" t="n">
        <f aca="false">1+2/60</f>
        <v>1.03333333333333</v>
      </c>
      <c r="AZ249" s="3" t="n">
        <v>0</v>
      </c>
      <c r="BA249" s="0" t="s">
        <v>59</v>
      </c>
      <c r="BB249" s="0" t="s">
        <v>60</v>
      </c>
      <c r="BC249" s="0" t="n">
        <v>0</v>
      </c>
    </row>
    <row r="250" customFormat="false" ht="12.8" hidden="false" customHeight="false" outlineLevel="0" collapsed="false">
      <c r="A250" s="0" t="n">
        <v>781</v>
      </c>
      <c r="B250" s="1" t="n">
        <v>44127</v>
      </c>
      <c r="C250" s="0" t="n">
        <v>1</v>
      </c>
      <c r="F250" s="6" t="s">
        <v>74</v>
      </c>
      <c r="G250" s="2" t="n">
        <v>51</v>
      </c>
      <c r="H250" s="2" t="n">
        <v>45</v>
      </c>
      <c r="I250" s="2" t="n">
        <v>83</v>
      </c>
      <c r="J250" s="2" t="s">
        <v>128</v>
      </c>
      <c r="K250" s="2" t="n">
        <v>18</v>
      </c>
      <c r="L250" s="2" t="n">
        <v>0</v>
      </c>
      <c r="M250" s="0" t="s">
        <v>73</v>
      </c>
      <c r="N250" s="0" t="n">
        <v>0</v>
      </c>
      <c r="O250" s="0" t="s">
        <v>138</v>
      </c>
      <c r="Q250" s="0" t="s">
        <v>83</v>
      </c>
      <c r="R250" s="3" t="n">
        <v>4.35</v>
      </c>
      <c r="S250" s="2" t="n">
        <v>459</v>
      </c>
      <c r="T250" s="2" t="n">
        <v>10458</v>
      </c>
      <c r="U250" s="2" t="n">
        <f aca="false">T250-S250</f>
        <v>9999</v>
      </c>
      <c r="V250" s="3" t="n">
        <f aca="false">64/60</f>
        <v>1.06666666666667</v>
      </c>
      <c r="W250" s="3" t="n">
        <f aca="false">79/60</f>
        <v>1.31666666666667</v>
      </c>
      <c r="X250" s="3" t="n">
        <f aca="false">W250-V250</f>
        <v>0.25</v>
      </c>
      <c r="Y250" s="3" t="n">
        <f aca="false">R250/V250</f>
        <v>4.07812499999999</v>
      </c>
      <c r="Z250" s="0" t="n">
        <v>4</v>
      </c>
      <c r="AA250" s="3" t="n">
        <f aca="false">R250/Z250</f>
        <v>1.0875</v>
      </c>
      <c r="AB250" s="3" t="n">
        <f aca="false">15+37/60</f>
        <v>15.6166666666667</v>
      </c>
      <c r="AC250" s="2" t="n">
        <v>105</v>
      </c>
      <c r="AD250" s="2" t="n">
        <v>465</v>
      </c>
      <c r="AE250" s="2" t="n">
        <v>80</v>
      </c>
      <c r="AF250" s="0" t="n">
        <v>117</v>
      </c>
      <c r="AG250" s="3" t="n">
        <f aca="false">15+32/60</f>
        <v>15.5333333333333</v>
      </c>
      <c r="AH250" s="3" t="n">
        <f aca="false">15+35/60</f>
        <v>15.5833333333333</v>
      </c>
      <c r="AI250" s="3" t="n">
        <f aca="false">15+37/60</f>
        <v>15.6166666666667</v>
      </c>
      <c r="AJ250" s="3" t="n">
        <f aca="false">15+39/60</f>
        <v>15.65</v>
      </c>
      <c r="AK250" s="3" t="n">
        <f aca="false">60/3.8</f>
        <v>15.7894736842105</v>
      </c>
      <c r="AQ250" s="2" t="n">
        <v>0</v>
      </c>
      <c r="AR250" s="0" t="n">
        <v>1</v>
      </c>
      <c r="AS250" s="0" t="n">
        <v>0</v>
      </c>
      <c r="AT250" s="0" t="n">
        <v>0</v>
      </c>
      <c r="AU250" s="4" t="n">
        <f aca="false">60*V250-SUM(AV250:AZ250)</f>
        <v>57</v>
      </c>
      <c r="AV250" s="3" t="n">
        <f aca="false">5+36/60</f>
        <v>5.6</v>
      </c>
      <c r="AW250" s="3" t="n">
        <f aca="false">1+24/60</f>
        <v>1.4</v>
      </c>
      <c r="AX250" s="3" t="n">
        <v>0</v>
      </c>
      <c r="AY250" s="3" t="n">
        <v>0</v>
      </c>
      <c r="AZ250" s="3" t="n">
        <v>0</v>
      </c>
      <c r="BA250" s="0" t="s">
        <v>59</v>
      </c>
      <c r="BB250" s="0" t="s">
        <v>60</v>
      </c>
      <c r="BC250" s="0" t="n">
        <v>0</v>
      </c>
    </row>
    <row r="251" customFormat="false" ht="12.8" hidden="false" customHeight="false" outlineLevel="0" collapsed="false">
      <c r="A251" s="0" t="n">
        <v>782</v>
      </c>
      <c r="B251" s="1" t="n">
        <v>44128.4951388889</v>
      </c>
      <c r="C251" s="0" t="n">
        <v>0</v>
      </c>
      <c r="D251" s="0" t="s">
        <v>144</v>
      </c>
      <c r="F251" s="6" t="s">
        <v>129</v>
      </c>
      <c r="G251" s="0" t="n">
        <v>51</v>
      </c>
      <c r="H251" s="0" t="n">
        <v>40</v>
      </c>
      <c r="I251" s="0" t="n">
        <v>61</v>
      </c>
      <c r="J251" s="0" t="s">
        <v>132</v>
      </c>
      <c r="K251" s="0" t="n">
        <v>7</v>
      </c>
      <c r="L251" s="0" t="n">
        <v>0</v>
      </c>
      <c r="M251" s="0" t="s">
        <v>73</v>
      </c>
    </row>
    <row r="252" customFormat="false" ht="12.8" hidden="false" customHeight="false" outlineLevel="0" collapsed="false">
      <c r="A252" s="0" t="n">
        <v>783</v>
      </c>
      <c r="B252" s="1" t="n">
        <v>44129.4951388889</v>
      </c>
      <c r="C252" s="0" t="n">
        <v>0</v>
      </c>
      <c r="D252" s="0" t="s">
        <v>70</v>
      </c>
      <c r="F252" s="6" t="s">
        <v>74</v>
      </c>
      <c r="G252" s="2" t="n">
        <v>59</v>
      </c>
      <c r="H252" s="2" t="n">
        <v>55</v>
      </c>
      <c r="I252" s="2" t="n">
        <v>87</v>
      </c>
      <c r="J252" s="6" t="s">
        <v>97</v>
      </c>
      <c r="K252" s="2" t="n">
        <v>12</v>
      </c>
      <c r="L252" s="2" t="n">
        <v>0</v>
      </c>
      <c r="M252" s="0" t="s">
        <v>73</v>
      </c>
    </row>
    <row r="253" customFormat="false" ht="12.8" hidden="false" customHeight="false" outlineLevel="0" collapsed="false">
      <c r="A253" s="0" t="n">
        <v>784</v>
      </c>
      <c r="B253" s="1" t="n">
        <v>44130.5777777778</v>
      </c>
      <c r="C253" s="0" t="n">
        <v>1</v>
      </c>
      <c r="F253" s="6" t="s">
        <v>56</v>
      </c>
      <c r="G253" s="2" t="n">
        <v>45</v>
      </c>
      <c r="H253" s="2" t="n">
        <v>43</v>
      </c>
      <c r="I253" s="2" t="n">
        <v>93</v>
      </c>
      <c r="J253" s="2" t="s">
        <v>96</v>
      </c>
      <c r="K253" s="2" t="n">
        <v>21</v>
      </c>
      <c r="L253" s="2" t="n">
        <v>0</v>
      </c>
      <c r="M253" s="0" t="s">
        <v>73</v>
      </c>
      <c r="N253" s="0" t="n">
        <v>0</v>
      </c>
      <c r="O253" s="0" t="s">
        <v>138</v>
      </c>
      <c r="Q253" s="0" t="s">
        <v>145</v>
      </c>
      <c r="R253" s="3" t="n">
        <v>3.52</v>
      </c>
      <c r="S253" s="2" t="n">
        <v>1140</v>
      </c>
      <c r="T253" s="2" t="n">
        <v>12443</v>
      </c>
      <c r="U253" s="2" t="n">
        <f aca="false">T253-S253</f>
        <v>11303</v>
      </c>
      <c r="V253" s="3" t="n">
        <f aca="false">89/60</f>
        <v>1.48333333333333</v>
      </c>
      <c r="W253" s="3" t="n">
        <f aca="false">89/60</f>
        <v>1.48333333333333</v>
      </c>
      <c r="X253" s="3" t="n">
        <f aca="false">W253-V253</f>
        <v>0</v>
      </c>
      <c r="Y253" s="3" t="n">
        <f aca="false">R253/V253</f>
        <v>2.37303370786517</v>
      </c>
      <c r="Z253" s="0" t="n">
        <v>2</v>
      </c>
      <c r="AA253" s="3" t="n">
        <f aca="false">R253/Z253</f>
        <v>1.76</v>
      </c>
      <c r="AB253" s="3" t="n">
        <f aca="false">25+12/60</f>
        <v>25.2</v>
      </c>
      <c r="AC253" s="2" t="n">
        <v>39</v>
      </c>
      <c r="AD253" s="2" t="n">
        <v>327</v>
      </c>
      <c r="AE253" s="2" t="n">
        <v>81</v>
      </c>
      <c r="AF253" s="0" t="n">
        <v>111</v>
      </c>
      <c r="AG253" s="3" t="n">
        <f aca="false">24+55/60</f>
        <v>24.9166666666667</v>
      </c>
      <c r="AH253" s="3" t="n">
        <f aca="false">25+7/60</f>
        <v>25.1166666666667</v>
      </c>
      <c r="AI253" s="3" t="n">
        <f aca="false">26+32/60</f>
        <v>26.5333333333333</v>
      </c>
      <c r="AJ253" s="3" t="n">
        <f aca="false">60/2.4</f>
        <v>25</v>
      </c>
      <c r="AQ253" s="2" t="n">
        <v>0</v>
      </c>
      <c r="AR253" s="0" t="n">
        <v>0</v>
      </c>
      <c r="AS253" s="0" t="n">
        <v>0</v>
      </c>
      <c r="AT253" s="0" t="n">
        <v>0</v>
      </c>
      <c r="AU253" s="4" t="n">
        <f aca="false">60*V253-SUM(AV253:AZ253)</f>
        <v>76.2166666666667</v>
      </c>
      <c r="AV253" s="3" t="n">
        <f aca="false">11+56/60</f>
        <v>11.9333333333333</v>
      </c>
      <c r="AW253" s="3" t="n">
        <f aca="false">51/60</f>
        <v>0.85</v>
      </c>
      <c r="AX253" s="3" t="n">
        <v>0</v>
      </c>
      <c r="AY253" s="3" t="n">
        <v>0</v>
      </c>
      <c r="AZ253" s="3" t="n">
        <v>0</v>
      </c>
      <c r="BA253" s="0" t="s">
        <v>59</v>
      </c>
      <c r="BB253" s="0" t="s">
        <v>60</v>
      </c>
      <c r="BC253" s="0" t="n">
        <v>0</v>
      </c>
    </row>
    <row r="254" customFormat="false" ht="12.8" hidden="false" customHeight="false" outlineLevel="0" collapsed="false">
      <c r="A254" s="0" t="n">
        <v>785</v>
      </c>
      <c r="B254" s="1" t="n">
        <v>44131.4951388889</v>
      </c>
      <c r="C254" s="0" t="n">
        <v>0</v>
      </c>
      <c r="F254" s="6" t="s">
        <v>142</v>
      </c>
      <c r="G254" s="2" t="n">
        <v>39</v>
      </c>
      <c r="H254" s="2" t="n">
        <v>38</v>
      </c>
      <c r="I254" s="2" t="n">
        <v>96</v>
      </c>
      <c r="J254" s="2" t="s">
        <v>96</v>
      </c>
      <c r="K254" s="2" t="n">
        <v>14</v>
      </c>
      <c r="L254" s="2" t="n">
        <v>0</v>
      </c>
      <c r="M254" s="0" t="s">
        <v>143</v>
      </c>
    </row>
    <row r="255" customFormat="false" ht="12.8" hidden="false" customHeight="false" outlineLevel="0" collapsed="false">
      <c r="A255" s="0" t="n">
        <v>786</v>
      </c>
      <c r="B255" s="1" t="n">
        <v>44132.4770833333</v>
      </c>
      <c r="C255" s="0" t="n">
        <v>1</v>
      </c>
      <c r="F255" s="6" t="s">
        <v>105</v>
      </c>
      <c r="G255" s="2" t="n">
        <v>40</v>
      </c>
      <c r="H255" s="2" t="n">
        <v>38</v>
      </c>
      <c r="I255" s="2" t="n">
        <v>93</v>
      </c>
      <c r="J255" s="6" t="s">
        <v>137</v>
      </c>
      <c r="K255" s="2" t="n">
        <v>10</v>
      </c>
      <c r="L255" s="2" t="n">
        <v>0</v>
      </c>
      <c r="M255" s="0" t="s">
        <v>143</v>
      </c>
      <c r="N255" s="0" t="n">
        <v>0</v>
      </c>
      <c r="O255" s="0" t="s">
        <v>138</v>
      </c>
      <c r="Q255" s="0" t="s">
        <v>145</v>
      </c>
      <c r="R255" s="3" t="n">
        <v>3.86</v>
      </c>
      <c r="S255" s="2" t="n">
        <v>836</v>
      </c>
      <c r="T255" s="2" t="n">
        <v>13040</v>
      </c>
      <c r="U255" s="2" t="n">
        <f aca="false">T255-S255</f>
        <v>12204</v>
      </c>
      <c r="V255" s="3" t="n">
        <f aca="false">96/60</f>
        <v>1.6</v>
      </c>
      <c r="W255" s="3" t="n">
        <f aca="false">97/60</f>
        <v>1.61666666666667</v>
      </c>
      <c r="X255" s="3" t="n">
        <f aca="false">W255-V255</f>
        <v>0.0166666666666699</v>
      </c>
      <c r="Y255" s="3" t="n">
        <f aca="false">R255/V255</f>
        <v>2.4125</v>
      </c>
      <c r="Z255" s="0" t="n">
        <v>2</v>
      </c>
      <c r="AA255" s="3" t="n">
        <f aca="false">R255/Z255</f>
        <v>1.93</v>
      </c>
      <c r="AB255" s="3" t="n">
        <f aca="false">24+54/60</f>
        <v>24.9</v>
      </c>
      <c r="AC255" s="2" t="n">
        <v>56</v>
      </c>
      <c r="AD255" s="2" t="n">
        <v>377</v>
      </c>
      <c r="AE255" s="2" t="n">
        <v>86</v>
      </c>
      <c r="AF255" s="0" t="n">
        <v>131</v>
      </c>
      <c r="AG255" s="3" t="n">
        <f aca="false">23+50/60</f>
        <v>23.8333333333333</v>
      </c>
      <c r="AH255" s="3" t="n">
        <f aca="false">23+34/60</f>
        <v>23.5666666666667</v>
      </c>
      <c r="AI255" s="3" t="n">
        <f aca="false">26+22/60</f>
        <v>26.3666666666667</v>
      </c>
      <c r="AJ255" s="3" t="n">
        <f aca="false">60/2.3</f>
        <v>26.0869565217391</v>
      </c>
      <c r="AQ255" s="2" t="n">
        <v>0</v>
      </c>
      <c r="AR255" s="0" t="n">
        <v>0</v>
      </c>
      <c r="AS255" s="0" t="n">
        <v>0</v>
      </c>
      <c r="AT255" s="0" t="n">
        <v>0</v>
      </c>
      <c r="AU255" s="4" t="n">
        <f aca="false">60*V255-SUM(AV255:AZ255)</f>
        <v>67.6533333333333</v>
      </c>
      <c r="AV255" s="3" t="n">
        <f aca="false">26+16/60</f>
        <v>26.2666666666667</v>
      </c>
      <c r="AW255" s="3" t="n">
        <f aca="false">1+54/50</f>
        <v>2.08</v>
      </c>
      <c r="AX255" s="3" t="n">
        <v>0</v>
      </c>
      <c r="AY255" s="3" t="n">
        <v>0</v>
      </c>
      <c r="AZ255" s="3" t="n">
        <v>0</v>
      </c>
      <c r="BA255" s="0" t="s">
        <v>59</v>
      </c>
      <c r="BB255" s="0" t="s">
        <v>60</v>
      </c>
      <c r="BC255" s="0" t="n">
        <v>0</v>
      </c>
    </row>
    <row r="256" customFormat="false" ht="12.8" hidden="false" customHeight="false" outlineLevel="0" collapsed="false">
      <c r="A256" s="0" t="n">
        <v>787</v>
      </c>
      <c r="B256" s="1" t="n">
        <v>44133.5270833333</v>
      </c>
      <c r="C256" s="0" t="n">
        <v>1</v>
      </c>
      <c r="F256" s="6" t="s">
        <v>74</v>
      </c>
      <c r="G256" s="2" t="n">
        <v>51</v>
      </c>
      <c r="H256" s="2" t="n">
        <v>41</v>
      </c>
      <c r="I256" s="2" t="n">
        <v>68</v>
      </c>
      <c r="J256" s="6" t="s">
        <v>128</v>
      </c>
      <c r="K256" s="2" t="n">
        <v>16</v>
      </c>
      <c r="L256" s="2" t="n">
        <v>0</v>
      </c>
      <c r="M256" s="0" t="s">
        <v>73</v>
      </c>
      <c r="N256" s="0" t="n">
        <v>0</v>
      </c>
      <c r="O256" s="0" t="s">
        <v>138</v>
      </c>
      <c r="Q256" s="0" t="s">
        <v>78</v>
      </c>
      <c r="R256" s="3" t="n">
        <v>4.5</v>
      </c>
      <c r="S256" s="2" t="n">
        <v>799</v>
      </c>
      <c r="T256" s="2" t="n">
        <v>10170</v>
      </c>
      <c r="U256" s="2" t="n">
        <f aca="false">T256-S256</f>
        <v>9371</v>
      </c>
      <c r="V256" s="3" t="n">
        <f aca="false">75/60</f>
        <v>1.25</v>
      </c>
      <c r="W256" s="3" t="n">
        <f aca="false">75/60</f>
        <v>1.25</v>
      </c>
      <c r="X256" s="3" t="n">
        <f aca="false">W256-V256</f>
        <v>0</v>
      </c>
      <c r="Y256" s="3" t="n">
        <f aca="false">R256/V256</f>
        <v>3.6</v>
      </c>
      <c r="Z256" s="0" t="n">
        <v>1</v>
      </c>
      <c r="AA256" s="3" t="n">
        <f aca="false">R256/Z256</f>
        <v>4.5</v>
      </c>
      <c r="AB256" s="3" t="n">
        <f aca="false">16+36/60</f>
        <v>16.6</v>
      </c>
      <c r="AC256" s="2" t="n">
        <v>72</v>
      </c>
      <c r="AD256" s="2" t="n">
        <v>471</v>
      </c>
      <c r="AE256" s="2" t="n">
        <v>112</v>
      </c>
      <c r="AF256" s="0" t="n">
        <v>130</v>
      </c>
      <c r="AG256" s="3" t="n">
        <f aca="false">16+4/60</f>
        <v>16.0666666666667</v>
      </c>
      <c r="AH256" s="3" t="n">
        <f aca="false">16+38/60</f>
        <v>16.6333333333333</v>
      </c>
      <c r="AI256" s="3" t="n">
        <f aca="false">16+44/60</f>
        <v>16.7333333333333</v>
      </c>
      <c r="AJ256" s="3" t="n">
        <f aca="false">16+40/60</f>
        <v>16.6666666666667</v>
      </c>
      <c r="AK256" s="3" t="n">
        <f aca="false">60/3.5</f>
        <v>17.1428571428571</v>
      </c>
      <c r="AQ256" s="2" t="n">
        <v>0</v>
      </c>
      <c r="AR256" s="0" t="n">
        <v>0</v>
      </c>
      <c r="AS256" s="0" t="n">
        <v>1</v>
      </c>
      <c r="AT256" s="0" t="n">
        <v>0</v>
      </c>
      <c r="AU256" s="4" t="n">
        <f aca="false">60*V256-SUM(AV256:AZ256)</f>
        <v>1</v>
      </c>
      <c r="AV256" s="3" t="n">
        <f aca="false">21+52/60</f>
        <v>21.8666666666667</v>
      </c>
      <c r="AW256" s="3" t="n">
        <f aca="false">50+16/60</f>
        <v>50.2666666666667</v>
      </c>
      <c r="AX256" s="3" t="n">
        <f aca="false">1+52/60</f>
        <v>1.86666666666667</v>
      </c>
      <c r="AY256" s="3" t="n">
        <v>0</v>
      </c>
      <c r="AZ256" s="3" t="n">
        <v>0</v>
      </c>
      <c r="BA256" s="0" t="s">
        <v>59</v>
      </c>
      <c r="BB256" s="0" t="s">
        <v>60</v>
      </c>
      <c r="BC256" s="0" t="n">
        <v>0</v>
      </c>
    </row>
    <row r="257" customFormat="false" ht="12.8" hidden="false" customHeight="false" outlineLevel="0" collapsed="false">
      <c r="A257" s="0" t="n">
        <v>788</v>
      </c>
      <c r="B257" s="1" t="n">
        <v>44134.5444444444</v>
      </c>
      <c r="C257" s="0" t="n">
        <v>1</v>
      </c>
      <c r="F257" s="6" t="s">
        <v>107</v>
      </c>
      <c r="G257" s="2" t="n">
        <f aca="false">(61+64)/2</f>
        <v>62.5</v>
      </c>
      <c r="H257" s="2" t="n">
        <v>36</v>
      </c>
      <c r="I257" s="2" t="n">
        <f aca="false">(39+35)/2</f>
        <v>37</v>
      </c>
      <c r="J257" s="6" t="s">
        <v>114</v>
      </c>
      <c r="K257" s="2" t="n">
        <v>0</v>
      </c>
      <c r="L257" s="2" t="n">
        <v>0</v>
      </c>
      <c r="M257" s="0" t="s">
        <v>73</v>
      </c>
      <c r="N257" s="0" t="n">
        <v>0</v>
      </c>
      <c r="O257" s="0" t="s">
        <v>138</v>
      </c>
      <c r="Q257" s="0" t="s">
        <v>140</v>
      </c>
      <c r="R257" s="3" t="n">
        <v>7.66</v>
      </c>
      <c r="S257" s="2" t="n">
        <v>506</v>
      </c>
      <c r="T257" s="2" t="n">
        <v>16909</v>
      </c>
      <c r="U257" s="2" t="n">
        <f aca="false">T257-S257</f>
        <v>16403</v>
      </c>
      <c r="V257" s="3" t="n">
        <f aca="false">128/60</f>
        <v>2.13333333333333</v>
      </c>
      <c r="W257" s="3" t="n">
        <f aca="false">(120+22)/60</f>
        <v>2.36666666666667</v>
      </c>
      <c r="X257" s="3" t="n">
        <f aca="false">W257-V257</f>
        <v>0.233333333333333</v>
      </c>
      <c r="Y257" s="3" t="n">
        <f aca="false">R257/V257</f>
        <v>3.590625</v>
      </c>
      <c r="Z257" s="0" t="n">
        <v>1</v>
      </c>
      <c r="AA257" s="3" t="n">
        <f aca="false">R257/Z257</f>
        <v>7.66</v>
      </c>
      <c r="AB257" s="3" t="n">
        <f aca="false">16+40/60</f>
        <v>16.6666666666667</v>
      </c>
      <c r="AC257" s="2" t="n">
        <f aca="false">105</f>
        <v>105</v>
      </c>
      <c r="AD257" s="2" t="n">
        <v>813</v>
      </c>
      <c r="AE257" s="2" t="n">
        <v>77</v>
      </c>
      <c r="AF257" s="0" t="n">
        <v>125</v>
      </c>
      <c r="AG257" s="3" t="n">
        <f aca="false">16</f>
        <v>16</v>
      </c>
      <c r="AH257" s="3" t="n">
        <f aca="false">15+50/60</f>
        <v>15.8333333333333</v>
      </c>
      <c r="AI257" s="3" t="n">
        <f aca="false">16+9/60</f>
        <v>16.15</v>
      </c>
      <c r="AJ257" s="3" t="n">
        <v>18</v>
      </c>
      <c r="AK257" s="3" t="n">
        <f aca="false">16+33/60</f>
        <v>16.55</v>
      </c>
      <c r="AL257" s="3" t="n">
        <f aca="false">16.1</f>
        <v>16.1</v>
      </c>
      <c r="AM257" s="3" t="n">
        <f aca="false">17+4/60</f>
        <v>17.0666666666667</v>
      </c>
      <c r="AN257" s="3" t="n">
        <f aca="false">60/3.3</f>
        <v>18.1818181818182</v>
      </c>
      <c r="AQ257" s="2" t="n">
        <v>0</v>
      </c>
      <c r="AR257" s="0" t="n">
        <v>0</v>
      </c>
      <c r="AS257" s="0" t="n">
        <v>0</v>
      </c>
      <c r="AT257" s="0" t="n">
        <v>0</v>
      </c>
      <c r="AU257" s="4" t="n">
        <f aca="false">60*V257-SUM(AV257:AZ257)</f>
        <v>110.433333333333</v>
      </c>
      <c r="AV257" s="3" t="n">
        <f aca="false">5+2/60</f>
        <v>5.03333333333333</v>
      </c>
      <c r="AW257" s="3" t="n">
        <f aca="false">12+32/60</f>
        <v>12.5333333333333</v>
      </c>
      <c r="AX257" s="3" t="n">
        <v>0</v>
      </c>
      <c r="AY257" s="3" t="n">
        <v>0</v>
      </c>
      <c r="AZ257" s="3" t="n">
        <v>0</v>
      </c>
      <c r="BA257" s="0" t="s">
        <v>59</v>
      </c>
      <c r="BB257" s="0" t="s">
        <v>60</v>
      </c>
      <c r="BC257" s="0" t="n">
        <v>0</v>
      </c>
    </row>
    <row r="258" customFormat="false" ht="12.8" hidden="false" customHeight="false" outlineLevel="0" collapsed="false">
      <c r="A258" s="0" t="n">
        <v>789</v>
      </c>
      <c r="B258" s="1" t="n">
        <v>44135.5472222222</v>
      </c>
      <c r="C258" s="0" t="n">
        <v>1</v>
      </c>
      <c r="F258" s="0" t="s">
        <v>61</v>
      </c>
      <c r="G258" s="2" t="n">
        <f aca="false">(66+68+69)/3</f>
        <v>67.6666666666667</v>
      </c>
      <c r="H258" s="2" t="n">
        <v>44</v>
      </c>
      <c r="I258" s="2" t="n">
        <f aca="false">(45+42+29)/3</f>
        <v>38.6666666666667</v>
      </c>
      <c r="J258" s="2" t="s">
        <v>95</v>
      </c>
      <c r="K258" s="2" t="n">
        <f aca="false">(12+13+9)/3</f>
        <v>11.3333333333333</v>
      </c>
      <c r="L258" s="2" t="n">
        <v>0</v>
      </c>
      <c r="M258" s="0" t="s">
        <v>73</v>
      </c>
      <c r="N258" s="0" t="n">
        <v>0</v>
      </c>
      <c r="O258" s="0" t="s">
        <v>138</v>
      </c>
      <c r="Q258" s="0" t="s">
        <v>82</v>
      </c>
      <c r="R258" s="3" t="n">
        <v>8.67</v>
      </c>
      <c r="S258" s="2" t="n">
        <v>1808</v>
      </c>
      <c r="T258" s="2" t="n">
        <v>19656</v>
      </c>
      <c r="U258" s="2" t="n">
        <f aca="false">T258-S258</f>
        <v>17848</v>
      </c>
      <c r="V258" s="3" t="n">
        <f aca="false">(120+21)/60</f>
        <v>2.35</v>
      </c>
      <c r="W258" s="3" t="n">
        <f aca="false">(120+30)/60</f>
        <v>2.5</v>
      </c>
      <c r="X258" s="3" t="n">
        <f aca="false">W258-V258</f>
        <v>0.15</v>
      </c>
      <c r="Y258" s="3" t="n">
        <f aca="false">R258/V258</f>
        <v>3.68936170212766</v>
      </c>
      <c r="Z258" s="0" t="n">
        <v>1</v>
      </c>
      <c r="AA258" s="3" t="n">
        <f aca="false">R258/Z258</f>
        <v>8.67</v>
      </c>
      <c r="AB258" s="3" t="n">
        <f aca="false">16+14/60</f>
        <v>16.2333333333333</v>
      </c>
      <c r="AC258" s="2" t="n">
        <v>135</v>
      </c>
      <c r="AD258" s="2" t="n">
        <v>925</v>
      </c>
      <c r="AE258" s="2" t="n">
        <v>120</v>
      </c>
      <c r="AF258" s="0" t="n">
        <v>144</v>
      </c>
      <c r="AG258" s="3" t="n">
        <f aca="false">16+14/60</f>
        <v>16.2333333333333</v>
      </c>
      <c r="AH258" s="3" t="n">
        <f aca="false">15+43/60</f>
        <v>15.7166666666667</v>
      </c>
      <c r="AI258" s="3" t="n">
        <f aca="false">15+56/60</f>
        <v>15.9333333333333</v>
      </c>
      <c r="AJ258" s="3" t="n">
        <f aca="false">15+48/60</f>
        <v>15.8</v>
      </c>
      <c r="AK258" s="3" t="n">
        <f aca="false">16+16/60</f>
        <v>16.2666666666667</v>
      </c>
      <c r="AL258" s="3" t="n">
        <f aca="false">16+40/60</f>
        <v>16.6666666666667</v>
      </c>
      <c r="AM258" s="3" t="n">
        <f aca="false">16+27/60</f>
        <v>16.45</v>
      </c>
      <c r="AN258" s="3" t="n">
        <f aca="false">16+40/60</f>
        <v>16.6666666666667</v>
      </c>
      <c r="AO258" s="3" t="n">
        <f aca="false">60/3.6</f>
        <v>16.6666666666667</v>
      </c>
      <c r="AQ258" s="2" t="n">
        <v>2</v>
      </c>
      <c r="AR258" s="0" t="n">
        <v>4</v>
      </c>
      <c r="AS258" s="0" t="n">
        <v>0</v>
      </c>
      <c r="AT258" s="0" t="n">
        <v>0</v>
      </c>
      <c r="AU258" s="4" t="n">
        <f aca="false">60*V258-SUM(AV258:AZ258)</f>
        <v>2.83333333333334</v>
      </c>
      <c r="AV258" s="3" t="n">
        <f aca="false">37+59/60</f>
        <v>37.9833333333333</v>
      </c>
      <c r="AW258" s="3" t="n">
        <f aca="false">25+35/60</f>
        <v>25.5833333333333</v>
      </c>
      <c r="AX258" s="3" t="n">
        <f aca="false">74+33/60</f>
        <v>74.55</v>
      </c>
      <c r="AY258" s="3" t="n">
        <f aca="false">3/60</f>
        <v>0.05</v>
      </c>
      <c r="AZ258" s="3" t="n">
        <v>0</v>
      </c>
      <c r="BA258" s="0" t="s">
        <v>59</v>
      </c>
      <c r="BB258" s="0" t="s">
        <v>60</v>
      </c>
      <c r="BC258" s="0" t="n">
        <v>0</v>
      </c>
    </row>
    <row r="259" customFormat="false" ht="12.8" hidden="false" customHeight="false" outlineLevel="0" collapsed="false">
      <c r="A259" s="0" t="n">
        <v>790</v>
      </c>
      <c r="B259" s="1" t="n">
        <v>44136.5645833333</v>
      </c>
      <c r="C259" s="0" t="n">
        <v>1</v>
      </c>
      <c r="F259" s="6" t="s">
        <v>107</v>
      </c>
      <c r="G259" s="2" t="n">
        <v>72</v>
      </c>
      <c r="H259" s="2" t="n">
        <v>37</v>
      </c>
      <c r="I259" s="2" t="n">
        <v>28</v>
      </c>
      <c r="J259" s="2" t="s">
        <v>96</v>
      </c>
      <c r="K259" s="2" t="n">
        <v>17</v>
      </c>
      <c r="L259" s="2" t="n">
        <v>29</v>
      </c>
      <c r="M259" s="0" t="s">
        <v>73</v>
      </c>
      <c r="N259" s="0" t="n">
        <v>0</v>
      </c>
      <c r="O259" s="0" t="s">
        <v>138</v>
      </c>
      <c r="R259" s="3" t="n">
        <v>5</v>
      </c>
      <c r="S259" s="2" t="n">
        <v>1405</v>
      </c>
      <c r="T259" s="2" t="n">
        <v>12243</v>
      </c>
      <c r="U259" s="2" t="n">
        <f aca="false">T259-S259</f>
        <v>10838</v>
      </c>
      <c r="V259" s="3" t="n">
        <f aca="false">(60+23)/60</f>
        <v>1.38333333333333</v>
      </c>
      <c r="W259" s="3" t="n">
        <f aca="false">(60+27)/60</f>
        <v>1.45</v>
      </c>
      <c r="X259" s="3" t="n">
        <f aca="false">W259-V259</f>
        <v>0.0666666666666667</v>
      </c>
      <c r="Y259" s="3" t="n">
        <f aca="false">R259/V259</f>
        <v>3.6144578313253</v>
      </c>
      <c r="Z259" s="0" t="n">
        <v>1</v>
      </c>
      <c r="AA259" s="3" t="n">
        <f aca="false">R259/Z259</f>
        <v>5</v>
      </c>
      <c r="AB259" s="3" t="n">
        <f aca="false">16+36/60</f>
        <v>16.6</v>
      </c>
      <c r="AC259" s="2" t="n">
        <v>121</v>
      </c>
      <c r="AD259" s="2" t="n">
        <v>528</v>
      </c>
      <c r="AE259" s="2" t="n">
        <v>121</v>
      </c>
      <c r="AF259" s="0" t="n">
        <v>142</v>
      </c>
      <c r="AG259" s="3" t="n">
        <f aca="false">16+7/60</f>
        <v>16.1166666666667</v>
      </c>
      <c r="AH259" s="3" t="n">
        <f aca="false">16+27/60</f>
        <v>16.45</v>
      </c>
      <c r="AI259" s="3" t="n">
        <f aca="false">16+53/60</f>
        <v>16.8833333333333</v>
      </c>
      <c r="AJ259" s="3" t="n">
        <f aca="false">16+46/60</f>
        <v>16.7666666666667</v>
      </c>
      <c r="AK259" s="3" t="n">
        <f aca="false">16+45/60</f>
        <v>16.75</v>
      </c>
      <c r="AQ259" s="2" t="n">
        <v>0</v>
      </c>
      <c r="AR259" s="0" t="n">
        <v>2</v>
      </c>
      <c r="AS259" s="0" t="n">
        <v>0</v>
      </c>
      <c r="AT259" s="0" t="n">
        <v>0</v>
      </c>
      <c r="AU259" s="4" t="n">
        <f aca="false">60*V259-SUM(AV259:AZ259)</f>
        <v>4.40000000000001</v>
      </c>
      <c r="AV259" s="3" t="n">
        <f aca="false">14+40/60</f>
        <v>14.6666666666667</v>
      </c>
      <c r="AW259" s="3" t="n">
        <f aca="false">6+53/60</f>
        <v>6.88333333333333</v>
      </c>
      <c r="AX259" s="3" t="n">
        <f aca="false">57+3/60</f>
        <v>57.05</v>
      </c>
      <c r="AY259" s="3" t="n">
        <v>0</v>
      </c>
      <c r="AZ259" s="3" t="n">
        <v>0</v>
      </c>
      <c r="BA259" s="0" t="s">
        <v>59</v>
      </c>
      <c r="BB259" s="0" t="s">
        <v>60</v>
      </c>
      <c r="BC259" s="0" t="n">
        <v>0</v>
      </c>
    </row>
    <row r="260" customFormat="false" ht="12.8" hidden="false" customHeight="false" outlineLevel="0" collapsed="false">
      <c r="A260" s="0" t="n">
        <v>791</v>
      </c>
      <c r="B260" s="1" t="n">
        <v>44137.4951388889</v>
      </c>
      <c r="C260" s="0" t="n">
        <v>0</v>
      </c>
      <c r="D260" s="11" t="s">
        <v>76</v>
      </c>
      <c r="F260" s="6" t="s">
        <v>129</v>
      </c>
      <c r="G260" s="2" t="n">
        <v>63</v>
      </c>
      <c r="H260" s="2" t="n">
        <v>35</v>
      </c>
      <c r="I260" s="2" t="n">
        <v>34</v>
      </c>
      <c r="J260" s="2" t="s">
        <v>101</v>
      </c>
      <c r="K260" s="2" t="n">
        <v>8</v>
      </c>
      <c r="L260" s="2" t="n">
        <v>0</v>
      </c>
      <c r="M260" s="0" t="s">
        <v>73</v>
      </c>
      <c r="R260" s="0"/>
      <c r="S260" s="14"/>
      <c r="T260" s="0"/>
      <c r="U260" s="14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0" t="n">
        <v>792</v>
      </c>
      <c r="B261" s="1" t="n">
        <v>44138.4583333333</v>
      </c>
      <c r="C261" s="0" t="n">
        <v>1</v>
      </c>
      <c r="F261" s="0" t="s">
        <v>61</v>
      </c>
      <c r="G261" s="2" t="n">
        <f aca="false">(68+72+75)/3</f>
        <v>71.6666666666667</v>
      </c>
      <c r="H261" s="2" t="n">
        <f aca="false">(38+41+29)/3</f>
        <v>36</v>
      </c>
      <c r="I261" s="2" t="n">
        <f aca="false">(33+33+27)/3</f>
        <v>31</v>
      </c>
      <c r="J261" s="6" t="s">
        <v>72</v>
      </c>
      <c r="K261" s="2" t="n">
        <f aca="false">+(12+6)/2</f>
        <v>9</v>
      </c>
      <c r="L261" s="2" t="n">
        <v>0</v>
      </c>
      <c r="M261" s="0" t="s">
        <v>73</v>
      </c>
      <c r="N261" s="0" t="n">
        <v>0</v>
      </c>
      <c r="O261" s="0" t="s">
        <v>138</v>
      </c>
      <c r="Q261" s="0" t="s">
        <v>98</v>
      </c>
      <c r="R261" s="3" t="n">
        <v>6.32</v>
      </c>
      <c r="S261" s="2" t="n">
        <v>733</v>
      </c>
      <c r="T261" s="2" t="n">
        <v>15083</v>
      </c>
      <c r="U261" s="2" t="n">
        <f aca="false">T261-S261</f>
        <v>14350</v>
      </c>
      <c r="V261" s="3" t="n">
        <f aca="false">(60+55)/60</f>
        <v>1.91666666666667</v>
      </c>
      <c r="W261" s="3" t="n">
        <f aca="false">(120+16)/60</f>
        <v>2.26666666666667</v>
      </c>
      <c r="X261" s="3" t="n">
        <f aca="false">W261-V261</f>
        <v>0.35</v>
      </c>
      <c r="Y261" s="3" t="n">
        <f aca="false">R261/V261</f>
        <v>3.29739130434783</v>
      </c>
      <c r="Z261" s="0" t="n">
        <v>1</v>
      </c>
      <c r="AA261" s="3" t="n">
        <f aca="false">R261/Z261</f>
        <v>6.32</v>
      </c>
      <c r="AB261" s="3" t="n">
        <f aca="false">18+10/60</f>
        <v>18.1666666666667</v>
      </c>
      <c r="AC261" s="2" t="n">
        <v>131</v>
      </c>
      <c r="AD261" s="2" t="n">
        <v>688</v>
      </c>
      <c r="AE261" s="2" t="n">
        <v>86</v>
      </c>
      <c r="AF261" s="0" t="n">
        <v>119</v>
      </c>
      <c r="AG261" s="3" t="n">
        <f aca="false">16+22/60</f>
        <v>16.3666666666667</v>
      </c>
      <c r="AH261" s="3" t="n">
        <f aca="false">17+10/60</f>
        <v>17.1666666666667</v>
      </c>
      <c r="AI261" s="3" t="n">
        <f aca="false">18+29/60</f>
        <v>18.4833333333333</v>
      </c>
      <c r="AJ261" s="3" t="n">
        <f aca="false">19+34/60</f>
        <v>19.5666666666667</v>
      </c>
      <c r="AK261" s="3" t="n">
        <f aca="false">18+58/60</f>
        <v>18.9666666666667</v>
      </c>
      <c r="AL261" s="3" t="n">
        <f aca="false">18+24/60</f>
        <v>18.4</v>
      </c>
      <c r="AM261" s="3" t="n">
        <f aca="false">60/3.3</f>
        <v>18.1818181818182</v>
      </c>
      <c r="AQ261" s="2" t="n">
        <v>0</v>
      </c>
      <c r="AR261" s="0" t="n">
        <v>7</v>
      </c>
      <c r="AS261" s="0" t="n">
        <v>0</v>
      </c>
      <c r="AT261" s="0" t="n">
        <v>0</v>
      </c>
      <c r="AU261" s="4" t="n">
        <f aca="false">60*V261-SUM(AV261:AZ261)</f>
        <v>58.7333333333333</v>
      </c>
      <c r="AV261" s="3" t="n">
        <f aca="false">54+4/60</f>
        <v>54.0666666666667</v>
      </c>
      <c r="AW261" s="3" t="n">
        <f aca="false">2+12/60</f>
        <v>2.2</v>
      </c>
      <c r="AX261" s="3" t="n">
        <v>0</v>
      </c>
      <c r="AY261" s="3" t="n">
        <v>0</v>
      </c>
      <c r="AZ261" s="3" t="n">
        <v>0</v>
      </c>
      <c r="BA261" s="0" t="s">
        <v>59</v>
      </c>
      <c r="BB261" s="0" t="s">
        <v>60</v>
      </c>
      <c r="BC261" s="0" t="n">
        <v>0</v>
      </c>
    </row>
    <row r="262" customFormat="false" ht="12.8" hidden="false" customHeight="false" outlineLevel="0" collapsed="false">
      <c r="A262" s="0" t="n">
        <v>793</v>
      </c>
      <c r="B262" s="1" t="n">
        <v>44139.6125</v>
      </c>
      <c r="C262" s="0" t="n">
        <v>1</v>
      </c>
      <c r="F262" s="0" t="s">
        <v>61</v>
      </c>
      <c r="G262" s="2" t="n">
        <v>73</v>
      </c>
      <c r="H262" s="2" t="n">
        <v>44</v>
      </c>
      <c r="I262" s="2" t="n">
        <v>35</v>
      </c>
      <c r="J262" s="2" t="s">
        <v>95</v>
      </c>
      <c r="K262" s="2" t="n">
        <v>20</v>
      </c>
      <c r="L262" s="2" t="n">
        <v>25</v>
      </c>
      <c r="M262" s="0" t="s">
        <v>73</v>
      </c>
      <c r="N262" s="0" t="n">
        <v>0</v>
      </c>
      <c r="O262" s="0" t="s">
        <v>138</v>
      </c>
      <c r="Q262" s="0" t="s">
        <v>83</v>
      </c>
      <c r="R262" s="3" t="n">
        <v>4.37</v>
      </c>
      <c r="S262" s="2" t="n">
        <v>1340</v>
      </c>
      <c r="T262" s="2" t="n">
        <v>10172</v>
      </c>
      <c r="U262" s="2" t="n">
        <f aca="false">T262-S262</f>
        <v>8832</v>
      </c>
      <c r="V262" s="3" t="n">
        <f aca="false">70/60</f>
        <v>1.16666666666667</v>
      </c>
      <c r="W262" s="3" t="n">
        <f aca="false">70/60</f>
        <v>1.16666666666667</v>
      </c>
      <c r="X262" s="3" t="n">
        <f aca="false">W262-V262</f>
        <v>0</v>
      </c>
      <c r="Y262" s="3" t="n">
        <f aca="false">R262/V262</f>
        <v>3.74571428571429</v>
      </c>
      <c r="Z262" s="0" t="n">
        <v>4</v>
      </c>
      <c r="AA262" s="3" t="n">
        <f aca="false">R262/Z262</f>
        <v>1.0925</v>
      </c>
      <c r="AB262" s="3" t="n">
        <f aca="false">15+54/60</f>
        <v>15.9</v>
      </c>
      <c r="AC262" s="2" t="n">
        <v>89</v>
      </c>
      <c r="AD262" s="2" t="n">
        <v>462</v>
      </c>
      <c r="AE262" s="2" t="n">
        <v>85</v>
      </c>
      <c r="AF262" s="0" t="n">
        <f aca="false">127</f>
        <v>127</v>
      </c>
      <c r="AG262" s="3" t="n">
        <f aca="false">15+48/60</f>
        <v>15.8</v>
      </c>
      <c r="AH262" s="3" t="n">
        <f aca="false">15+57/60</f>
        <v>15.95</v>
      </c>
      <c r="AI262" s="3" t="n">
        <f aca="false">15+58/60</f>
        <v>15.9666666666667</v>
      </c>
      <c r="AJ262" s="3" t="n">
        <f aca="false">15+50/60</f>
        <v>15.8333333333333</v>
      </c>
      <c r="AK262" s="3" t="n">
        <f aca="false">60/3.8</f>
        <v>15.7894736842105</v>
      </c>
      <c r="AQ262" s="2" t="n">
        <v>0</v>
      </c>
      <c r="AR262" s="0" t="n">
        <v>0</v>
      </c>
      <c r="AS262" s="0" t="n">
        <v>0</v>
      </c>
      <c r="AT262" s="0" t="n">
        <v>0</v>
      </c>
      <c r="AU262" s="4" t="n">
        <f aca="false">60*V262-SUM(AV262:AZ262)</f>
        <v>57.1666666666667</v>
      </c>
      <c r="AV262" s="3" t="n">
        <f aca="false">10+24/60</f>
        <v>10.4</v>
      </c>
      <c r="AW262" s="3" t="n">
        <f aca="false">2+18/60</f>
        <v>2.3</v>
      </c>
      <c r="AX262" s="3" t="n">
        <f aca="false">8/60</f>
        <v>0.133333333333333</v>
      </c>
      <c r="AY262" s="3" t="n">
        <v>0</v>
      </c>
      <c r="AZ262" s="3" t="n">
        <v>0</v>
      </c>
      <c r="BA262" s="0" t="s">
        <v>59</v>
      </c>
      <c r="BB262" s="0" t="s">
        <v>60</v>
      </c>
      <c r="BC262" s="0" t="n">
        <v>0</v>
      </c>
    </row>
    <row r="263" customFormat="false" ht="12.8" hidden="false" customHeight="false" outlineLevel="0" collapsed="false">
      <c r="A263" s="0" t="n">
        <v>794</v>
      </c>
      <c r="B263" s="1" t="n">
        <v>44140.5020833333</v>
      </c>
      <c r="C263" s="0" t="n">
        <v>1</v>
      </c>
      <c r="F263" s="6" t="s">
        <v>107</v>
      </c>
      <c r="G263" s="2" t="n">
        <v>76</v>
      </c>
      <c r="H263" s="2" t="n">
        <v>60</v>
      </c>
      <c r="I263" s="2" t="n">
        <v>58</v>
      </c>
      <c r="J263" s="6" t="s">
        <v>72</v>
      </c>
      <c r="K263" s="2" t="n">
        <v>17</v>
      </c>
      <c r="L263" s="2" t="n">
        <v>22</v>
      </c>
      <c r="M263" s="0" t="s">
        <v>73</v>
      </c>
      <c r="N263" s="0" t="n">
        <v>1</v>
      </c>
      <c r="O263" s="0" t="s">
        <v>138</v>
      </c>
      <c r="Q263" s="0" t="s">
        <v>87</v>
      </c>
      <c r="R263" s="3" t="n">
        <v>6.28</v>
      </c>
      <c r="U263" s="2" t="n">
        <f aca="false">U247</f>
        <v>14041</v>
      </c>
      <c r="V263" s="3" t="n">
        <f aca="false">(60+44)/60</f>
        <v>1.73333333333333</v>
      </c>
      <c r="W263" s="3" t="n">
        <f aca="false">(60+49)/60</f>
        <v>1.81666666666667</v>
      </c>
      <c r="X263" s="3" t="n">
        <f aca="false">W263-V263</f>
        <v>0.0833333333333333</v>
      </c>
      <c r="Y263" s="3" t="n">
        <f aca="false">R263/V263</f>
        <v>3.62307692307692</v>
      </c>
      <c r="Z263" s="0" t="n">
        <v>1</v>
      </c>
      <c r="AA263" s="3" t="n">
        <f aca="false">R263/Z263</f>
        <v>6.28</v>
      </c>
      <c r="AB263" s="3" t="n">
        <f aca="false">16+32/60</f>
        <v>16.5333333333333</v>
      </c>
      <c r="AC263" s="2" t="n">
        <v>236</v>
      </c>
      <c r="AD263" s="2" t="n">
        <v>276</v>
      </c>
      <c r="AE263" s="2" t="n">
        <v>73</v>
      </c>
      <c r="AF263" s="0" t="n">
        <v>105</v>
      </c>
      <c r="AG263" s="3" t="n">
        <f aca="false">16+32/60</f>
        <v>16.5333333333333</v>
      </c>
      <c r="AH263" s="3" t="n">
        <f aca="false">16+41/60</f>
        <v>16.6833333333333</v>
      </c>
      <c r="AI263" s="3" t="n">
        <f aca="false">16+39/60</f>
        <v>16.65</v>
      </c>
      <c r="AJ263" s="3" t="n">
        <f aca="false">16+59/60</f>
        <v>16.9833333333333</v>
      </c>
      <c r="AK263" s="3" t="n">
        <f aca="false">16+3/60</f>
        <v>16.05</v>
      </c>
      <c r="AL263" s="3" t="n">
        <f aca="false">16+12/60</f>
        <v>16.2</v>
      </c>
      <c r="AM263" s="3" t="n">
        <f aca="false">60/3.6</f>
        <v>16.6666666666667</v>
      </c>
      <c r="AQ263" s="2" t="n">
        <v>0</v>
      </c>
      <c r="AR263" s="0" t="n">
        <v>0</v>
      </c>
      <c r="AS263" s="0" t="n">
        <v>0</v>
      </c>
      <c r="AT263" s="0" t="n">
        <v>0</v>
      </c>
      <c r="AU263" s="4" t="n">
        <f aca="false">60*V263-SUM(AV263:AZ263)</f>
        <v>96.4666666666667</v>
      </c>
      <c r="AV263" s="3" t="n">
        <f aca="false">7+32/60</f>
        <v>7.53333333333333</v>
      </c>
      <c r="AW263" s="3" t="n">
        <v>0</v>
      </c>
      <c r="AX263" s="3" t="n">
        <v>0</v>
      </c>
      <c r="AY263" s="3" t="n">
        <v>0</v>
      </c>
      <c r="AZ263" s="3" t="n">
        <v>0</v>
      </c>
      <c r="BA263" s="0" t="s">
        <v>59</v>
      </c>
      <c r="BB263" s="0" t="s">
        <v>60</v>
      </c>
      <c r="BC263" s="0" t="n">
        <v>0</v>
      </c>
    </row>
    <row r="264" customFormat="false" ht="12.8" hidden="false" customHeight="false" outlineLevel="0" collapsed="false">
      <c r="A264" s="0" t="n">
        <v>795</v>
      </c>
      <c r="B264" s="1" t="n">
        <v>44141.5145833333</v>
      </c>
      <c r="C264" s="0" t="n">
        <v>1</v>
      </c>
      <c r="F264" s="6" t="s">
        <v>71</v>
      </c>
      <c r="G264" s="2" t="n">
        <v>75</v>
      </c>
      <c r="H264" s="2" t="n">
        <v>59</v>
      </c>
      <c r="I264" s="2" t="n">
        <v>57</v>
      </c>
      <c r="J264" s="6" t="s">
        <v>111</v>
      </c>
      <c r="K264" s="2" t="n">
        <v>12</v>
      </c>
      <c r="L264" s="2" t="n">
        <v>0</v>
      </c>
      <c r="M264" s="0" t="s">
        <v>73</v>
      </c>
      <c r="N264" s="0" t="n">
        <v>0</v>
      </c>
      <c r="O264" s="0" t="s">
        <v>138</v>
      </c>
      <c r="Q264" s="0" t="s">
        <v>134</v>
      </c>
      <c r="R264" s="3" t="n">
        <v>5.47</v>
      </c>
      <c r="S264" s="2" t="n">
        <v>787</v>
      </c>
      <c r="T264" s="2" t="n">
        <v>13490</v>
      </c>
      <c r="U264" s="2" t="n">
        <f aca="false">T264-S264</f>
        <v>12703</v>
      </c>
      <c r="V264" s="3" t="n">
        <f aca="false">(60+47)/60</f>
        <v>1.78333333333333</v>
      </c>
      <c r="W264" s="3" t="n">
        <f aca="false">(60+58)/60</f>
        <v>1.96666666666667</v>
      </c>
      <c r="X264" s="3" t="n">
        <f aca="false">W264-V264</f>
        <v>0.183333333333333</v>
      </c>
      <c r="Y264" s="3" t="n">
        <f aca="false">R264/V264</f>
        <v>3.06728971962617</v>
      </c>
      <c r="Z264" s="0" t="n">
        <v>1</v>
      </c>
      <c r="AA264" s="3" t="n">
        <f aca="false">R264/Z264</f>
        <v>5.47</v>
      </c>
      <c r="AB264" s="3" t="n">
        <f aca="false">19+37/60</f>
        <v>19.6166666666667</v>
      </c>
      <c r="AC264" s="2" t="n">
        <v>367</v>
      </c>
      <c r="AD264" s="2" t="n">
        <v>621</v>
      </c>
      <c r="AE264" s="2" t="n">
        <v>126</v>
      </c>
      <c r="AF264" s="0" t="n">
        <v>141</v>
      </c>
      <c r="AG264" s="3" t="n">
        <f aca="false">16+40/60</f>
        <v>16.6666666666667</v>
      </c>
      <c r="AH264" s="3" t="n">
        <f aca="false">17+17/60</f>
        <v>17.2833333333333</v>
      </c>
      <c r="AI264" s="3" t="n">
        <f aca="false">24+20/60</f>
        <v>24.3333333333333</v>
      </c>
      <c r="AJ264" s="3" t="n">
        <f aca="false">22+34/60</f>
        <v>22.5666666666667</v>
      </c>
      <c r="AK264" s="3" t="n">
        <f aca="false">17+17/60</f>
        <v>17.2833333333333</v>
      </c>
      <c r="AL264" s="3" t="n">
        <f aca="false">60/3.1</f>
        <v>19.3548387096774</v>
      </c>
      <c r="AQ264" s="2" t="n">
        <v>4</v>
      </c>
      <c r="AR264" s="0" t="n">
        <v>2</v>
      </c>
      <c r="AS264" s="0" t="n">
        <v>1</v>
      </c>
      <c r="AT264" s="0" t="n">
        <v>0</v>
      </c>
      <c r="AU264" s="4" t="n">
        <v>0</v>
      </c>
      <c r="AV264" s="3" t="n">
        <f aca="false">2+10/60</f>
        <v>2.16666666666667</v>
      </c>
      <c r="AW264" s="3" t="n">
        <f aca="false">46+47/60</f>
        <v>46.7833333333333</v>
      </c>
      <c r="AX264" s="3" t="n">
        <f aca="false">68+26/60</f>
        <v>68.4333333333333</v>
      </c>
      <c r="AY264" s="3" t="n">
        <v>0</v>
      </c>
      <c r="AZ264" s="3" t="n">
        <v>0</v>
      </c>
      <c r="BA264" s="0" t="s">
        <v>59</v>
      </c>
      <c r="BB264" s="0" t="s">
        <v>60</v>
      </c>
      <c r="BC264" s="0" t="n">
        <v>0</v>
      </c>
    </row>
    <row r="265" customFormat="false" ht="12.8" hidden="false" customHeight="false" outlineLevel="0" collapsed="false">
      <c r="A265" s="0" t="n">
        <v>796</v>
      </c>
      <c r="B265" s="1" t="n">
        <v>44142.4847222222</v>
      </c>
      <c r="C265" s="0" t="n">
        <v>1</v>
      </c>
      <c r="F265" s="0" t="s">
        <v>61</v>
      </c>
      <c r="G265" s="2" t="n">
        <v>73</v>
      </c>
      <c r="H265" s="2" t="n">
        <v>54</v>
      </c>
      <c r="I265" s="2" t="n">
        <v>50</v>
      </c>
      <c r="J265" s="2" t="s">
        <v>95</v>
      </c>
      <c r="K265" s="2" t="n">
        <f aca="false">19/2</f>
        <v>9.5</v>
      </c>
      <c r="L265" s="2" t="n">
        <v>0</v>
      </c>
      <c r="M265" s="0" t="s">
        <v>73</v>
      </c>
      <c r="N265" s="0" t="n">
        <v>0</v>
      </c>
      <c r="O265" s="0" t="s">
        <v>138</v>
      </c>
      <c r="Q265" s="6" t="s">
        <v>81</v>
      </c>
      <c r="R265" s="3" t="n">
        <v>4.06</v>
      </c>
      <c r="S265" s="2" t="n">
        <v>1005</v>
      </c>
      <c r="T265" s="2" t="n">
        <v>9998</v>
      </c>
      <c r="U265" s="2" t="n">
        <f aca="false">T265-S265</f>
        <v>8993</v>
      </c>
      <c r="V265" s="3" t="n">
        <f aca="false">73/60</f>
        <v>1.21666666666667</v>
      </c>
      <c r="W265" s="3" t="n">
        <f aca="false">78/60</f>
        <v>1.3</v>
      </c>
      <c r="X265" s="3" t="n">
        <f aca="false">W265-V265</f>
        <v>0.0833333333333335</v>
      </c>
      <c r="Y265" s="3" t="n">
        <f aca="false">R265/V265</f>
        <v>3.33698630136986</v>
      </c>
      <c r="Z265" s="0" t="n">
        <v>2</v>
      </c>
      <c r="AA265" s="3" t="n">
        <f aca="false">R265/Z265</f>
        <v>2.03</v>
      </c>
      <c r="AB265" s="3" t="n">
        <f aca="false">17+53/60</f>
        <v>17.8833333333333</v>
      </c>
      <c r="AC265" s="2" t="n">
        <v>233</v>
      </c>
      <c r="AD265" s="2" t="n">
        <v>449</v>
      </c>
      <c r="AE265" s="2" t="n">
        <v>111</v>
      </c>
      <c r="AF265" s="0" t="n">
        <v>138</v>
      </c>
      <c r="AG265" s="3" t="n">
        <f aca="false">17+42/60</f>
        <v>17.7</v>
      </c>
      <c r="AH265" s="3" t="n">
        <f aca="false">17+12/60</f>
        <v>17.2</v>
      </c>
      <c r="AI265" s="3" t="n">
        <f aca="false">19+6/60</f>
        <v>19.1</v>
      </c>
      <c r="AJ265" s="3" t="n">
        <f aca="false">17+30/60</f>
        <v>17.5</v>
      </c>
      <c r="AK265" s="3" t="n">
        <f aca="false">60/3.4</f>
        <v>17.6470588235294</v>
      </c>
      <c r="AQ265" s="2" t="n">
        <v>0</v>
      </c>
      <c r="AR265" s="0" t="n">
        <v>2</v>
      </c>
      <c r="AS265" s="0" t="n">
        <v>0</v>
      </c>
      <c r="AT265" s="0" t="n">
        <v>0</v>
      </c>
      <c r="AU265" s="4" t="n">
        <f aca="false">60*V265-SUM(AV265:AZ265)</f>
        <v>1.16666666666666</v>
      </c>
      <c r="AV265" s="3" t="n">
        <f aca="false">33+25/60</f>
        <v>33.4166666666667</v>
      </c>
      <c r="AW265" s="3" t="n">
        <f aca="false">21+48/60</f>
        <v>21.8</v>
      </c>
      <c r="AX265" s="3" t="n">
        <f aca="false">16+37/60</f>
        <v>16.6166666666667</v>
      </c>
      <c r="AY265" s="3" t="n">
        <v>0</v>
      </c>
      <c r="AZ265" s="3" t="n">
        <v>0</v>
      </c>
      <c r="BA265" s="0" t="s">
        <v>59</v>
      </c>
      <c r="BB265" s="0" t="s">
        <v>60</v>
      </c>
      <c r="BC265" s="0" t="n">
        <v>0</v>
      </c>
    </row>
    <row r="266" customFormat="false" ht="13.8" hidden="false" customHeight="false" outlineLevel="0" collapsed="false">
      <c r="A266" s="0" t="n">
        <v>797</v>
      </c>
      <c r="B266" s="1" t="n">
        <v>44143.4847222222</v>
      </c>
      <c r="C266" s="0" t="n">
        <v>1</v>
      </c>
      <c r="F266" s="6" t="s">
        <v>71</v>
      </c>
      <c r="G266" s="2" t="n">
        <v>71</v>
      </c>
      <c r="H266" s="2" t="n">
        <v>61</v>
      </c>
      <c r="I266" s="2" t="n">
        <f aca="false">(73+66)/2</f>
        <v>69.5</v>
      </c>
      <c r="J266" s="6" t="s">
        <v>111</v>
      </c>
      <c r="K266" s="2" t="n">
        <v>16</v>
      </c>
      <c r="L266" s="2" t="n">
        <v>26</v>
      </c>
      <c r="M266" s="0" t="s">
        <v>73</v>
      </c>
      <c r="N266" s="0" t="n">
        <v>0</v>
      </c>
      <c r="O266" s="0" t="s">
        <v>138</v>
      </c>
      <c r="Q266" s="13" t="s">
        <v>104</v>
      </c>
      <c r="R266" s="3" t="n">
        <v>7.27</v>
      </c>
      <c r="S266" s="2" t="n">
        <v>1659</v>
      </c>
      <c r="T266" s="2" t="n">
        <v>17508</v>
      </c>
      <c r="U266" s="2" t="n">
        <f aca="false">T266-S266</f>
        <v>15849</v>
      </c>
      <c r="V266" s="3" t="n">
        <f aca="false">(120+9)/60</f>
        <v>2.15</v>
      </c>
      <c r="W266" s="3" t="n">
        <f aca="false">(120+19)/60</f>
        <v>2.31666666666667</v>
      </c>
      <c r="X266" s="3" t="n">
        <f aca="false">W266-V266</f>
        <v>0.166666666666667</v>
      </c>
      <c r="Y266" s="3" t="n">
        <f aca="false">R266/V266</f>
        <v>3.38139534883721</v>
      </c>
      <c r="Z266" s="0" t="n">
        <v>1</v>
      </c>
      <c r="AA266" s="3" t="n">
        <f aca="false">R266/Z266</f>
        <v>7.27</v>
      </c>
      <c r="AB266" s="3" t="n">
        <f aca="false">60/Y266</f>
        <v>17.7441540577717</v>
      </c>
      <c r="AC266" s="2" t="n">
        <v>295</v>
      </c>
      <c r="AD266" s="2" t="n">
        <v>306</v>
      </c>
      <c r="AE266" s="2" t="n">
        <v>71</v>
      </c>
      <c r="AF266" s="0" t="n">
        <v>115</v>
      </c>
      <c r="AG266" s="3" t="n">
        <f aca="false">17+5/60</f>
        <v>17.0833333333333</v>
      </c>
      <c r="AH266" s="3" t="n">
        <f aca="false">17+37/60</f>
        <v>17.6166666666667</v>
      </c>
      <c r="AI266" s="3" t="n">
        <f aca="false">17+49/60</f>
        <v>17.8166666666667</v>
      </c>
      <c r="AJ266" s="3" t="n">
        <f aca="false">18+26/60</f>
        <v>18.4333333333333</v>
      </c>
      <c r="AK266" s="3" t="n">
        <f aca="false">17+42/60</f>
        <v>17.7</v>
      </c>
      <c r="AL266" s="3" t="n">
        <f aca="false">17+42/60</f>
        <v>17.7</v>
      </c>
      <c r="AM266" s="3" t="n">
        <f aca="false">18+9/60</f>
        <v>18.15</v>
      </c>
      <c r="AQ266" s="2" t="n">
        <v>7</v>
      </c>
      <c r="AR266" s="0" t="n">
        <v>1</v>
      </c>
      <c r="AS266" s="0" t="n">
        <v>1</v>
      </c>
      <c r="AT266" s="0" t="n">
        <v>0</v>
      </c>
      <c r="AU266" s="4" t="n">
        <f aca="false">60*V266-SUM(AV266:AZ266)</f>
        <v>111.416666666667</v>
      </c>
      <c r="AV266" s="3" t="n">
        <f aca="false">15+44/60</f>
        <v>15.7333333333333</v>
      </c>
      <c r="AW266" s="3" t="n">
        <f aca="false">1+51/60</f>
        <v>1.85</v>
      </c>
      <c r="AX266" s="3" t="n">
        <v>0</v>
      </c>
      <c r="AY266" s="3" t="n">
        <v>0</v>
      </c>
      <c r="AZ266" s="3" t="n">
        <v>0</v>
      </c>
      <c r="BA266" s="0" t="s">
        <v>59</v>
      </c>
      <c r="BB266" s="0" t="s">
        <v>60</v>
      </c>
      <c r="BC266" s="0" t="n">
        <v>0</v>
      </c>
    </row>
    <row r="267" customFormat="false" ht="12.8" hidden="false" customHeight="false" outlineLevel="0" collapsed="false">
      <c r="A267" s="0" t="n">
        <v>798</v>
      </c>
      <c r="B267" s="1" t="n">
        <v>44144.6416666667</v>
      </c>
      <c r="C267" s="0" t="n">
        <v>1</v>
      </c>
      <c r="F267" s="0" t="s">
        <v>61</v>
      </c>
      <c r="G267" s="2" t="n">
        <v>79</v>
      </c>
      <c r="H267" s="2" t="n">
        <v>60</v>
      </c>
      <c r="I267" s="2" t="n">
        <v>52</v>
      </c>
      <c r="J267" s="6" t="s">
        <v>111</v>
      </c>
      <c r="K267" s="2" t="n">
        <v>15</v>
      </c>
      <c r="L267" s="2" t="n">
        <v>0</v>
      </c>
      <c r="M267" s="0" t="s">
        <v>73</v>
      </c>
      <c r="N267" s="0" t="n">
        <v>0</v>
      </c>
      <c r="O267" s="0" t="s">
        <v>138</v>
      </c>
      <c r="Q267" s="0" t="s">
        <v>146</v>
      </c>
      <c r="R267" s="3" t="n">
        <v>4.42</v>
      </c>
      <c r="S267" s="2" t="n">
        <v>1308</v>
      </c>
      <c r="V267" s="3" t="n">
        <f aca="false">70/60</f>
        <v>1.16666666666667</v>
      </c>
      <c r="W267" s="3" t="n">
        <f aca="false">70/60</f>
        <v>1.16666666666667</v>
      </c>
      <c r="X267" s="3" t="n">
        <f aca="false">W267-V267</f>
        <v>0</v>
      </c>
      <c r="Y267" s="3" t="n">
        <f aca="false">R267/V267</f>
        <v>3.78857142857143</v>
      </c>
      <c r="Z267" s="0" t="n">
        <v>1</v>
      </c>
      <c r="AA267" s="3" t="n">
        <f aca="false">R267/Z267</f>
        <v>4.42</v>
      </c>
      <c r="AB267" s="3" t="n">
        <f aca="false">17+46/60</f>
        <v>17.7666666666667</v>
      </c>
      <c r="AC267" s="2" t="n">
        <v>13</v>
      </c>
      <c r="AD267" s="2" t="n">
        <v>460</v>
      </c>
      <c r="AE267" s="2" t="n">
        <v>120</v>
      </c>
      <c r="AF267" s="0" t="n">
        <v>139</v>
      </c>
      <c r="AG267" s="3" t="n">
        <f aca="false">15+54/60</f>
        <v>15.9</v>
      </c>
      <c r="AH267" s="3" t="n">
        <f aca="false">16+25/60</f>
        <v>16.4166666666667</v>
      </c>
      <c r="AI267" s="3" t="n">
        <f aca="false">16+7/60</f>
        <v>16.1166666666667</v>
      </c>
      <c r="AJ267" s="3" t="n">
        <f aca="false">15+20/60</f>
        <v>15.3333333333333</v>
      </c>
      <c r="AK267" s="3" t="n">
        <f aca="false">60/3.7</f>
        <v>16.2162162162162</v>
      </c>
      <c r="AQ267" s="2" t="n">
        <v>0</v>
      </c>
      <c r="AR267" s="0" t="n">
        <v>0</v>
      </c>
      <c r="AS267" s="0" t="n">
        <v>0</v>
      </c>
      <c r="AT267" s="0" t="n">
        <v>0</v>
      </c>
      <c r="AU267" s="4" t="n">
        <f aca="false">60*V267-SUM(AV267:AZ267)</f>
        <v>-0.0033333333333303</v>
      </c>
      <c r="AV267" s="3" t="n">
        <f aca="false">8+30/60</f>
        <v>8.5</v>
      </c>
      <c r="AW267" s="3" t="n">
        <f aca="false">29+26/60</f>
        <v>29.4333333333333</v>
      </c>
      <c r="AX267" s="3" t="n">
        <f aca="false">32.07</f>
        <v>32.07</v>
      </c>
      <c r="AY267" s="3" t="n">
        <v>0</v>
      </c>
      <c r="AZ267" s="3" t="n">
        <v>0</v>
      </c>
      <c r="BA267" s="0" t="s">
        <v>59</v>
      </c>
      <c r="BB267" s="0" t="s">
        <v>60</v>
      </c>
      <c r="BC267" s="0" t="n">
        <v>0</v>
      </c>
    </row>
    <row r="268" customFormat="false" ht="12.8" hidden="false" customHeight="false" outlineLevel="0" collapsed="false">
      <c r="A268" s="0" t="n">
        <v>799</v>
      </c>
      <c r="B268" s="1" t="n">
        <v>44145.5104166667</v>
      </c>
      <c r="C268" s="0" t="n">
        <v>1</v>
      </c>
      <c r="F268" s="0" t="s">
        <v>61</v>
      </c>
      <c r="G268" s="2" t="n">
        <v>72</v>
      </c>
      <c r="H268" s="2" t="n">
        <f aca="false">(36+33)/2</f>
        <v>34.5</v>
      </c>
      <c r="I268" s="2" t="n">
        <f aca="false">(27+24)/2</f>
        <v>25.5</v>
      </c>
      <c r="J268" s="6" t="s">
        <v>106</v>
      </c>
      <c r="K268" s="2" t="n">
        <v>14</v>
      </c>
      <c r="L268" s="2" t="n">
        <v>0</v>
      </c>
      <c r="M268" s="0" t="s">
        <v>73</v>
      </c>
      <c r="N268" s="0" t="n">
        <v>0</v>
      </c>
      <c r="O268" s="0" t="s">
        <v>138</v>
      </c>
      <c r="Q268" s="0" t="s">
        <v>140</v>
      </c>
      <c r="R268" s="3" t="n">
        <v>7.46</v>
      </c>
      <c r="S268" s="2" t="n">
        <v>1334</v>
      </c>
      <c r="T268" s="2" t="n">
        <v>18065</v>
      </c>
      <c r="U268" s="2" t="n">
        <f aca="false">T268-S268</f>
        <v>16731</v>
      </c>
      <c r="V268" s="3" t="n">
        <f aca="false">126/60</f>
        <v>2.1</v>
      </c>
      <c r="W268" s="3" t="n">
        <f aca="false">(120+21)/60</f>
        <v>2.35</v>
      </c>
      <c r="X268" s="3" t="n">
        <f aca="false">W268-V268</f>
        <v>0.25</v>
      </c>
      <c r="Y268" s="3" t="n">
        <f aca="false">R268/V268</f>
        <v>3.55238095238095</v>
      </c>
      <c r="Z268" s="0" t="n">
        <v>1</v>
      </c>
      <c r="AA268" s="3" t="n">
        <f aca="false">R268/Z268</f>
        <v>7.46</v>
      </c>
      <c r="AB268" s="3" t="n">
        <f aca="false">16+51/60</f>
        <v>16.85</v>
      </c>
      <c r="AC268" s="2" t="n">
        <v>56</v>
      </c>
      <c r="AD268" s="2" t="n">
        <v>795</v>
      </c>
      <c r="AE268" s="2" t="n">
        <v>111</v>
      </c>
      <c r="AF268" s="0" t="n">
        <v>143</v>
      </c>
      <c r="AG268" s="3" t="n">
        <f aca="false">16+39/60</f>
        <v>16.65</v>
      </c>
      <c r="AH268" s="3" t="n">
        <f aca="false">16+25/60</f>
        <v>16.4166666666667</v>
      </c>
      <c r="AI268" s="3" t="n">
        <f aca="false">16+20/60</f>
        <v>16.3333333333333</v>
      </c>
      <c r="AJ268" s="3" t="n">
        <f aca="false">18+33/60</f>
        <v>18.55</v>
      </c>
      <c r="AK268" s="3" t="n">
        <f aca="false">16+18/60</f>
        <v>16.3</v>
      </c>
      <c r="AL268" s="3" t="n">
        <f aca="false">16+2/60</f>
        <v>16.0333333333333</v>
      </c>
      <c r="AM268" s="3" t="n">
        <f aca="false">17+3/60</f>
        <v>17.05</v>
      </c>
      <c r="AN268" s="3" t="n">
        <f aca="false">60/3.3</f>
        <v>18.1818181818182</v>
      </c>
      <c r="AQ268" s="2" t="n">
        <v>8</v>
      </c>
      <c r="AR268" s="0" t="n">
        <v>2</v>
      </c>
      <c r="AS268" s="0" t="n">
        <v>1</v>
      </c>
      <c r="AT268" s="0" t="n">
        <v>0</v>
      </c>
      <c r="AU268" s="4" t="n">
        <f aca="false">60*V268-SUM(AV268:AZ268)</f>
        <v>2.90000000000001</v>
      </c>
      <c r="AV268" s="3" t="n">
        <f aca="false">51+21/60</f>
        <v>51.35</v>
      </c>
      <c r="AW268" s="3" t="n">
        <f aca="false">54+2/60</f>
        <v>54.0333333333333</v>
      </c>
      <c r="AX268" s="3" t="n">
        <f aca="false">17+41/60</f>
        <v>17.6833333333333</v>
      </c>
      <c r="AY268" s="3" t="n">
        <f aca="false">2/60</f>
        <v>0.0333333333333333</v>
      </c>
      <c r="AZ268" s="3" t="n">
        <v>0</v>
      </c>
      <c r="BA268" s="0" t="s">
        <v>59</v>
      </c>
      <c r="BB268" s="0" t="s">
        <v>60</v>
      </c>
      <c r="BC268" s="0" t="n">
        <v>0</v>
      </c>
    </row>
    <row r="269" customFormat="false" ht="12.8" hidden="false" customHeight="false" outlineLevel="0" collapsed="false">
      <c r="A269" s="0" t="n">
        <v>800</v>
      </c>
      <c r="B269" s="1" t="n">
        <v>44146.5520833333</v>
      </c>
      <c r="C269" s="0" t="n">
        <v>1</v>
      </c>
      <c r="F269" s="0" t="s">
        <v>61</v>
      </c>
      <c r="G269" s="2" t="n">
        <v>68</v>
      </c>
      <c r="H269" s="2" t="n">
        <v>39</v>
      </c>
      <c r="I269" s="2" t="n">
        <v>35</v>
      </c>
      <c r="J269" s="2" t="s">
        <v>101</v>
      </c>
      <c r="K269" s="2" t="n">
        <v>5</v>
      </c>
      <c r="L269" s="2" t="n">
        <v>0</v>
      </c>
      <c r="M269" s="0" t="s">
        <v>73</v>
      </c>
      <c r="N269" s="0" t="n">
        <v>0</v>
      </c>
      <c r="O269" s="0" t="s">
        <v>138</v>
      </c>
      <c r="Q269" s="0" t="s">
        <v>78</v>
      </c>
      <c r="R269" s="3" t="n">
        <v>4.44</v>
      </c>
      <c r="S269" s="2" t="n">
        <v>1167</v>
      </c>
      <c r="T269" s="2" t="n">
        <v>10898</v>
      </c>
      <c r="U269" s="2" t="n">
        <f aca="false">T269-S269</f>
        <v>9731</v>
      </c>
      <c r="V269" s="3" t="n">
        <f aca="false">75/60</f>
        <v>1.25</v>
      </c>
      <c r="W269" s="3" t="n">
        <f aca="false">V269</f>
        <v>1.25</v>
      </c>
      <c r="X269" s="3" t="n">
        <f aca="false">W269-V269</f>
        <v>0</v>
      </c>
      <c r="Y269" s="3" t="n">
        <f aca="false">R269/V269</f>
        <v>3.552</v>
      </c>
      <c r="Z269" s="0" t="n">
        <v>1</v>
      </c>
      <c r="AA269" s="3" t="n">
        <f aca="false">R269/Z269</f>
        <v>4.44</v>
      </c>
      <c r="AB269" s="3" t="n">
        <f aca="false">16+55/60</f>
        <v>16.9166666666667</v>
      </c>
      <c r="AC269" s="2" t="n">
        <v>69</v>
      </c>
      <c r="AD269" s="2" t="n">
        <v>464</v>
      </c>
      <c r="AE269" s="2" t="n">
        <v>111</v>
      </c>
      <c r="AF269" s="0" t="n">
        <v>130</v>
      </c>
      <c r="AG269" s="3" t="n">
        <f aca="false">16+37/60</f>
        <v>16.6166666666667</v>
      </c>
      <c r="AH269" s="3" t="n">
        <f aca="false">16+39/60</f>
        <v>16.65</v>
      </c>
      <c r="AI269" s="3" t="n">
        <f aca="false">17+13/60</f>
        <v>17.2166666666667</v>
      </c>
      <c r="AJ269" s="3" t="n">
        <f aca="false">17+2/60</f>
        <v>17.0333333333333</v>
      </c>
      <c r="AK269" s="3" t="n">
        <f aca="false">60/3.5</f>
        <v>17.1428571428571</v>
      </c>
      <c r="AQ269" s="2" t="n">
        <v>0</v>
      </c>
      <c r="AR269" s="0" t="n">
        <v>0</v>
      </c>
      <c r="AS269" s="0" t="n">
        <v>1</v>
      </c>
      <c r="AT269" s="0" t="n">
        <v>0</v>
      </c>
      <c r="AU269" s="4" t="n">
        <f aca="false">60*V269-SUM(AV269:AZ269)</f>
        <v>0</v>
      </c>
      <c r="AV269" s="3" t="n">
        <f aca="false">27+14/60</f>
        <v>27.2333333333333</v>
      </c>
      <c r="AW269" s="3" t="n">
        <f aca="false">44+4/60</f>
        <v>44.0666666666667</v>
      </c>
      <c r="AX269" s="3" t="n">
        <f aca="false">3+42/60</f>
        <v>3.7</v>
      </c>
      <c r="AY269" s="3" t="n">
        <v>0</v>
      </c>
      <c r="AZ269" s="3" t="n">
        <v>0</v>
      </c>
      <c r="BA269" s="0" t="s">
        <v>59</v>
      </c>
      <c r="BB269" s="0" t="s">
        <v>60</v>
      </c>
      <c r="BC269" s="0" t="n">
        <v>0</v>
      </c>
    </row>
    <row r="270" customFormat="false" ht="12.8" hidden="false" customHeight="false" outlineLevel="0" collapsed="false">
      <c r="A270" s="0" t="n">
        <v>801</v>
      </c>
      <c r="B270" s="1" t="n">
        <v>44147.5770833333</v>
      </c>
      <c r="C270" s="0" t="n">
        <v>1</v>
      </c>
      <c r="F270" s="6" t="s">
        <v>107</v>
      </c>
      <c r="G270" s="2" t="n">
        <f aca="false">(77+80)/2</f>
        <v>78.5</v>
      </c>
      <c r="H270" s="2" t="n">
        <f aca="false">(57+60)/2</f>
        <v>58.5</v>
      </c>
      <c r="I270" s="2" t="n">
        <v>52</v>
      </c>
      <c r="J270" s="2" t="s">
        <v>95</v>
      </c>
      <c r="K270" s="2" t="n">
        <v>14</v>
      </c>
      <c r="L270" s="2" t="n">
        <v>0</v>
      </c>
      <c r="M270" s="0" t="s">
        <v>73</v>
      </c>
      <c r="N270" s="0" t="n">
        <v>0</v>
      </c>
      <c r="O270" s="0" t="s">
        <v>138</v>
      </c>
      <c r="Q270" s="0" t="s">
        <v>82</v>
      </c>
      <c r="R270" s="3" t="n">
        <v>8.09</v>
      </c>
      <c r="S270" s="2" t="n">
        <v>694</v>
      </c>
      <c r="T270" s="2" t="n">
        <v>17715</v>
      </c>
      <c r="U270" s="2" t="n">
        <f aca="false">T270-S270</f>
        <v>17021</v>
      </c>
      <c r="V270" s="3" t="n">
        <v>2.18</v>
      </c>
      <c r="W270" s="3" t="n">
        <v>2.19</v>
      </c>
      <c r="X270" s="3" t="n">
        <f aca="false">W270-V270</f>
        <v>0.00999999999999979</v>
      </c>
      <c r="Y270" s="3" t="n">
        <f aca="false">R270/V270</f>
        <v>3.71100917431193</v>
      </c>
      <c r="Z270" s="0" t="n">
        <v>1</v>
      </c>
      <c r="AA270" s="3" t="n">
        <f aca="false">R270/Z270</f>
        <v>8.09</v>
      </c>
      <c r="AB270" s="3" t="n">
        <f aca="false">17+2/60</f>
        <v>17.0333333333333</v>
      </c>
      <c r="AC270" s="2" t="n">
        <v>125</v>
      </c>
      <c r="AD270" s="2" t="n">
        <v>843</v>
      </c>
      <c r="AE270" s="2" t="n">
        <v>114</v>
      </c>
      <c r="AF270" s="0" t="n">
        <v>142</v>
      </c>
      <c r="AG270" s="3" t="n">
        <f aca="false">16+6/60</f>
        <v>16.1</v>
      </c>
      <c r="AH270" s="3" t="n">
        <f aca="false">16+43/60</f>
        <v>16.7166666666667</v>
      </c>
      <c r="AI270" s="3" t="n">
        <f aca="false">16+48/60</f>
        <v>16.8</v>
      </c>
      <c r="AJ270" s="3" t="n">
        <f aca="false">17+9/60</f>
        <v>17.15</v>
      </c>
      <c r="AK270" s="3" t="n">
        <f aca="false">17+27/60</f>
        <v>17.45</v>
      </c>
      <c r="AL270" s="3" t="n">
        <f aca="false">17+19/60</f>
        <v>17.3166666666667</v>
      </c>
      <c r="AM270" s="3" t="n">
        <f aca="false">17+44.2/60</f>
        <v>17.7366666666667</v>
      </c>
      <c r="AN270" s="3" t="n">
        <f aca="false">16+55/60</f>
        <v>16.9166666666667</v>
      </c>
      <c r="AO270" s="3" t="n">
        <v>0</v>
      </c>
      <c r="AQ270" s="2" t="n">
        <v>2</v>
      </c>
      <c r="AR270" s="0" t="n">
        <v>3</v>
      </c>
      <c r="AS270" s="0" t="n">
        <v>0</v>
      </c>
      <c r="AT270" s="0" t="n">
        <v>0</v>
      </c>
      <c r="AU270" s="4" t="n">
        <f aca="false">60*V270-SUM(AV270:AZ270)</f>
        <v>15.4833333333334</v>
      </c>
      <c r="AV270" s="3" t="n">
        <f aca="false">33+3/60</f>
        <v>33.05</v>
      </c>
      <c r="AW270" s="3" t="n">
        <f aca="false">15+32/60</f>
        <v>15.5333333333333</v>
      </c>
      <c r="AX270" s="3" t="n">
        <f aca="false">66+44/60</f>
        <v>66.7333333333333</v>
      </c>
      <c r="AY270" s="3" t="n">
        <v>0</v>
      </c>
      <c r="AZ270" s="3" t="n">
        <v>0</v>
      </c>
      <c r="BA270" s="0" t="s">
        <v>59</v>
      </c>
      <c r="BB270" s="0" t="s">
        <v>60</v>
      </c>
      <c r="BC270" s="0" t="n">
        <v>0</v>
      </c>
    </row>
    <row r="271" customFormat="false" ht="14.7" hidden="false" customHeight="true" outlineLevel="0" collapsed="false">
      <c r="A271" s="0" t="n">
        <v>802</v>
      </c>
      <c r="B271" s="1" t="n">
        <v>44148.5597222222</v>
      </c>
      <c r="C271" s="0" t="n">
        <v>1</v>
      </c>
      <c r="F271" s="6" t="s">
        <v>85</v>
      </c>
      <c r="G271" s="2" t="n">
        <v>73</v>
      </c>
      <c r="H271" s="2" t="n">
        <v>54</v>
      </c>
      <c r="I271" s="2" t="n">
        <v>51</v>
      </c>
      <c r="J271" s="6" t="s">
        <v>114</v>
      </c>
      <c r="K271" s="2" t="n">
        <v>0</v>
      </c>
      <c r="L271" s="2" t="n">
        <v>0</v>
      </c>
      <c r="M271" s="0" t="s">
        <v>73</v>
      </c>
      <c r="N271" s="0" t="n">
        <v>0</v>
      </c>
      <c r="O271" s="0" t="s">
        <v>138</v>
      </c>
      <c r="Q271" s="0" t="s">
        <v>87</v>
      </c>
      <c r="R271" s="3" t="n">
        <v>6.32</v>
      </c>
      <c r="S271" s="2" t="n">
        <v>1227</v>
      </c>
      <c r="T271" s="2" t="n">
        <v>14784</v>
      </c>
      <c r="U271" s="2" t="n">
        <f aca="false">T271-S271</f>
        <v>13557</v>
      </c>
      <c r="V271" s="3" t="n">
        <f aca="false">(60+47)/60</f>
        <v>1.78333333333333</v>
      </c>
      <c r="W271" s="3" t="n">
        <f aca="false">(60+58)/60</f>
        <v>1.96666666666667</v>
      </c>
      <c r="X271" s="3" t="n">
        <f aca="false">W271-V271</f>
        <v>0.183333333333333</v>
      </c>
      <c r="Y271" s="3" t="n">
        <f aca="false">R271/V271</f>
        <v>3.54392523364486</v>
      </c>
      <c r="Z271" s="0" t="n">
        <v>1</v>
      </c>
      <c r="AA271" s="3" t="n">
        <f aca="false">R271/Z271</f>
        <v>6.32</v>
      </c>
      <c r="AB271" s="3" t="n">
        <f aca="false">16+49/60</f>
        <v>16.8166666666667</v>
      </c>
      <c r="AC271" s="2" t="n">
        <v>49</v>
      </c>
      <c r="AD271" s="2" t="n">
        <v>625</v>
      </c>
      <c r="AE271" s="2" t="n">
        <v>108</v>
      </c>
      <c r="AF271" s="0" t="n">
        <v>132</v>
      </c>
      <c r="AG271" s="3" t="n">
        <f aca="false">16+24/60</f>
        <v>16.4</v>
      </c>
      <c r="AH271" s="3" t="n">
        <f aca="false">16+59/60</f>
        <v>16.9833333333333</v>
      </c>
      <c r="AI271" s="3" t="n">
        <f aca="false">16+41/60</f>
        <v>16.6833333333333</v>
      </c>
      <c r="AJ271" s="3" t="n">
        <f aca="false">17+53/60</f>
        <v>17.8833333333333</v>
      </c>
      <c r="AK271" s="3" t="n">
        <f aca="false">16+37/60</f>
        <v>16.6166666666667</v>
      </c>
      <c r="AL271" s="3" t="n">
        <f aca="false">16+19/60</f>
        <v>16.3166666666667</v>
      </c>
      <c r="AM271" s="3" t="n">
        <f aca="false">60/3.6</f>
        <v>16.6666666666667</v>
      </c>
      <c r="AQ271" s="2" t="n">
        <v>0</v>
      </c>
      <c r="AR271" s="0" t="n">
        <v>0</v>
      </c>
      <c r="AS271" s="0" t="n">
        <v>0</v>
      </c>
      <c r="AT271" s="0" t="n">
        <v>0</v>
      </c>
      <c r="AU271" s="4" t="n">
        <f aca="false">60*V271-SUM(AV271:AZ271)</f>
        <v>18.4833333333331</v>
      </c>
      <c r="AV271" s="3" t="n">
        <f aca="false">15+10/60</f>
        <v>15.1666666666667</v>
      </c>
      <c r="AW271" s="3" t="n">
        <f aca="false">65+27/60</f>
        <v>65.45</v>
      </c>
      <c r="AX271" s="3" t="n">
        <f aca="false">7+54/60</f>
        <v>7.9</v>
      </c>
      <c r="AY271" s="3" t="n">
        <v>0</v>
      </c>
      <c r="AZ271" s="3" t="n">
        <v>0</v>
      </c>
      <c r="BA271" s="0" t="s">
        <v>59</v>
      </c>
      <c r="BB271" s="0" t="s">
        <v>60</v>
      </c>
      <c r="BC271" s="0" t="n">
        <v>0</v>
      </c>
    </row>
    <row r="272" customFormat="false" ht="12.8" hidden="false" customHeight="false" outlineLevel="0" collapsed="false">
      <c r="A272" s="0" t="n">
        <v>803</v>
      </c>
      <c r="B272" s="1" t="n">
        <v>44149.5368055556</v>
      </c>
      <c r="C272" s="0" t="n">
        <v>0</v>
      </c>
      <c r="D272" s="0" t="s">
        <v>144</v>
      </c>
      <c r="F272" s="6" t="s">
        <v>71</v>
      </c>
      <c r="G272" s="2" t="n">
        <v>83</v>
      </c>
      <c r="H272" s="2" t="n">
        <v>65</v>
      </c>
      <c r="I272" s="2" t="n">
        <v>54</v>
      </c>
      <c r="J272" s="2" t="s">
        <v>123</v>
      </c>
      <c r="K272" s="2" t="n">
        <v>24</v>
      </c>
      <c r="L272" s="2" t="n">
        <v>38</v>
      </c>
      <c r="M272" s="0" t="s">
        <v>73</v>
      </c>
    </row>
    <row r="273" customFormat="false" ht="12.8" hidden="false" customHeight="false" outlineLevel="0" collapsed="false">
      <c r="A273" s="0" t="n">
        <v>804</v>
      </c>
      <c r="B273" s="1" t="n">
        <v>44150.55</v>
      </c>
      <c r="C273" s="12" t="n">
        <v>1</v>
      </c>
      <c r="F273" s="6" t="s">
        <v>129</v>
      </c>
      <c r="G273" s="2" t="n">
        <v>65</v>
      </c>
      <c r="H273" s="2" t="n">
        <v>19</v>
      </c>
      <c r="I273" s="2" t="n">
        <v>17</v>
      </c>
      <c r="J273" s="2" t="s">
        <v>96</v>
      </c>
      <c r="K273" s="2" t="n">
        <v>15</v>
      </c>
      <c r="L273" s="2" t="n">
        <v>21</v>
      </c>
      <c r="M273" s="0" t="s">
        <v>73</v>
      </c>
      <c r="N273" s="0" t="n">
        <v>0</v>
      </c>
      <c r="O273" s="0" t="s">
        <v>138</v>
      </c>
      <c r="Q273" s="0" t="s">
        <v>62</v>
      </c>
      <c r="R273" s="3" t="n">
        <v>4.67</v>
      </c>
      <c r="S273" s="2" t="n">
        <v>1667</v>
      </c>
      <c r="T273" s="2" t="n">
        <v>10898</v>
      </c>
      <c r="U273" s="2" t="n">
        <f aca="false">T273-S273</f>
        <v>9231</v>
      </c>
      <c r="V273" s="3" t="n">
        <f aca="false">72/60</f>
        <v>1.2</v>
      </c>
      <c r="W273" s="3" t="n">
        <f aca="false">73/60</f>
        <v>1.21666666666667</v>
      </c>
      <c r="X273" s="3" t="n">
        <f aca="false">W273-V273</f>
        <v>0.0166666666666666</v>
      </c>
      <c r="Y273" s="3" t="n">
        <f aca="false">R273/V273</f>
        <v>3.89166666666667</v>
      </c>
      <c r="Z273" s="0" t="n">
        <v>1</v>
      </c>
      <c r="AA273" s="3" t="n">
        <f aca="false">R273/Z273</f>
        <v>4.67</v>
      </c>
      <c r="AB273" s="3" t="n">
        <f aca="false">15+29/60</f>
        <v>15.4833333333333</v>
      </c>
      <c r="AC273" s="2" t="n">
        <v>105</v>
      </c>
      <c r="AD273" s="2" t="n">
        <v>497</v>
      </c>
      <c r="AE273" s="2" t="n">
        <v>90</v>
      </c>
      <c r="AF273" s="0" t="n">
        <v>110</v>
      </c>
      <c r="AG273" s="3" t="n">
        <f aca="false">15+20/60</f>
        <v>15.3333333333333</v>
      </c>
      <c r="AH273" s="3" t="n">
        <f aca="false">15+34/60</f>
        <v>15.5666666666667</v>
      </c>
      <c r="AI273" s="3" t="n">
        <f aca="false">15+18/60</f>
        <v>15.3</v>
      </c>
      <c r="AJ273" s="3" t="n">
        <f aca="false">15+18/60</f>
        <v>15.3</v>
      </c>
      <c r="AK273" s="0"/>
      <c r="AQ273" s="2" t="n">
        <v>0</v>
      </c>
      <c r="AR273" s="0" t="n">
        <v>0</v>
      </c>
      <c r="AS273" s="0" t="n">
        <v>0</v>
      </c>
      <c r="AT273" s="0" t="n">
        <v>0</v>
      </c>
      <c r="AU273" s="4" t="n">
        <f aca="false">60*V273-SUM(AV273:AZ273)</f>
        <v>47.45</v>
      </c>
      <c r="AV273" s="3" t="n">
        <f aca="false">23+13/60</f>
        <v>23.2166666666667</v>
      </c>
      <c r="AW273" s="3" t="n">
        <f aca="false">1+20/60</f>
        <v>1.33333333333333</v>
      </c>
      <c r="AX273" s="3" t="n">
        <v>0</v>
      </c>
      <c r="AY273" s="3" t="n">
        <v>0</v>
      </c>
      <c r="AZ273" s="3" t="n">
        <v>0</v>
      </c>
      <c r="BA273" s="0" t="s">
        <v>59</v>
      </c>
      <c r="BB273" s="0" t="s">
        <v>60</v>
      </c>
      <c r="BC273" s="0" t="n">
        <v>0</v>
      </c>
    </row>
    <row r="274" customFormat="false" ht="12.8" hidden="false" customHeight="false" outlineLevel="0" collapsed="false">
      <c r="A274" s="0" t="n">
        <v>805</v>
      </c>
      <c r="B274" s="1" t="n">
        <v>44151.5791666667</v>
      </c>
      <c r="C274" s="0" t="n">
        <v>1</v>
      </c>
      <c r="F274" s="6" t="s">
        <v>129</v>
      </c>
      <c r="G274" s="2" t="n">
        <v>68</v>
      </c>
      <c r="H274" s="2" t="n">
        <v>25</v>
      </c>
      <c r="I274" s="2" t="n">
        <f aca="false">(21+18)/2</f>
        <v>19.5</v>
      </c>
      <c r="J274" s="2" t="s">
        <v>132</v>
      </c>
      <c r="K274" s="2" t="n">
        <v>0</v>
      </c>
      <c r="L274" s="2" t="n">
        <v>7</v>
      </c>
      <c r="M274" s="0" t="s">
        <v>73</v>
      </c>
      <c r="N274" s="0" t="n">
        <v>0</v>
      </c>
      <c r="O274" s="0" t="s">
        <v>138</v>
      </c>
      <c r="Q274" s="0" t="s">
        <v>98</v>
      </c>
      <c r="R274" s="3" t="n">
        <v>6.64</v>
      </c>
      <c r="S274" s="2" t="n">
        <v>1659</v>
      </c>
      <c r="T274" s="2" t="n">
        <v>17058</v>
      </c>
      <c r="U274" s="2" t="n">
        <f aca="false">T274-S274</f>
        <v>15399</v>
      </c>
      <c r="V274" s="3" t="n">
        <f aca="false">(60+52)/60</f>
        <v>1.86666666666667</v>
      </c>
      <c r="W274" s="3" t="n">
        <f aca="false">(60+56)/60</f>
        <v>1.93333333333333</v>
      </c>
      <c r="X274" s="3" t="n">
        <f aca="false">W274-V274</f>
        <v>0.0666666666666667</v>
      </c>
      <c r="Y274" s="3" t="n">
        <f aca="false">R274/V274</f>
        <v>3.55714285714286</v>
      </c>
      <c r="Z274" s="0" t="n">
        <v>1</v>
      </c>
      <c r="AA274" s="3" t="n">
        <f aca="false">R274/Z274</f>
        <v>6.64</v>
      </c>
      <c r="AB274" s="3" t="n">
        <f aca="false">16+50/60</f>
        <v>16.8333333333333</v>
      </c>
      <c r="AC274" s="2" t="n">
        <v>180</v>
      </c>
      <c r="AD274" s="2" t="n">
        <v>701</v>
      </c>
      <c r="AE274" s="2" t="n">
        <v>95</v>
      </c>
      <c r="AF274" s="0" t="n">
        <v>133</v>
      </c>
      <c r="AG274" s="3" t="n">
        <f aca="false">16+15/60</f>
        <v>16.25</v>
      </c>
      <c r="AH274" s="3" t="n">
        <f aca="false">16+14/60</f>
        <v>16.2333333333333</v>
      </c>
      <c r="AI274" s="3" t="n">
        <f aca="false">17+12/60</f>
        <v>17.2</v>
      </c>
      <c r="AJ274" s="3" t="n">
        <f aca="false">17+40/60</f>
        <v>17.6666666666667</v>
      </c>
      <c r="AK274" s="3" t="n">
        <f aca="false">17+8/60</f>
        <v>17.1333333333333</v>
      </c>
      <c r="AL274" s="3" t="n">
        <f aca="false">16+27/60</f>
        <v>16.45</v>
      </c>
      <c r="AM274" s="3" t="n">
        <f aca="false">60/3.6</f>
        <v>16.6666666666667</v>
      </c>
      <c r="AQ274" s="2" t="n">
        <v>2</v>
      </c>
      <c r="AR274" s="0" t="n">
        <v>1</v>
      </c>
      <c r="AS274" s="0" t="n">
        <v>1</v>
      </c>
      <c r="AT274" s="0" t="n">
        <v>0</v>
      </c>
      <c r="AU274" s="4" t="n">
        <f aca="false">60*V274-SUM(AV274:AZ274)</f>
        <v>58.55</v>
      </c>
      <c r="AV274" s="3" t="n">
        <f aca="false">28+31/60</f>
        <v>28.5166666666667</v>
      </c>
      <c r="AW274" s="3" t="n">
        <f aca="false">18+53/60</f>
        <v>18.8833333333333</v>
      </c>
      <c r="AX274" s="3" t="n">
        <f aca="false">6+3/60</f>
        <v>6.05</v>
      </c>
      <c r="AY274" s="3" t="n">
        <v>0</v>
      </c>
      <c r="AZ274" s="3" t="n">
        <v>0</v>
      </c>
      <c r="BA274" s="0" t="s">
        <v>59</v>
      </c>
      <c r="BB274" s="0" t="s">
        <v>60</v>
      </c>
      <c r="BC274" s="0" t="n">
        <v>0</v>
      </c>
    </row>
    <row r="275" customFormat="false" ht="12.8" hidden="false" customHeight="false" outlineLevel="0" collapsed="false">
      <c r="A275" s="0" t="n">
        <v>806</v>
      </c>
      <c r="B275" s="1" t="n">
        <v>44152.6243055556</v>
      </c>
      <c r="C275" s="0" t="n">
        <v>1</v>
      </c>
      <c r="F275" s="6" t="s">
        <v>71</v>
      </c>
      <c r="G275" s="2" t="n">
        <v>77</v>
      </c>
      <c r="H275" s="2" t="n">
        <v>61</v>
      </c>
      <c r="I275" s="2" t="n">
        <v>58</v>
      </c>
      <c r="J275" s="2" t="s">
        <v>95</v>
      </c>
      <c r="K275" s="2" t="n">
        <v>14</v>
      </c>
      <c r="L275" s="2" t="n">
        <v>0</v>
      </c>
      <c r="M275" s="0" t="s">
        <v>73</v>
      </c>
      <c r="N275" s="0" t="n">
        <v>0</v>
      </c>
      <c r="O275" s="0" t="s">
        <v>138</v>
      </c>
      <c r="Q275" s="0" t="s">
        <v>146</v>
      </c>
      <c r="R275" s="3" t="n">
        <v>4.4</v>
      </c>
      <c r="S275" s="2" t="n">
        <v>1181</v>
      </c>
      <c r="T275" s="2" t="n">
        <v>10436</v>
      </c>
      <c r="U275" s="2" t="n">
        <f aca="false">T275-S275</f>
        <v>9255</v>
      </c>
      <c r="V275" s="3" t="n">
        <f aca="false">71/60</f>
        <v>1.18333333333333</v>
      </c>
      <c r="W275" s="3" t="n">
        <f aca="false">87/60</f>
        <v>1.45</v>
      </c>
      <c r="X275" s="3" t="n">
        <f aca="false">W275-V275</f>
        <v>0.266666666666667</v>
      </c>
      <c r="Y275" s="3" t="n">
        <f aca="false">R275/V275</f>
        <v>3.71830985915493</v>
      </c>
      <c r="Z275" s="0" t="n">
        <v>1</v>
      </c>
      <c r="AA275" s="3" t="n">
        <f aca="false">R275/Z275</f>
        <v>4.4</v>
      </c>
      <c r="AB275" s="3" t="n">
        <f aca="false">16+3/60</f>
        <v>16.05</v>
      </c>
      <c r="AC275" s="2" t="n">
        <v>26</v>
      </c>
      <c r="AD275" s="2" t="n">
        <v>468</v>
      </c>
      <c r="AE275" s="2" t="n">
        <v>116</v>
      </c>
      <c r="AF275" s="0" t="n">
        <v>136</v>
      </c>
      <c r="AG275" s="3" t="n">
        <f aca="false">15+54/60</f>
        <v>15.9</v>
      </c>
      <c r="AH275" s="3" t="n">
        <f aca="false">16+7/60</f>
        <v>16.1166666666667</v>
      </c>
      <c r="AI275" s="3" t="n">
        <f aca="false">16+20/60</f>
        <v>16.3333333333333</v>
      </c>
      <c r="AJ275" s="3" t="n">
        <f aca="false">15+28/60</f>
        <v>15.4666666666667</v>
      </c>
      <c r="AK275" s="3" t="n">
        <f aca="false">60/3.5</f>
        <v>17.1428571428571</v>
      </c>
      <c r="AQ275" s="2" t="n">
        <v>0</v>
      </c>
      <c r="AR275" s="0" t="n">
        <v>3</v>
      </c>
      <c r="AS275" s="0" t="n">
        <v>0</v>
      </c>
      <c r="AT275" s="0" t="n">
        <v>0</v>
      </c>
      <c r="AU275" s="4" t="n">
        <f aca="false">60*V275-SUM(AV275:AZ275)</f>
        <v>1.96666666666667</v>
      </c>
      <c r="AV275" s="3" t="n">
        <f aca="false">7+5/60</f>
        <v>7.08333333333333</v>
      </c>
      <c r="AW275" s="3" t="n">
        <v>49</v>
      </c>
      <c r="AX275" s="3" t="n">
        <f aca="false">12+57/60</f>
        <v>12.95</v>
      </c>
      <c r="AY275" s="3" t="n">
        <v>0</v>
      </c>
      <c r="AZ275" s="3" t="n">
        <v>0</v>
      </c>
      <c r="BA275" s="0" t="s">
        <v>59</v>
      </c>
      <c r="BB275" s="0" t="s">
        <v>60</v>
      </c>
      <c r="BC275" s="0" t="n">
        <v>0</v>
      </c>
    </row>
    <row r="276" customFormat="false" ht="12.8" hidden="false" customHeight="false" outlineLevel="0" collapsed="false">
      <c r="A276" s="0" t="n">
        <v>807</v>
      </c>
      <c r="B276" s="1" t="n">
        <v>44153.4944444444</v>
      </c>
      <c r="C276" s="0" t="n">
        <v>1</v>
      </c>
      <c r="F276" s="6" t="s">
        <v>129</v>
      </c>
      <c r="G276" s="2" t="n">
        <v>69</v>
      </c>
      <c r="H276" s="2" t="n">
        <v>37</v>
      </c>
      <c r="I276" s="2" t="n">
        <v>31</v>
      </c>
      <c r="J276" s="2" t="s">
        <v>95</v>
      </c>
      <c r="K276" s="2" t="n">
        <v>14</v>
      </c>
      <c r="L276" s="2" t="n">
        <v>0</v>
      </c>
      <c r="M276" s="0" t="s">
        <v>73</v>
      </c>
      <c r="N276" s="0" t="n">
        <v>0</v>
      </c>
      <c r="O276" s="0" t="s">
        <v>138</v>
      </c>
      <c r="Q276" s="0" t="s">
        <v>140</v>
      </c>
      <c r="R276" s="3" t="n">
        <v>5.66</v>
      </c>
      <c r="V276" s="3" t="n">
        <f aca="false">96/60</f>
        <v>1.6</v>
      </c>
      <c r="W276" s="3" t="n">
        <f aca="false">(60+52)/60</f>
        <v>1.86666666666667</v>
      </c>
      <c r="X276" s="3" t="n">
        <f aca="false">W276-V276</f>
        <v>0.266666666666667</v>
      </c>
      <c r="Y276" s="3" t="n">
        <f aca="false">R276/V276</f>
        <v>3.5375</v>
      </c>
      <c r="Z276" s="0" t="n">
        <v>1</v>
      </c>
      <c r="AA276" s="3" t="n">
        <f aca="false">R276/Z276</f>
        <v>5.66</v>
      </c>
      <c r="AB276" s="3" t="n">
        <f aca="false">16+46/60</f>
        <v>16.7666666666667</v>
      </c>
      <c r="AC276" s="2" t="n">
        <v>62</v>
      </c>
      <c r="AD276" s="2" t="n">
        <v>622</v>
      </c>
      <c r="AE276" s="2" t="n">
        <v>126</v>
      </c>
      <c r="AF276" s="0" t="n">
        <v>151</v>
      </c>
      <c r="AG276" s="3" t="n">
        <f aca="false">16+49/60</f>
        <v>16.8166666666667</v>
      </c>
      <c r="AH276" s="3" t="n">
        <f aca="false">15+46/60</f>
        <v>15.7666666666667</v>
      </c>
      <c r="AI276" s="3" t="n">
        <v>17</v>
      </c>
      <c r="AJ276" s="3" t="n">
        <f aca="false">16+53/60</f>
        <v>16.8833333333333</v>
      </c>
      <c r="AK276" s="3" t="n">
        <f aca="false">16+24/60</f>
        <v>16.4</v>
      </c>
      <c r="AL276" s="3" t="n">
        <f aca="false">60/3.3</f>
        <v>18.1818181818182</v>
      </c>
      <c r="AQ276" s="2" t="n">
        <v>6</v>
      </c>
      <c r="AR276" s="0" t="n">
        <v>0</v>
      </c>
      <c r="AS276" s="0" t="n">
        <v>0</v>
      </c>
      <c r="AT276" s="0" t="n">
        <v>0</v>
      </c>
      <c r="AU276" s="4" t="n">
        <f aca="false">60*V276-SUM(AV276:AZ276)</f>
        <v>3.96666666666667</v>
      </c>
      <c r="AV276" s="3" t="n">
        <f aca="false">12+5/60</f>
        <v>12.0833333333333</v>
      </c>
      <c r="AW276" s="3" t="n">
        <f aca="false">17+19/60</f>
        <v>17.3166666666667</v>
      </c>
      <c r="AX276" s="3" t="n">
        <f aca="false">53+10/60</f>
        <v>53.1666666666667</v>
      </c>
      <c r="AY276" s="3" t="n">
        <f aca="false">9+28/60</f>
        <v>9.46666666666667</v>
      </c>
      <c r="AZ276" s="3" t="n">
        <v>0</v>
      </c>
      <c r="BA276" s="0" t="s">
        <v>59</v>
      </c>
      <c r="BB276" s="0" t="s">
        <v>60</v>
      </c>
      <c r="BC276" s="0" t="n">
        <v>0</v>
      </c>
    </row>
    <row r="277" customFormat="false" ht="12.8" hidden="false" customHeight="false" outlineLevel="0" collapsed="false">
      <c r="A277" s="0" t="n">
        <v>808</v>
      </c>
      <c r="B277" s="1" t="n">
        <v>44154.5083333333</v>
      </c>
      <c r="C277" s="0" t="n">
        <v>1</v>
      </c>
      <c r="F277" s="6" t="s">
        <v>107</v>
      </c>
      <c r="G277" s="2" t="n">
        <v>69</v>
      </c>
      <c r="H277" s="2" t="n">
        <v>58</v>
      </c>
      <c r="I277" s="2" t="n">
        <v>68</v>
      </c>
      <c r="J277" s="2" t="s">
        <v>95</v>
      </c>
      <c r="K277" s="2" t="n">
        <v>23</v>
      </c>
      <c r="L277" s="2" t="n">
        <v>30</v>
      </c>
      <c r="M277" s="0" t="s">
        <v>73</v>
      </c>
      <c r="N277" s="0" t="n">
        <v>0</v>
      </c>
      <c r="O277" s="0" t="s">
        <v>138</v>
      </c>
      <c r="Q277" s="6" t="s">
        <v>81</v>
      </c>
      <c r="R277" s="3" t="n">
        <v>4.11</v>
      </c>
      <c r="S277" s="2" t="n">
        <v>1093</v>
      </c>
      <c r="T277" s="2" t="n">
        <v>10235</v>
      </c>
      <c r="U277" s="2" t="n">
        <f aca="false">T277-S277</f>
        <v>9142</v>
      </c>
      <c r="V277" s="3" t="n">
        <f aca="false">75/60</f>
        <v>1.25</v>
      </c>
      <c r="W277" s="3" t="n">
        <f aca="false">(60+23)/60</f>
        <v>1.38333333333333</v>
      </c>
      <c r="X277" s="3" t="n">
        <f aca="false">W277-V277</f>
        <v>0.133333333333333</v>
      </c>
      <c r="Y277" s="3" t="n">
        <f aca="false">R277/V277</f>
        <v>3.288</v>
      </c>
      <c r="Z277" s="0" t="n">
        <v>1</v>
      </c>
      <c r="AA277" s="3" t="n">
        <f aca="false">R277/Z277</f>
        <v>4.11</v>
      </c>
      <c r="AB277" s="3" t="n">
        <f aca="false">17+51/60</f>
        <v>17.85</v>
      </c>
      <c r="AC277" s="2" t="n">
        <v>246</v>
      </c>
      <c r="AD277" s="2" t="n">
        <v>476</v>
      </c>
      <c r="AE277" s="2" t="n">
        <v>130</v>
      </c>
      <c r="AF277" s="0" t="n">
        <v>149</v>
      </c>
      <c r="AG277" s="3" t="n">
        <f aca="false">16+23/60</f>
        <v>16.3833333333333</v>
      </c>
      <c r="AH277" s="3" t="n">
        <f aca="false">18+15/60</f>
        <v>18.25</v>
      </c>
      <c r="AI277" s="3" t="n">
        <f aca="false">17+26/60</f>
        <v>17.4333333333333</v>
      </c>
      <c r="AJ277" s="3" t="n">
        <f aca="false">19+30/60</f>
        <v>19.5</v>
      </c>
      <c r="AK277" s="3" t="n">
        <f aca="false">60/3.1</f>
        <v>19.3548387096774</v>
      </c>
      <c r="AQ277" s="2" t="n">
        <v>3</v>
      </c>
      <c r="AR277" s="0" t="n">
        <v>3</v>
      </c>
      <c r="AS277" s="0" t="n">
        <v>0</v>
      </c>
      <c r="AT277" s="0" t="n">
        <v>0</v>
      </c>
      <c r="AU277" s="4" t="n">
        <f aca="false">60*V277-SUM(AV277:AZ277)</f>
        <v>0.233333333333334</v>
      </c>
      <c r="AV277" s="3" t="n">
        <f aca="false">1+29/60</f>
        <v>1.48333333333333</v>
      </c>
      <c r="AW277" s="3" t="n">
        <f aca="false">15+24/60</f>
        <v>15.4</v>
      </c>
      <c r="AX277" s="3" t="n">
        <f aca="false">54+5/60</f>
        <v>54.0833333333333</v>
      </c>
      <c r="AY277" s="3" t="n">
        <f aca="false">3+48/60</f>
        <v>3.8</v>
      </c>
      <c r="AZ277" s="3" t="n">
        <v>0</v>
      </c>
      <c r="BA277" s="0" t="s">
        <v>59</v>
      </c>
      <c r="BB277" s="0" t="s">
        <v>60</v>
      </c>
      <c r="BC277" s="0" t="n">
        <v>0</v>
      </c>
    </row>
    <row r="278" customFormat="false" ht="12.8" hidden="false" customHeight="false" outlineLevel="0" collapsed="false">
      <c r="A278" s="0" t="n">
        <v>809</v>
      </c>
      <c r="B278" s="1" t="n">
        <v>44155.5277777778</v>
      </c>
      <c r="C278" s="0" t="n">
        <v>1</v>
      </c>
      <c r="E278" s="6" t="s">
        <v>147</v>
      </c>
      <c r="F278" s="6" t="s">
        <v>71</v>
      </c>
      <c r="G278" s="2" t="n">
        <v>70</v>
      </c>
      <c r="H278" s="2" t="n">
        <v>60</v>
      </c>
      <c r="I278" s="2" t="n">
        <v>71</v>
      </c>
      <c r="J278" s="2" t="s">
        <v>95</v>
      </c>
      <c r="K278" s="2" t="n">
        <v>8</v>
      </c>
      <c r="L278" s="2" t="n">
        <v>18</v>
      </c>
      <c r="M278" s="0" t="s">
        <v>73</v>
      </c>
      <c r="N278" s="0" t="n">
        <v>1</v>
      </c>
      <c r="O278" s="0" t="s">
        <v>138</v>
      </c>
      <c r="Q278" s="0" t="s">
        <v>87</v>
      </c>
      <c r="R278" s="3" t="n">
        <v>6.29</v>
      </c>
      <c r="T278" s="0"/>
      <c r="U278" s="2" t="n">
        <f aca="false">(13392+13353+14484)/3</f>
        <v>13743</v>
      </c>
      <c r="V278" s="3" t="n">
        <f aca="false">(60+48)/60</f>
        <v>1.8</v>
      </c>
      <c r="W278" s="3" t="n">
        <f aca="false">(60+56)/60</f>
        <v>1.93333333333333</v>
      </c>
      <c r="X278" s="3" t="n">
        <f aca="false">W278-V278</f>
        <v>0.133333333333333</v>
      </c>
      <c r="Y278" s="3" t="n">
        <f aca="false">R278/V278</f>
        <v>3.49444444444444</v>
      </c>
      <c r="Z278" s="0" t="n">
        <v>1</v>
      </c>
      <c r="AA278" s="3" t="n">
        <f aca="false">R278/Z278</f>
        <v>6.29</v>
      </c>
      <c r="AB278" s="3" t="n">
        <f aca="false">17+5/60</f>
        <v>17.0833333333333</v>
      </c>
      <c r="AC278" s="2" t="n">
        <v>128</v>
      </c>
      <c r="AD278" s="2" t="n">
        <v>657</v>
      </c>
      <c r="AE278" s="2" t="n">
        <v>106</v>
      </c>
      <c r="AF278" s="0" t="n">
        <v>130</v>
      </c>
      <c r="AG278" s="3" t="n">
        <f aca="false">16+55/60</f>
        <v>16.9166666666667</v>
      </c>
      <c r="AH278" s="3" t="n">
        <f aca="false">17+17/60</f>
        <v>17.2833333333333</v>
      </c>
      <c r="AI278" s="3" t="n">
        <f aca="false">16+54/60</f>
        <v>16.9</v>
      </c>
      <c r="AJ278" s="3" t="n">
        <f aca="false">17+59/60</f>
        <v>17.9833333333333</v>
      </c>
      <c r="AK278" s="3" t="n">
        <f aca="false">16+41/60</f>
        <v>16.6833333333333</v>
      </c>
      <c r="AL278" s="3" t="n">
        <f aca="false">16+47/60</f>
        <v>16.7833333333333</v>
      </c>
      <c r="AM278" s="3" t="n">
        <f aca="false">60/3.5</f>
        <v>17.1428571428571</v>
      </c>
      <c r="AQ278" s="2" t="n">
        <v>0</v>
      </c>
      <c r="AR278" s="0" t="n">
        <v>2</v>
      </c>
      <c r="AS278" s="0" t="n">
        <v>0</v>
      </c>
      <c r="AT278" s="0" t="n">
        <v>0</v>
      </c>
      <c r="AU278" s="4" t="n">
        <f aca="false">60*V278-SUM(AV278:AZ278)</f>
        <v>6.51666666666667</v>
      </c>
      <c r="AV278" s="3" t="n">
        <f aca="false">55+54/60</f>
        <v>55.9</v>
      </c>
      <c r="AW278" s="3" t="n">
        <f aca="false">40+23/60</f>
        <v>40.3833333333333</v>
      </c>
      <c r="AX278" s="3" t="n">
        <f aca="false">5+12/60</f>
        <v>5.2</v>
      </c>
      <c r="AY278" s="3" t="n">
        <v>0</v>
      </c>
      <c r="AZ278" s="3" t="n">
        <v>0</v>
      </c>
      <c r="BA278" s="0" t="s">
        <v>59</v>
      </c>
      <c r="BB278" s="0" t="s">
        <v>60</v>
      </c>
      <c r="BC278" s="0" t="n">
        <v>0</v>
      </c>
    </row>
    <row r="279" customFormat="false" ht="12.8" hidden="false" customHeight="false" outlineLevel="0" collapsed="false">
      <c r="A279" s="0" t="n">
        <v>810</v>
      </c>
      <c r="B279" s="1" t="n">
        <v>44156.4972222222</v>
      </c>
      <c r="C279" s="0" t="n">
        <v>1</v>
      </c>
      <c r="F279" s="6" t="s">
        <v>85</v>
      </c>
      <c r="G279" s="2" t="n">
        <v>75</v>
      </c>
      <c r="H279" s="2" t="n">
        <v>62</v>
      </c>
      <c r="I279" s="2" t="n">
        <v>64</v>
      </c>
      <c r="J279" s="6" t="s">
        <v>72</v>
      </c>
      <c r="K279" s="2" t="n">
        <v>10</v>
      </c>
      <c r="L279" s="2" t="n">
        <v>0</v>
      </c>
      <c r="M279" s="0" t="s">
        <v>73</v>
      </c>
      <c r="N279" s="0" t="n">
        <v>0</v>
      </c>
      <c r="O279" s="0" t="s">
        <v>138</v>
      </c>
      <c r="Q279" s="0" t="s">
        <v>83</v>
      </c>
      <c r="R279" s="3" t="n">
        <v>4.47</v>
      </c>
      <c r="S279" s="2" t="n">
        <v>626</v>
      </c>
      <c r="T279" s="2" t="n">
        <v>9378</v>
      </c>
      <c r="U279" s="2" t="n">
        <f aca="false">T279-S279</f>
        <v>8752</v>
      </c>
      <c r="V279" s="3" t="n">
        <f aca="false">72/60</f>
        <v>1.2</v>
      </c>
      <c r="W279" s="3" t="n">
        <f aca="false">77/60</f>
        <v>1.28333333333333</v>
      </c>
      <c r="X279" s="3" t="n">
        <f aca="false">W279-V279</f>
        <v>0.0833333333333335</v>
      </c>
      <c r="Y279" s="3" t="n">
        <f aca="false">R279/V279</f>
        <v>3.725</v>
      </c>
      <c r="Z279" s="0" t="n">
        <v>1</v>
      </c>
      <c r="AA279" s="3" t="n">
        <f aca="false">R279/Z279</f>
        <v>4.47</v>
      </c>
      <c r="AB279" s="3" t="n">
        <f aca="false">16+11/60</f>
        <v>16.1833333333333</v>
      </c>
      <c r="AC279" s="2" t="n">
        <v>69</v>
      </c>
      <c r="AD279" s="2" t="n">
        <v>472</v>
      </c>
      <c r="AE279" s="2" t="n">
        <v>118</v>
      </c>
      <c r="AF279" s="0" t="n">
        <v>131</v>
      </c>
      <c r="AG279" s="3" t="n">
        <f aca="false">15+39/60</f>
        <v>15.65</v>
      </c>
      <c r="AH279" s="3" t="n">
        <f aca="false">16+13/60</f>
        <v>16.2166666666667</v>
      </c>
      <c r="AI279" s="3" t="n">
        <f aca="false">16+18/60</f>
        <v>16.3</v>
      </c>
      <c r="AJ279" s="3" t="n">
        <f aca="false">16+50/60</f>
        <v>16.8333333333333</v>
      </c>
      <c r="AK279" s="3" t="n">
        <f aca="false">60/3.8</f>
        <v>15.7894736842105</v>
      </c>
      <c r="AQ279" s="2" t="n">
        <v>0</v>
      </c>
      <c r="AR279" s="0" t="n">
        <v>1</v>
      </c>
      <c r="AS279" s="0" t="n">
        <v>0</v>
      </c>
      <c r="AT279" s="0" t="n">
        <v>0</v>
      </c>
      <c r="AU279" s="4" t="n">
        <f aca="false">60*V279-SUM(AV279:AZ279)</f>
        <v>0</v>
      </c>
      <c r="AV279" s="3" t="n">
        <f aca="false">9+58/60</f>
        <v>9.96666666666667</v>
      </c>
      <c r="AW279" s="3" t="n">
        <f aca="false">47+36/60</f>
        <v>47.6</v>
      </c>
      <c r="AX279" s="3" t="n">
        <f aca="false">14+26/60</f>
        <v>14.4333333333333</v>
      </c>
      <c r="AY279" s="3" t="n">
        <v>0</v>
      </c>
      <c r="AZ279" s="3" t="n">
        <v>0</v>
      </c>
      <c r="BA279" s="0" t="s">
        <v>59</v>
      </c>
      <c r="BB279" s="0" t="s">
        <v>60</v>
      </c>
      <c r="BC279" s="0" t="n">
        <v>0</v>
      </c>
    </row>
    <row r="280" customFormat="false" ht="12.8" hidden="false" customHeight="false" outlineLevel="0" collapsed="false">
      <c r="A280" s="0" t="n">
        <v>811</v>
      </c>
      <c r="B280" s="1" t="n">
        <v>44157.6263888889</v>
      </c>
      <c r="C280" s="0" t="n">
        <v>1</v>
      </c>
      <c r="F280" s="6" t="s">
        <v>71</v>
      </c>
      <c r="G280" s="2" t="n">
        <v>86</v>
      </c>
      <c r="H280" s="2" t="n">
        <v>58</v>
      </c>
      <c r="I280" s="2" t="n">
        <v>40</v>
      </c>
      <c r="J280" s="2" t="s">
        <v>99</v>
      </c>
      <c r="K280" s="2" t="n">
        <v>10</v>
      </c>
      <c r="L280" s="2" t="n">
        <v>0</v>
      </c>
      <c r="M280" s="0" t="s">
        <v>73</v>
      </c>
      <c r="N280" s="0" t="n">
        <v>0</v>
      </c>
      <c r="O280" s="0" t="s">
        <v>138</v>
      </c>
      <c r="Q280" s="0" t="s">
        <v>134</v>
      </c>
      <c r="R280" s="3" t="n">
        <v>6.36</v>
      </c>
      <c r="S280" s="2" t="n">
        <v>883</v>
      </c>
      <c r="T280" s="2" t="n">
        <v>15080</v>
      </c>
      <c r="U280" s="2" t="n">
        <f aca="false">T280-S280</f>
        <v>14197</v>
      </c>
      <c r="V280" s="3" t="n">
        <f aca="false">(60+58)/60</f>
        <v>1.96666666666667</v>
      </c>
      <c r="W280" s="3" t="n">
        <f aca="false">(122)/60</f>
        <v>2.03333333333333</v>
      </c>
      <c r="X280" s="3" t="n">
        <f aca="false">W280-V280</f>
        <v>0.0666666666666667</v>
      </c>
      <c r="Y280" s="3" t="n">
        <f aca="false">R280/V280</f>
        <v>3.23389830508475</v>
      </c>
      <c r="Z280" s="0" t="n">
        <v>1</v>
      </c>
      <c r="AA280" s="3" t="n">
        <f aca="false">R280/Z280</f>
        <v>6.36</v>
      </c>
      <c r="AB280" s="3" t="n">
        <f aca="false">18+32/60</f>
        <v>18.5333333333333</v>
      </c>
      <c r="AC280" s="2" t="n">
        <v>285</v>
      </c>
      <c r="AD280" s="2" t="n">
        <v>680</v>
      </c>
      <c r="AE280" s="2" t="n">
        <v>92</v>
      </c>
      <c r="AF280" s="0" t="n">
        <v>112</v>
      </c>
      <c r="AG280" s="3" t="n">
        <f aca="false">16+54/60</f>
        <v>16.9</v>
      </c>
      <c r="AH280" s="3" t="n">
        <f aca="false">17+15/60</f>
        <v>17.25</v>
      </c>
      <c r="AI280" s="3" t="n">
        <f aca="false">20+44/60</f>
        <v>20.7333333333333</v>
      </c>
      <c r="AJ280" s="3" t="n">
        <f aca="false">21+48/60</f>
        <v>21.8</v>
      </c>
      <c r="AK280" s="3" t="n">
        <f aca="false">17+52/60</f>
        <v>17.8666666666667</v>
      </c>
      <c r="AL280" s="3" t="n">
        <f aca="false">17+1/60</f>
        <v>17.0166666666667</v>
      </c>
      <c r="AM280" s="3" t="n">
        <f aca="false">60/3.4</f>
        <v>17.6470588235294</v>
      </c>
      <c r="AQ280" s="2" t="n">
        <v>2</v>
      </c>
      <c r="AR280" s="0" t="n">
        <v>1</v>
      </c>
      <c r="AS280" s="0" t="n">
        <v>0</v>
      </c>
      <c r="AT280" s="0" t="n">
        <v>0</v>
      </c>
      <c r="AU280" s="4" t="n">
        <f aca="false">60*V280-SUM(AV280:AZ280)</f>
        <v>33.2166666666667</v>
      </c>
      <c r="AV280" s="3" t="n">
        <f aca="false">60+21+44/60</f>
        <v>81.7333333333333</v>
      </c>
      <c r="AW280" s="3" t="n">
        <f aca="false">3+3/60</f>
        <v>3.05</v>
      </c>
      <c r="AX280" s="3" t="n">
        <v>0</v>
      </c>
      <c r="AY280" s="3" t="n">
        <v>0</v>
      </c>
      <c r="AZ280" s="3" t="n">
        <v>0</v>
      </c>
      <c r="BA280" s="0" t="s">
        <v>59</v>
      </c>
      <c r="BB280" s="0" t="s">
        <v>60</v>
      </c>
      <c r="BC280" s="0" t="n">
        <v>0</v>
      </c>
    </row>
    <row r="281" customFormat="false" ht="12.8" hidden="false" customHeight="false" outlineLevel="0" collapsed="false">
      <c r="A281" s="0" t="n">
        <v>812</v>
      </c>
      <c r="B281" s="1" t="n">
        <v>44158.4951388889</v>
      </c>
      <c r="C281" s="0" t="n">
        <v>1</v>
      </c>
      <c r="F281" s="6" t="s">
        <v>74</v>
      </c>
      <c r="G281" s="2" t="n">
        <v>58</v>
      </c>
      <c r="H281" s="2" t="n">
        <v>48</v>
      </c>
      <c r="I281" s="2" t="n">
        <v>73</v>
      </c>
      <c r="J281" s="2" t="s">
        <v>103</v>
      </c>
      <c r="K281" s="2" t="n">
        <v>12</v>
      </c>
      <c r="L281" s="2" t="n">
        <v>0</v>
      </c>
      <c r="M281" s="0" t="s">
        <v>73</v>
      </c>
      <c r="N281" s="0" t="n">
        <v>0</v>
      </c>
      <c r="O281" s="0" t="s">
        <v>138</v>
      </c>
      <c r="Q281" s="0" t="s">
        <v>78</v>
      </c>
      <c r="R281" s="3" t="n">
        <v>4.38</v>
      </c>
      <c r="S281" s="2" t="n">
        <v>1482</v>
      </c>
      <c r="T281" s="2" t="n">
        <f aca="false">10732-100</f>
        <v>10632</v>
      </c>
      <c r="U281" s="2" t="n">
        <f aca="false">T281-S281</f>
        <v>9150</v>
      </c>
      <c r="V281" s="3" t="n">
        <f aca="false">74/60</f>
        <v>1.23333333333333</v>
      </c>
      <c r="W281" s="3" t="n">
        <f aca="false">74/60</f>
        <v>1.23333333333333</v>
      </c>
      <c r="X281" s="3" t="n">
        <f aca="false">W281-V281</f>
        <v>0</v>
      </c>
      <c r="Y281" s="3" t="n">
        <f aca="false">R281/V281</f>
        <v>3.55135135135135</v>
      </c>
      <c r="Z281" s="0" t="n">
        <v>1</v>
      </c>
      <c r="AA281" s="3" t="n">
        <f aca="false">R281/Z281</f>
        <v>4.38</v>
      </c>
      <c r="AB281" s="3" t="n">
        <f aca="false">16+46/60</f>
        <v>16.7666666666667</v>
      </c>
      <c r="AC281" s="2" t="n">
        <v>98</v>
      </c>
      <c r="AD281" s="2" t="n">
        <v>462</v>
      </c>
      <c r="AE281" s="2" t="n">
        <v>110</v>
      </c>
      <c r="AF281" s="0" t="n">
        <v>124</v>
      </c>
      <c r="AG281" s="3" t="n">
        <f aca="false">16+41/60</f>
        <v>16.6833333333333</v>
      </c>
      <c r="AH281" s="3" t="n">
        <f aca="false">16+39/60</f>
        <v>16.65</v>
      </c>
      <c r="AI281" s="3" t="n">
        <f aca="false">16+57/60</f>
        <v>16.95</v>
      </c>
      <c r="AJ281" s="3" t="n">
        <f aca="false">16+33/60</f>
        <v>16.55</v>
      </c>
      <c r="AK281" s="3" t="n">
        <f aca="false">60/3.6</f>
        <v>16.6666666666667</v>
      </c>
      <c r="AQ281" s="2" t="n">
        <v>0</v>
      </c>
      <c r="AR281" s="0" t="n">
        <v>0</v>
      </c>
      <c r="AS281" s="0" t="n">
        <v>0</v>
      </c>
      <c r="AT281" s="0" t="n">
        <v>0</v>
      </c>
      <c r="AU281" s="4" t="n">
        <f aca="false">60*V281-SUM(AV281:AZ281)</f>
        <v>0.550000000000011</v>
      </c>
      <c r="AV281" s="3" t="n">
        <f aca="false">22+39/60</f>
        <v>22.65</v>
      </c>
      <c r="AW281" s="3" t="n">
        <f aca="false">50+48/60</f>
        <v>50.8</v>
      </c>
      <c r="AX281" s="3" t="n">
        <v>0</v>
      </c>
      <c r="AY281" s="3" t="n">
        <v>0</v>
      </c>
      <c r="AZ281" s="3" t="n">
        <v>0</v>
      </c>
      <c r="BA281" s="0" t="s">
        <v>59</v>
      </c>
      <c r="BB281" s="0" t="s">
        <v>60</v>
      </c>
      <c r="BC281" s="0" t="n">
        <v>0</v>
      </c>
    </row>
    <row r="282" customFormat="false" ht="12.8" hidden="false" customHeight="false" outlineLevel="0" collapsed="false">
      <c r="A282" s="0" t="n">
        <v>813</v>
      </c>
      <c r="B282" s="1" t="n">
        <v>44159.4951388889</v>
      </c>
      <c r="C282" s="0" t="n">
        <v>0</v>
      </c>
      <c r="D282" s="0" t="s">
        <v>70</v>
      </c>
      <c r="F282" s="6" t="s">
        <v>71</v>
      </c>
      <c r="G282" s="2" t="n">
        <v>55</v>
      </c>
      <c r="H282" s="2" t="n">
        <v>46</v>
      </c>
      <c r="I282" s="2" t="n">
        <v>72</v>
      </c>
      <c r="J282" s="2" t="s">
        <v>102</v>
      </c>
      <c r="K282" s="2" t="n">
        <v>10</v>
      </c>
      <c r="L282" s="2" t="n">
        <v>0</v>
      </c>
      <c r="M282" s="0" t="s">
        <v>73</v>
      </c>
    </row>
    <row r="283" customFormat="false" ht="12.8" hidden="false" customHeight="false" outlineLevel="0" collapsed="false">
      <c r="A283" s="0" t="n">
        <v>814</v>
      </c>
      <c r="B283" s="1" t="n">
        <v>44160.5208333333</v>
      </c>
      <c r="C283" s="0" t="n">
        <v>1</v>
      </c>
      <c r="F283" s="6" t="s">
        <v>61</v>
      </c>
      <c r="G283" s="2" t="n">
        <v>61</v>
      </c>
      <c r="H283" s="2" t="n">
        <v>31</v>
      </c>
      <c r="I283" s="2" t="n">
        <v>32</v>
      </c>
      <c r="J283" s="2" t="s">
        <v>148</v>
      </c>
      <c r="K283" s="2" t="n">
        <v>10</v>
      </c>
      <c r="L283" s="2" t="n">
        <v>0</v>
      </c>
      <c r="M283" s="0" t="s">
        <v>73</v>
      </c>
      <c r="N283" s="0" t="n">
        <v>0</v>
      </c>
      <c r="O283" s="0" t="s">
        <v>138</v>
      </c>
      <c r="Q283" s="0" t="s">
        <v>82</v>
      </c>
      <c r="R283" s="3" t="n">
        <v>8.14</v>
      </c>
      <c r="S283" s="2" t="n">
        <v>1555</v>
      </c>
      <c r="T283" s="2" t="n">
        <v>18259</v>
      </c>
      <c r="U283" s="2" t="n">
        <f aca="false">T283-S283</f>
        <v>16704</v>
      </c>
      <c r="V283" s="3" t="n">
        <f aca="false">(120+13)/60</f>
        <v>2.21666666666667</v>
      </c>
      <c r="W283" s="3" t="n">
        <f aca="false">(120+24)/60</f>
        <v>2.4</v>
      </c>
      <c r="X283" s="3" t="n">
        <f aca="false">W283-V283</f>
        <v>0.183333333333333</v>
      </c>
      <c r="Y283" s="3" t="n">
        <f aca="false">R283/V283</f>
        <v>3.67218045112782</v>
      </c>
      <c r="Z283" s="0" t="n">
        <v>1</v>
      </c>
      <c r="AA283" s="3" t="n">
        <f aca="false">R283/Z283</f>
        <v>8.14</v>
      </c>
      <c r="AB283" s="3" t="n">
        <f aca="false">16+20/60</f>
        <v>16.3333333333333</v>
      </c>
      <c r="AC283" s="2" t="n">
        <v>89</v>
      </c>
      <c r="AD283" s="2" t="n">
        <v>859</v>
      </c>
      <c r="AE283" s="2" t="n">
        <v>85</v>
      </c>
      <c r="AF283" s="0" t="n">
        <v>111</v>
      </c>
      <c r="AG283" s="3" t="n">
        <f aca="false">15+58/60</f>
        <v>15.9666666666667</v>
      </c>
      <c r="AH283" s="3" t="n">
        <f aca="false">16+16/60</f>
        <v>16.2666666666667</v>
      </c>
      <c r="AI283" s="3" t="n">
        <f aca="false">16+9/60</f>
        <v>16.15</v>
      </c>
      <c r="AJ283" s="3" t="n">
        <f aca="false">16+46/60</f>
        <v>16.7666666666667</v>
      </c>
      <c r="AK283" s="3" t="n">
        <f aca="false">17+1/60</f>
        <v>17.0166666666667</v>
      </c>
      <c r="AL283" s="3" t="n">
        <f aca="false">16+14/60</f>
        <v>16.2333333333333</v>
      </c>
      <c r="AM283" s="3" t="n">
        <f aca="false">16+35/60</f>
        <v>16.5833333333333</v>
      </c>
      <c r="AN283" s="3" t="n">
        <f aca="false">15+44/60</f>
        <v>15.7333333333333</v>
      </c>
      <c r="AO283" s="3" t="n">
        <f aca="false">60/3.7</f>
        <v>16.2162162162162</v>
      </c>
      <c r="AQ283" s="2" t="n">
        <v>2</v>
      </c>
      <c r="AR283" s="0" t="n">
        <v>3</v>
      </c>
      <c r="AS283" s="0" t="n">
        <v>0</v>
      </c>
      <c r="AT283" s="0" t="n">
        <v>0</v>
      </c>
      <c r="AU283" s="4" t="n">
        <f aca="false">60*V283-SUM(AV283:AZ283)</f>
        <v>66.4833333333333</v>
      </c>
      <c r="AV283" s="3" t="n">
        <f aca="false">66+12/60</f>
        <v>66.2</v>
      </c>
      <c r="AW283" s="3" t="n">
        <f aca="false">19/60</f>
        <v>0.316666666666667</v>
      </c>
      <c r="AX283" s="3" t="n">
        <v>0</v>
      </c>
      <c r="AY283" s="3" t="n">
        <v>0</v>
      </c>
      <c r="AZ283" s="3" t="n">
        <v>0</v>
      </c>
      <c r="BA283" s="0" t="s">
        <v>59</v>
      </c>
      <c r="BB283" s="0" t="s">
        <v>60</v>
      </c>
      <c r="BC283" s="0" t="n">
        <v>0</v>
      </c>
    </row>
    <row r="284" customFormat="false" ht="12.8" hidden="false" customHeight="false" outlineLevel="0" collapsed="false">
      <c r="A284" s="0" t="n">
        <v>815</v>
      </c>
      <c r="B284" s="1" t="n">
        <v>44161.4951388889</v>
      </c>
      <c r="C284" s="0" t="n">
        <v>0</v>
      </c>
      <c r="D284" s="0" t="s">
        <v>92</v>
      </c>
      <c r="F284" s="6" t="s">
        <v>61</v>
      </c>
      <c r="G284" s="2" t="n">
        <v>69</v>
      </c>
      <c r="H284" s="2" t="n">
        <v>37</v>
      </c>
      <c r="I284" s="2" t="n">
        <v>31</v>
      </c>
      <c r="J284" s="2" t="s">
        <v>95</v>
      </c>
      <c r="K284" s="2" t="n">
        <v>14</v>
      </c>
      <c r="L284" s="2" t="n">
        <v>0</v>
      </c>
      <c r="M284" s="0" t="s">
        <v>73</v>
      </c>
    </row>
    <row r="285" customFormat="false" ht="12.8" hidden="false" customHeight="false" outlineLevel="0" collapsed="false">
      <c r="A285" s="0" t="n">
        <v>816</v>
      </c>
      <c r="B285" s="1" t="n">
        <v>44162.4805555556</v>
      </c>
      <c r="C285" s="0" t="n">
        <v>1</v>
      </c>
      <c r="F285" s="6" t="s">
        <v>71</v>
      </c>
      <c r="G285" s="2" t="n">
        <v>59</v>
      </c>
      <c r="H285" s="2" t="n">
        <v>41</v>
      </c>
      <c r="I285" s="2" t="n">
        <v>51</v>
      </c>
      <c r="J285" s="2" t="s">
        <v>96</v>
      </c>
      <c r="K285" s="2" t="n">
        <v>16</v>
      </c>
      <c r="L285" s="2" t="n">
        <v>0</v>
      </c>
      <c r="M285" s="0" t="s">
        <v>73</v>
      </c>
      <c r="O285" s="0" t="s">
        <v>138</v>
      </c>
      <c r="P285" s="0" t="s">
        <v>149</v>
      </c>
      <c r="Q285" s="0" t="s">
        <v>78</v>
      </c>
      <c r="R285" s="3" t="n">
        <v>4.47</v>
      </c>
      <c r="S285" s="2" t="n">
        <v>685</v>
      </c>
      <c r="T285" s="2" t="n">
        <v>10066</v>
      </c>
      <c r="U285" s="2" t="n">
        <f aca="false">T285-S285</f>
        <v>9381</v>
      </c>
      <c r="V285" s="3" t="n">
        <f aca="false">76/60</f>
        <v>1.26666666666667</v>
      </c>
      <c r="W285" s="3" t="n">
        <f aca="false">79/60</f>
        <v>1.31666666666667</v>
      </c>
      <c r="X285" s="3" t="n">
        <f aca="false">W285-V285</f>
        <v>0.05</v>
      </c>
      <c r="Y285" s="3" t="n">
        <f aca="false">R285/V285</f>
        <v>3.52894736842105</v>
      </c>
      <c r="Z285" s="0" t="n">
        <v>1</v>
      </c>
      <c r="AA285" s="3" t="n">
        <f aca="false">R285/Z285</f>
        <v>4.47</v>
      </c>
      <c r="AB285" s="3" t="n">
        <f aca="false">16+59/60</f>
        <v>16.9833333333333</v>
      </c>
      <c r="AC285" s="2" t="n">
        <v>98</v>
      </c>
      <c r="AD285" s="2" t="n">
        <v>465</v>
      </c>
      <c r="AE285" s="2" t="n">
        <v>98</v>
      </c>
      <c r="AF285" s="0" t="n">
        <v>106</v>
      </c>
      <c r="AG285" s="3" t="n">
        <f aca="false">16+24/60</f>
        <v>16.4</v>
      </c>
      <c r="AH285" s="3" t="n">
        <f aca="false">16+50/60</f>
        <v>16.8333333333333</v>
      </c>
      <c r="AI285" s="3" t="n">
        <f aca="false">17+21/60</f>
        <v>17.35</v>
      </c>
      <c r="AJ285" s="3" t="n">
        <f aca="false">16+59/60</f>
        <v>16.9833333333333</v>
      </c>
      <c r="AK285" s="3" t="n">
        <f aca="false">60/3.5</f>
        <v>17.1428571428571</v>
      </c>
      <c r="AQ285" s="2" t="n">
        <v>0</v>
      </c>
      <c r="AR285" s="0" t="n">
        <v>0</v>
      </c>
      <c r="AS285" s="0" t="n">
        <v>0</v>
      </c>
      <c r="AT285" s="0" t="n">
        <v>0</v>
      </c>
      <c r="AU285" s="4" t="n">
        <f aca="false">60*V285-SUM(AV285:AZ285)</f>
        <v>28.4333333333333</v>
      </c>
      <c r="AV285" s="3" t="n">
        <f aca="false">47+33/60</f>
        <v>47.55</v>
      </c>
      <c r="AW285" s="3" t="n">
        <f aca="false">1/60</f>
        <v>0.0166666666666667</v>
      </c>
      <c r="AX285" s="3" t="n">
        <v>0</v>
      </c>
      <c r="AY285" s="3" t="n">
        <v>0</v>
      </c>
      <c r="AZ285" s="3" t="n">
        <v>0</v>
      </c>
      <c r="BA285" s="0" t="s">
        <v>59</v>
      </c>
      <c r="BB285" s="0" t="s">
        <v>60</v>
      </c>
      <c r="BC285" s="0" t="n">
        <v>0</v>
      </c>
    </row>
    <row r="286" customFormat="false" ht="12.8" hidden="false" customHeight="false" outlineLevel="0" collapsed="false">
      <c r="A286" s="0" t="n">
        <v>817</v>
      </c>
      <c r="B286" s="1" t="n">
        <v>44163.4951388889</v>
      </c>
      <c r="C286" s="0" t="n">
        <v>0</v>
      </c>
      <c r="D286" s="0" t="s">
        <v>88</v>
      </c>
      <c r="F286" s="6" t="s">
        <v>74</v>
      </c>
      <c r="G286" s="2" t="n">
        <v>57</v>
      </c>
      <c r="H286" s="2" t="n">
        <v>47</v>
      </c>
      <c r="I286" s="2" t="n">
        <v>62</v>
      </c>
      <c r="J286" s="2" t="s">
        <v>135</v>
      </c>
      <c r="K286" s="2" t="n">
        <v>12</v>
      </c>
      <c r="L286" s="2" t="n">
        <v>0</v>
      </c>
      <c r="M286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2020-11-28T16:00:28Z</dcterms:modified>
  <cp:revision>193</cp:revision>
  <dc:subject/>
  <dc:title/>
</cp:coreProperties>
</file>