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9" i="1" l="1"/>
  <c r="AT139" i="1"/>
  <c r="AS139" i="1"/>
  <c r="AR139" i="1"/>
  <c r="AJ139" i="1"/>
  <c r="AI139" i="1"/>
  <c r="AH139" i="1"/>
  <c r="AG139" i="1"/>
  <c r="AF139" i="1"/>
  <c r="AE139" i="1"/>
  <c r="Z139" i="1"/>
  <c r="Y139" i="1"/>
  <c r="W139" i="1"/>
  <c r="V139" i="1"/>
  <c r="U139" i="1"/>
  <c r="T139" i="1"/>
  <c r="S139" i="1"/>
  <c r="I139" i="1"/>
  <c r="H139" i="1"/>
  <c r="G139" i="1"/>
  <c r="A139" i="1"/>
  <c r="AU138" i="1" l="1"/>
  <c r="AT138" i="1"/>
  <c r="AS138" i="1"/>
  <c r="AR138" i="1"/>
  <c r="AJ138" i="1"/>
  <c r="AI138" i="1"/>
  <c r="AH138" i="1"/>
  <c r="AG138" i="1"/>
  <c r="AF138" i="1"/>
  <c r="AE138" i="1"/>
  <c r="Z138" i="1"/>
  <c r="Y138" i="1"/>
  <c r="W138" i="1"/>
  <c r="V138" i="1"/>
  <c r="U138" i="1"/>
  <c r="T138" i="1"/>
  <c r="S138" i="1"/>
  <c r="I138" i="1"/>
  <c r="H138" i="1"/>
  <c r="G138" i="1"/>
  <c r="A138" i="1"/>
  <c r="AV137" i="1" l="1"/>
  <c r="AU137" i="1"/>
  <c r="AT137" i="1"/>
  <c r="AS137" i="1"/>
  <c r="AR137" i="1"/>
  <c r="AH137" i="1"/>
  <c r="AG137" i="1"/>
  <c r="AF137" i="1"/>
  <c r="AE137" i="1"/>
  <c r="Z137" i="1"/>
  <c r="Y137" i="1"/>
  <c r="W137" i="1"/>
  <c r="V137" i="1"/>
  <c r="U137" i="1"/>
  <c r="T137" i="1"/>
  <c r="S137" i="1"/>
  <c r="K137" i="1"/>
  <c r="I137" i="1"/>
  <c r="H137" i="1"/>
  <c r="G137" i="1"/>
  <c r="A137" i="1"/>
  <c r="AT136" i="1" l="1"/>
  <c r="AS136" i="1"/>
  <c r="AR136" i="1"/>
  <c r="AJ136" i="1"/>
  <c r="AI136" i="1"/>
  <c r="AH136" i="1"/>
  <c r="AG136" i="1"/>
  <c r="AF136" i="1"/>
  <c r="AE136" i="1"/>
  <c r="Z136" i="1"/>
  <c r="Y136" i="1"/>
  <c r="W136" i="1"/>
  <c r="V136" i="1"/>
  <c r="U136" i="1"/>
  <c r="T136" i="1"/>
  <c r="I136" i="1"/>
  <c r="H136" i="1"/>
  <c r="G136" i="1"/>
  <c r="AT135" i="1"/>
  <c r="AS135" i="1"/>
  <c r="AR135" i="1"/>
  <c r="AG135" i="1"/>
  <c r="AF135" i="1"/>
  <c r="AE135" i="1"/>
  <c r="Z135" i="1"/>
  <c r="Y135" i="1"/>
  <c r="W135" i="1"/>
  <c r="V135" i="1"/>
  <c r="U135" i="1"/>
  <c r="T135" i="1"/>
  <c r="S136" i="1"/>
  <c r="A135" i="1"/>
  <c r="A136" i="1" s="1"/>
  <c r="AV134" i="1" l="1"/>
  <c r="AU134" i="1"/>
  <c r="AT134" i="1"/>
  <c r="AS134" i="1"/>
  <c r="AR134" i="1"/>
  <c r="AH134" i="1"/>
  <c r="AG134" i="1"/>
  <c r="AF134" i="1"/>
  <c r="AE134" i="1"/>
  <c r="Z134" i="1"/>
  <c r="Y134" i="1"/>
  <c r="W134" i="1"/>
  <c r="V134" i="1"/>
  <c r="U134" i="1"/>
  <c r="T134" i="1"/>
  <c r="K134" i="1"/>
  <c r="I134" i="1"/>
  <c r="H134" i="1"/>
  <c r="G134" i="1"/>
  <c r="S134" i="1"/>
  <c r="A134" i="1"/>
  <c r="AT133" i="1" l="1"/>
  <c r="AS133" i="1"/>
  <c r="AR133" i="1"/>
  <c r="AI133" i="1"/>
  <c r="AH133" i="1"/>
  <c r="AG133" i="1"/>
  <c r="AF133" i="1"/>
  <c r="AE133" i="1"/>
  <c r="Z133" i="1"/>
  <c r="Y133" i="1"/>
  <c r="W133" i="1"/>
  <c r="V133" i="1"/>
  <c r="U133" i="1"/>
  <c r="T133" i="1"/>
  <c r="S133" i="1"/>
  <c r="K133" i="1"/>
  <c r="G133" i="1"/>
  <c r="A133" i="1"/>
  <c r="AU132" i="1" l="1"/>
  <c r="AT132" i="1"/>
  <c r="AS132" i="1"/>
  <c r="AR132" i="1"/>
  <c r="AI132" i="1"/>
  <c r="AH132" i="1"/>
  <c r="AG132" i="1"/>
  <c r="AF132" i="1"/>
  <c r="AE132" i="1"/>
  <c r="Z132" i="1"/>
  <c r="Y132" i="1"/>
  <c r="W132" i="1"/>
  <c r="V132" i="1"/>
  <c r="U132" i="1"/>
  <c r="T132" i="1"/>
  <c r="S132" i="1"/>
  <c r="L132" i="1"/>
  <c r="K132" i="1"/>
  <c r="I132" i="1"/>
  <c r="H132" i="1"/>
  <c r="G132" i="1"/>
  <c r="A132" i="1"/>
  <c r="A131" i="1" l="1"/>
  <c r="A130" i="1"/>
  <c r="AV130" i="1" l="1"/>
  <c r="AU130" i="1"/>
  <c r="AT130" i="1"/>
  <c r="AS130" i="1"/>
  <c r="AR130" i="1"/>
  <c r="AI130" i="1"/>
  <c r="AH130" i="1"/>
  <c r="AG130" i="1"/>
  <c r="AF130" i="1"/>
  <c r="AE130" i="1"/>
  <c r="Z130" i="1"/>
  <c r="Y130" i="1"/>
  <c r="W130" i="1"/>
  <c r="V130" i="1"/>
  <c r="U130" i="1"/>
  <c r="T130" i="1"/>
  <c r="I130" i="1"/>
  <c r="H130" i="1"/>
  <c r="G130" i="1"/>
  <c r="S130" i="1"/>
  <c r="AT129" i="1" l="1"/>
  <c r="AS129" i="1"/>
  <c r="AR129" i="1"/>
  <c r="AJ129" i="1"/>
  <c r="AI129" i="1"/>
  <c r="AH129" i="1"/>
  <c r="AG129" i="1"/>
  <c r="AF129" i="1"/>
  <c r="AE129" i="1"/>
  <c r="Z129" i="1"/>
  <c r="Y129" i="1"/>
  <c r="W129" i="1"/>
  <c r="V129" i="1"/>
  <c r="U129" i="1"/>
  <c r="T129" i="1"/>
  <c r="S129" i="1"/>
  <c r="I129" i="1"/>
  <c r="H129" i="1"/>
  <c r="G129" i="1"/>
  <c r="AV128" i="1" l="1"/>
  <c r="AU128" i="1"/>
  <c r="AT128" i="1"/>
  <c r="AS128" i="1"/>
  <c r="AI128" i="1"/>
  <c r="AH128" i="1"/>
  <c r="AG128" i="1"/>
  <c r="AF128" i="1"/>
  <c r="AE128" i="1"/>
  <c r="Z128" i="1"/>
  <c r="Y128" i="1"/>
  <c r="W128" i="1"/>
  <c r="V128" i="1"/>
  <c r="U128" i="1"/>
  <c r="T128" i="1"/>
  <c r="A128" i="1"/>
  <c r="AT127" i="1" l="1"/>
  <c r="AS127" i="1"/>
  <c r="AR127" i="1"/>
  <c r="AL127" i="1"/>
  <c r="AK127" i="1"/>
  <c r="AJ127" i="1"/>
  <c r="AI127" i="1"/>
  <c r="AH127" i="1"/>
  <c r="AG127" i="1"/>
  <c r="AF127" i="1"/>
  <c r="AE127" i="1"/>
  <c r="Z127" i="1"/>
  <c r="Y127" i="1"/>
  <c r="W127" i="1"/>
  <c r="W126" i="1"/>
  <c r="Y126" i="1"/>
  <c r="V127" i="1"/>
  <c r="U127" i="1"/>
  <c r="T127" i="1"/>
  <c r="S127" i="1"/>
  <c r="K127" i="1"/>
  <c r="I127" i="1"/>
  <c r="G127" i="1"/>
  <c r="A127" i="1"/>
  <c r="AV126" i="1" l="1"/>
  <c r="AU126" i="1"/>
  <c r="AT126" i="1"/>
  <c r="AS126" i="1"/>
  <c r="AR126" i="1"/>
  <c r="AI126" i="1"/>
  <c r="AH126" i="1"/>
  <c r="AG126" i="1"/>
  <c r="AF126" i="1"/>
  <c r="AE126" i="1"/>
  <c r="Z126" i="1"/>
  <c r="V126" i="1"/>
  <c r="T126" i="1"/>
  <c r="S126" i="1"/>
  <c r="I126" i="1"/>
  <c r="A126" i="1"/>
  <c r="AU125" i="1" l="1"/>
  <c r="AT125" i="1"/>
  <c r="AS125" i="1"/>
  <c r="AR125" i="1"/>
  <c r="AK125" i="1"/>
  <c r="AJ125" i="1"/>
  <c r="AI125" i="1"/>
  <c r="AH125" i="1"/>
  <c r="AG125" i="1"/>
  <c r="AF125" i="1"/>
  <c r="AE125" i="1"/>
  <c r="Z125" i="1"/>
  <c r="Y125" i="1"/>
  <c r="W125" i="1"/>
  <c r="V125" i="1"/>
  <c r="U125" i="1"/>
  <c r="T125" i="1"/>
  <c r="S125" i="1"/>
  <c r="L125" i="1"/>
  <c r="K125" i="1"/>
  <c r="I125" i="1"/>
  <c r="H125" i="1"/>
  <c r="G125" i="1"/>
  <c r="A125" i="1"/>
  <c r="AV124" i="1" l="1"/>
  <c r="AU124" i="1"/>
  <c r="AT124" i="1"/>
  <c r="AS124" i="1"/>
  <c r="AH124" i="1"/>
  <c r="AG124" i="1"/>
  <c r="AF124" i="1"/>
  <c r="AE124" i="1"/>
  <c r="Z124" i="1"/>
  <c r="Y124" i="1"/>
  <c r="W124" i="1"/>
  <c r="V124" i="1"/>
  <c r="U124" i="1"/>
  <c r="T124" i="1"/>
  <c r="S124" i="1"/>
  <c r="G124" i="1" l="1"/>
  <c r="A123" i="1"/>
  <c r="A124" i="1" s="1"/>
  <c r="AU123" i="1" l="1"/>
  <c r="AT123" i="1"/>
  <c r="AS123" i="1"/>
  <c r="AR123" i="1"/>
  <c r="AK123" i="1"/>
  <c r="AJ123" i="1"/>
  <c r="AI123" i="1"/>
  <c r="AH123" i="1"/>
  <c r="AG123" i="1"/>
  <c r="AF123" i="1"/>
  <c r="AE123" i="1"/>
  <c r="Z123" i="1"/>
  <c r="Y123" i="1"/>
  <c r="W123" i="1"/>
  <c r="V123" i="1"/>
  <c r="U123" i="1"/>
  <c r="T123" i="1"/>
  <c r="K123" i="1"/>
  <c r="I123" i="1"/>
  <c r="A122" i="1"/>
  <c r="AV121" i="1" l="1"/>
  <c r="AU121" i="1"/>
  <c r="AS121" i="1"/>
  <c r="AR121" i="1"/>
  <c r="AK121" i="1"/>
  <c r="AJ121" i="1"/>
  <c r="AI121" i="1"/>
  <c r="AH121" i="1"/>
  <c r="AG121" i="1"/>
  <c r="AF121" i="1"/>
  <c r="AE121" i="1"/>
  <c r="Z121" i="1"/>
  <c r="Y121" i="1"/>
  <c r="W121" i="1"/>
  <c r="V121" i="1"/>
  <c r="U121" i="1"/>
  <c r="T121" i="1"/>
  <c r="S121" i="1"/>
  <c r="I121" i="1"/>
  <c r="G121" i="1"/>
  <c r="A121" i="1"/>
  <c r="AV120" i="1" l="1"/>
  <c r="AU120" i="1"/>
  <c r="AT120" i="1"/>
  <c r="AS120" i="1"/>
  <c r="AK120" i="1"/>
  <c r="AJ120" i="1"/>
  <c r="AI120" i="1"/>
  <c r="AH120" i="1"/>
  <c r="AG120" i="1"/>
  <c r="AF120" i="1"/>
  <c r="AE120" i="1"/>
  <c r="Z120" i="1"/>
  <c r="W120" i="1"/>
  <c r="Y120" i="1"/>
  <c r="V120" i="1"/>
  <c r="U120" i="1"/>
  <c r="T120" i="1"/>
  <c r="S120" i="1"/>
  <c r="A120" i="1"/>
  <c r="AV119" i="1" l="1"/>
  <c r="AU119" i="1"/>
  <c r="AT119" i="1"/>
  <c r="AS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U118" i="1" l="1"/>
  <c r="AT118" i="1"/>
  <c r="AS118" i="1"/>
  <c r="AR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U117" i="1" l="1"/>
  <c r="AT117" i="1"/>
  <c r="AS117" i="1"/>
  <c r="AR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U116" i="1"/>
  <c r="AT116" i="1"/>
  <c r="AS116" i="1"/>
  <c r="AR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U115" i="1" l="1"/>
  <c r="AT115" i="1"/>
  <c r="AS115" i="1"/>
  <c r="AR115" i="1"/>
  <c r="AU114" i="1"/>
  <c r="AT114" i="1"/>
  <c r="AS114" i="1"/>
  <c r="AV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V113" i="1" l="1"/>
  <c r="AU113" i="1"/>
  <c r="AT113" i="1"/>
  <c r="AS113" i="1"/>
  <c r="AR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T112" i="1" l="1"/>
  <c r="AS112" i="1"/>
  <c r="AF112" i="1"/>
  <c r="AE112" i="1"/>
  <c r="Z112" i="1"/>
  <c r="Y112" i="1"/>
  <c r="W112" i="1"/>
  <c r="V112" i="1"/>
  <c r="U112" i="1"/>
  <c r="T112" i="1"/>
  <c r="AV111" i="1"/>
  <c r="AU111" i="1"/>
  <c r="AT111" i="1"/>
  <c r="AS111" i="1"/>
  <c r="AR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V110" i="1"/>
  <c r="AU110" i="1"/>
  <c r="AT110" i="1"/>
  <c r="AR110" i="1"/>
  <c r="AS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V108" i="1" l="1"/>
  <c r="AU108" i="1"/>
  <c r="AT108" i="1"/>
  <c r="AS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U106" i="1"/>
  <c r="AT106" i="1"/>
  <c r="AS106" i="1"/>
  <c r="AR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V105" i="1"/>
  <c r="AU105" i="1"/>
  <c r="AT105" i="1"/>
  <c r="AS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V104" i="1" l="1"/>
  <c r="AU104" i="1"/>
  <c r="AT104" i="1"/>
  <c r="AS104" i="1"/>
  <c r="AR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U103" i="1" l="1"/>
  <c r="AT103" i="1"/>
  <c r="AS103" i="1"/>
  <c r="AR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V101" i="1"/>
  <c r="AU101" i="1"/>
  <c r="AT101" i="1"/>
  <c r="AS101" i="1"/>
  <c r="AR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V100" i="1" l="1"/>
  <c r="AU100" i="1"/>
  <c r="AT100" i="1"/>
  <c r="AS100" i="1"/>
  <c r="AR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V98" i="1" l="1"/>
  <c r="AU98" i="1"/>
  <c r="AT98" i="1"/>
  <c r="AS98" i="1"/>
  <c r="AR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V97" i="1" l="1"/>
  <c r="AU97" i="1"/>
  <c r="AT97" i="1"/>
  <c r="AS97" i="1"/>
  <c r="AR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V95" i="1" l="1"/>
  <c r="AU95" i="1"/>
  <c r="AT95" i="1"/>
  <c r="AS95" i="1"/>
  <c r="AR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V89" i="1"/>
  <c r="AU89" i="1"/>
  <c r="AT89" i="1"/>
  <c r="AS89" i="1"/>
  <c r="AR89" i="1"/>
  <c r="AV90" i="1"/>
  <c r="AU90" i="1"/>
  <c r="AS90" i="1"/>
  <c r="AR90" i="1"/>
  <c r="AV91" i="1"/>
  <c r="AU91" i="1"/>
  <c r="AT91" i="1"/>
  <c r="AS91" i="1"/>
  <c r="AR91" i="1"/>
  <c r="AV92" i="1"/>
  <c r="AU92" i="1"/>
  <c r="AT92" i="1"/>
  <c r="AS92" i="1"/>
  <c r="AR92" i="1"/>
  <c r="AU93" i="1"/>
  <c r="AT93" i="1"/>
  <c r="AS93" i="1"/>
  <c r="AR93" i="1"/>
  <c r="AV94" i="1"/>
  <c r="AU94" i="1"/>
  <c r="AT94" i="1"/>
  <c r="AS94" i="1"/>
  <c r="AR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<sst xmlns="http://schemas.openxmlformats.org/spreadsheetml/2006/main" count="757" uniqueCount="107">
  <si>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</si>
  <si>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</si>
  <si>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</si>
  <si>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</si>
  <si>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</si>
  <si>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</si>
  <si>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</si>
  <si>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</si>
  <si>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</si>
  <si>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</si>
  <si>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</si>
  <si>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</si>
  <si>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</si>
  <si>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</si>
  <si>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</si>
  <si>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</si>
  <si>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</si>
  <si>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</si>
  <si>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</si>
  <si>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</si>
  <si>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</si>
  <si>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</si>
  <si>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</si>
  <si>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</si>
  <si>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</si>
  <si>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</si>
  <si>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</si>
  <si>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</si>
  <si>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</si>
  <si>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</si>
  <si>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</si>
  <si>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</si>
  <si>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</si>
  <si>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</si>
  <si>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</si>
  <si>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</si>
  <si>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</si>
  <si>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</si>
  <si>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</si>
  <si>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</si>
  <si>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</si>
  <si>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</si>
  <si>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</si>
  <si>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</si>
  <si>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</si>
  <si>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</si>
  <si>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</si>
  <si>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</si>
  <si>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</si>
  <si>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</si>
  <si>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</si>
  <si>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</si>
  <si>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</si>
  <si>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</si>
  <si>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</si>
  <si>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</si>
  <si>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</si>
  <si>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</si>
  <si>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</si>
  <si>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</si>
  <si>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</si>
  <si>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</si>
  <si>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</si>
  <si>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</si>
  <si>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</si>
  <si>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</si>
  <si>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</si>
  <si>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</si>
  <si>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</si>
  <si>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</si>
  <si>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</si>
  <si>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</si>
  <si>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</si>
  <si>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</si>
  <si>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</si>
  <si>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</si>
  <si>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</si>
  <si>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</si>
  <si>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</si>
  <si>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</si>
  <si>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</si>
  <si>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</si>
  <si>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</si>
  <si>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</si>
  <si>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</si>
  <si>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</si>
  <si>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</si>
  <si>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</si>
  <si>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</si>
  <si>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</si>
  <si>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</si>
  <si>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</si>
  <si>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</si>
  <si>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</si>
  <si>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</si>
  <si>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</si>
  <si>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</si>
  <si>
    <t>SE</t>
  </si>
  <si>
    <t>WNW</t>
  </si>
  <si>
    <t>NNE</t>
  </si>
  <si>
    <t>E</t>
  </si>
  <si>
    <t>Parks Mall - 3 laps</t>
  </si>
  <si>
    <t>Parks Mall - 4 laps</t>
  </si>
  <si>
    <t>Skechers 2</t>
  </si>
  <si>
    <t>Widespread Dust</t>
  </si>
  <si>
    <t>SSW</t>
  </si>
  <si>
    <t>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</si>
</sst>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tabSelected="1" topLeftCell="AJ1" zoomScale="115" zoomScaleNormal="115" workbookViewId="0">
      <pane ySplit="1" topLeftCell="A123" activePane="bottomLeft" state="frozen"/>
      <selection activeCell="B1" sqref="B1"/>
      <selection pane="bottomLeft" activeCell="AW139" sqref="AW139:AY139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11.14062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7.85546875" style="16" customWidth="1"/>
    <col min="44" max="44" width="6.7109375" style="1" customWidth="1"/>
    <col min="45" max="45" width="6.85546875" style="1" customWidth="1"/>
    <col min="46" max="46" width="6.5703125" style="1" customWidth="1"/>
    <col min="47" max="48" width="6.7109375" style="1" customWidth="1"/>
    <col min="49" max="49" width="20.28515625" customWidth="1"/>
    <col min="51" max="51" width="11.140625" customWidth="1"/>
    <col min="52" max="52" width="14.42578125" customWidth="1"/>
  </cols>
  <sheetData>
    <row r="1" spans="1:52" x14ac:dyDescent="0.25">
      <c r="A1" t="s">
        <v>84</v>
      </c>
      <c r="B1" s="18" t="s">
        <v>54</v>
      </c>
      <c r="C1" t="s">
        <v>0</v>
      </c>
      <c r="D1" t="s">
        <v>1</v>
      </c>
      <c r="E1" s="16" t="s">
        <v>80</v>
      </c>
      <c r="F1" t="s">
        <v>86</v>
      </c>
      <c r="G1" s="17" t="s">
        <v>2</v>
      </c>
      <c r="H1" s="17" t="s">
        <v>87</v>
      </c>
      <c r="I1" s="17" t="s">
        <v>3</v>
      </c>
      <c r="J1" s="17" t="s">
        <v>91</v>
      </c>
      <c r="K1" s="17" t="s">
        <v>88</v>
      </c>
      <c r="L1" s="17" t="s">
        <v>89</v>
      </c>
      <c r="M1" s="16" t="s">
        <v>85</v>
      </c>
      <c r="N1" t="s">
        <v>28</v>
      </c>
      <c r="O1" t="s">
        <v>4</v>
      </c>
      <c r="P1" s="1" t="s">
        <v>5</v>
      </c>
      <c r="Q1" s="17" t="s">
        <v>56</v>
      </c>
      <c r="R1" s="17" t="s">
        <v>57</v>
      </c>
      <c r="S1" s="17" t="s">
        <v>6</v>
      </c>
      <c r="T1" s="1" t="s">
        <v>7</v>
      </c>
      <c r="U1" s="1" t="s">
        <v>68</v>
      </c>
      <c r="V1" s="1" t="s">
        <v>69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58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64</v>
      </c>
      <c r="AN1" s="1" t="s">
        <v>73</v>
      </c>
      <c r="AO1" t="s">
        <v>23</v>
      </c>
      <c r="AP1" t="s">
        <v>24</v>
      </c>
      <c r="AQ1" s="1" t="s">
        <v>106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t="s">
        <v>25</v>
      </c>
      <c r="AX1" t="s">
        <v>26</v>
      </c>
      <c r="AY1" t="s">
        <v>27</v>
      </c>
      <c r="AZ1" t="s">
        <v>34</v>
      </c>
    </row>
    <row r="2" spans="1:52" s="16" customFormat="1" x14ac:dyDescent="0.25">
      <c r="A2" s="16">
        <v>518</v>
      </c>
      <c r="B2" s="18">
        <v>43882</v>
      </c>
      <c r="C2" s="16">
        <v>1</v>
      </c>
      <c r="F2" s="16" t="s">
        <v>45</v>
      </c>
      <c r="G2" s="17">
        <v>54</v>
      </c>
      <c r="H2" s="17"/>
      <c r="I2" s="17">
        <v>98</v>
      </c>
      <c r="N2" s="16" t="s">
        <v>33</v>
      </c>
      <c r="O2" s="16" t="s">
        <v>96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R2" s="1"/>
      <c r="AS2" s="1"/>
      <c r="AT2" s="1"/>
      <c r="AU2" s="1"/>
      <c r="AV2" s="1"/>
      <c r="AW2" s="16" t="s">
        <v>29</v>
      </c>
      <c r="AX2" s="16" t="s">
        <v>30</v>
      </c>
      <c r="AY2" s="16">
        <v>0</v>
      </c>
    </row>
    <row r="3" spans="1:52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31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33</v>
      </c>
      <c r="O3" s="14" t="s">
        <v>44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6"/>
      <c r="AR3" s="1"/>
      <c r="AS3" s="1"/>
      <c r="AT3" s="1"/>
      <c r="AU3" s="1"/>
      <c r="AV3" s="1"/>
      <c r="AW3" s="16" t="s">
        <v>29</v>
      </c>
      <c r="AX3" s="16" t="s">
        <v>30</v>
      </c>
      <c r="AY3" s="16">
        <v>0</v>
      </c>
      <c r="AZ3" s="16"/>
    </row>
    <row r="4" spans="1:52" x14ac:dyDescent="0.25">
      <c r="A4" s="9">
        <f>A5-1</f>
        <v>538</v>
      </c>
      <c r="B4" s="18">
        <f>B5-1</f>
        <v>43884</v>
      </c>
      <c r="C4">
        <v>1</v>
      </c>
      <c r="F4" s="16" t="s">
        <v>31</v>
      </c>
      <c r="G4" s="17">
        <v>74</v>
      </c>
      <c r="I4" s="17">
        <v>64</v>
      </c>
      <c r="N4" s="13" t="s">
        <v>33</v>
      </c>
      <c r="O4" s="4" t="s">
        <v>62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W4" s="16" t="s">
        <v>29</v>
      </c>
      <c r="AX4" s="9" t="s">
        <v>30</v>
      </c>
      <c r="AY4" s="9">
        <v>0</v>
      </c>
      <c r="AZ4" s="9"/>
    </row>
    <row r="5" spans="1:52" x14ac:dyDescent="0.25">
      <c r="A5">
        <v>539</v>
      </c>
      <c r="B5" s="18">
        <f>B6-1</f>
        <v>43885</v>
      </c>
      <c r="C5">
        <v>1</v>
      </c>
      <c r="F5" t="s">
        <v>40</v>
      </c>
      <c r="G5" s="17">
        <v>50</v>
      </c>
      <c r="I5" s="17">
        <v>60</v>
      </c>
      <c r="N5" t="s">
        <v>33</v>
      </c>
      <c r="O5" s="16" t="s">
        <v>96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W5" s="16" t="s">
        <v>29</v>
      </c>
      <c r="AX5" s="16" t="s">
        <v>30</v>
      </c>
      <c r="AY5">
        <v>0</v>
      </c>
      <c r="AZ5" t="s">
        <v>34</v>
      </c>
    </row>
    <row r="6" spans="1:52" x14ac:dyDescent="0.25">
      <c r="A6">
        <f>A5+1</f>
        <v>540</v>
      </c>
      <c r="B6" s="18">
        <v>43886</v>
      </c>
      <c r="C6">
        <v>1</v>
      </c>
      <c r="F6" t="s">
        <v>31</v>
      </c>
      <c r="G6" s="17">
        <v>62</v>
      </c>
      <c r="I6" s="17">
        <v>80</v>
      </c>
      <c r="N6" t="s">
        <v>33</v>
      </c>
      <c r="O6" t="s">
        <v>32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W6" t="s">
        <v>29</v>
      </c>
      <c r="AX6" t="s">
        <v>30</v>
      </c>
      <c r="AY6">
        <v>0</v>
      </c>
    </row>
    <row r="7" spans="1:52" x14ac:dyDescent="0.25">
      <c r="A7">
        <f>A6+1</f>
        <v>541</v>
      </c>
      <c r="B7" s="18">
        <v>43887</v>
      </c>
      <c r="C7">
        <v>1</v>
      </c>
      <c r="F7" t="s">
        <v>31</v>
      </c>
      <c r="G7" s="17">
        <v>44</v>
      </c>
      <c r="I7" s="17">
        <v>45</v>
      </c>
      <c r="N7" t="s">
        <v>33</v>
      </c>
      <c r="O7" s="16" t="s">
        <v>96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W7" t="s">
        <v>29</v>
      </c>
      <c r="AX7" t="s">
        <v>30</v>
      </c>
      <c r="AY7">
        <v>0</v>
      </c>
    </row>
    <row r="8" spans="1:52" x14ac:dyDescent="0.25">
      <c r="A8">
        <f>A7+1</f>
        <v>542</v>
      </c>
      <c r="B8" s="18">
        <v>43888</v>
      </c>
      <c r="C8">
        <v>1</v>
      </c>
      <c r="F8" t="s">
        <v>31</v>
      </c>
      <c r="G8" s="17">
        <v>54</v>
      </c>
      <c r="I8" s="17">
        <v>29</v>
      </c>
      <c r="N8" t="s">
        <v>36</v>
      </c>
      <c r="O8" t="s">
        <v>35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W8" t="s">
        <v>29</v>
      </c>
      <c r="AX8" t="s">
        <v>30</v>
      </c>
      <c r="AY8">
        <v>0</v>
      </c>
    </row>
    <row r="9" spans="1:52" x14ac:dyDescent="0.25">
      <c r="A9">
        <f>A8+1</f>
        <v>543</v>
      </c>
      <c r="B9" s="18">
        <f>B8+1</f>
        <v>43889</v>
      </c>
      <c r="C9">
        <v>1</v>
      </c>
      <c r="F9" t="s">
        <v>31</v>
      </c>
      <c r="G9" s="17">
        <v>52</v>
      </c>
      <c r="I9" s="17">
        <v>45</v>
      </c>
      <c r="N9" t="s">
        <v>36</v>
      </c>
      <c r="O9" t="s">
        <v>37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W9" t="s">
        <v>29</v>
      </c>
      <c r="AX9" t="s">
        <v>30</v>
      </c>
      <c r="AY9">
        <v>0</v>
      </c>
    </row>
    <row r="10" spans="1:52" x14ac:dyDescent="0.25">
      <c r="A10">
        <v>543</v>
      </c>
      <c r="B10" s="18">
        <f>B9+1</f>
        <v>43890</v>
      </c>
      <c r="C10">
        <v>0</v>
      </c>
      <c r="F10" t="s">
        <v>31</v>
      </c>
      <c r="G10" s="17">
        <v>74</v>
      </c>
      <c r="I10" s="17">
        <v>25</v>
      </c>
      <c r="N10" s="5" t="s">
        <v>33</v>
      </c>
      <c r="AO10">
        <v>2</v>
      </c>
      <c r="AP10">
        <v>1</v>
      </c>
      <c r="AW10" t="s">
        <v>29</v>
      </c>
      <c r="AX10" t="s">
        <v>30</v>
      </c>
      <c r="AY10">
        <v>1</v>
      </c>
      <c r="AZ10" t="s">
        <v>43</v>
      </c>
    </row>
    <row r="11" spans="1:52" x14ac:dyDescent="0.25">
      <c r="A11">
        <f>A10+1</f>
        <v>544</v>
      </c>
      <c r="B11" s="18">
        <f>B10+1</f>
        <v>43891</v>
      </c>
      <c r="C11">
        <v>0</v>
      </c>
      <c r="D11" t="s">
        <v>38</v>
      </c>
    </row>
    <row r="12" spans="1:52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2" x14ac:dyDescent="0.25">
      <c r="A13">
        <f t="shared" si="0"/>
        <v>546</v>
      </c>
      <c r="B13" s="18">
        <f t="shared" si="1"/>
        <v>43893</v>
      </c>
      <c r="C13">
        <v>0</v>
      </c>
      <c r="D13" t="s">
        <v>71</v>
      </c>
    </row>
    <row r="14" spans="1:52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83</v>
      </c>
      <c r="G14" s="17">
        <v>49</v>
      </c>
      <c r="I14" s="17">
        <v>72</v>
      </c>
      <c r="N14" t="s">
        <v>33</v>
      </c>
      <c r="O14" s="16" t="s">
        <v>96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W14" t="s">
        <v>29</v>
      </c>
      <c r="AX14" t="s">
        <v>30</v>
      </c>
      <c r="AY14">
        <v>0</v>
      </c>
    </row>
    <row r="15" spans="1:52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31</v>
      </c>
      <c r="G15" s="17">
        <v>62</v>
      </c>
      <c r="I15" s="17">
        <v>46</v>
      </c>
      <c r="N15" t="s">
        <v>36</v>
      </c>
      <c r="O15" t="s">
        <v>39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W15" t="s">
        <v>29</v>
      </c>
      <c r="AX15" t="s">
        <v>30</v>
      </c>
      <c r="AY15">
        <v>0</v>
      </c>
    </row>
    <row r="16" spans="1:52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31</v>
      </c>
      <c r="G16" s="17">
        <v>64</v>
      </c>
      <c r="I16" s="17">
        <v>19</v>
      </c>
      <c r="N16" t="s">
        <v>36</v>
      </c>
      <c r="O16" t="s">
        <v>44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W16" t="s">
        <v>29</v>
      </c>
      <c r="AX16" t="s">
        <v>30</v>
      </c>
      <c r="AY16">
        <v>0</v>
      </c>
    </row>
    <row r="17" spans="1:52" x14ac:dyDescent="0.25">
      <c r="A17">
        <f t="shared" si="0"/>
        <v>550</v>
      </c>
      <c r="B17" s="18">
        <f t="shared" si="2"/>
        <v>43897</v>
      </c>
      <c r="C17">
        <v>1</v>
      </c>
      <c r="F17" t="s">
        <v>31</v>
      </c>
      <c r="G17" s="17">
        <v>61</v>
      </c>
      <c r="I17" s="17">
        <v>34</v>
      </c>
      <c r="N17" t="s">
        <v>36</v>
      </c>
      <c r="O17" t="s">
        <v>41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W17" t="s">
        <v>29</v>
      </c>
      <c r="AX17" t="s">
        <v>30</v>
      </c>
      <c r="AY17">
        <v>0</v>
      </c>
    </row>
    <row r="18" spans="1:52" x14ac:dyDescent="0.25">
      <c r="A18">
        <f>A17+1</f>
        <v>551</v>
      </c>
      <c r="B18" s="18">
        <f t="shared" si="2"/>
        <v>43898</v>
      </c>
      <c r="C18">
        <v>0</v>
      </c>
      <c r="D18" t="s">
        <v>38</v>
      </c>
    </row>
    <row r="19" spans="1:52" x14ac:dyDescent="0.25">
      <c r="A19" s="9">
        <f>A18+1</f>
        <v>552</v>
      </c>
      <c r="B19" s="18">
        <f t="shared" si="2"/>
        <v>43899</v>
      </c>
      <c r="C19">
        <v>1</v>
      </c>
      <c r="F19" t="s">
        <v>45</v>
      </c>
      <c r="G19" s="17">
        <v>59</v>
      </c>
      <c r="I19" s="17">
        <v>87</v>
      </c>
      <c r="N19" s="16" t="s">
        <v>33</v>
      </c>
      <c r="O19" s="16" t="s">
        <v>96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W19" s="9" t="s">
        <v>29</v>
      </c>
      <c r="AX19" s="9" t="s">
        <v>30</v>
      </c>
      <c r="AY19" s="9">
        <v>0</v>
      </c>
      <c r="AZ19" s="9"/>
    </row>
    <row r="20" spans="1:52" x14ac:dyDescent="0.25">
      <c r="A20">
        <f>A19+1</f>
        <v>553</v>
      </c>
      <c r="B20" s="18">
        <f t="shared" si="2"/>
        <v>43900</v>
      </c>
      <c r="C20">
        <v>1</v>
      </c>
      <c r="F20" s="16" t="s">
        <v>31</v>
      </c>
      <c r="G20" s="17">
        <v>54</v>
      </c>
      <c r="I20" s="17">
        <v>61</v>
      </c>
      <c r="N20" s="16" t="s">
        <v>36</v>
      </c>
      <c r="O20" t="s">
        <v>46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W20" s="16" t="s">
        <v>29</v>
      </c>
      <c r="AX20" s="16" t="s">
        <v>30</v>
      </c>
      <c r="AY20">
        <v>0</v>
      </c>
    </row>
    <row r="21" spans="1:52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31</v>
      </c>
      <c r="G21" s="17">
        <v>81</v>
      </c>
      <c r="I21" s="17">
        <v>64</v>
      </c>
      <c r="N21" s="16" t="s">
        <v>36</v>
      </c>
      <c r="O21" s="16" t="s">
        <v>42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2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31</v>
      </c>
      <c r="G22" s="17">
        <v>64</v>
      </c>
      <c r="I22" s="17">
        <v>53</v>
      </c>
      <c r="N22" s="16" t="s">
        <v>36</v>
      </c>
      <c r="O22" t="s">
        <v>47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W22" s="16" t="s">
        <v>29</v>
      </c>
      <c r="AX22" s="16" t="s">
        <v>30</v>
      </c>
      <c r="AY22" s="16">
        <v>0</v>
      </c>
    </row>
    <row r="23" spans="1:52" x14ac:dyDescent="0.25">
      <c r="A23">
        <f t="shared" si="3"/>
        <v>556</v>
      </c>
      <c r="B23" s="18">
        <f t="shared" si="2"/>
        <v>43903</v>
      </c>
      <c r="C23">
        <v>0</v>
      </c>
      <c r="D23" t="s">
        <v>38</v>
      </c>
      <c r="N23" s="16"/>
    </row>
    <row r="24" spans="1:52" x14ac:dyDescent="0.25">
      <c r="A24">
        <f t="shared" si="3"/>
        <v>557</v>
      </c>
      <c r="B24" s="18">
        <v>43904.533333333333</v>
      </c>
      <c r="C24">
        <v>1</v>
      </c>
      <c r="F24" t="s">
        <v>83</v>
      </c>
      <c r="G24" s="17">
        <v>60</v>
      </c>
      <c r="I24" s="17">
        <v>86</v>
      </c>
      <c r="N24" s="16" t="s">
        <v>33</v>
      </c>
      <c r="O24" s="16" t="s">
        <v>96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2" x14ac:dyDescent="0.25">
      <c r="A25" s="16">
        <f t="shared" si="3"/>
        <v>558</v>
      </c>
      <c r="B25" s="18">
        <v>43904.536805555559</v>
      </c>
      <c r="C25">
        <v>0</v>
      </c>
      <c r="D25" t="s">
        <v>38</v>
      </c>
      <c r="F25" t="s">
        <v>45</v>
      </c>
      <c r="G25" s="17">
        <v>57</v>
      </c>
      <c r="I25" s="17">
        <v>81</v>
      </c>
    </row>
    <row r="26" spans="1:52" x14ac:dyDescent="0.25">
      <c r="A26" s="16">
        <f t="shared" si="3"/>
        <v>559</v>
      </c>
      <c r="B26" s="18">
        <v>43905.609722222223</v>
      </c>
      <c r="C26" s="16">
        <v>1</v>
      </c>
      <c r="F26" t="s">
        <v>45</v>
      </c>
      <c r="G26" s="17">
        <v>70</v>
      </c>
      <c r="I26" s="17">
        <v>70</v>
      </c>
      <c r="N26" t="s">
        <v>36</v>
      </c>
      <c r="O26" t="s">
        <v>48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W26" s="16" t="s">
        <v>29</v>
      </c>
      <c r="AX26" s="16" t="s">
        <v>30</v>
      </c>
      <c r="AY26" s="16">
        <v>0</v>
      </c>
    </row>
    <row r="27" spans="1:52" x14ac:dyDescent="0.25">
      <c r="A27">
        <f t="shared" si="3"/>
        <v>560</v>
      </c>
      <c r="B27" s="18">
        <v>43906.501388888886</v>
      </c>
      <c r="C27">
        <v>1</v>
      </c>
      <c r="F27" s="3" t="s">
        <v>45</v>
      </c>
      <c r="G27" s="17">
        <v>67</v>
      </c>
      <c r="I27" s="17">
        <v>84</v>
      </c>
      <c r="N27" s="16" t="s">
        <v>36</v>
      </c>
      <c r="O27" s="16" t="s">
        <v>44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W27" s="16" t="s">
        <v>29</v>
      </c>
      <c r="AX27" s="16" t="s">
        <v>30</v>
      </c>
      <c r="AY27" s="16">
        <v>0</v>
      </c>
    </row>
    <row r="28" spans="1:52" x14ac:dyDescent="0.25">
      <c r="A28">
        <f t="shared" si="3"/>
        <v>561</v>
      </c>
      <c r="B28" s="18">
        <v>43907.529861111114</v>
      </c>
      <c r="C28">
        <v>1</v>
      </c>
      <c r="F28" s="3" t="s">
        <v>49</v>
      </c>
      <c r="G28" s="17">
        <v>79</v>
      </c>
      <c r="I28" s="17">
        <v>66</v>
      </c>
      <c r="N28" s="16" t="s">
        <v>36</v>
      </c>
      <c r="O28" t="s">
        <v>62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W28" s="16" t="s">
        <v>29</v>
      </c>
      <c r="AX28" s="16" t="s">
        <v>30</v>
      </c>
      <c r="AY28" s="16">
        <v>0</v>
      </c>
    </row>
    <row r="29" spans="1:52" x14ac:dyDescent="0.25">
      <c r="A29">
        <f t="shared" si="3"/>
        <v>562</v>
      </c>
      <c r="B29" s="18">
        <v>43908.541666666664</v>
      </c>
      <c r="C29">
        <v>0</v>
      </c>
      <c r="F29" s="3" t="s">
        <v>60</v>
      </c>
      <c r="G29" s="17">
        <v>66</v>
      </c>
      <c r="I29" s="17">
        <v>64</v>
      </c>
      <c r="AY29">
        <v>1</v>
      </c>
      <c r="AZ29" t="s">
        <v>50</v>
      </c>
    </row>
    <row r="30" spans="1:52" x14ac:dyDescent="0.25">
      <c r="A30" s="16">
        <f t="shared" si="3"/>
        <v>563</v>
      </c>
      <c r="B30" s="18">
        <v>43909.538194444445</v>
      </c>
      <c r="C30">
        <v>0</v>
      </c>
      <c r="F30" s="3" t="s">
        <v>49</v>
      </c>
      <c r="G30" s="17">
        <v>51</v>
      </c>
      <c r="I30" s="17">
        <v>68</v>
      </c>
      <c r="N30" s="16" t="s">
        <v>33</v>
      </c>
      <c r="O30" s="16" t="s">
        <v>39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W30" s="16" t="s">
        <v>29</v>
      </c>
      <c r="AX30" s="16" t="s">
        <v>30</v>
      </c>
      <c r="AY30" s="16">
        <v>0</v>
      </c>
    </row>
    <row r="31" spans="1:52" x14ac:dyDescent="0.25">
      <c r="A31">
        <f t="shared" si="3"/>
        <v>564</v>
      </c>
      <c r="B31" s="18">
        <v>43910.618750000001</v>
      </c>
      <c r="C31">
        <v>1</v>
      </c>
      <c r="F31" s="16" t="s">
        <v>31</v>
      </c>
      <c r="G31" s="17">
        <v>58</v>
      </c>
      <c r="I31" s="17">
        <v>60</v>
      </c>
      <c r="N31" s="16" t="s">
        <v>33</v>
      </c>
      <c r="O31" s="16" t="s">
        <v>41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W31" s="16" t="s">
        <v>29</v>
      </c>
      <c r="AX31" s="16" t="s">
        <v>30</v>
      </c>
      <c r="AY31" s="16">
        <v>0</v>
      </c>
    </row>
    <row r="32" spans="1:52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45</v>
      </c>
      <c r="G32" s="17">
        <v>62</v>
      </c>
      <c r="I32" s="17">
        <v>80</v>
      </c>
      <c r="N32" s="16" t="s">
        <v>33</v>
      </c>
      <c r="O32" s="16" t="s">
        <v>46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W32" s="16" t="s">
        <v>29</v>
      </c>
      <c r="AX32" s="16" t="s">
        <v>30</v>
      </c>
      <c r="AY32" s="16">
        <v>0</v>
      </c>
    </row>
    <row r="33" spans="1:52" x14ac:dyDescent="0.25">
      <c r="A33">
        <f t="shared" si="3"/>
        <v>566</v>
      </c>
      <c r="B33" s="18">
        <v>43912.62777777778</v>
      </c>
      <c r="C33">
        <v>1</v>
      </c>
      <c r="F33" s="3" t="s">
        <v>45</v>
      </c>
      <c r="G33" s="17">
        <v>68</v>
      </c>
      <c r="I33" s="17">
        <v>81</v>
      </c>
      <c r="N33" s="16" t="s">
        <v>33</v>
      </c>
      <c r="O33" s="16" t="s">
        <v>48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W33" s="16" t="s">
        <v>29</v>
      </c>
      <c r="AX33" s="16" t="s">
        <v>30</v>
      </c>
      <c r="AY33" s="16">
        <v>0</v>
      </c>
      <c r="AZ33" s="16"/>
    </row>
    <row r="34" spans="1:52" x14ac:dyDescent="0.25">
      <c r="A34">
        <f t="shared" si="3"/>
        <v>567</v>
      </c>
      <c r="B34" s="18">
        <v>43944.589583333334</v>
      </c>
      <c r="C34">
        <v>1</v>
      </c>
      <c r="F34" t="s">
        <v>31</v>
      </c>
      <c r="G34" s="17">
        <v>86</v>
      </c>
      <c r="I34" s="17">
        <v>20</v>
      </c>
      <c r="N34" s="16" t="s">
        <v>36</v>
      </c>
      <c r="O34" s="16" t="s">
        <v>44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W34" s="16" t="s">
        <v>29</v>
      </c>
      <c r="AX34" s="16" t="s">
        <v>30</v>
      </c>
      <c r="AY34" s="16">
        <v>0</v>
      </c>
      <c r="AZ34" s="16"/>
    </row>
    <row r="35" spans="1:52" x14ac:dyDescent="0.25">
      <c r="A35" s="16">
        <f t="shared" si="3"/>
        <v>568</v>
      </c>
      <c r="B35" s="18">
        <v>43914.607638888891</v>
      </c>
      <c r="C35" s="16">
        <v>1</v>
      </c>
      <c r="F35" t="s">
        <v>31</v>
      </c>
      <c r="G35" s="17">
        <v>87</v>
      </c>
      <c r="I35" s="17">
        <v>40</v>
      </c>
      <c r="N35" s="16" t="s">
        <v>36</v>
      </c>
      <c r="O35" s="16" t="s">
        <v>62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W35" s="16" t="s">
        <v>29</v>
      </c>
      <c r="AX35" s="16" t="s">
        <v>30</v>
      </c>
      <c r="AY35" s="16">
        <v>0</v>
      </c>
    </row>
    <row r="36" spans="1:52" x14ac:dyDescent="0.25">
      <c r="A36">
        <f t="shared" si="3"/>
        <v>569</v>
      </c>
      <c r="B36" s="18">
        <v>43915.484027777777</v>
      </c>
      <c r="C36">
        <v>1</v>
      </c>
      <c r="F36" t="s">
        <v>31</v>
      </c>
      <c r="G36" s="17">
        <v>82</v>
      </c>
      <c r="I36" s="17">
        <v>50</v>
      </c>
      <c r="N36" t="s">
        <v>36</v>
      </c>
      <c r="O36" t="s">
        <v>32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W36" s="16" t="s">
        <v>29</v>
      </c>
      <c r="AX36" s="16" t="s">
        <v>30</v>
      </c>
      <c r="AY36" s="16">
        <v>0</v>
      </c>
    </row>
    <row r="37" spans="1:52" x14ac:dyDescent="0.25">
      <c r="A37">
        <f t="shared" si="3"/>
        <v>570</v>
      </c>
      <c r="B37" s="18">
        <v>43916.626388888886</v>
      </c>
      <c r="C37">
        <v>1</v>
      </c>
      <c r="F37" t="s">
        <v>49</v>
      </c>
      <c r="G37" s="17">
        <v>83</v>
      </c>
      <c r="I37" s="17">
        <v>56</v>
      </c>
      <c r="N37" s="16" t="s">
        <v>33</v>
      </c>
      <c r="O37" s="16" t="s">
        <v>39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W37" t="s">
        <v>29</v>
      </c>
      <c r="AX37" t="s">
        <v>30</v>
      </c>
      <c r="AY37">
        <v>0</v>
      </c>
    </row>
    <row r="38" spans="1:52" x14ac:dyDescent="0.25">
      <c r="A38">
        <f t="shared" si="3"/>
        <v>571</v>
      </c>
      <c r="B38" s="18">
        <v>43917.573611111111</v>
      </c>
      <c r="C38">
        <v>1</v>
      </c>
      <c r="F38" s="16" t="s">
        <v>31</v>
      </c>
      <c r="G38" s="17">
        <v>74</v>
      </c>
      <c r="I38" s="17">
        <v>19</v>
      </c>
      <c r="N38" t="s">
        <v>36</v>
      </c>
      <c r="O38" s="16" t="s">
        <v>55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W38" s="16" t="s">
        <v>29</v>
      </c>
      <c r="AX38" s="16" t="s">
        <v>30</v>
      </c>
      <c r="AY38" s="16">
        <v>0</v>
      </c>
    </row>
    <row r="39" spans="1:52" x14ac:dyDescent="0.25">
      <c r="A39" s="16">
        <f t="shared" si="3"/>
        <v>572</v>
      </c>
      <c r="B39" s="18">
        <v>43918.495138888888</v>
      </c>
      <c r="C39" s="16">
        <v>0</v>
      </c>
      <c r="D39" s="16" t="s">
        <v>38</v>
      </c>
      <c r="F39" s="3" t="s">
        <v>31</v>
      </c>
      <c r="G39" s="17">
        <v>64</v>
      </c>
      <c r="I39" s="17">
        <v>45</v>
      </c>
    </row>
    <row r="40" spans="1:52" x14ac:dyDescent="0.25">
      <c r="A40" s="16">
        <f t="shared" si="3"/>
        <v>573</v>
      </c>
      <c r="B40" s="18">
        <v>43919.5</v>
      </c>
      <c r="C40" s="16">
        <v>0</v>
      </c>
      <c r="D40" s="16" t="s">
        <v>72</v>
      </c>
      <c r="F40" s="3" t="s">
        <v>51</v>
      </c>
      <c r="G40" s="17">
        <v>52</v>
      </c>
      <c r="I40" s="17">
        <v>78</v>
      </c>
    </row>
    <row r="41" spans="1:52" x14ac:dyDescent="0.25">
      <c r="A41">
        <f t="shared" si="3"/>
        <v>574</v>
      </c>
      <c r="B41" s="18">
        <v>43920.65</v>
      </c>
      <c r="C41">
        <v>1</v>
      </c>
      <c r="F41" t="s">
        <v>45</v>
      </c>
      <c r="G41" s="17">
        <v>48</v>
      </c>
      <c r="I41" s="17">
        <v>55</v>
      </c>
      <c r="N41" s="16" t="s">
        <v>33</v>
      </c>
      <c r="O41" s="16" t="s">
        <v>44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W41" s="16" t="s">
        <v>29</v>
      </c>
      <c r="AX41" s="16" t="s">
        <v>30</v>
      </c>
      <c r="AY41" s="16">
        <v>0</v>
      </c>
    </row>
    <row r="42" spans="1:52" x14ac:dyDescent="0.25">
      <c r="A42">
        <f t="shared" si="3"/>
        <v>575</v>
      </c>
      <c r="B42" s="18">
        <v>43921.598611111112</v>
      </c>
      <c r="C42">
        <v>1</v>
      </c>
      <c r="F42" t="s">
        <v>31</v>
      </c>
      <c r="G42" s="17">
        <v>72</v>
      </c>
      <c r="I42" s="17">
        <v>50</v>
      </c>
      <c r="N42" t="s">
        <v>36</v>
      </c>
      <c r="O42" s="16" t="s">
        <v>47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W42" s="16" t="s">
        <v>29</v>
      </c>
      <c r="AX42" s="16" t="s">
        <v>30</v>
      </c>
      <c r="AY42" s="16">
        <v>0</v>
      </c>
    </row>
    <row r="43" spans="1:52" x14ac:dyDescent="0.25">
      <c r="A43" s="16">
        <f t="shared" si="3"/>
        <v>576</v>
      </c>
      <c r="B43" s="18">
        <v>43922.594444444447</v>
      </c>
      <c r="C43" s="16">
        <v>1</v>
      </c>
      <c r="F43" t="s">
        <v>45</v>
      </c>
      <c r="G43" s="17">
        <v>69</v>
      </c>
      <c r="I43" s="17">
        <v>73</v>
      </c>
      <c r="N43" s="16" t="s">
        <v>36</v>
      </c>
      <c r="O43" s="16" t="s">
        <v>39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W43" s="16" t="s">
        <v>29</v>
      </c>
      <c r="AX43" s="16" t="s">
        <v>30</v>
      </c>
      <c r="AY43" s="16">
        <v>0</v>
      </c>
    </row>
    <row r="44" spans="1:52" x14ac:dyDescent="0.25">
      <c r="A44" s="16">
        <f t="shared" si="3"/>
        <v>577</v>
      </c>
      <c r="B44" s="18">
        <v>43923.685416666667</v>
      </c>
      <c r="C44">
        <v>0</v>
      </c>
      <c r="D44" t="s">
        <v>72</v>
      </c>
      <c r="F44" t="s">
        <v>45</v>
      </c>
      <c r="G44" s="17">
        <v>47</v>
      </c>
      <c r="I44" s="17">
        <v>40</v>
      </c>
    </row>
    <row r="45" spans="1:52" x14ac:dyDescent="0.25">
      <c r="A45" s="16">
        <f t="shared" si="3"/>
        <v>578</v>
      </c>
      <c r="B45" s="18">
        <v>43924.495138888888</v>
      </c>
      <c r="C45" s="16">
        <v>0</v>
      </c>
      <c r="D45" s="16" t="s">
        <v>72</v>
      </c>
      <c r="F45" t="s">
        <v>45</v>
      </c>
      <c r="G45" s="17">
        <v>39</v>
      </c>
      <c r="I45" s="17">
        <v>76</v>
      </c>
    </row>
    <row r="46" spans="1:52" x14ac:dyDescent="0.25">
      <c r="A46">
        <f t="shared" si="3"/>
        <v>579</v>
      </c>
      <c r="B46" s="18">
        <v>43925.495138888888</v>
      </c>
      <c r="C46">
        <v>0</v>
      </c>
      <c r="D46" s="16" t="s">
        <v>72</v>
      </c>
      <c r="F46" t="s">
        <v>45</v>
      </c>
      <c r="G46" s="17">
        <v>53</v>
      </c>
      <c r="I46" s="17">
        <v>80</v>
      </c>
    </row>
    <row r="47" spans="1:52" x14ac:dyDescent="0.25">
      <c r="A47">
        <f t="shared" si="3"/>
        <v>580</v>
      </c>
      <c r="B47" s="18">
        <v>43926.523611111108</v>
      </c>
      <c r="C47">
        <v>1</v>
      </c>
      <c r="F47" t="s">
        <v>31</v>
      </c>
      <c r="G47" s="17">
        <v>71</v>
      </c>
      <c r="I47" s="17">
        <v>70</v>
      </c>
      <c r="N47" s="16" t="s">
        <v>36</v>
      </c>
      <c r="O47" s="16" t="s">
        <v>41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W47" s="16" t="s">
        <v>29</v>
      </c>
      <c r="AX47" s="16" t="s">
        <v>30</v>
      </c>
      <c r="AY47" s="16">
        <v>0</v>
      </c>
    </row>
    <row r="48" spans="1:52" x14ac:dyDescent="0.25">
      <c r="A48">
        <f t="shared" si="3"/>
        <v>581</v>
      </c>
      <c r="B48" s="18">
        <v>43927.62222222222</v>
      </c>
      <c r="C48">
        <v>1</v>
      </c>
      <c r="F48" s="2" t="s">
        <v>31</v>
      </c>
      <c r="G48" s="17">
        <v>86</v>
      </c>
      <c r="I48" s="17">
        <v>43</v>
      </c>
      <c r="N48" s="16" t="s">
        <v>33</v>
      </c>
      <c r="O48" s="16" t="s">
        <v>46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W48" s="16" t="s">
        <v>29</v>
      </c>
      <c r="AX48" s="16" t="s">
        <v>30</v>
      </c>
      <c r="AY48" s="16">
        <v>0</v>
      </c>
    </row>
    <row r="49" spans="1:52" x14ac:dyDescent="0.25">
      <c r="A49">
        <f t="shared" si="3"/>
        <v>582</v>
      </c>
      <c r="B49" s="18">
        <v>43928.486805555556</v>
      </c>
      <c r="C49">
        <v>1</v>
      </c>
      <c r="F49" t="s">
        <v>31</v>
      </c>
      <c r="G49" s="17">
        <v>85</v>
      </c>
      <c r="I49" s="17">
        <v>55</v>
      </c>
      <c r="N49" t="s">
        <v>36</v>
      </c>
      <c r="O49" t="s">
        <v>53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W49" t="s">
        <v>29</v>
      </c>
      <c r="AX49" t="s">
        <v>30</v>
      </c>
      <c r="AY49">
        <v>0</v>
      </c>
    </row>
    <row r="50" spans="1:52" x14ac:dyDescent="0.25">
      <c r="A50" s="16">
        <f t="shared" si="3"/>
        <v>583</v>
      </c>
      <c r="B50" s="18">
        <v>43929.551388888889</v>
      </c>
      <c r="C50" s="16">
        <v>1</v>
      </c>
      <c r="F50" t="s">
        <v>31</v>
      </c>
      <c r="G50" s="17">
        <v>88</v>
      </c>
      <c r="I50" s="17">
        <v>49</v>
      </c>
      <c r="N50" s="16" t="s">
        <v>33</v>
      </c>
      <c r="O50" t="s">
        <v>52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W50" t="s">
        <v>29</v>
      </c>
      <c r="AX50" t="s">
        <v>30</v>
      </c>
      <c r="AY50">
        <v>0</v>
      </c>
    </row>
    <row r="51" spans="1:52" x14ac:dyDescent="0.25">
      <c r="A51" s="16">
        <f t="shared" si="3"/>
        <v>584</v>
      </c>
      <c r="B51" s="18">
        <v>43930.571527777778</v>
      </c>
      <c r="C51">
        <v>1</v>
      </c>
      <c r="F51" t="s">
        <v>31</v>
      </c>
      <c r="G51" s="17">
        <v>77</v>
      </c>
      <c r="I51" s="17">
        <v>71</v>
      </c>
      <c r="N51" s="16" t="s">
        <v>36</v>
      </c>
      <c r="O51" s="16" t="s">
        <v>39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W51" t="s">
        <v>29</v>
      </c>
      <c r="AX51" t="s">
        <v>30</v>
      </c>
      <c r="AY51">
        <v>0</v>
      </c>
    </row>
    <row r="52" spans="1:52" x14ac:dyDescent="0.25">
      <c r="A52">
        <f t="shared" si="3"/>
        <v>585</v>
      </c>
      <c r="B52" s="18">
        <v>43931.495138888888</v>
      </c>
      <c r="C52">
        <v>0</v>
      </c>
      <c r="D52" t="s">
        <v>38</v>
      </c>
      <c r="F52" t="s">
        <v>45</v>
      </c>
      <c r="G52" s="17">
        <v>66</v>
      </c>
      <c r="I52" s="17">
        <v>75</v>
      </c>
    </row>
    <row r="53" spans="1:52" x14ac:dyDescent="0.25">
      <c r="A53">
        <f t="shared" si="3"/>
        <v>586</v>
      </c>
      <c r="B53" s="18">
        <v>43932.495138888888</v>
      </c>
      <c r="C53">
        <v>0</v>
      </c>
      <c r="D53" t="s">
        <v>70</v>
      </c>
      <c r="F53" t="s">
        <v>49</v>
      </c>
      <c r="G53" s="17">
        <v>78</v>
      </c>
      <c r="I53" s="17">
        <v>45</v>
      </c>
    </row>
    <row r="54" spans="1:52" x14ac:dyDescent="0.25">
      <c r="A54" s="16">
        <f t="shared" si="3"/>
        <v>587</v>
      </c>
      <c r="B54" s="18">
        <v>43933.573611111111</v>
      </c>
      <c r="C54">
        <v>1</v>
      </c>
      <c r="F54" t="s">
        <v>31</v>
      </c>
      <c r="G54" s="17">
        <v>54</v>
      </c>
      <c r="I54" s="17">
        <v>45</v>
      </c>
      <c r="N54" t="s">
        <v>33</v>
      </c>
      <c r="O54" s="16" t="s">
        <v>61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W54" t="s">
        <v>29</v>
      </c>
      <c r="AX54" t="s">
        <v>30</v>
      </c>
      <c r="AY54">
        <v>0</v>
      </c>
    </row>
    <row r="55" spans="1:52" x14ac:dyDescent="0.25">
      <c r="A55">
        <f t="shared" si="3"/>
        <v>588</v>
      </c>
      <c r="B55" s="18">
        <v>43934.551388888889</v>
      </c>
      <c r="C55">
        <v>1</v>
      </c>
      <c r="F55" t="s">
        <v>49</v>
      </c>
      <c r="G55" s="17">
        <v>55</v>
      </c>
      <c r="I55" s="17">
        <v>51</v>
      </c>
      <c r="N55" t="s">
        <v>36</v>
      </c>
      <c r="O55" s="16" t="s">
        <v>44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W55" s="16" t="s">
        <v>29</v>
      </c>
      <c r="AX55" s="16" t="s">
        <v>30</v>
      </c>
      <c r="AY55" s="16">
        <v>0</v>
      </c>
    </row>
    <row r="56" spans="1:52" x14ac:dyDescent="0.25">
      <c r="A56">
        <f t="shared" si="3"/>
        <v>589</v>
      </c>
      <c r="B56" s="18">
        <v>43935.560416666667</v>
      </c>
      <c r="C56">
        <v>1</v>
      </c>
      <c r="F56" t="s">
        <v>31</v>
      </c>
      <c r="G56" s="17">
        <v>63</v>
      </c>
      <c r="I56" s="17">
        <v>71</v>
      </c>
      <c r="N56" s="16" t="s">
        <v>36</v>
      </c>
      <c r="O56" s="16" t="s">
        <v>32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W56" t="s">
        <v>29</v>
      </c>
      <c r="AX56" t="s">
        <v>30</v>
      </c>
      <c r="AY56">
        <v>0</v>
      </c>
    </row>
    <row r="57" spans="1:52" x14ac:dyDescent="0.25">
      <c r="A57">
        <f t="shared" si="3"/>
        <v>590</v>
      </c>
      <c r="B57" s="18">
        <v>43936.634722222225</v>
      </c>
      <c r="C57">
        <v>1</v>
      </c>
      <c r="F57" t="s">
        <v>31</v>
      </c>
      <c r="G57" s="17">
        <v>70</v>
      </c>
      <c r="I57" s="17">
        <v>40</v>
      </c>
      <c r="N57" s="16" t="s">
        <v>36</v>
      </c>
      <c r="O57" s="16" t="s">
        <v>35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W57" t="s">
        <v>29</v>
      </c>
      <c r="AX57" t="s">
        <v>30</v>
      </c>
      <c r="AY57">
        <v>0</v>
      </c>
    </row>
    <row r="58" spans="1:52" x14ac:dyDescent="0.25">
      <c r="A58">
        <f t="shared" si="3"/>
        <v>591</v>
      </c>
      <c r="B58" s="18">
        <v>43937.55972222222</v>
      </c>
      <c r="C58">
        <v>1</v>
      </c>
      <c r="F58" t="s">
        <v>45</v>
      </c>
      <c r="G58" s="17">
        <v>53</v>
      </c>
      <c r="I58" s="17">
        <v>35</v>
      </c>
      <c r="N58" t="s">
        <v>33</v>
      </c>
      <c r="O58" s="16" t="s">
        <v>53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W58" s="16" t="s">
        <v>29</v>
      </c>
      <c r="AX58" s="16" t="s">
        <v>30</v>
      </c>
      <c r="AY58" s="16">
        <v>0</v>
      </c>
    </row>
    <row r="59" spans="1:52" x14ac:dyDescent="0.25">
      <c r="A59">
        <f t="shared" si="3"/>
        <v>592</v>
      </c>
      <c r="B59" s="18">
        <v>43938.547222222223</v>
      </c>
      <c r="C59">
        <v>1</v>
      </c>
      <c r="F59" t="s">
        <v>31</v>
      </c>
      <c r="G59" s="17">
        <v>63</v>
      </c>
      <c r="I59" s="17">
        <v>48</v>
      </c>
      <c r="N59" t="s">
        <v>36</v>
      </c>
      <c r="O59" t="s">
        <v>55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W59" t="s">
        <v>29</v>
      </c>
      <c r="AX59" t="s">
        <v>30</v>
      </c>
      <c r="AY59">
        <v>0</v>
      </c>
    </row>
    <row r="60" spans="1:52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49</v>
      </c>
      <c r="G60" s="17">
        <v>78</v>
      </c>
      <c r="I60" s="17">
        <v>61</v>
      </c>
      <c r="N60" s="16" t="s">
        <v>33</v>
      </c>
      <c r="O60" s="16" t="s">
        <v>48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W60" t="s">
        <v>29</v>
      </c>
      <c r="AX60" t="s">
        <v>30</v>
      </c>
      <c r="AY60">
        <v>0</v>
      </c>
    </row>
    <row r="61" spans="1:52" x14ac:dyDescent="0.25">
      <c r="A61">
        <f t="shared" si="3"/>
        <v>594</v>
      </c>
      <c r="B61" s="18">
        <v>43940.5625</v>
      </c>
      <c r="C61">
        <v>1</v>
      </c>
      <c r="F61" s="16" t="s">
        <v>49</v>
      </c>
      <c r="G61" s="17">
        <v>79</v>
      </c>
      <c r="I61" s="17">
        <v>61</v>
      </c>
      <c r="N61" s="16" t="s">
        <v>36</v>
      </c>
      <c r="O61" t="s">
        <v>44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W61" s="16" t="s">
        <v>29</v>
      </c>
      <c r="AX61" s="16" t="s">
        <v>30</v>
      </c>
      <c r="AY61" s="16">
        <v>0</v>
      </c>
    </row>
    <row r="62" spans="1:52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31</v>
      </c>
      <c r="G62" s="17">
        <v>83</v>
      </c>
      <c r="I62" s="17">
        <v>64</v>
      </c>
      <c r="N62" s="16" t="s">
        <v>36</v>
      </c>
      <c r="AD62" s="17"/>
      <c r="AW62" s="16"/>
      <c r="AX62" s="16"/>
      <c r="AY62" s="16">
        <v>1</v>
      </c>
      <c r="AZ62" s="16" t="s">
        <v>59</v>
      </c>
    </row>
    <row r="63" spans="1:52" x14ac:dyDescent="0.25">
      <c r="A63">
        <v>595</v>
      </c>
      <c r="B63" s="18">
        <v>43942.506944444445</v>
      </c>
      <c r="C63">
        <v>1</v>
      </c>
      <c r="F63" t="s">
        <v>31</v>
      </c>
      <c r="G63" s="17">
        <v>64</v>
      </c>
      <c r="I63" s="17">
        <v>62</v>
      </c>
      <c r="M63" s="16" t="s">
        <v>65</v>
      </c>
      <c r="N63" t="s">
        <v>33</v>
      </c>
      <c r="O63" s="16" t="s">
        <v>62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W63" s="16" t="s">
        <v>29</v>
      </c>
      <c r="AX63" s="16" t="s">
        <v>30</v>
      </c>
      <c r="AY63" s="16">
        <v>0</v>
      </c>
    </row>
    <row r="64" spans="1:52" x14ac:dyDescent="0.25">
      <c r="A64">
        <v>596</v>
      </c>
      <c r="B64" s="18">
        <v>43943.4375</v>
      </c>
      <c r="C64">
        <v>0</v>
      </c>
      <c r="D64" t="s">
        <v>72</v>
      </c>
      <c r="F64" t="s">
        <v>45</v>
      </c>
      <c r="G64" s="17">
        <v>69</v>
      </c>
      <c r="I64" s="17">
        <v>65</v>
      </c>
    </row>
    <row r="65" spans="1:51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31</v>
      </c>
      <c r="G65" s="17">
        <v>76</v>
      </c>
      <c r="I65" s="17">
        <v>43</v>
      </c>
      <c r="M65" s="16" t="s">
        <v>66</v>
      </c>
      <c r="N65" t="s">
        <v>33</v>
      </c>
      <c r="O65" s="16" t="s">
        <v>55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W65" t="s">
        <v>29</v>
      </c>
      <c r="AX65" t="s">
        <v>30</v>
      </c>
      <c r="AY65">
        <v>0</v>
      </c>
    </row>
    <row r="66" spans="1:51" x14ac:dyDescent="0.25">
      <c r="A66">
        <f t="shared" si="28"/>
        <v>598</v>
      </c>
      <c r="B66" s="18">
        <v>43945.474305555559</v>
      </c>
      <c r="C66">
        <v>1</v>
      </c>
      <c r="F66" t="s">
        <v>31</v>
      </c>
      <c r="G66" s="17">
        <v>81</v>
      </c>
      <c r="I66" s="17">
        <v>37</v>
      </c>
      <c r="M66" s="16" t="s">
        <v>66</v>
      </c>
      <c r="N66" s="16" t="s">
        <v>36</v>
      </c>
      <c r="O66" t="s">
        <v>61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W66" s="16" t="s">
        <v>29</v>
      </c>
      <c r="AX66" s="16" t="s">
        <v>30</v>
      </c>
      <c r="AY66">
        <v>0</v>
      </c>
    </row>
    <row r="67" spans="1:51" x14ac:dyDescent="0.25">
      <c r="A67">
        <f t="shared" si="28"/>
        <v>599</v>
      </c>
      <c r="B67" s="18">
        <v>43946.51666666667</v>
      </c>
      <c r="C67">
        <v>1</v>
      </c>
      <c r="F67" t="s">
        <v>31</v>
      </c>
      <c r="G67" s="17">
        <v>76</v>
      </c>
      <c r="I67" s="17">
        <v>37</v>
      </c>
      <c r="M67" s="16" t="s">
        <v>66</v>
      </c>
      <c r="N67" t="s">
        <v>33</v>
      </c>
      <c r="O67" t="s">
        <v>47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W67" s="16" t="s">
        <v>29</v>
      </c>
      <c r="AX67" s="16" t="s">
        <v>30</v>
      </c>
      <c r="AY67" s="16">
        <v>0</v>
      </c>
    </row>
    <row r="68" spans="1:51" x14ac:dyDescent="0.25">
      <c r="A68">
        <f t="shared" si="28"/>
        <v>600</v>
      </c>
      <c r="B68" s="18">
        <v>43947.518055555556</v>
      </c>
      <c r="C68">
        <v>1</v>
      </c>
      <c r="F68" t="s">
        <v>31</v>
      </c>
      <c r="G68" s="17">
        <v>81</v>
      </c>
      <c r="I68" s="17">
        <v>23</v>
      </c>
      <c r="M68" s="16" t="s">
        <v>66</v>
      </c>
      <c r="N68" t="s">
        <v>36</v>
      </c>
      <c r="O68" t="s">
        <v>32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W68" t="s">
        <v>29</v>
      </c>
      <c r="AX68" t="s">
        <v>30</v>
      </c>
      <c r="AY68">
        <v>0</v>
      </c>
    </row>
    <row r="69" spans="1:51" x14ac:dyDescent="0.25">
      <c r="A69">
        <f t="shared" si="28"/>
        <v>601</v>
      </c>
      <c r="B69" s="18">
        <v>43948.544444444444</v>
      </c>
      <c r="C69">
        <v>1</v>
      </c>
      <c r="F69" t="s">
        <v>31</v>
      </c>
      <c r="G69" s="17">
        <v>83</v>
      </c>
      <c r="I69" s="17">
        <v>37</v>
      </c>
      <c r="M69" s="16" t="s">
        <v>66</v>
      </c>
      <c r="O69" s="16" t="s">
        <v>46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W69" s="16" t="s">
        <v>29</v>
      </c>
      <c r="AX69" s="16" t="s">
        <v>30</v>
      </c>
      <c r="AY69" s="16">
        <v>0</v>
      </c>
    </row>
    <row r="70" spans="1:51" x14ac:dyDescent="0.25">
      <c r="A70">
        <f t="shared" si="28"/>
        <v>602</v>
      </c>
      <c r="B70" s="18">
        <v>43949.481944444444</v>
      </c>
      <c r="C70">
        <v>1</v>
      </c>
      <c r="F70" t="s">
        <v>60</v>
      </c>
      <c r="G70" s="17">
        <v>84</v>
      </c>
      <c r="I70" s="17">
        <v>61</v>
      </c>
      <c r="M70" s="16" t="s">
        <v>66</v>
      </c>
      <c r="N70" t="s">
        <v>36</v>
      </c>
      <c r="O70" t="s">
        <v>41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W70" t="s">
        <v>29</v>
      </c>
      <c r="AX70" t="s">
        <v>30</v>
      </c>
      <c r="AY70">
        <v>0</v>
      </c>
    </row>
    <row r="71" spans="1:51" x14ac:dyDescent="0.25">
      <c r="A71">
        <f t="shared" si="28"/>
        <v>603</v>
      </c>
      <c r="B71" s="18">
        <v>43950.460416666669</v>
      </c>
      <c r="C71">
        <v>1</v>
      </c>
      <c r="F71" s="16" t="s">
        <v>31</v>
      </c>
      <c r="G71" s="17">
        <v>75</v>
      </c>
      <c r="I71" s="17">
        <v>77</v>
      </c>
      <c r="M71" s="16" t="s">
        <v>66</v>
      </c>
      <c r="N71" t="s">
        <v>33</v>
      </c>
      <c r="O71" t="s">
        <v>39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W71" s="16" t="s">
        <v>29</v>
      </c>
      <c r="AX71" s="16" t="s">
        <v>30</v>
      </c>
      <c r="AY71" s="16">
        <v>0</v>
      </c>
    </row>
    <row r="72" spans="1:51" x14ac:dyDescent="0.25">
      <c r="A72">
        <f t="shared" si="28"/>
        <v>604</v>
      </c>
      <c r="B72" s="18">
        <v>43951.493750000001</v>
      </c>
      <c r="C72">
        <v>1</v>
      </c>
      <c r="F72" t="s">
        <v>31</v>
      </c>
      <c r="G72" s="17">
        <v>77</v>
      </c>
      <c r="I72" s="17">
        <v>32</v>
      </c>
      <c r="M72" s="16" t="s">
        <v>66</v>
      </c>
      <c r="N72" t="s">
        <v>36</v>
      </c>
      <c r="O72" t="s">
        <v>62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W72" s="16" t="s">
        <v>29</v>
      </c>
      <c r="AX72" s="16" t="s">
        <v>30</v>
      </c>
      <c r="AY72">
        <v>0</v>
      </c>
    </row>
    <row r="73" spans="1:51" x14ac:dyDescent="0.25">
      <c r="A73">
        <f t="shared" si="28"/>
        <v>605</v>
      </c>
      <c r="B73" s="18">
        <v>43952.365277777775</v>
      </c>
      <c r="C73">
        <v>1</v>
      </c>
      <c r="F73" t="s">
        <v>31</v>
      </c>
      <c r="G73" s="17">
        <v>71</v>
      </c>
      <c r="I73" s="17">
        <v>53</v>
      </c>
      <c r="M73" s="16" t="s">
        <v>66</v>
      </c>
      <c r="N73" t="s">
        <v>36</v>
      </c>
      <c r="O73" t="s">
        <v>55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W73" s="16" t="s">
        <v>29</v>
      </c>
      <c r="AX73" s="16" t="s">
        <v>30</v>
      </c>
      <c r="AY73" s="16">
        <v>0</v>
      </c>
    </row>
    <row r="74" spans="1:51" x14ac:dyDescent="0.25">
      <c r="A74">
        <f t="shared" si="28"/>
        <v>606</v>
      </c>
      <c r="B74" s="18">
        <v>43953.371527777781</v>
      </c>
      <c r="C74">
        <v>1</v>
      </c>
      <c r="F74" t="s">
        <v>60</v>
      </c>
      <c r="G74" s="17">
        <v>72</v>
      </c>
      <c r="I74" s="17">
        <v>71</v>
      </c>
      <c r="M74" s="16" t="s">
        <v>66</v>
      </c>
      <c r="N74" t="s">
        <v>33</v>
      </c>
      <c r="O74" t="s">
        <v>32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W74" t="s">
        <v>29</v>
      </c>
      <c r="AX74" t="s">
        <v>30</v>
      </c>
      <c r="AY74">
        <v>0</v>
      </c>
    </row>
    <row r="75" spans="1:51" x14ac:dyDescent="0.25">
      <c r="A75">
        <f t="shared" si="28"/>
        <v>607</v>
      </c>
      <c r="B75" s="18">
        <v>43954.496527777781</v>
      </c>
      <c r="C75">
        <v>1</v>
      </c>
      <c r="F75" s="16" t="s">
        <v>31</v>
      </c>
      <c r="G75" s="17">
        <v>84</v>
      </c>
      <c r="I75" s="17">
        <v>55</v>
      </c>
      <c r="M75" s="16" t="s">
        <v>66</v>
      </c>
      <c r="N75" s="16" t="s">
        <v>33</v>
      </c>
      <c r="O75" t="s">
        <v>44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W75" s="16" t="s">
        <v>29</v>
      </c>
      <c r="AX75" s="16" t="s">
        <v>30</v>
      </c>
      <c r="AY75">
        <v>0</v>
      </c>
    </row>
    <row r="76" spans="1:51" x14ac:dyDescent="0.25">
      <c r="A76">
        <f t="shared" si="28"/>
        <v>608</v>
      </c>
      <c r="B76" s="18">
        <v>43955.393055555556</v>
      </c>
      <c r="C76">
        <v>1</v>
      </c>
      <c r="F76" t="s">
        <v>31</v>
      </c>
      <c r="G76" s="17">
        <v>55</v>
      </c>
      <c r="I76" s="17">
        <v>60</v>
      </c>
      <c r="M76" s="16" t="s">
        <v>66</v>
      </c>
      <c r="N76" t="s">
        <v>36</v>
      </c>
      <c r="O76" t="s">
        <v>47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W76" t="s">
        <v>29</v>
      </c>
      <c r="AX76" t="s">
        <v>30</v>
      </c>
      <c r="AY76">
        <v>0</v>
      </c>
    </row>
    <row r="77" spans="1:51" x14ac:dyDescent="0.25">
      <c r="A77">
        <f t="shared" si="28"/>
        <v>609</v>
      </c>
      <c r="B77" s="18">
        <v>43956.505555555559</v>
      </c>
      <c r="C77">
        <v>1</v>
      </c>
      <c r="F77" t="s">
        <v>49</v>
      </c>
      <c r="G77" s="17">
        <v>76</v>
      </c>
      <c r="I77" s="17">
        <v>53</v>
      </c>
      <c r="M77" s="16" t="s">
        <v>66</v>
      </c>
      <c r="N77" s="16" t="s">
        <v>33</v>
      </c>
      <c r="O77" s="16" t="s">
        <v>44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W77" t="s">
        <v>29</v>
      </c>
      <c r="AX77" t="s">
        <v>30</v>
      </c>
      <c r="AY77">
        <v>0</v>
      </c>
    </row>
    <row r="78" spans="1:51" x14ac:dyDescent="0.25">
      <c r="A78">
        <f t="shared" si="28"/>
        <v>610</v>
      </c>
      <c r="B78" s="18">
        <v>43957.414583333331</v>
      </c>
      <c r="C78">
        <v>1</v>
      </c>
      <c r="F78" t="s">
        <v>31</v>
      </c>
      <c r="G78" s="17">
        <v>77</v>
      </c>
      <c r="I78" s="17">
        <v>31</v>
      </c>
      <c r="M78" s="16" t="s">
        <v>66</v>
      </c>
      <c r="N78" s="16" t="s">
        <v>36</v>
      </c>
      <c r="O78" t="s">
        <v>52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W78" t="s">
        <v>29</v>
      </c>
      <c r="AX78" t="s">
        <v>30</v>
      </c>
      <c r="AY78">
        <v>0</v>
      </c>
    </row>
    <row r="79" spans="1:51" x14ac:dyDescent="0.25">
      <c r="A79">
        <f t="shared" si="28"/>
        <v>611</v>
      </c>
      <c r="B79" s="18">
        <v>43958.468055555553</v>
      </c>
      <c r="C79">
        <v>1</v>
      </c>
      <c r="F79" t="s">
        <v>49</v>
      </c>
      <c r="G79" s="17">
        <v>81</v>
      </c>
      <c r="I79" s="17">
        <v>38</v>
      </c>
      <c r="M79" s="16" t="s">
        <v>66</v>
      </c>
      <c r="N79" t="s">
        <v>33</v>
      </c>
      <c r="O79" t="s">
        <v>62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W79" t="s">
        <v>29</v>
      </c>
      <c r="AX79" t="s">
        <v>30</v>
      </c>
      <c r="AY79">
        <v>0</v>
      </c>
    </row>
    <row r="80" spans="1:51" x14ac:dyDescent="0.25">
      <c r="A80">
        <f t="shared" si="28"/>
        <v>612</v>
      </c>
      <c r="B80" s="18">
        <v>43959.568055555559</v>
      </c>
      <c r="C80">
        <v>1</v>
      </c>
      <c r="F80" t="s">
        <v>45</v>
      </c>
      <c r="G80" s="17">
        <v>68</v>
      </c>
      <c r="I80" s="17">
        <v>56</v>
      </c>
      <c r="M80" s="16" t="s">
        <v>66</v>
      </c>
      <c r="N80" t="s">
        <v>33</v>
      </c>
      <c r="O80" t="s">
        <v>39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W80" t="s">
        <v>29</v>
      </c>
      <c r="AX80" t="s">
        <v>30</v>
      </c>
      <c r="AY80">
        <v>0</v>
      </c>
    </row>
    <row r="81" spans="1:52" x14ac:dyDescent="0.25">
      <c r="A81">
        <f t="shared" si="28"/>
        <v>613</v>
      </c>
      <c r="B81" s="18">
        <v>43960.664583333331</v>
      </c>
      <c r="C81">
        <v>1</v>
      </c>
      <c r="F81" t="s">
        <v>31</v>
      </c>
      <c r="G81" s="17">
        <v>70</v>
      </c>
      <c r="M81" s="16" t="s">
        <v>66</v>
      </c>
      <c r="N81" s="16" t="s">
        <v>36</v>
      </c>
      <c r="O81" t="s">
        <v>63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2" x14ac:dyDescent="0.25">
      <c r="A82" s="16">
        <f t="shared" si="28"/>
        <v>614</v>
      </c>
      <c r="B82" s="18">
        <v>43961.599999999999</v>
      </c>
      <c r="C82">
        <v>1</v>
      </c>
      <c r="F82" t="s">
        <v>31</v>
      </c>
      <c r="G82" s="17">
        <v>75</v>
      </c>
      <c r="I82" s="17">
        <v>36</v>
      </c>
      <c r="M82" s="16" t="s">
        <v>66</v>
      </c>
      <c r="N82" s="16" t="s">
        <v>36</v>
      </c>
      <c r="O82" s="16" t="s">
        <v>47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W82" s="16" t="s">
        <v>29</v>
      </c>
      <c r="AX82" s="16" t="s">
        <v>30</v>
      </c>
      <c r="AY82" s="16">
        <v>0</v>
      </c>
      <c r="AZ82" s="16"/>
    </row>
    <row r="83" spans="1:52" x14ac:dyDescent="0.25">
      <c r="A83">
        <f t="shared" si="28"/>
        <v>615</v>
      </c>
      <c r="B83" s="18">
        <v>43962.381944444445</v>
      </c>
      <c r="C83">
        <v>1</v>
      </c>
      <c r="F83" s="16" t="s">
        <v>31</v>
      </c>
      <c r="G83" s="17">
        <v>64</v>
      </c>
      <c r="I83" s="17">
        <v>56</v>
      </c>
      <c r="M83" s="16" t="s">
        <v>66</v>
      </c>
      <c r="N83" t="s">
        <v>33</v>
      </c>
      <c r="O83" t="s">
        <v>44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W83" s="16" t="s">
        <v>29</v>
      </c>
      <c r="AX83" s="16" t="s">
        <v>30</v>
      </c>
      <c r="AY83" s="16">
        <v>0</v>
      </c>
      <c r="AZ83" s="16"/>
    </row>
    <row r="84" spans="1:52" x14ac:dyDescent="0.25">
      <c r="A84" s="16">
        <f t="shared" si="28"/>
        <v>616</v>
      </c>
      <c r="B84" s="18">
        <v>43963.995138888888</v>
      </c>
      <c r="C84">
        <v>0</v>
      </c>
      <c r="D84" t="s">
        <v>72</v>
      </c>
      <c r="F84" t="s">
        <v>83</v>
      </c>
      <c r="G84" s="17">
        <v>70</v>
      </c>
      <c r="I84" s="17">
        <v>100</v>
      </c>
      <c r="M84" s="16" t="s">
        <v>65</v>
      </c>
      <c r="X84">
        <v>1</v>
      </c>
    </row>
    <row r="85" spans="1:52" x14ac:dyDescent="0.25">
      <c r="A85">
        <f t="shared" si="28"/>
        <v>617</v>
      </c>
      <c r="B85" s="18">
        <v>43964.495138888888</v>
      </c>
      <c r="C85">
        <v>1</v>
      </c>
      <c r="F85" t="s">
        <v>45</v>
      </c>
      <c r="G85" s="17">
        <v>73</v>
      </c>
      <c r="I85" s="17">
        <v>76</v>
      </c>
      <c r="M85" s="16" t="s">
        <v>65</v>
      </c>
      <c r="N85" t="s">
        <v>33</v>
      </c>
      <c r="O85" s="16" t="s">
        <v>62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W85" t="s">
        <v>29</v>
      </c>
      <c r="AX85" t="s">
        <v>30</v>
      </c>
      <c r="AY85">
        <v>0</v>
      </c>
    </row>
    <row r="86" spans="1:52" x14ac:dyDescent="0.25">
      <c r="A86">
        <f t="shared" si="28"/>
        <v>618</v>
      </c>
      <c r="B86" s="18">
        <v>43965.501388888886</v>
      </c>
      <c r="C86">
        <v>1</v>
      </c>
      <c r="F86" t="s">
        <v>67</v>
      </c>
      <c r="G86" s="17">
        <v>85</v>
      </c>
      <c r="I86" s="17">
        <v>55</v>
      </c>
      <c r="M86" s="16" t="s">
        <v>66</v>
      </c>
      <c r="N86" t="s">
        <v>36</v>
      </c>
      <c r="O86" t="s">
        <v>55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2" x14ac:dyDescent="0.25">
      <c r="A87">
        <f t="shared" si="28"/>
        <v>619</v>
      </c>
      <c r="B87" s="18">
        <v>43966.484722222223</v>
      </c>
      <c r="C87">
        <v>1</v>
      </c>
      <c r="F87" t="s">
        <v>45</v>
      </c>
      <c r="G87" s="17">
        <v>81</v>
      </c>
      <c r="I87" s="17">
        <v>62</v>
      </c>
      <c r="M87" s="16" t="s">
        <v>65</v>
      </c>
      <c r="N87" s="16" t="s">
        <v>33</v>
      </c>
      <c r="O87" t="s">
        <v>47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W87" s="16" t="s">
        <v>29</v>
      </c>
      <c r="AX87" s="16" t="s">
        <v>30</v>
      </c>
      <c r="AY87" s="16">
        <v>0</v>
      </c>
    </row>
    <row r="88" spans="1:52" x14ac:dyDescent="0.25">
      <c r="A88">
        <f t="shared" si="28"/>
        <v>620</v>
      </c>
      <c r="B88" s="18">
        <v>43967.495138888888</v>
      </c>
      <c r="C88">
        <v>0</v>
      </c>
      <c r="D88" t="s">
        <v>72</v>
      </c>
      <c r="F88" t="s">
        <v>45</v>
      </c>
      <c r="G88" s="17">
        <v>68</v>
      </c>
      <c r="I88" s="17">
        <v>87</v>
      </c>
      <c r="M88" s="16" t="s">
        <v>65</v>
      </c>
    </row>
    <row r="89" spans="1:52" x14ac:dyDescent="0.25">
      <c r="A89">
        <f t="shared" si="28"/>
        <v>621</v>
      </c>
      <c r="B89" s="18">
        <v>43968.504861111112</v>
      </c>
      <c r="C89">
        <v>1</v>
      </c>
      <c r="F89" t="s">
        <v>31</v>
      </c>
      <c r="G89" s="17">
        <v>80</v>
      </c>
      <c r="I89" s="17">
        <v>54</v>
      </c>
      <c r="M89" s="16" t="s">
        <v>66</v>
      </c>
      <c r="N89" s="16" t="s">
        <v>36</v>
      </c>
      <c r="O89" t="s">
        <v>44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R89" s="1">
        <f>4+50/60</f>
        <v>4.833333333333333</v>
      </c>
      <c r="AS89" s="1">
        <f>13+36/60</f>
        <v>13.6</v>
      </c>
      <c r="AT89" s="1">
        <f>20+25/60</f>
        <v>20.416666666666668</v>
      </c>
      <c r="AU89" s="1">
        <f>30+52/60</f>
        <v>30.866666666666667</v>
      </c>
      <c r="AV89" s="1">
        <f>13+18/60</f>
        <v>13.3</v>
      </c>
      <c r="AW89" s="16" t="s">
        <v>29</v>
      </c>
      <c r="AX89" s="16" t="s">
        <v>30</v>
      </c>
      <c r="AY89" s="16">
        <v>0</v>
      </c>
    </row>
    <row r="90" spans="1:52" x14ac:dyDescent="0.25">
      <c r="A90">
        <f t="shared" si="28"/>
        <v>622</v>
      </c>
      <c r="B90" s="18">
        <v>43969.629166666666</v>
      </c>
      <c r="C90">
        <v>1</v>
      </c>
      <c r="F90" s="16" t="s">
        <v>31</v>
      </c>
      <c r="G90" s="17">
        <v>89</v>
      </c>
      <c r="I90" s="17">
        <v>43</v>
      </c>
      <c r="M90" s="16" t="s">
        <v>66</v>
      </c>
      <c r="N90" s="16" t="s">
        <v>33</v>
      </c>
      <c r="O90" t="s">
        <v>63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R90" s="1">
        <f>7+18/60</f>
        <v>7.3</v>
      </c>
      <c r="AS90" s="1">
        <f>8+18/60</f>
        <v>8.3000000000000007</v>
      </c>
      <c r="AT90" s="1">
        <v>1</v>
      </c>
      <c r="AU90" s="1">
        <f>54+50/60</f>
        <v>54.833333333333336</v>
      </c>
      <c r="AV90" s="1">
        <f>19+6/60</f>
        <v>19.100000000000001</v>
      </c>
      <c r="AW90" t="s">
        <v>29</v>
      </c>
      <c r="AX90" t="s">
        <v>30</v>
      </c>
      <c r="AY90">
        <v>0</v>
      </c>
    </row>
    <row r="91" spans="1:52" x14ac:dyDescent="0.25">
      <c r="A91">
        <f t="shared" si="28"/>
        <v>623</v>
      </c>
      <c r="B91" s="18">
        <v>43970.363888888889</v>
      </c>
      <c r="C91">
        <v>1</v>
      </c>
      <c r="F91" t="s">
        <v>31</v>
      </c>
      <c r="G91" s="17">
        <f>AVERAGE(77,81,85)</f>
        <v>81</v>
      </c>
      <c r="I91" s="17">
        <f>AVERAGE(69,72,57)</f>
        <v>66</v>
      </c>
      <c r="M91" s="16" t="s">
        <v>66</v>
      </c>
      <c r="N91" t="s">
        <v>36</v>
      </c>
      <c r="O91" t="s">
        <v>55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R91" s="1">
        <f>1+16/60</f>
        <v>1.2666666666666666</v>
      </c>
      <c r="AS91" s="1">
        <f>14+28/60</f>
        <v>14.466666666666667</v>
      </c>
      <c r="AT91" s="1">
        <f>16+20/60</f>
        <v>16.333333333333332</v>
      </c>
      <c r="AU91" s="1">
        <f>58+46/60</f>
        <v>58.766666666666666</v>
      </c>
      <c r="AV91" s="1">
        <f>8+40/60</f>
        <v>8.6666666666666661</v>
      </c>
      <c r="AW91" s="16" t="s">
        <v>29</v>
      </c>
      <c r="AX91" s="16" t="s">
        <v>30</v>
      </c>
      <c r="AY91" s="16">
        <v>0</v>
      </c>
    </row>
    <row r="92" spans="1:52" x14ac:dyDescent="0.25">
      <c r="A92">
        <f t="shared" si="28"/>
        <v>624</v>
      </c>
      <c r="B92" s="18">
        <v>43971.353472222225</v>
      </c>
      <c r="C92">
        <v>1</v>
      </c>
      <c r="F92" t="s">
        <v>45</v>
      </c>
      <c r="G92" s="17">
        <v>74</v>
      </c>
      <c r="I92" s="17">
        <v>71</v>
      </c>
      <c r="M92" s="16" t="s">
        <v>66</v>
      </c>
      <c r="N92" t="s">
        <v>36</v>
      </c>
      <c r="O92" t="s">
        <v>32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R92" s="1">
        <f>27+50/60</f>
        <v>27.833333333333332</v>
      </c>
      <c r="AS92" s="1">
        <f>36+21/60</f>
        <v>36.35</v>
      </c>
      <c r="AT92" s="1">
        <f>20+56/60</f>
        <v>20.933333333333334</v>
      </c>
      <c r="AU92" s="1">
        <f>17+21/60</f>
        <v>17.350000000000001</v>
      </c>
      <c r="AV92" s="1">
        <f>8+12/60</f>
        <v>8.1999999999999993</v>
      </c>
      <c r="AW92" s="16" t="s">
        <v>29</v>
      </c>
      <c r="AX92" s="16" t="s">
        <v>30</v>
      </c>
      <c r="AY92" s="16">
        <v>0</v>
      </c>
      <c r="AZ92" s="16"/>
    </row>
    <row r="93" spans="1:52" x14ac:dyDescent="0.25">
      <c r="A93">
        <f t="shared" si="28"/>
        <v>625</v>
      </c>
      <c r="B93" s="18">
        <v>43972.351388888892</v>
      </c>
      <c r="C93">
        <v>1</v>
      </c>
      <c r="F93" s="16" t="s">
        <v>45</v>
      </c>
      <c r="G93" s="17">
        <v>76</v>
      </c>
      <c r="I93" s="17">
        <v>74</v>
      </c>
      <c r="M93" s="16" t="s">
        <v>66</v>
      </c>
      <c r="N93" t="s">
        <v>33</v>
      </c>
      <c r="O93" t="s">
        <v>62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R93" s="1">
        <f>41+4/60</f>
        <v>41.06666666666667</v>
      </c>
      <c r="AS93" s="1">
        <f>54+30/60</f>
        <v>54.5</v>
      </c>
      <c r="AT93" s="1">
        <f>3+58/60</f>
        <v>3.9666666666666668</v>
      </c>
      <c r="AU93" s="1">
        <f>30/60</f>
        <v>0.5</v>
      </c>
      <c r="AV93" s="1">
        <v>0</v>
      </c>
      <c r="AW93" t="s">
        <v>29</v>
      </c>
      <c r="AX93" t="s">
        <v>30</v>
      </c>
      <c r="AY93">
        <v>0</v>
      </c>
    </row>
    <row r="94" spans="1:52" x14ac:dyDescent="0.25">
      <c r="A94">
        <f t="shared" si="28"/>
        <v>626</v>
      </c>
      <c r="B94" s="18">
        <v>43973.323611111111</v>
      </c>
      <c r="C94">
        <v>1</v>
      </c>
      <c r="F94" t="s">
        <v>31</v>
      </c>
      <c r="G94" s="17">
        <f>AVERAGE(54,66,57)</f>
        <v>59</v>
      </c>
      <c r="I94" s="17">
        <f>AVERAGE(80,78,68)</f>
        <v>75.333333333333329</v>
      </c>
      <c r="M94" s="16" t="s">
        <v>66</v>
      </c>
      <c r="N94" s="16" t="s">
        <v>36</v>
      </c>
      <c r="O94" t="s">
        <v>47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R94" s="1">
        <f>17+9/60</f>
        <v>17.149999999999999</v>
      </c>
      <c r="AS94" s="1">
        <f>25</f>
        <v>25</v>
      </c>
      <c r="AT94" s="1">
        <f>14+8/60</f>
        <v>14.133333333333333</v>
      </c>
      <c r="AU94" s="1">
        <f>27+43/60</f>
        <v>27.716666666666665</v>
      </c>
      <c r="AV94" s="1">
        <f>48+56/60</f>
        <v>48.93333333333333</v>
      </c>
      <c r="AW94" s="16" t="s">
        <v>29</v>
      </c>
      <c r="AX94" s="16" t="s">
        <v>30</v>
      </c>
      <c r="AY94" s="16">
        <v>0</v>
      </c>
    </row>
    <row r="95" spans="1:52" x14ac:dyDescent="0.25">
      <c r="A95">
        <f t="shared" si="28"/>
        <v>627</v>
      </c>
      <c r="B95" s="18">
        <v>43974.518750000003</v>
      </c>
      <c r="C95">
        <v>1</v>
      </c>
      <c r="F95" t="s">
        <v>31</v>
      </c>
      <c r="G95" s="17">
        <v>87</v>
      </c>
      <c r="I95" s="17">
        <v>0.56000000000000005</v>
      </c>
      <c r="M95" s="16" t="s">
        <v>66</v>
      </c>
      <c r="N95" t="s">
        <v>33</v>
      </c>
      <c r="O95" t="s">
        <v>79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R95" s="1">
        <f>6+4/60</f>
        <v>6.0666666666666664</v>
      </c>
      <c r="AS95" s="1">
        <f>26+21/60</f>
        <v>26.35</v>
      </c>
      <c r="AT95" s="1">
        <f>13+33/60</f>
        <v>13.55</v>
      </c>
      <c r="AU95" s="1">
        <f>32+14/60</f>
        <v>32.233333333333334</v>
      </c>
      <c r="AV95" s="1">
        <f>35+52/60</f>
        <v>35.866666666666667</v>
      </c>
      <c r="AW95" t="s">
        <v>29</v>
      </c>
      <c r="AX95" t="s">
        <v>30</v>
      </c>
      <c r="AY95">
        <v>0</v>
      </c>
    </row>
    <row r="96" spans="1:52" x14ac:dyDescent="0.25">
      <c r="A96">
        <f t="shared" si="28"/>
        <v>628</v>
      </c>
      <c r="B96" s="18">
        <v>43976.328472222223</v>
      </c>
      <c r="C96">
        <v>0</v>
      </c>
      <c r="D96" t="s">
        <v>38</v>
      </c>
      <c r="F96" t="s">
        <v>45</v>
      </c>
      <c r="G96" s="17">
        <v>77</v>
      </c>
      <c r="I96" s="17">
        <v>79</v>
      </c>
    </row>
    <row r="97" spans="1:51" x14ac:dyDescent="0.25">
      <c r="A97">
        <f t="shared" si="28"/>
        <v>629</v>
      </c>
      <c r="B97" s="18">
        <v>43977.470833333333</v>
      </c>
      <c r="C97">
        <v>1</v>
      </c>
      <c r="F97" t="s">
        <v>45</v>
      </c>
      <c r="G97" s="17">
        <v>71</v>
      </c>
      <c r="I97" s="17">
        <v>59</v>
      </c>
      <c r="M97" s="16" t="s">
        <v>66</v>
      </c>
      <c r="N97" t="s">
        <v>33</v>
      </c>
      <c r="O97" t="s">
        <v>32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R97" s="1">
        <f>27+11/60</f>
        <v>27.183333333333334</v>
      </c>
      <c r="AS97" s="1">
        <f>44+1/6</f>
        <v>44.166666666666664</v>
      </c>
      <c r="AT97" s="1">
        <f>25+24/60</f>
        <v>25.4</v>
      </c>
      <c r="AU97" s="1">
        <f>11+32/60</f>
        <v>11.533333333333333</v>
      </c>
      <c r="AV97" s="1">
        <f>28+9/60</f>
        <v>28.15</v>
      </c>
      <c r="AW97" t="s">
        <v>29</v>
      </c>
      <c r="AX97" t="s">
        <v>30</v>
      </c>
      <c r="AY97">
        <v>0</v>
      </c>
    </row>
    <row r="98" spans="1:51" x14ac:dyDescent="0.25">
      <c r="A98">
        <f t="shared" si="28"/>
        <v>630</v>
      </c>
      <c r="B98" s="18">
        <v>43978.51666666667</v>
      </c>
      <c r="C98">
        <v>1</v>
      </c>
      <c r="F98" t="s">
        <v>31</v>
      </c>
      <c r="G98" s="17">
        <f>AVERAGE(79,82)</f>
        <v>80.5</v>
      </c>
      <c r="I98" s="17">
        <f>AVERAGE(47+37)</f>
        <v>84</v>
      </c>
      <c r="M98" s="16" t="s">
        <v>66</v>
      </c>
      <c r="N98" t="s">
        <v>33</v>
      </c>
      <c r="O98" t="s">
        <v>44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R98" s="1">
        <f>22/60</f>
        <v>0.36666666666666664</v>
      </c>
      <c r="AS98" s="1">
        <f>5+2/60</f>
        <v>5.0333333333333332</v>
      </c>
      <c r="AT98" s="1">
        <f>36+57/60</f>
        <v>36.950000000000003</v>
      </c>
      <c r="AU98" s="1">
        <f>60+6/60</f>
        <v>60.1</v>
      </c>
      <c r="AV98" s="1">
        <f>3.08/60</f>
        <v>5.1333333333333335E-2</v>
      </c>
      <c r="AW98" t="s">
        <v>29</v>
      </c>
      <c r="AX98" t="s">
        <v>30</v>
      </c>
      <c r="AY98">
        <v>0</v>
      </c>
    </row>
    <row r="99" spans="1:51" x14ac:dyDescent="0.25">
      <c r="A99">
        <f t="shared" si="28"/>
        <v>631</v>
      </c>
      <c r="B99" s="18">
        <v>43979.5</v>
      </c>
      <c r="C99">
        <v>0</v>
      </c>
      <c r="D99" s="16" t="s">
        <v>38</v>
      </c>
      <c r="F99" t="s">
        <v>31</v>
      </c>
      <c r="G99" s="17">
        <v>95</v>
      </c>
      <c r="I99" s="17">
        <v>44</v>
      </c>
    </row>
    <row r="100" spans="1:51" x14ac:dyDescent="0.25">
      <c r="A100">
        <f t="shared" si="28"/>
        <v>632</v>
      </c>
      <c r="B100" s="18">
        <v>43980.501388888886</v>
      </c>
      <c r="C100">
        <v>1</v>
      </c>
      <c r="E100" s="16" t="s">
        <v>81</v>
      </c>
      <c r="F100" t="s">
        <v>31</v>
      </c>
      <c r="G100" s="17">
        <f>AVERAGE(84,87)</f>
        <v>85.5</v>
      </c>
      <c r="I100" s="17">
        <f>AVERAGE(40,32)</f>
        <v>36</v>
      </c>
      <c r="M100" s="16" t="s">
        <v>66</v>
      </c>
      <c r="N100" t="s">
        <v>36</v>
      </c>
      <c r="O100" t="s">
        <v>63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R100" s="1">
        <f>13/60</f>
        <v>0.21666666666666667</v>
      </c>
      <c r="AS100" s="1">
        <f>28*37/60</f>
        <v>17.266666666666666</v>
      </c>
      <c r="AT100" s="1">
        <f>47+14/60</f>
        <v>47.233333333333334</v>
      </c>
      <c r="AU100" s="1">
        <f>34+46/60</f>
        <v>34.766666666666666</v>
      </c>
      <c r="AV100" s="1">
        <f>0.53/60</f>
        <v>8.8333333333333337E-3</v>
      </c>
      <c r="AW100" s="16" t="s">
        <v>29</v>
      </c>
      <c r="AX100" s="16" t="s">
        <v>30</v>
      </c>
      <c r="AY100" s="16">
        <v>0</v>
      </c>
    </row>
    <row r="101" spans="1:51" x14ac:dyDescent="0.25">
      <c r="A101">
        <f>A100+1</f>
        <v>633</v>
      </c>
      <c r="B101" s="18">
        <v>43981.527777777781</v>
      </c>
      <c r="C101">
        <v>1</v>
      </c>
      <c r="E101" s="16" t="s">
        <v>81</v>
      </c>
      <c r="F101" t="s">
        <v>31</v>
      </c>
      <c r="G101" s="17">
        <f>AVERAGE(86,87)</f>
        <v>86.5</v>
      </c>
      <c r="I101" s="17">
        <f>AVERAGE(36,35)</f>
        <v>35.5</v>
      </c>
      <c r="M101" s="16" t="s">
        <v>66</v>
      </c>
      <c r="N101" t="s">
        <v>36</v>
      </c>
      <c r="O101" t="s">
        <v>62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R101" s="1">
        <f>1+26/60</f>
        <v>1.4333333333333333</v>
      </c>
      <c r="AS101" s="1">
        <f>65+39/60</f>
        <v>65.650000000000006</v>
      </c>
      <c r="AT101" s="1">
        <f>20+35/60</f>
        <v>20.583333333333332</v>
      </c>
      <c r="AU101" s="1">
        <f>25+54/60</f>
        <v>25.9</v>
      </c>
      <c r="AV101" s="1">
        <f>1+48/60</f>
        <v>1.8</v>
      </c>
      <c r="AW101" t="s">
        <v>29</v>
      </c>
      <c r="AX101" t="s">
        <v>30</v>
      </c>
      <c r="AY101">
        <v>0</v>
      </c>
    </row>
    <row r="102" spans="1:51" x14ac:dyDescent="0.25">
      <c r="A102">
        <f>A101+1</f>
        <v>634</v>
      </c>
      <c r="B102" s="18">
        <v>41060.570138888892</v>
      </c>
      <c r="C102">
        <v>1</v>
      </c>
      <c r="F102" t="s">
        <v>60</v>
      </c>
      <c r="G102" s="17">
        <f>AVERAGE(86,88)</f>
        <v>87</v>
      </c>
      <c r="I102" s="17">
        <f>AVERAGE(38,35)</f>
        <v>36.5</v>
      </c>
      <c r="M102" s="16" t="s">
        <v>66</v>
      </c>
      <c r="N102" t="s">
        <v>36</v>
      </c>
      <c r="O102" t="s">
        <v>47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1" x14ac:dyDescent="0.25">
      <c r="A103">
        <f>A102+1</f>
        <v>635</v>
      </c>
      <c r="B103" s="18">
        <v>43983.269444444442</v>
      </c>
      <c r="C103">
        <v>1</v>
      </c>
      <c r="F103" t="s">
        <v>49</v>
      </c>
      <c r="G103" s="17">
        <v>73</v>
      </c>
      <c r="I103" s="17">
        <f>AVERAGE(90,79)</f>
        <v>84.5</v>
      </c>
      <c r="M103" s="16" t="s">
        <v>65</v>
      </c>
      <c r="N103" t="s">
        <v>36</v>
      </c>
      <c r="O103" t="s">
        <v>79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R103" s="1">
        <f>27.25</f>
        <v>27.25</v>
      </c>
      <c r="AS103" s="1">
        <f>13+43/60</f>
        <v>13.716666666666667</v>
      </c>
      <c r="AT103" s="1">
        <f>14+50/60</f>
        <v>14.833333333333334</v>
      </c>
      <c r="AU103" s="1">
        <f>6+13/60</f>
        <v>6.2166666666666668</v>
      </c>
      <c r="AV103" s="1">
        <v>0</v>
      </c>
      <c r="AW103" t="s">
        <v>29</v>
      </c>
      <c r="AX103" t="s">
        <v>30</v>
      </c>
      <c r="AY103">
        <v>0</v>
      </c>
    </row>
    <row r="104" spans="1:51" x14ac:dyDescent="0.25">
      <c r="A104">
        <f>A103+1</f>
        <v>636</v>
      </c>
      <c r="B104" s="18">
        <v>43984.457638888889</v>
      </c>
      <c r="C104">
        <v>1</v>
      </c>
      <c r="F104" t="s">
        <v>49</v>
      </c>
      <c r="G104" s="17">
        <v>86</v>
      </c>
      <c r="I104" s="17">
        <v>53</v>
      </c>
      <c r="M104" s="16" t="s">
        <v>66</v>
      </c>
      <c r="N104" t="s">
        <v>36</v>
      </c>
      <c r="O104" t="s">
        <v>63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R104" s="1">
        <f>3+28/60</f>
        <v>3.4666666666666668</v>
      </c>
      <c r="AS104" s="1">
        <f>36+3/60</f>
        <v>36.049999999999997</v>
      </c>
      <c r="AT104" s="1">
        <f>25+52/60</f>
        <v>25.866666666666667</v>
      </c>
      <c r="AU104" s="1">
        <f>15+28/60</f>
        <v>15.466666666666667</v>
      </c>
      <c r="AV104" s="1">
        <f>37+54/60</f>
        <v>37.9</v>
      </c>
      <c r="AW104" t="s">
        <v>29</v>
      </c>
      <c r="AX104" t="s">
        <v>30</v>
      </c>
      <c r="AY104">
        <v>0</v>
      </c>
    </row>
    <row r="105" spans="1:51" x14ac:dyDescent="0.25">
      <c r="A105">
        <f t="shared" ref="A105:A121" si="78">A104+1</f>
        <v>637</v>
      </c>
      <c r="B105" s="18">
        <v>43985.615972222222</v>
      </c>
      <c r="C105">
        <v>1</v>
      </c>
      <c r="F105" t="s">
        <v>31</v>
      </c>
      <c r="G105" s="17">
        <v>93</v>
      </c>
      <c r="I105" s="17">
        <v>47</v>
      </c>
      <c r="M105" s="16" t="s">
        <v>65</v>
      </c>
      <c r="N105" s="16" t="s">
        <v>33</v>
      </c>
      <c r="O105" s="16" t="s">
        <v>96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R105" s="1">
        <v>3.25</v>
      </c>
      <c r="AS105" s="1">
        <f>19+33/60</f>
        <v>19.55</v>
      </c>
      <c r="AT105" s="1">
        <f>6+2/60</f>
        <v>6.0333333333333332</v>
      </c>
      <c r="AU105" s="1">
        <f>70+13/60</f>
        <v>70.216666666666669</v>
      </c>
      <c r="AV105" s="1">
        <f>2.5</f>
        <v>2.5</v>
      </c>
      <c r="AW105" t="s">
        <v>29</v>
      </c>
      <c r="AX105" t="s">
        <v>30</v>
      </c>
      <c r="AY105">
        <v>0</v>
      </c>
    </row>
    <row r="106" spans="1:51" x14ac:dyDescent="0.25">
      <c r="A106">
        <f t="shared" si="78"/>
        <v>638</v>
      </c>
      <c r="B106" s="18">
        <v>43986.412499999999</v>
      </c>
      <c r="C106">
        <v>1</v>
      </c>
      <c r="F106" t="s">
        <v>31</v>
      </c>
      <c r="G106" s="17">
        <f>AVERAGE(83,86)</f>
        <v>84.5</v>
      </c>
      <c r="I106" s="17">
        <f>AVERAGE(72,67)</f>
        <v>69.5</v>
      </c>
      <c r="M106" s="16" t="s">
        <v>65</v>
      </c>
      <c r="N106" t="s">
        <v>36</v>
      </c>
      <c r="O106" s="16" t="s">
        <v>96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R106" s="1">
        <f>5+38/60</f>
        <v>5.6333333333333329</v>
      </c>
      <c r="AS106" s="1">
        <f>10+45/60</f>
        <v>10.75</v>
      </c>
      <c r="AT106" s="1">
        <f>53+46/60</f>
        <v>53.766666666666666</v>
      </c>
      <c r="AU106" s="1">
        <f>20</f>
        <v>20</v>
      </c>
      <c r="AV106" s="1">
        <v>0</v>
      </c>
      <c r="AW106" s="16" t="s">
        <v>29</v>
      </c>
      <c r="AX106" s="16" t="s">
        <v>30</v>
      </c>
      <c r="AY106" s="16">
        <v>0</v>
      </c>
    </row>
    <row r="107" spans="1:51" x14ac:dyDescent="0.25">
      <c r="A107">
        <f t="shared" si="78"/>
        <v>639</v>
      </c>
      <c r="B107" s="18">
        <v>43987.5</v>
      </c>
      <c r="C107">
        <v>0</v>
      </c>
      <c r="D107" t="s">
        <v>82</v>
      </c>
      <c r="F107" t="s">
        <v>31</v>
      </c>
      <c r="G107" s="17">
        <v>90</v>
      </c>
      <c r="I107" s="17">
        <v>74</v>
      </c>
    </row>
    <row r="108" spans="1:51" x14ac:dyDescent="0.25">
      <c r="A108">
        <f t="shared" si="78"/>
        <v>640</v>
      </c>
      <c r="B108" s="18">
        <v>43988.472916666666</v>
      </c>
      <c r="C108">
        <v>1</v>
      </c>
      <c r="F108" t="s">
        <v>31</v>
      </c>
      <c r="G108" s="17">
        <f>AVERAGE(90,91)</f>
        <v>90.5</v>
      </c>
      <c r="I108" s="17">
        <f>AVERAGE(50,48)</f>
        <v>49</v>
      </c>
      <c r="M108" s="16" t="s">
        <v>65</v>
      </c>
      <c r="N108" t="s">
        <v>36</v>
      </c>
      <c r="O108" s="16" t="s">
        <v>96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R108" s="1">
        <v>0</v>
      </c>
      <c r="AS108" s="1">
        <f>25/60</f>
        <v>0.41666666666666669</v>
      </c>
      <c r="AT108" s="1">
        <f>5+33/60</f>
        <v>5.55</v>
      </c>
      <c r="AU108" s="1">
        <f>81+3/60</f>
        <v>81.05</v>
      </c>
      <c r="AV108" s="1">
        <f>35+41/60</f>
        <v>35.68333333333333</v>
      </c>
      <c r="AW108" t="s">
        <v>29</v>
      </c>
      <c r="AX108" t="s">
        <v>30</v>
      </c>
      <c r="AY108">
        <v>0</v>
      </c>
    </row>
    <row r="109" spans="1:51" x14ac:dyDescent="0.25">
      <c r="A109">
        <f t="shared" si="78"/>
        <v>641</v>
      </c>
      <c r="B109" s="18">
        <v>43989.51458333333</v>
      </c>
      <c r="C109">
        <v>0</v>
      </c>
      <c r="D109" t="s">
        <v>38</v>
      </c>
      <c r="F109" t="s">
        <v>31</v>
      </c>
      <c r="G109" s="17">
        <v>91</v>
      </c>
      <c r="I109" s="17">
        <v>50</v>
      </c>
      <c r="M109" s="16" t="s">
        <v>65</v>
      </c>
    </row>
    <row r="110" spans="1:51" x14ac:dyDescent="0.25">
      <c r="A110">
        <f t="shared" si="78"/>
        <v>642</v>
      </c>
      <c r="B110" s="18">
        <v>43990.568749999999</v>
      </c>
      <c r="C110">
        <v>1</v>
      </c>
      <c r="F110" t="s">
        <v>31</v>
      </c>
      <c r="G110" s="17">
        <v>95</v>
      </c>
      <c r="I110" s="17">
        <v>41</v>
      </c>
      <c r="M110" s="16" t="s">
        <v>65</v>
      </c>
      <c r="N110" t="s">
        <v>36</v>
      </c>
      <c r="O110" s="16" t="s">
        <v>96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39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R110" s="1">
        <f>4+27/60</f>
        <v>4.45</v>
      </c>
      <c r="AS110" s="1">
        <f>20+54/60</f>
        <v>20.9</v>
      </c>
      <c r="AT110" s="1">
        <f>9+35/60</f>
        <v>9.5833333333333339</v>
      </c>
      <c r="AU110" s="1">
        <f>67+24/60</f>
        <v>67.400000000000006</v>
      </c>
      <c r="AV110" s="1">
        <f>23+55/60</f>
        <v>23.916666666666668</v>
      </c>
      <c r="AW110" t="s">
        <v>29</v>
      </c>
      <c r="AX110" t="s">
        <v>30</v>
      </c>
      <c r="AY110">
        <v>0</v>
      </c>
    </row>
    <row r="111" spans="1:51" x14ac:dyDescent="0.25">
      <c r="A111">
        <f t="shared" si="78"/>
        <v>643</v>
      </c>
      <c r="B111" s="18">
        <v>43991.42291666667</v>
      </c>
      <c r="C111">
        <v>1</v>
      </c>
      <c r="F111" t="s">
        <v>31</v>
      </c>
      <c r="G111" s="17">
        <v>90</v>
      </c>
      <c r="I111" s="17">
        <v>57</v>
      </c>
      <c r="M111" s="16" t="s">
        <v>65</v>
      </c>
      <c r="N111" t="s">
        <v>36</v>
      </c>
      <c r="O111" s="16" t="s">
        <v>96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R111" s="1">
        <f>19/60</f>
        <v>0.31666666666666665</v>
      </c>
      <c r="AS111" s="1">
        <f>9+11/60</f>
        <v>9.1833333333333336</v>
      </c>
      <c r="AT111" s="1">
        <f>14+1/60</f>
        <v>14.016666666666667</v>
      </c>
      <c r="AU111" s="1">
        <f>39+45/60</f>
        <v>39.75</v>
      </c>
      <c r="AV111" s="1">
        <f>41/60</f>
        <v>0.68333333333333335</v>
      </c>
      <c r="AW111" t="s">
        <v>29</v>
      </c>
      <c r="AX111" t="s">
        <v>30</v>
      </c>
      <c r="AY111">
        <v>0</v>
      </c>
    </row>
    <row r="112" spans="1:51" x14ac:dyDescent="0.25">
      <c r="A112">
        <f t="shared" si="78"/>
        <v>644</v>
      </c>
      <c r="B112" s="18">
        <v>43991.474999999999</v>
      </c>
      <c r="C112">
        <v>1</v>
      </c>
      <c r="F112" t="s">
        <v>31</v>
      </c>
      <c r="G112" s="17">
        <v>97</v>
      </c>
      <c r="I112" s="17">
        <v>26</v>
      </c>
      <c r="M112" s="16" t="s">
        <v>65</v>
      </c>
      <c r="N112" t="s">
        <v>36</v>
      </c>
      <c r="O112" s="16" t="s">
        <v>101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R112" s="1">
        <v>0</v>
      </c>
      <c r="AS112" s="1">
        <f>9+20/60</f>
        <v>9.3333333333333339</v>
      </c>
      <c r="AT112" s="1">
        <f>21+26/60</f>
        <v>21.433333333333334</v>
      </c>
      <c r="AU112" s="1">
        <v>0.33333333333333331</v>
      </c>
      <c r="AV112" s="1">
        <v>0</v>
      </c>
      <c r="AW112" t="s">
        <v>29</v>
      </c>
      <c r="AX112" t="s">
        <v>30</v>
      </c>
      <c r="AY112">
        <v>0</v>
      </c>
    </row>
    <row r="113" spans="1:51" x14ac:dyDescent="0.25">
      <c r="A113">
        <f t="shared" si="78"/>
        <v>645</v>
      </c>
      <c r="B113" s="18">
        <v>43992.533333333333</v>
      </c>
      <c r="C113">
        <v>1</v>
      </c>
      <c r="F113" t="s">
        <v>31</v>
      </c>
      <c r="G113" s="17">
        <v>76</v>
      </c>
      <c r="H113" s="17">
        <v>43</v>
      </c>
      <c r="I113" s="17">
        <v>23</v>
      </c>
      <c r="J113" s="17" t="s">
        <v>90</v>
      </c>
      <c r="K113" s="17">
        <v>12</v>
      </c>
      <c r="L113" s="17">
        <v>25</v>
      </c>
      <c r="M113" s="16" t="s">
        <v>66</v>
      </c>
      <c r="N113" t="s">
        <v>33</v>
      </c>
      <c r="O113" t="s">
        <v>32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R113" s="1">
        <f>51/60</f>
        <v>0.85</v>
      </c>
      <c r="AS113" s="1">
        <f>(33+3/60)</f>
        <v>33.049999999999997</v>
      </c>
      <c r="AT113" s="1">
        <f>17/60</f>
        <v>0.28333333333333333</v>
      </c>
      <c r="AU113" s="1">
        <f>(14+54/60)/60</f>
        <v>0.24833333333333335</v>
      </c>
      <c r="AV113" s="1">
        <f>(53+18/60)/60</f>
        <v>0.88833333333333331</v>
      </c>
      <c r="AW113" t="s">
        <v>29</v>
      </c>
      <c r="AX113" t="s">
        <v>30</v>
      </c>
      <c r="AY113">
        <v>0</v>
      </c>
    </row>
    <row r="114" spans="1:51" x14ac:dyDescent="0.25">
      <c r="A114">
        <f t="shared" si="78"/>
        <v>646</v>
      </c>
      <c r="B114" s="18">
        <v>43993.415972222225</v>
      </c>
      <c r="C114">
        <v>1</v>
      </c>
      <c r="F114" t="s">
        <v>31</v>
      </c>
      <c r="G114" s="17">
        <v>87</v>
      </c>
      <c r="H114" s="17">
        <f>AVERAGE(47,48)</f>
        <v>47.5</v>
      </c>
      <c r="I114" s="17">
        <v>26</v>
      </c>
      <c r="J114" s="17" t="s">
        <v>92</v>
      </c>
      <c r="K114" s="17">
        <v>7</v>
      </c>
      <c r="L114" s="17">
        <v>0</v>
      </c>
      <c r="M114" s="16" t="s">
        <v>66</v>
      </c>
      <c r="N114" t="s">
        <v>33</v>
      </c>
      <c r="O114" t="s">
        <v>63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R114" s="1">
        <v>0</v>
      </c>
      <c r="AS114" s="1">
        <f>7+16/60</f>
        <v>7.2666666666666666</v>
      </c>
      <c r="AT114" s="1">
        <f>25+43/60</f>
        <v>25.716666666666665</v>
      </c>
      <c r="AU114" s="1">
        <f>53+38/60</f>
        <v>53.633333333333333</v>
      </c>
      <c r="AV114" s="1">
        <v>0</v>
      </c>
      <c r="AW114" t="s">
        <v>29</v>
      </c>
      <c r="AX114" t="s">
        <v>30</v>
      </c>
      <c r="AY114">
        <v>0</v>
      </c>
    </row>
    <row r="115" spans="1:51" x14ac:dyDescent="0.25">
      <c r="A115">
        <f t="shared" si="78"/>
        <v>647</v>
      </c>
      <c r="B115" s="18">
        <v>43994.463194444441</v>
      </c>
      <c r="C115">
        <v>1</v>
      </c>
      <c r="F115" t="s">
        <v>31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93</v>
      </c>
      <c r="K115" s="17">
        <v>15</v>
      </c>
      <c r="L115" s="17">
        <v>29</v>
      </c>
      <c r="M115" s="16" t="s">
        <v>66</v>
      </c>
      <c r="N115" t="s">
        <v>36</v>
      </c>
      <c r="O115" t="s">
        <v>47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R115" s="1">
        <f>1+20/60</f>
        <v>1.3333333333333333</v>
      </c>
      <c r="AS115" s="1">
        <f>23+7/60</f>
        <v>23.116666666666667</v>
      </c>
      <c r="AT115" s="1">
        <f>16+33/60</f>
        <v>16.55</v>
      </c>
      <c r="AU115" s="1">
        <f>49+58/60</f>
        <v>49.966666666666669</v>
      </c>
      <c r="AV115" s="1">
        <f>(41+16/60)/60</f>
        <v>0.68777777777777771</v>
      </c>
      <c r="AW115" s="16" t="s">
        <v>29</v>
      </c>
      <c r="AX115" s="16" t="s">
        <v>30</v>
      </c>
      <c r="AY115" s="16">
        <v>0</v>
      </c>
    </row>
    <row r="116" spans="1:51" x14ac:dyDescent="0.25">
      <c r="A116">
        <f t="shared" si="78"/>
        <v>648</v>
      </c>
      <c r="B116" s="18">
        <v>43995.521527777775</v>
      </c>
      <c r="C116">
        <v>1</v>
      </c>
      <c r="F116" t="s">
        <v>31</v>
      </c>
      <c r="G116" s="17">
        <v>92</v>
      </c>
      <c r="H116" s="17">
        <v>56</v>
      </c>
      <c r="I116" s="17">
        <v>30</v>
      </c>
      <c r="J116" s="17" t="s">
        <v>93</v>
      </c>
      <c r="K116" s="17">
        <v>13</v>
      </c>
      <c r="L116" s="17">
        <v>22</v>
      </c>
      <c r="M116" s="16" t="s">
        <v>66</v>
      </c>
      <c r="N116" t="s">
        <v>33</v>
      </c>
      <c r="O116" t="s">
        <v>101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R116" s="1">
        <f>52+36/60</f>
        <v>52.6</v>
      </c>
      <c r="AS116" s="1">
        <f>15+57/60</f>
        <v>15.95</v>
      </c>
      <c r="AT116" s="1">
        <f>20+35/60</f>
        <v>20.583333333333332</v>
      </c>
      <c r="AU116" s="1">
        <f>59/60</f>
        <v>0.98333333333333328</v>
      </c>
      <c r="AV116" s="1">
        <v>0</v>
      </c>
      <c r="AW116" t="s">
        <v>29</v>
      </c>
      <c r="AX116" t="s">
        <v>30</v>
      </c>
      <c r="AY116">
        <v>0</v>
      </c>
    </row>
    <row r="117" spans="1:51" x14ac:dyDescent="0.25">
      <c r="A117">
        <f t="shared" si="78"/>
        <v>649</v>
      </c>
      <c r="B117" s="18">
        <v>43996.521527777775</v>
      </c>
      <c r="C117">
        <v>1</v>
      </c>
      <c r="F117" t="s">
        <v>31</v>
      </c>
      <c r="G117" s="17">
        <v>92</v>
      </c>
      <c r="H117" s="17">
        <v>57</v>
      </c>
      <c r="I117" s="17">
        <v>31</v>
      </c>
      <c r="J117" s="17" t="s">
        <v>94</v>
      </c>
      <c r="K117" s="17">
        <v>13</v>
      </c>
      <c r="L117" s="17">
        <v>18</v>
      </c>
      <c r="M117" s="16" t="s">
        <v>66</v>
      </c>
      <c r="N117" t="s">
        <v>36</v>
      </c>
      <c r="O117" s="16" t="s">
        <v>101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R117" s="1">
        <f>9+3/60</f>
        <v>9.0500000000000007</v>
      </c>
      <c r="AS117" s="1">
        <f>62+3/60</f>
        <v>62.05</v>
      </c>
      <c r="AT117" s="1">
        <f>32+42/60</f>
        <v>32.700000000000003</v>
      </c>
      <c r="AU117" s="1">
        <f>5+2/60</f>
        <v>5.0333333333333332</v>
      </c>
      <c r="AV117" s="1">
        <v>0</v>
      </c>
      <c r="AW117" t="s">
        <v>29</v>
      </c>
      <c r="AX117" t="s">
        <v>30</v>
      </c>
      <c r="AY117">
        <v>0</v>
      </c>
    </row>
    <row r="118" spans="1:51" x14ac:dyDescent="0.25">
      <c r="A118">
        <f t="shared" si="78"/>
        <v>650</v>
      </c>
      <c r="B118" s="18">
        <v>43997.42291666667</v>
      </c>
      <c r="C118">
        <v>1</v>
      </c>
      <c r="F118" t="s">
        <v>31</v>
      </c>
      <c r="G118" s="17">
        <v>87</v>
      </c>
      <c r="H118" s="17">
        <v>65</v>
      </c>
      <c r="I118" s="17">
        <f>AVERAGE(46,49)</f>
        <v>47.5</v>
      </c>
      <c r="J118" s="17" t="s">
        <v>93</v>
      </c>
      <c r="K118" s="17">
        <v>7</v>
      </c>
      <c r="L118" s="17">
        <v>0</v>
      </c>
      <c r="M118" s="16" t="s">
        <v>66</v>
      </c>
      <c r="N118" s="16" t="s">
        <v>33</v>
      </c>
      <c r="O118" s="16" t="s">
        <v>101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R118" s="1">
        <f>0+12/60</f>
        <v>0.2</v>
      </c>
      <c r="AS118" s="1">
        <f>5+24/60</f>
        <v>5.4</v>
      </c>
      <c r="AT118" s="1">
        <f>7+26/60</f>
        <v>7.4333333333333336</v>
      </c>
      <c r="AU118" s="1">
        <f>87+58/60</f>
        <v>87.966666666666669</v>
      </c>
      <c r="AV118" s="1">
        <v>2</v>
      </c>
      <c r="AW118" s="16" t="s">
        <v>29</v>
      </c>
      <c r="AX118" s="16" t="s">
        <v>30</v>
      </c>
      <c r="AY118" s="16">
        <v>0</v>
      </c>
    </row>
    <row r="119" spans="1:51" x14ac:dyDescent="0.25">
      <c r="A119">
        <f t="shared" si="78"/>
        <v>651</v>
      </c>
      <c r="B119" s="18">
        <v>43998.49722222222</v>
      </c>
      <c r="C119">
        <v>1</v>
      </c>
      <c r="F119" t="s">
        <v>31</v>
      </c>
      <c r="G119" s="17">
        <v>92</v>
      </c>
      <c r="H119" s="17">
        <v>63</v>
      </c>
      <c r="I119" s="17">
        <v>39</v>
      </c>
      <c r="J119" s="17" t="s">
        <v>95</v>
      </c>
      <c r="K119" s="17">
        <v>11</v>
      </c>
      <c r="L119" s="17">
        <v>0</v>
      </c>
      <c r="M119" s="16" t="s">
        <v>66</v>
      </c>
      <c r="N119" t="s">
        <v>36</v>
      </c>
      <c r="O119" s="16" t="s">
        <v>96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R119" s="1">
        <v>0</v>
      </c>
      <c r="AS119" s="1">
        <f>1+27/60</f>
        <v>1.45</v>
      </c>
      <c r="AT119" s="1">
        <f>11+15/60</f>
        <v>11.25</v>
      </c>
      <c r="AU119" s="1">
        <f>37+4/60</f>
        <v>37.06666666666667</v>
      </c>
      <c r="AV119" s="1">
        <f>74+33/60</f>
        <v>74.55</v>
      </c>
      <c r="AW119" s="16" t="s">
        <v>29</v>
      </c>
      <c r="AX119" s="16" t="s">
        <v>30</v>
      </c>
      <c r="AY119" s="16">
        <v>0</v>
      </c>
    </row>
    <row r="120" spans="1:51" x14ac:dyDescent="0.25">
      <c r="A120">
        <f t="shared" si="78"/>
        <v>652</v>
      </c>
      <c r="B120" s="18">
        <v>43999.475694444445</v>
      </c>
      <c r="C120">
        <v>1</v>
      </c>
      <c r="F120" t="s">
        <v>31</v>
      </c>
      <c r="G120" s="17">
        <v>93</v>
      </c>
      <c r="H120" s="17">
        <v>54</v>
      </c>
      <c r="I120" s="17">
        <v>28</v>
      </c>
      <c r="J120" s="17" t="s">
        <v>95</v>
      </c>
      <c r="K120" s="17">
        <v>17</v>
      </c>
      <c r="L120" s="17">
        <v>28</v>
      </c>
      <c r="M120" s="16" t="s">
        <v>66</v>
      </c>
      <c r="N120" s="16" t="s">
        <v>33</v>
      </c>
      <c r="O120" s="16" t="s">
        <v>96</v>
      </c>
      <c r="P120" s="1">
        <v>6.45</v>
      </c>
      <c r="Q120" s="17">
        <v>813</v>
      </c>
      <c r="R120" s="17">
        <v>17264</v>
      </c>
      <c r="S120" s="17">
        <f>R120-Q120</f>
        <v>16451</v>
      </c>
      <c r="T120" s="1">
        <f>135/60</f>
        <v>2.25</v>
      </c>
      <c r="U120" s="1">
        <f>156/60</f>
        <v>2.6</v>
      </c>
      <c r="V120" s="1">
        <f t="shared" si="85"/>
        <v>0.35000000000000009</v>
      </c>
      <c r="W120" s="1">
        <f>P120/T120</f>
        <v>2.8666666666666667</v>
      </c>
      <c r="X120">
        <v>2</v>
      </c>
      <c r="Y120" s="1">
        <f t="shared" ref="Y120" si="102">P120/X120</f>
        <v>3.2250000000000001</v>
      </c>
      <c r="Z120" s="1">
        <f>20+55/60</f>
        <v>20.916666666666668</v>
      </c>
      <c r="AA120" s="17">
        <v>138</v>
      </c>
      <c r="AB120" s="17">
        <v>1200</v>
      </c>
      <c r="AC120" s="17">
        <v>121</v>
      </c>
      <c r="AD120" s="17">
        <v>143</v>
      </c>
      <c r="AE120" s="1">
        <f>18+57/60</f>
        <v>18.95</v>
      </c>
      <c r="AF120" s="1">
        <f>21+51/60</f>
        <v>21.85</v>
      </c>
      <c r="AG120" s="1">
        <f>21+55/60</f>
        <v>21.916666666666668</v>
      </c>
      <c r="AH120" s="1">
        <f>21+30/60</f>
        <v>21.5</v>
      </c>
      <c r="AI120" s="1">
        <f>20+6/60</f>
        <v>20.100000000000001</v>
      </c>
      <c r="AJ120" s="1">
        <f>21+45/60</f>
        <v>21.75</v>
      </c>
      <c r="AK120" s="1">
        <f>60/2.9</f>
        <v>20.689655172413794</v>
      </c>
      <c r="AO120">
        <v>3</v>
      </c>
      <c r="AP120">
        <v>1</v>
      </c>
      <c r="AR120" s="1">
        <v>0</v>
      </c>
      <c r="AS120" s="1">
        <f>11+9/60</f>
        <v>11.15</v>
      </c>
      <c r="AT120" s="1">
        <f>34+10/60</f>
        <v>34.166666666666664</v>
      </c>
      <c r="AU120" s="1">
        <f>78+24/60</f>
        <v>78.400000000000006</v>
      </c>
      <c r="AV120" s="1">
        <f>11+23/60</f>
        <v>11.383333333333333</v>
      </c>
      <c r="AW120" s="16" t="s">
        <v>29</v>
      </c>
      <c r="AX120" s="16" t="s">
        <v>30</v>
      </c>
      <c r="AY120" s="16">
        <v>0</v>
      </c>
    </row>
    <row r="121" spans="1:51" x14ac:dyDescent="0.25">
      <c r="A121">
        <f t="shared" si="78"/>
        <v>653</v>
      </c>
      <c r="B121" s="18">
        <v>44000.457638888889</v>
      </c>
      <c r="C121">
        <v>1</v>
      </c>
      <c r="F121" t="s">
        <v>31</v>
      </c>
      <c r="G121" s="17">
        <f>AVERAGE(86,89)</f>
        <v>87.5</v>
      </c>
      <c r="H121" s="17">
        <v>66</v>
      </c>
      <c r="I121" s="17">
        <f>AVERAGE(49,46)</f>
        <v>47.5</v>
      </c>
      <c r="J121" s="17" t="s">
        <v>93</v>
      </c>
      <c r="K121" s="17">
        <v>14</v>
      </c>
      <c r="L121" s="17">
        <v>23</v>
      </c>
      <c r="M121" s="16" t="s">
        <v>66</v>
      </c>
      <c r="N121" s="16" t="s">
        <v>33</v>
      </c>
      <c r="O121" s="16" t="s">
        <v>96</v>
      </c>
      <c r="P121" s="1">
        <v>6.64</v>
      </c>
      <c r="Q121" s="17">
        <v>808</v>
      </c>
      <c r="R121" s="17">
        <v>18058</v>
      </c>
      <c r="S121" s="17">
        <f>R121-Q121</f>
        <v>17250</v>
      </c>
      <c r="T121" s="1">
        <f>133/60</f>
        <v>2.2166666666666668</v>
      </c>
      <c r="U121" s="1">
        <f>140/60</f>
        <v>2.3333333333333335</v>
      </c>
      <c r="V121" s="1">
        <f t="shared" si="85"/>
        <v>0.1166666666666667</v>
      </c>
      <c r="W121" s="1">
        <f>P121/T121</f>
        <v>2.9954887218045108</v>
      </c>
      <c r="X121">
        <v>2</v>
      </c>
      <c r="Y121" s="1">
        <f t="shared" ref="Y121" si="103">P121/X121</f>
        <v>3.32</v>
      </c>
      <c r="Z121" s="1">
        <f>20+2/60</f>
        <v>20.033333333333335</v>
      </c>
      <c r="AA121" s="17">
        <v>395</v>
      </c>
      <c r="AB121" s="17">
        <v>1266</v>
      </c>
      <c r="AC121" s="17">
        <v>126</v>
      </c>
      <c r="AD121" s="17">
        <v>149</v>
      </c>
      <c r="AE121" s="1">
        <f>18+17/60</f>
        <v>18.283333333333335</v>
      </c>
      <c r="AF121" s="1">
        <f>21+13/60</f>
        <v>21.216666666666665</v>
      </c>
      <c r="AG121" s="1">
        <f>20+43/60</f>
        <v>20.716666666666665</v>
      </c>
      <c r="AH121" s="1">
        <f>19+2/60</f>
        <v>19.033333333333335</v>
      </c>
      <c r="AI121" s="1">
        <f>18+55/60</f>
        <v>18.916666666666668</v>
      </c>
      <c r="AJ121" s="1">
        <f>20+16/60</f>
        <v>20.266666666666666</v>
      </c>
      <c r="AK121" s="1">
        <f>60/2.6</f>
        <v>23.076923076923077</v>
      </c>
      <c r="AO121">
        <v>2</v>
      </c>
      <c r="AP121">
        <v>0</v>
      </c>
      <c r="AR121" s="1">
        <f>0.11/60</f>
        <v>1.8333333333333333E-3</v>
      </c>
      <c r="AS121" s="1">
        <f>3+57/60</f>
        <v>3.95</v>
      </c>
      <c r="AT121" s="1">
        <v>25</v>
      </c>
      <c r="AU121" s="1">
        <f>71+42/60</f>
        <v>71.7</v>
      </c>
      <c r="AV121" s="1">
        <f>32+14/60</f>
        <v>32.233333333333334</v>
      </c>
      <c r="AW121" t="s">
        <v>29</v>
      </c>
      <c r="AX121" t="s">
        <v>30</v>
      </c>
      <c r="AY121">
        <v>0</v>
      </c>
    </row>
    <row r="122" spans="1:51" x14ac:dyDescent="0.25">
      <c r="A122">
        <f t="shared" ref="A122:A128" si="104">A121+1</f>
        <v>654</v>
      </c>
      <c r="B122" s="18">
        <v>44001.453472222223</v>
      </c>
      <c r="C122">
        <v>0</v>
      </c>
      <c r="D122" t="s">
        <v>38</v>
      </c>
      <c r="F122" t="s">
        <v>31</v>
      </c>
      <c r="G122" s="17">
        <v>88</v>
      </c>
      <c r="H122" s="17">
        <v>68</v>
      </c>
      <c r="I122" s="17">
        <v>52</v>
      </c>
      <c r="J122" s="17" t="s">
        <v>97</v>
      </c>
      <c r="K122" s="17">
        <v>16</v>
      </c>
      <c r="L122" s="17">
        <v>0</v>
      </c>
      <c r="M122" s="16" t="s">
        <v>65</v>
      </c>
    </row>
    <row r="123" spans="1:51" x14ac:dyDescent="0.25">
      <c r="A123">
        <f t="shared" si="104"/>
        <v>655</v>
      </c>
      <c r="B123" s="18">
        <v>44002.542361111111</v>
      </c>
      <c r="C123">
        <v>1</v>
      </c>
      <c r="F123" t="s">
        <v>31</v>
      </c>
      <c r="G123" s="17">
        <v>85</v>
      </c>
      <c r="H123" s="17">
        <v>67</v>
      </c>
      <c r="I123" s="17">
        <f>AVERAGE(62,58)</f>
        <v>60</v>
      </c>
      <c r="J123" s="17" t="s">
        <v>93</v>
      </c>
      <c r="K123" s="17">
        <f>AVERAGE(9,6)</f>
        <v>7.5</v>
      </c>
      <c r="L123" s="17">
        <v>0</v>
      </c>
      <c r="M123" s="16" t="s">
        <v>66</v>
      </c>
      <c r="N123" s="16" t="s">
        <v>33</v>
      </c>
      <c r="O123" s="16" t="s">
        <v>96</v>
      </c>
      <c r="P123" s="1">
        <v>7.04</v>
      </c>
      <c r="T123" s="1">
        <f>(120+23)/60</f>
        <v>2.3833333333333333</v>
      </c>
      <c r="U123" s="1">
        <f>(120+30)/60</f>
        <v>2.5</v>
      </c>
      <c r="V123" s="1">
        <f t="shared" si="85"/>
        <v>0.1166666666666667</v>
      </c>
      <c r="W123" s="1">
        <f t="shared" ref="W123:W130" si="105">P123/T123</f>
        <v>2.953846153846154</v>
      </c>
      <c r="X123">
        <v>2</v>
      </c>
      <c r="Y123" s="1">
        <f t="shared" ref="Y123" si="106">P123/X123</f>
        <v>3.52</v>
      </c>
      <c r="Z123" s="1">
        <f>20+19/60</f>
        <v>20.316666666666666</v>
      </c>
      <c r="AA123" s="17">
        <v>128</v>
      </c>
      <c r="AB123" s="17">
        <v>785</v>
      </c>
      <c r="AC123" s="17">
        <v>94</v>
      </c>
      <c r="AD123" s="17">
        <v>127</v>
      </c>
      <c r="AE123" s="1">
        <f>19+33/60</f>
        <v>19.55</v>
      </c>
      <c r="AF123" s="1">
        <f>19+18/60</f>
        <v>19.3</v>
      </c>
      <c r="AG123" s="1">
        <f>19+37/60</f>
        <v>19.616666666666667</v>
      </c>
      <c r="AH123" s="1">
        <f>21+54/60</f>
        <v>21.9</v>
      </c>
      <c r="AI123" s="1">
        <f>20+16/60</f>
        <v>20.266666666666666</v>
      </c>
      <c r="AJ123" s="1">
        <f>19+34/60</f>
        <v>19.566666666666666</v>
      </c>
      <c r="AK123" s="1">
        <f>21+17/60</f>
        <v>21.283333333333335</v>
      </c>
      <c r="AO123">
        <v>3</v>
      </c>
      <c r="AP123">
        <v>3</v>
      </c>
      <c r="AR123" s="1">
        <f>35+11/60</f>
        <v>35.18333333333333</v>
      </c>
      <c r="AS123" s="1">
        <f>86+30/60</f>
        <v>86.5</v>
      </c>
      <c r="AT123" s="1">
        <f>18+2/60</f>
        <v>18.033333333333335</v>
      </c>
      <c r="AU123" s="1">
        <f>57/60</f>
        <v>0.95</v>
      </c>
      <c r="AV123" s="1">
        <v>0</v>
      </c>
      <c r="AW123" s="16" t="s">
        <v>29</v>
      </c>
      <c r="AX123" s="16" t="s">
        <v>30</v>
      </c>
      <c r="AY123" s="16">
        <v>0</v>
      </c>
    </row>
    <row r="124" spans="1:51" x14ac:dyDescent="0.25">
      <c r="A124">
        <f t="shared" si="104"/>
        <v>656</v>
      </c>
      <c r="B124" s="18">
        <v>44003.63958333333</v>
      </c>
      <c r="C124">
        <v>1</v>
      </c>
      <c r="F124" s="16" t="s">
        <v>31</v>
      </c>
      <c r="G124" s="17">
        <f>81+7*(3.3/6)</f>
        <v>84.85</v>
      </c>
      <c r="H124" s="17">
        <v>67</v>
      </c>
      <c r="I124" s="17">
        <v>49</v>
      </c>
      <c r="J124" s="17" t="s">
        <v>98</v>
      </c>
      <c r="K124" s="17">
        <v>9</v>
      </c>
      <c r="L124" s="17">
        <v>0</v>
      </c>
      <c r="M124" s="16" t="s">
        <v>65</v>
      </c>
      <c r="N124" s="16" t="s">
        <v>33</v>
      </c>
      <c r="O124" s="16" t="s">
        <v>96</v>
      </c>
      <c r="P124" s="1">
        <v>3</v>
      </c>
      <c r="Q124" s="17">
        <v>1025</v>
      </c>
      <c r="R124" s="17">
        <v>9200</v>
      </c>
      <c r="S124" s="17">
        <f>R124-Q124</f>
        <v>8175</v>
      </c>
      <c r="T124" s="1">
        <f>63/60</f>
        <v>1.05</v>
      </c>
      <c r="U124" s="1">
        <f>1+4/60</f>
        <v>1.0666666666666667</v>
      </c>
      <c r="V124" s="1">
        <f t="shared" si="85"/>
        <v>1.6666666666666607E-2</v>
      </c>
      <c r="W124" s="1">
        <f t="shared" si="105"/>
        <v>2.8571428571428572</v>
      </c>
      <c r="X124">
        <v>2</v>
      </c>
      <c r="Y124" s="1">
        <f t="shared" ref="Y124" si="107">P124/X124</f>
        <v>1.5</v>
      </c>
      <c r="Z124" s="1">
        <f>19+5/60</f>
        <v>19.083333333333332</v>
      </c>
      <c r="AA124" s="17">
        <v>75</v>
      </c>
      <c r="AB124" s="17">
        <v>614</v>
      </c>
      <c r="AC124" s="17">
        <v>122</v>
      </c>
      <c r="AD124" s="17">
        <v>143</v>
      </c>
      <c r="AE124" s="1">
        <f>16+28/60</f>
        <v>16.466666666666665</v>
      </c>
      <c r="AF124" s="1">
        <f>18+2/60</f>
        <v>18.033333333333335</v>
      </c>
      <c r="AG124" s="1">
        <f>21+32/60</f>
        <v>21.533333333333335</v>
      </c>
      <c r="AH124" s="1">
        <f>60/2.6</f>
        <v>23.076923076923077</v>
      </c>
      <c r="AO124">
        <v>1</v>
      </c>
      <c r="AP124">
        <v>0</v>
      </c>
      <c r="AR124" s="1">
        <v>0</v>
      </c>
      <c r="AS124" s="1">
        <f>6+55/60</f>
        <v>6.916666666666667</v>
      </c>
      <c r="AT124" s="1">
        <f>10.5</f>
        <v>10.5</v>
      </c>
      <c r="AU124" s="1">
        <f>40+15/60</f>
        <v>40.25</v>
      </c>
      <c r="AV124" s="1">
        <f>5+17/60</f>
        <v>5.2833333333333332</v>
      </c>
      <c r="AW124" s="16" t="s">
        <v>29</v>
      </c>
      <c r="AX124" s="16" t="s">
        <v>30</v>
      </c>
      <c r="AY124" s="16">
        <v>0</v>
      </c>
    </row>
    <row r="125" spans="1:51" x14ac:dyDescent="0.25">
      <c r="A125">
        <f t="shared" si="104"/>
        <v>657</v>
      </c>
      <c r="B125" s="18">
        <v>44004.486111111109</v>
      </c>
      <c r="C125">
        <v>1</v>
      </c>
      <c r="F125" s="16" t="s">
        <v>31</v>
      </c>
      <c r="G125" s="17">
        <f>AVERAGE(86,88,91)</f>
        <v>88.333333333333329</v>
      </c>
      <c r="H125" s="17">
        <f>AVERAGE(66,67,69)</f>
        <v>67.333333333333329</v>
      </c>
      <c r="I125" s="17">
        <f>AVERAGE(51,49,48)</f>
        <v>49.333333333333336</v>
      </c>
      <c r="J125" s="17" t="s">
        <v>93</v>
      </c>
      <c r="K125" s="17">
        <f>AVERAGE(16,0,19)</f>
        <v>11.666666666666666</v>
      </c>
      <c r="L125" s="17">
        <f>AVERAGE(24,0,0)</f>
        <v>8</v>
      </c>
      <c r="M125" s="16" t="s">
        <v>65</v>
      </c>
      <c r="N125" t="s">
        <v>33</v>
      </c>
      <c r="O125" t="s">
        <v>96</v>
      </c>
      <c r="P125" s="1">
        <v>6.8</v>
      </c>
      <c r="Q125" s="17">
        <v>1277</v>
      </c>
      <c r="R125" s="17">
        <v>18696</v>
      </c>
      <c r="S125" s="17">
        <f>R125-Q125</f>
        <v>17419</v>
      </c>
      <c r="T125" s="1">
        <f>(120+17)/60</f>
        <v>2.2833333333333332</v>
      </c>
      <c r="U125" s="1">
        <f>(120+24)/60</f>
        <v>2.4</v>
      </c>
      <c r="V125" s="1">
        <f t="shared" si="85"/>
        <v>0.1166666666666667</v>
      </c>
      <c r="W125" s="1">
        <f t="shared" si="105"/>
        <v>2.9781021897810218</v>
      </c>
      <c r="X125">
        <v>2</v>
      </c>
      <c r="Y125" s="1">
        <f t="shared" ref="Y125:Y126" si="108">P125/X125</f>
        <v>3.4</v>
      </c>
      <c r="Z125" s="1">
        <f>20+11/60</f>
        <v>20.183333333333334</v>
      </c>
      <c r="AA125" s="17">
        <v>358</v>
      </c>
      <c r="AB125" s="17">
        <v>730</v>
      </c>
      <c r="AC125" s="17">
        <v>93</v>
      </c>
      <c r="AD125" s="17">
        <v>130</v>
      </c>
      <c r="AE125" s="1">
        <f>17+39/60</f>
        <v>17.649999999999999</v>
      </c>
      <c r="AF125" s="1">
        <f>19+41/60</f>
        <v>19.683333333333334</v>
      </c>
      <c r="AG125" s="1">
        <f>19+57/60</f>
        <v>19.95</v>
      </c>
      <c r="AH125" s="1">
        <f>20+38/60</f>
        <v>20.633333333333333</v>
      </c>
      <c r="AI125" s="1">
        <f>19+41/60</f>
        <v>19.683333333333334</v>
      </c>
      <c r="AJ125" s="1">
        <f>19+32/60</f>
        <v>19.533333333333335</v>
      </c>
      <c r="AK125" s="1">
        <f>60/2.4</f>
        <v>25</v>
      </c>
      <c r="AO125">
        <v>2</v>
      </c>
      <c r="AP125">
        <v>1</v>
      </c>
      <c r="AR125" s="1">
        <f>39+18/60</f>
        <v>39.299999999999997</v>
      </c>
      <c r="AS125" s="1">
        <f>86+17/60</f>
        <v>86.283333333333331</v>
      </c>
      <c r="AT125" s="1">
        <f>10+39/60</f>
        <v>10.65</v>
      </c>
      <c r="AU125" s="1">
        <f>0.75</f>
        <v>0.75</v>
      </c>
      <c r="AV125" s="1">
        <v>0</v>
      </c>
      <c r="AW125" s="16" t="s">
        <v>29</v>
      </c>
      <c r="AX125" s="16" t="s">
        <v>30</v>
      </c>
      <c r="AY125" s="16">
        <v>0</v>
      </c>
    </row>
    <row r="126" spans="1:51" x14ac:dyDescent="0.25">
      <c r="A126">
        <f t="shared" si="104"/>
        <v>658</v>
      </c>
      <c r="B126" s="18">
        <v>44005.510416666664</v>
      </c>
      <c r="C126">
        <v>1</v>
      </c>
      <c r="F126" t="s">
        <v>49</v>
      </c>
      <c r="G126" s="17">
        <v>77</v>
      </c>
      <c r="H126" s="17">
        <v>69</v>
      </c>
      <c r="I126" s="17">
        <f>AVERAGE(79,74)</f>
        <v>76.5</v>
      </c>
      <c r="J126" s="17" t="s">
        <v>98</v>
      </c>
      <c r="K126" s="17">
        <v>5</v>
      </c>
      <c r="L126" s="17">
        <v>0</v>
      </c>
      <c r="M126" s="16" t="s">
        <v>65</v>
      </c>
      <c r="N126" s="16" t="s">
        <v>33</v>
      </c>
      <c r="O126" s="16" t="s">
        <v>101</v>
      </c>
      <c r="P126" s="1">
        <v>4.33</v>
      </c>
      <c r="Q126" s="17">
        <v>994</v>
      </c>
      <c r="R126" s="17">
        <v>15491</v>
      </c>
      <c r="S126" s="17">
        <f>R126-Q126</f>
        <v>14497</v>
      </c>
      <c r="T126" s="1">
        <f>(60+48)/60</f>
        <v>1.8</v>
      </c>
      <c r="U126" s="1">
        <v>1.8333333333333333</v>
      </c>
      <c r="V126" s="1">
        <f t="shared" si="85"/>
        <v>3.3333333333333215E-2</v>
      </c>
      <c r="W126" s="1">
        <f t="shared" si="105"/>
        <v>2.4055555555555554</v>
      </c>
      <c r="X126">
        <v>3</v>
      </c>
      <c r="Y126" s="1">
        <f t="shared" si="108"/>
        <v>1.4433333333333334</v>
      </c>
      <c r="Z126" s="1">
        <f>25+8/60</f>
        <v>25.133333333333333</v>
      </c>
      <c r="AA126" s="17">
        <v>36</v>
      </c>
      <c r="AB126" s="17">
        <v>773</v>
      </c>
      <c r="AC126" s="17">
        <v>108</v>
      </c>
      <c r="AD126" s="17">
        <v>136</v>
      </c>
      <c r="AE126" s="1">
        <f>24+34/60</f>
        <v>24.566666666666666</v>
      </c>
      <c r="AF126" s="1">
        <f>26+22/60</f>
        <v>26.366666666666667</v>
      </c>
      <c r="AG126" s="1">
        <f>23+16/60</f>
        <v>23.266666666666666</v>
      </c>
      <c r="AH126" s="1">
        <f>25+39/60</f>
        <v>25.65</v>
      </c>
      <c r="AI126" s="1">
        <f>60/2.4</f>
        <v>25</v>
      </c>
      <c r="AO126">
        <v>0</v>
      </c>
      <c r="AP126">
        <v>1</v>
      </c>
      <c r="AR126" s="1">
        <f>5+27/60</f>
        <v>5.45</v>
      </c>
      <c r="AS126" s="1">
        <f>31+9/60</f>
        <v>31.15</v>
      </c>
      <c r="AT126" s="1">
        <f>47+1/60</f>
        <v>47.016666666666666</v>
      </c>
      <c r="AU126" s="1">
        <f>24+47/60</f>
        <v>24.783333333333335</v>
      </c>
      <c r="AV126" s="1">
        <f>16/60</f>
        <v>0.26666666666666666</v>
      </c>
      <c r="AW126" t="s">
        <v>29</v>
      </c>
      <c r="AX126" t="s">
        <v>30</v>
      </c>
      <c r="AY126">
        <v>0</v>
      </c>
    </row>
    <row r="127" spans="1:51" x14ac:dyDescent="0.25">
      <c r="A127">
        <f t="shared" si="104"/>
        <v>659</v>
      </c>
      <c r="B127" s="18">
        <v>44006.447916666664</v>
      </c>
      <c r="C127">
        <v>1</v>
      </c>
      <c r="F127" s="16" t="s">
        <v>31</v>
      </c>
      <c r="G127" s="17">
        <f>AVERAGE(85,87)</f>
        <v>86</v>
      </c>
      <c r="H127" s="17">
        <v>67</v>
      </c>
      <c r="I127" s="17">
        <f>AVERAGE(51,47)</f>
        <v>49</v>
      </c>
      <c r="J127" s="17" t="s">
        <v>99</v>
      </c>
      <c r="K127" s="17">
        <f>AVERAGE(12,9)</f>
        <v>10.5</v>
      </c>
      <c r="L127" s="17">
        <v>0</v>
      </c>
      <c r="M127" s="16" t="s">
        <v>65</v>
      </c>
      <c r="N127" t="s">
        <v>36</v>
      </c>
      <c r="O127" s="16" t="s">
        <v>96</v>
      </c>
      <c r="P127" s="1">
        <v>7.18</v>
      </c>
      <c r="Q127" s="17">
        <v>1763</v>
      </c>
      <c r="R127" s="17">
        <v>19883</v>
      </c>
      <c r="S127" s="17">
        <f>R127-Q127</f>
        <v>18120</v>
      </c>
      <c r="T127" s="1">
        <f>(120+28)/60</f>
        <v>2.4666666666666668</v>
      </c>
      <c r="U127" s="1">
        <f>(120+40)/60</f>
        <v>2.6666666666666665</v>
      </c>
      <c r="V127" s="1">
        <f t="shared" si="85"/>
        <v>0.19999999999999973</v>
      </c>
      <c r="W127" s="1">
        <f t="shared" si="105"/>
        <v>2.9108108108108106</v>
      </c>
      <c r="X127">
        <v>3</v>
      </c>
      <c r="Y127" s="1">
        <f t="shared" ref="Y127" si="109">P127/X127</f>
        <v>2.3933333333333331</v>
      </c>
      <c r="Z127" s="1">
        <f>20+36/60</f>
        <v>20.6</v>
      </c>
      <c r="AA127" s="17">
        <v>187</v>
      </c>
      <c r="AB127" s="17">
        <v>788</v>
      </c>
      <c r="AC127" s="17">
        <v>82</v>
      </c>
      <c r="AD127" s="17">
        <v>117</v>
      </c>
      <c r="AE127" s="1">
        <f>17+30/60</f>
        <v>17.5</v>
      </c>
      <c r="AF127" s="1">
        <f>20+47/60</f>
        <v>20.783333333333335</v>
      </c>
      <c r="AG127" s="1">
        <f>20+48/60</f>
        <v>20.8</v>
      </c>
      <c r="AH127" s="1">
        <f>22+5/60</f>
        <v>22.083333333333332</v>
      </c>
      <c r="AI127" s="1">
        <f>16+57/60</f>
        <v>16.95</v>
      </c>
      <c r="AJ127" s="1">
        <f>21+31/60</f>
        <v>21.516666666666666</v>
      </c>
      <c r="AK127" s="1">
        <f>23+32/60</f>
        <v>23.533333333333335</v>
      </c>
      <c r="AL127" s="1">
        <f>60/2.5</f>
        <v>24</v>
      </c>
      <c r="AO127">
        <v>2</v>
      </c>
      <c r="AP127">
        <v>0</v>
      </c>
      <c r="AR127" s="1">
        <f>41+7/60</f>
        <v>41.116666666666667</v>
      </c>
      <c r="AS127" s="1">
        <f>26+16/60</f>
        <v>26.266666666666666</v>
      </c>
      <c r="AT127" s="1">
        <f>20+31/60</f>
        <v>20.516666666666666</v>
      </c>
      <c r="AU127" s="1">
        <v>0</v>
      </c>
      <c r="AV127" s="1">
        <v>0</v>
      </c>
      <c r="AW127" s="16" t="s">
        <v>29</v>
      </c>
      <c r="AX127" s="16" t="s">
        <v>30</v>
      </c>
      <c r="AY127" s="16">
        <v>0</v>
      </c>
    </row>
    <row r="128" spans="1:51" x14ac:dyDescent="0.25">
      <c r="A128">
        <f t="shared" si="104"/>
        <v>660</v>
      </c>
      <c r="B128" s="18">
        <v>44007.490277777775</v>
      </c>
      <c r="C128">
        <v>1</v>
      </c>
      <c r="F128" t="s">
        <v>31</v>
      </c>
      <c r="G128" s="17">
        <v>85</v>
      </c>
      <c r="H128" s="17">
        <v>70</v>
      </c>
      <c r="I128" s="17">
        <v>61</v>
      </c>
      <c r="J128" s="17" t="s">
        <v>100</v>
      </c>
      <c r="K128" s="17">
        <v>9</v>
      </c>
      <c r="L128" s="17">
        <v>0</v>
      </c>
      <c r="M128" s="16" t="s">
        <v>65</v>
      </c>
      <c r="N128" t="s">
        <v>33</v>
      </c>
      <c r="O128" s="16" t="s">
        <v>101</v>
      </c>
      <c r="P128" s="1">
        <v>4.51</v>
      </c>
      <c r="T128" s="1">
        <f>106/60</f>
        <v>1.7666666666666666</v>
      </c>
      <c r="U128" s="1">
        <f>108/60</f>
        <v>1.8</v>
      </c>
      <c r="V128" s="1">
        <f t="shared" si="85"/>
        <v>3.3333333333333437E-2</v>
      </c>
      <c r="W128" s="1">
        <f t="shared" si="105"/>
        <v>2.5528301886792453</v>
      </c>
      <c r="X128">
        <v>3</v>
      </c>
      <c r="Y128" s="1">
        <f t="shared" ref="Y128:Y130" si="110">P128/X128</f>
        <v>1.5033333333333332</v>
      </c>
      <c r="Z128" s="1">
        <f>23+34/60</f>
        <v>23.566666666666666</v>
      </c>
      <c r="AA128" s="17">
        <v>56</v>
      </c>
      <c r="AB128" s="17">
        <v>995</v>
      </c>
      <c r="AC128" s="17">
        <v>116</v>
      </c>
      <c r="AD128" s="17">
        <v>143</v>
      </c>
      <c r="AE128" s="1">
        <f>24+18/60</f>
        <v>24.3</v>
      </c>
      <c r="AF128" s="1">
        <f>24+21/60</f>
        <v>24.35</v>
      </c>
      <c r="AG128" s="1">
        <f>22+57/60</f>
        <v>22.95</v>
      </c>
      <c r="AH128" s="1">
        <f>24+11/60</f>
        <v>24.183333333333334</v>
      </c>
      <c r="AI128" s="1">
        <f>60/2.9</f>
        <v>20.689655172413794</v>
      </c>
      <c r="AO128">
        <v>0</v>
      </c>
      <c r="AP128">
        <v>1</v>
      </c>
      <c r="AR128" s="1">
        <v>0</v>
      </c>
      <c r="AS128" s="1">
        <f>15+31/60</f>
        <v>15.516666666666667</v>
      </c>
      <c r="AT128" s="1">
        <f>34+5/60</f>
        <v>34.083333333333336</v>
      </c>
      <c r="AU128" s="1">
        <f>55+49/60</f>
        <v>55.81666666666667</v>
      </c>
      <c r="AV128" s="1">
        <f>49/60</f>
        <v>0.81666666666666665</v>
      </c>
      <c r="AW128" s="16" t="s">
        <v>29</v>
      </c>
      <c r="AX128" s="16" t="s">
        <v>30</v>
      </c>
      <c r="AY128" s="16">
        <v>0</v>
      </c>
    </row>
    <row r="129" spans="1:51" x14ac:dyDescent="0.25">
      <c r="A129">
        <v>661</v>
      </c>
      <c r="B129" s="18">
        <v>44008.481249999997</v>
      </c>
      <c r="C129">
        <v>1</v>
      </c>
      <c r="F129" t="s">
        <v>45</v>
      </c>
      <c r="G129" s="17">
        <f>AVERAGE(86,90,91)</f>
        <v>89</v>
      </c>
      <c r="H129" s="17">
        <f>AVERAGE(71,70,71)</f>
        <v>70.666666666666671</v>
      </c>
      <c r="I129" s="17">
        <f>AVERAGE(61,55,52)</f>
        <v>56</v>
      </c>
      <c r="J129" s="17" t="s">
        <v>93</v>
      </c>
      <c r="K129" s="17">
        <v>15</v>
      </c>
      <c r="L129" s="17">
        <v>23</v>
      </c>
      <c r="M129" s="16" t="s">
        <v>65</v>
      </c>
      <c r="N129" s="16" t="s">
        <v>103</v>
      </c>
      <c r="O129" t="s">
        <v>102</v>
      </c>
      <c r="P129" s="1">
        <v>5.85</v>
      </c>
      <c r="Q129" s="17">
        <v>720</v>
      </c>
      <c r="R129" s="17">
        <v>19311</v>
      </c>
      <c r="S129" s="17">
        <f>R129-Q129</f>
        <v>18591</v>
      </c>
      <c r="T129" s="1">
        <f>(120+27)/60</f>
        <v>2.4500000000000002</v>
      </c>
      <c r="U129" s="1">
        <f>(120+33)/60</f>
        <v>2.5499999999999998</v>
      </c>
      <c r="V129" s="1">
        <f t="shared" si="85"/>
        <v>9.9999999999999645E-2</v>
      </c>
      <c r="W129" s="1">
        <f t="shared" si="105"/>
        <v>2.3877551020408161</v>
      </c>
      <c r="X129">
        <v>4</v>
      </c>
      <c r="Y129" s="1">
        <f t="shared" si="110"/>
        <v>1.4624999999999999</v>
      </c>
      <c r="Z129" s="1">
        <f>25+4/60</f>
        <v>25.066666666666666</v>
      </c>
      <c r="AA129" s="17">
        <v>85</v>
      </c>
      <c r="AB129" s="17">
        <v>647</v>
      </c>
      <c r="AC129" s="17">
        <v>82</v>
      </c>
      <c r="AD129" s="17">
        <v>111</v>
      </c>
      <c r="AE129" s="1">
        <f>26+37/60</f>
        <v>26.616666666666667</v>
      </c>
      <c r="AF129" s="1">
        <f>25+6/60</f>
        <v>25.1</v>
      </c>
      <c r="AG129" s="1">
        <f>25+34/60</f>
        <v>25.566666666666666</v>
      </c>
      <c r="AH129" s="1">
        <f>22+3/60</f>
        <v>22.05</v>
      </c>
      <c r="AI129" s="1">
        <f>24+49/60</f>
        <v>24.816666666666666</v>
      </c>
      <c r="AJ129" s="1">
        <f>60/2.3</f>
        <v>26.086956521739133</v>
      </c>
      <c r="AO129">
        <v>2</v>
      </c>
      <c r="AP129">
        <v>0</v>
      </c>
      <c r="AR129" s="1">
        <f>60+3/60</f>
        <v>60.05</v>
      </c>
      <c r="AS129" s="1">
        <f>42+38/60</f>
        <v>42.633333333333333</v>
      </c>
      <c r="AT129" s="1">
        <f>3+29/60</f>
        <v>3.4833333333333334</v>
      </c>
      <c r="AU129" s="1">
        <v>0</v>
      </c>
      <c r="AV129" s="1">
        <v>0</v>
      </c>
      <c r="AW129" s="16" t="s">
        <v>29</v>
      </c>
      <c r="AX129" s="16" t="s">
        <v>30</v>
      </c>
      <c r="AY129" s="16">
        <v>0</v>
      </c>
    </row>
    <row r="130" spans="1:51" x14ac:dyDescent="0.25">
      <c r="A130">
        <f>A129+1</f>
        <v>662</v>
      </c>
      <c r="B130" s="18">
        <v>44009.458333333336</v>
      </c>
      <c r="C130">
        <v>1</v>
      </c>
      <c r="F130" s="19" t="s">
        <v>104</v>
      </c>
      <c r="G130" s="17">
        <f>AVERAGE(86,89)</f>
        <v>87.5</v>
      </c>
      <c r="H130" s="17">
        <f>AVERAGE(71,72)</f>
        <v>71.5</v>
      </c>
      <c r="I130" s="17">
        <f>AVERAGE(61,57)</f>
        <v>59</v>
      </c>
      <c r="J130" s="17" t="s">
        <v>93</v>
      </c>
      <c r="K130" s="17">
        <v>14</v>
      </c>
      <c r="L130" s="17">
        <v>26</v>
      </c>
      <c r="M130" s="16" t="s">
        <v>65</v>
      </c>
      <c r="N130" s="16" t="s">
        <v>33</v>
      </c>
      <c r="O130" s="16" t="s">
        <v>101</v>
      </c>
      <c r="P130" s="1">
        <v>4.5599999999999996</v>
      </c>
      <c r="Q130" s="17">
        <v>751</v>
      </c>
      <c r="R130" s="17">
        <v>14944</v>
      </c>
      <c r="S130" s="17">
        <f>R130-Q130</f>
        <v>14193</v>
      </c>
      <c r="T130" s="1">
        <f>(60+45)/60</f>
        <v>1.75</v>
      </c>
      <c r="U130" s="1">
        <f>(60+ 47)/60</f>
        <v>1.7833333333333334</v>
      </c>
      <c r="V130" s="1">
        <f t="shared" si="85"/>
        <v>3.3333333333333437E-2</v>
      </c>
      <c r="W130" s="1">
        <f t="shared" si="105"/>
        <v>2.6057142857142854</v>
      </c>
      <c r="X130">
        <v>3</v>
      </c>
      <c r="Y130" s="1">
        <f t="shared" si="110"/>
        <v>1.5199999999999998</v>
      </c>
      <c r="Z130" s="1">
        <f>22+59/60</f>
        <v>22.983333333333334</v>
      </c>
      <c r="AA130" s="17">
        <v>171</v>
      </c>
      <c r="AB130" s="17">
        <v>817</v>
      </c>
      <c r="AC130" s="17">
        <v>113</v>
      </c>
      <c r="AD130" s="17">
        <v>147</v>
      </c>
      <c r="AE130" s="1">
        <f>26+9/60</f>
        <v>26.15</v>
      </c>
      <c r="AF130" s="1">
        <f>26+3/60</f>
        <v>26.05</v>
      </c>
      <c r="AG130" s="1">
        <f>20+30/60</f>
        <v>20.5</v>
      </c>
      <c r="AH130" s="1">
        <f>19+2/60</f>
        <v>19.033333333333335</v>
      </c>
      <c r="AI130" s="1">
        <f>60/2.6</f>
        <v>23.076923076923077</v>
      </c>
      <c r="AO130">
        <v>1</v>
      </c>
      <c r="AP130">
        <v>2</v>
      </c>
      <c r="AR130" s="1">
        <f>0+52/60</f>
        <v>0.8666666666666667</v>
      </c>
      <c r="AS130" s="1">
        <f>36+30/60</f>
        <v>36.5</v>
      </c>
      <c r="AT130" s="1">
        <f>25+38/50</f>
        <v>25.76</v>
      </c>
      <c r="AU130" s="1">
        <f>35+22/60</f>
        <v>35.366666666666667</v>
      </c>
      <c r="AV130" s="1">
        <f>6+30/60</f>
        <v>6.5</v>
      </c>
      <c r="AW130" s="16" t="s">
        <v>29</v>
      </c>
      <c r="AX130" s="16" t="s">
        <v>30</v>
      </c>
      <c r="AY130" s="16">
        <v>0</v>
      </c>
    </row>
    <row r="131" spans="1:51" x14ac:dyDescent="0.25">
      <c r="A131">
        <f>A130+1</f>
        <v>663</v>
      </c>
      <c r="B131" s="18">
        <v>44010.495138888888</v>
      </c>
      <c r="C131">
        <v>0</v>
      </c>
      <c r="D131" t="s">
        <v>38</v>
      </c>
      <c r="F131" s="16" t="s">
        <v>49</v>
      </c>
      <c r="G131" s="17">
        <v>88</v>
      </c>
      <c r="H131" s="17">
        <v>72</v>
      </c>
      <c r="I131" s="17">
        <v>58</v>
      </c>
      <c r="J131" s="17" t="s">
        <v>93</v>
      </c>
      <c r="K131" s="17">
        <v>15</v>
      </c>
      <c r="L131" s="17">
        <v>33</v>
      </c>
      <c r="M131" s="16" t="s">
        <v>65</v>
      </c>
    </row>
    <row r="132" spans="1:51" x14ac:dyDescent="0.25">
      <c r="A132">
        <f>A131+1</f>
        <v>664</v>
      </c>
      <c r="B132" s="18">
        <v>44011.505555555559</v>
      </c>
      <c r="C132">
        <v>1</v>
      </c>
      <c r="F132" t="s">
        <v>31</v>
      </c>
      <c r="G132" s="17">
        <f>AVERAGE(90,92)</f>
        <v>91</v>
      </c>
      <c r="H132" s="17">
        <f>AVERAGE(72,70)</f>
        <v>71</v>
      </c>
      <c r="I132" s="17">
        <f>AVERAGE(48,47)</f>
        <v>47.5</v>
      </c>
      <c r="J132" s="17" t="s">
        <v>93</v>
      </c>
      <c r="K132" s="17">
        <f>AVERAGE(16,17)</f>
        <v>16.5</v>
      </c>
      <c r="L132" s="17">
        <f>AVERAGE(29,30)</f>
        <v>29.5</v>
      </c>
      <c r="M132" s="16" t="s">
        <v>65</v>
      </c>
      <c r="N132" s="16" t="s">
        <v>103</v>
      </c>
      <c r="O132" s="16" t="s">
        <v>101</v>
      </c>
      <c r="P132" s="1">
        <v>4.25</v>
      </c>
      <c r="Q132" s="17">
        <v>854</v>
      </c>
      <c r="R132" s="17">
        <v>14500</v>
      </c>
      <c r="S132" s="17">
        <f>R132-Q132</f>
        <v>13646</v>
      </c>
      <c r="T132" s="1">
        <f>(60+49)/60</f>
        <v>1.8166666666666667</v>
      </c>
      <c r="U132" s="1">
        <f>(60+53)/60</f>
        <v>1.8833333333333333</v>
      </c>
      <c r="V132" s="1">
        <f t="shared" si="85"/>
        <v>6.6666666666666652E-2</v>
      </c>
      <c r="W132" s="1">
        <f t="shared" ref="W132" si="111">P132/T132</f>
        <v>2.3394495412844036</v>
      </c>
      <c r="X132">
        <v>3</v>
      </c>
      <c r="Y132" s="1">
        <f t="shared" ref="Y132" si="112">P132/X132</f>
        <v>1.4166666666666667</v>
      </c>
      <c r="Z132" s="1">
        <f>25+37/60</f>
        <v>25.616666666666667</v>
      </c>
      <c r="AA132" s="17">
        <v>56</v>
      </c>
      <c r="AB132" s="17">
        <v>546</v>
      </c>
      <c r="AC132" s="17">
        <v>93</v>
      </c>
      <c r="AD132" s="17">
        <v>127</v>
      </c>
      <c r="AE132" s="1">
        <f>24+27/60</f>
        <v>24.45</v>
      </c>
      <c r="AF132" s="1">
        <f>23+23/60</f>
        <v>23.383333333333333</v>
      </c>
      <c r="AG132" s="1">
        <f>26+58/60</f>
        <v>26.966666666666665</v>
      </c>
      <c r="AH132" s="1">
        <f>27+5/60</f>
        <v>27.083333333333332</v>
      </c>
      <c r="AI132" s="1">
        <f>60/2.2</f>
        <v>27.27272727272727</v>
      </c>
      <c r="AO132">
        <v>1</v>
      </c>
      <c r="AP132">
        <v>0</v>
      </c>
      <c r="AR132" s="1">
        <f>42+15/60</f>
        <v>42.25</v>
      </c>
      <c r="AS132" s="1">
        <f>48+32/60</f>
        <v>48.533333333333331</v>
      </c>
      <c r="AT132" s="1">
        <f>15+22/60</f>
        <v>15.366666666666667</v>
      </c>
      <c r="AU132" s="1">
        <f>2+6/60</f>
        <v>2.1</v>
      </c>
      <c r="AV132" s="1">
        <v>0</v>
      </c>
      <c r="AW132" s="16" t="s">
        <v>29</v>
      </c>
      <c r="AX132" s="16" t="s">
        <v>30</v>
      </c>
      <c r="AY132" s="16">
        <v>0</v>
      </c>
    </row>
    <row r="133" spans="1:51" x14ac:dyDescent="0.25">
      <c r="A133">
        <f>A132+1</f>
        <v>665</v>
      </c>
      <c r="B133" s="18">
        <v>44012.512499999997</v>
      </c>
      <c r="C133">
        <v>1</v>
      </c>
      <c r="F133" t="s">
        <v>49</v>
      </c>
      <c r="G133" s="17">
        <f>AVERAGE(90,92)</f>
        <v>91</v>
      </c>
      <c r="H133" s="17">
        <v>73</v>
      </c>
      <c r="I133" s="17">
        <v>57</v>
      </c>
      <c r="J133" s="17" t="s">
        <v>93</v>
      </c>
      <c r="K133" s="17">
        <f>AVERAGE(18,21)</f>
        <v>19.5</v>
      </c>
      <c r="L133" s="17">
        <v>20</v>
      </c>
      <c r="M133" s="16" t="s">
        <v>65</v>
      </c>
      <c r="N133" s="16" t="s">
        <v>103</v>
      </c>
      <c r="O133" s="16" t="s">
        <v>101</v>
      </c>
      <c r="P133" s="1">
        <v>4.33</v>
      </c>
      <c r="Q133" s="17">
        <v>2862</v>
      </c>
      <c r="R133" s="17">
        <v>17088</v>
      </c>
      <c r="S133" s="17">
        <f>R133-Q133</f>
        <v>14226</v>
      </c>
      <c r="T133" s="1">
        <f>(60+52)/60</f>
        <v>1.8666666666666667</v>
      </c>
      <c r="U133" s="1">
        <f>(60+52)/60</f>
        <v>1.8666666666666667</v>
      </c>
      <c r="V133" s="1">
        <f t="shared" si="85"/>
        <v>0</v>
      </c>
      <c r="W133" s="1">
        <f t="shared" ref="W133" si="113">P133/T133</f>
        <v>2.3196428571428571</v>
      </c>
      <c r="X133">
        <v>3</v>
      </c>
      <c r="Y133" s="1">
        <f t="shared" ref="Y133" si="114">P133/X133</f>
        <v>1.4433333333333334</v>
      </c>
      <c r="Z133" s="1">
        <f>25+46/60</f>
        <v>25.766666666666666</v>
      </c>
      <c r="AA133" s="17">
        <v>177</v>
      </c>
      <c r="AB133" s="17">
        <v>492</v>
      </c>
      <c r="AC133" s="17">
        <v>82</v>
      </c>
      <c r="AD133" s="17">
        <v>116</v>
      </c>
      <c r="AE133" s="1">
        <f>23+45/60</f>
        <v>23.75</v>
      </c>
      <c r="AF133" s="1">
        <f>23+27/60</f>
        <v>23.45</v>
      </c>
      <c r="AG133" s="1">
        <f>25+19/60</f>
        <v>25.316666666666666</v>
      </c>
      <c r="AH133" s="1">
        <f>20+19/60</f>
        <v>20.316666666666666</v>
      </c>
      <c r="AI133" s="1">
        <f>60/2</f>
        <v>30</v>
      </c>
      <c r="AO133">
        <v>0</v>
      </c>
      <c r="AP133">
        <v>1</v>
      </c>
      <c r="AR133" s="1">
        <f>52+17/60</f>
        <v>52.283333333333331</v>
      </c>
      <c r="AS133" s="1">
        <f>18+48/60</f>
        <v>18.8</v>
      </c>
      <c r="AT133" s="1">
        <f>8+37/60</f>
        <v>8.6166666666666671</v>
      </c>
      <c r="AU133" s="1">
        <v>0</v>
      </c>
      <c r="AV133" s="1">
        <v>0</v>
      </c>
      <c r="AW133" s="16" t="s">
        <v>29</v>
      </c>
      <c r="AX133" s="16" t="s">
        <v>30</v>
      </c>
      <c r="AY133" s="16">
        <v>0</v>
      </c>
    </row>
    <row r="134" spans="1:51" x14ac:dyDescent="0.25">
      <c r="A134">
        <f>A133+1</f>
        <v>666</v>
      </c>
      <c r="B134" s="18">
        <v>44013.49722222222</v>
      </c>
      <c r="C134">
        <v>1</v>
      </c>
      <c r="F134" t="s">
        <v>49</v>
      </c>
      <c r="G134" s="17">
        <f>AVERAGE(91,92,94)</f>
        <v>92.333333333333329</v>
      </c>
      <c r="H134" s="17">
        <f>AVERAGE(76,75)</f>
        <v>75.5</v>
      </c>
      <c r="I134" s="17">
        <f>AVERAGE(58,59,56)</f>
        <v>57.666666666666664</v>
      </c>
      <c r="J134" s="17" t="s">
        <v>93</v>
      </c>
      <c r="K134" s="17">
        <f>AVERAGE(15,13,13)</f>
        <v>13.666666666666666</v>
      </c>
      <c r="L134" s="17">
        <v>25</v>
      </c>
      <c r="M134" s="16" t="s">
        <v>65</v>
      </c>
      <c r="N134" s="16" t="s">
        <v>33</v>
      </c>
      <c r="O134" s="16" t="s">
        <v>101</v>
      </c>
      <c r="P134" s="1">
        <v>4.88</v>
      </c>
      <c r="Q134" s="17">
        <v>1252</v>
      </c>
      <c r="R134" s="17">
        <v>16054</v>
      </c>
      <c r="S134" s="17">
        <f>R134-Q134</f>
        <v>14802</v>
      </c>
      <c r="T134" s="1">
        <f>(60+52)/60</f>
        <v>1.8666666666666667</v>
      </c>
      <c r="U134" s="1">
        <f>(60+58)/60</f>
        <v>1.9666666666666666</v>
      </c>
      <c r="V134" s="1">
        <f t="shared" si="85"/>
        <v>9.9999999999999867E-2</v>
      </c>
      <c r="W134" s="1">
        <f t="shared" ref="W134" si="115">P134/T134</f>
        <v>2.6142857142857143</v>
      </c>
      <c r="X134">
        <v>3</v>
      </c>
      <c r="Y134" s="1">
        <f t="shared" ref="Y134" si="116">P134/X134</f>
        <v>1.6266666666666667</v>
      </c>
      <c r="Z134" s="1">
        <f>22+57/60</f>
        <v>22.95</v>
      </c>
      <c r="AA134" s="17">
        <v>469</v>
      </c>
      <c r="AB134" s="17">
        <v>999</v>
      </c>
      <c r="AC134" s="17">
        <v>116</v>
      </c>
      <c r="AD134" s="17">
        <v>157</v>
      </c>
      <c r="AE134" s="1">
        <f>24+43/60</f>
        <v>24.716666666666665</v>
      </c>
      <c r="AF134" s="1">
        <f>12+6/60</f>
        <v>12.1</v>
      </c>
      <c r="AG134" s="1">
        <f>22+54/60</f>
        <v>22.9</v>
      </c>
      <c r="AH134" s="1">
        <f>60/2.8</f>
        <v>21.428571428571431</v>
      </c>
      <c r="AO134">
        <v>2</v>
      </c>
      <c r="AP134">
        <v>1</v>
      </c>
      <c r="AR134" s="1">
        <f>1+23/60</f>
        <v>1.3833333333333333</v>
      </c>
      <c r="AS134" s="1">
        <f>22+44/60</f>
        <v>22.733333333333334</v>
      </c>
      <c r="AT134" s="1">
        <f>27+52/60</f>
        <v>27.866666666666667</v>
      </c>
      <c r="AU134" s="1">
        <f>57+46/60</f>
        <v>57.766666666666666</v>
      </c>
      <c r="AV134" s="1">
        <f>2+12/60</f>
        <v>2.2000000000000002</v>
      </c>
      <c r="AW134" s="16" t="s">
        <v>29</v>
      </c>
      <c r="AX134" s="16" t="s">
        <v>30</v>
      </c>
      <c r="AY134" s="16">
        <v>0</v>
      </c>
    </row>
    <row r="135" spans="1:51" x14ac:dyDescent="0.25">
      <c r="A135">
        <f t="shared" ref="A135:A139" si="117">A134+1</f>
        <v>667</v>
      </c>
      <c r="B135" s="18">
        <v>44014.55</v>
      </c>
      <c r="C135">
        <v>1</v>
      </c>
      <c r="F135" t="s">
        <v>45</v>
      </c>
      <c r="G135" s="17">
        <v>92</v>
      </c>
      <c r="H135" s="17">
        <v>76</v>
      </c>
      <c r="I135" s="17">
        <v>59</v>
      </c>
      <c r="J135" s="17" t="s">
        <v>105</v>
      </c>
      <c r="K135" s="17">
        <v>10</v>
      </c>
      <c r="L135" s="17">
        <v>0</v>
      </c>
      <c r="M135" s="16" t="s">
        <v>65</v>
      </c>
      <c r="N135" t="s">
        <v>33</v>
      </c>
      <c r="O135" t="s">
        <v>101</v>
      </c>
      <c r="P135" s="1">
        <v>2.52</v>
      </c>
      <c r="T135" s="1">
        <f>64/60</f>
        <v>1.0666666666666667</v>
      </c>
      <c r="U135" s="1">
        <f>64/60</f>
        <v>1.0666666666666667</v>
      </c>
      <c r="V135" s="1">
        <f t="shared" si="85"/>
        <v>0</v>
      </c>
      <c r="W135" s="1">
        <f t="shared" ref="W135" si="118">P135/T135</f>
        <v>2.3625000000000003</v>
      </c>
      <c r="X135">
        <v>2</v>
      </c>
      <c r="Y135" s="1">
        <f t="shared" ref="Y135" si="119">P135/X135</f>
        <v>1.26</v>
      </c>
      <c r="Z135" s="1">
        <f>25+28/60</f>
        <v>25.466666666666665</v>
      </c>
      <c r="AA135" s="17">
        <v>79</v>
      </c>
      <c r="AB135" s="17">
        <v>277</v>
      </c>
      <c r="AC135" s="17">
        <v>79</v>
      </c>
      <c r="AD135" s="17">
        <v>110</v>
      </c>
      <c r="AE135" s="1">
        <f>25+18/60</f>
        <v>25.3</v>
      </c>
      <c r="AF135" s="1">
        <f>24+59/60</f>
        <v>24.983333333333334</v>
      </c>
      <c r="AG135" s="1">
        <f>60/2.4</f>
        <v>25</v>
      </c>
      <c r="AO135">
        <v>0</v>
      </c>
      <c r="AP135">
        <v>0</v>
      </c>
      <c r="AR135" s="1">
        <f>13+23/60</f>
        <v>13.383333333333333</v>
      </c>
      <c r="AS135" s="1">
        <f>23+15/60</f>
        <v>23.25</v>
      </c>
      <c r="AT135" s="1">
        <f>39/60</f>
        <v>0.65</v>
      </c>
      <c r="AU135" s="1">
        <v>0</v>
      </c>
      <c r="AV135" s="1">
        <v>0</v>
      </c>
      <c r="AW135" s="16" t="s">
        <v>29</v>
      </c>
      <c r="AX135" s="16" t="s">
        <v>30</v>
      </c>
      <c r="AY135" s="16">
        <v>0</v>
      </c>
    </row>
    <row r="136" spans="1:51" x14ac:dyDescent="0.25">
      <c r="A136">
        <f t="shared" si="117"/>
        <v>668</v>
      </c>
      <c r="B136" s="18">
        <v>44015.503472222219</v>
      </c>
      <c r="C136">
        <v>1</v>
      </c>
      <c r="F136" t="s">
        <v>31</v>
      </c>
      <c r="G136" s="17">
        <f>AVERAGE(95,96)</f>
        <v>95.5</v>
      </c>
      <c r="H136" s="17">
        <f>AVERAGE(67,64)</f>
        <v>65.5</v>
      </c>
      <c r="I136" s="17">
        <f>AVERAGE(40,35)</f>
        <v>37.5</v>
      </c>
      <c r="J136" s="17" t="s">
        <v>95</v>
      </c>
      <c r="K136" s="17">
        <v>3</v>
      </c>
      <c r="L136" s="17">
        <v>0</v>
      </c>
      <c r="M136" s="16" t="s">
        <v>65</v>
      </c>
      <c r="N136" t="s">
        <v>103</v>
      </c>
      <c r="O136" s="16" t="s">
        <v>102</v>
      </c>
      <c r="P136" s="1">
        <v>5.08</v>
      </c>
      <c r="Q136" s="17">
        <v>995</v>
      </c>
      <c r="R136" s="17">
        <v>16402</v>
      </c>
      <c r="S136" s="17">
        <f>R136-Q136</f>
        <v>15407</v>
      </c>
      <c r="T136" s="1">
        <f>122/60</f>
        <v>2.0333333333333332</v>
      </c>
      <c r="U136" s="1">
        <f>122/60</f>
        <v>2.0333333333333332</v>
      </c>
      <c r="V136" s="1">
        <f t="shared" si="85"/>
        <v>0</v>
      </c>
      <c r="W136" s="1">
        <f t="shared" ref="W136" si="120">P136/T136</f>
        <v>2.4983606557377049</v>
      </c>
      <c r="X136">
        <v>4</v>
      </c>
      <c r="Y136" s="1">
        <f t="shared" ref="Y136" si="121">P136/X136</f>
        <v>1.27</v>
      </c>
      <c r="Z136" s="1">
        <f>24+2/60</f>
        <v>24.033333333333335</v>
      </c>
      <c r="AA136" s="17">
        <v>62</v>
      </c>
      <c r="AB136" s="17">
        <v>709</v>
      </c>
      <c r="AC136" s="17">
        <v>97</v>
      </c>
      <c r="AD136" s="17">
        <v>129</v>
      </c>
      <c r="AE136" s="1">
        <f>23+25/60</f>
        <v>23.416666666666668</v>
      </c>
      <c r="AF136" s="1">
        <f>22+45/60</f>
        <v>22.75</v>
      </c>
      <c r="AG136" s="1">
        <f>28+21/60</f>
        <v>28.35</v>
      </c>
      <c r="AH136" s="1">
        <f>25+59/60</f>
        <v>25.983333333333334</v>
      </c>
      <c r="AI136" s="1">
        <f>19+52/60</f>
        <v>19.866666666666667</v>
      </c>
      <c r="AJ136" s="1">
        <f>60/2.8</f>
        <v>21.428571428571431</v>
      </c>
      <c r="AO136">
        <v>0</v>
      </c>
      <c r="AP136">
        <v>0</v>
      </c>
      <c r="AR136" s="1">
        <f>16+9/60</f>
        <v>16.149999999999999</v>
      </c>
      <c r="AS136" s="1">
        <f>39+14/60</f>
        <v>39.233333333333334</v>
      </c>
      <c r="AT136" s="1">
        <f>27+38/60</f>
        <v>27.633333333333333</v>
      </c>
      <c r="AU136" s="1">
        <v>0</v>
      </c>
      <c r="AV136" s="1">
        <v>0</v>
      </c>
      <c r="AW136" s="16" t="s">
        <v>29</v>
      </c>
      <c r="AX136" s="16" t="s">
        <v>30</v>
      </c>
      <c r="AY136" s="16">
        <v>0</v>
      </c>
    </row>
    <row r="137" spans="1:51" x14ac:dyDescent="0.25">
      <c r="A137">
        <f t="shared" si="117"/>
        <v>669</v>
      </c>
      <c r="B137" s="18">
        <v>412910.3673611111</v>
      </c>
      <c r="C137">
        <v>1</v>
      </c>
      <c r="F137" t="s">
        <v>31</v>
      </c>
      <c r="G137" s="17">
        <f>AVERAGE(82,86)</f>
        <v>84</v>
      </c>
      <c r="H137" s="17">
        <f>AVERAGE(70,71)</f>
        <v>70.5</v>
      </c>
      <c r="I137" s="17">
        <f>AVERAGE(67,71)</f>
        <v>69</v>
      </c>
      <c r="J137" s="17" t="s">
        <v>93</v>
      </c>
      <c r="K137" s="17">
        <f>AVERAGE(5,6)</f>
        <v>5.5</v>
      </c>
      <c r="L137" s="17">
        <v>0</v>
      </c>
      <c r="M137" s="16" t="s">
        <v>65</v>
      </c>
      <c r="N137" s="16" t="s">
        <v>33</v>
      </c>
      <c r="O137" s="16" t="s">
        <v>101</v>
      </c>
      <c r="P137" s="1">
        <v>3.36</v>
      </c>
      <c r="Q137" s="17">
        <v>349</v>
      </c>
      <c r="R137" s="17">
        <v>12124</v>
      </c>
      <c r="S137" s="17">
        <f>R137-Q137</f>
        <v>11775</v>
      </c>
      <c r="T137" s="1">
        <f>(60+27)/60</f>
        <v>1.45</v>
      </c>
      <c r="U137" s="1">
        <f>(60+27)/60</f>
        <v>1.45</v>
      </c>
      <c r="V137" s="1">
        <f t="shared" si="85"/>
        <v>0</v>
      </c>
      <c r="W137" s="1">
        <f t="shared" ref="W137" si="122">P137/T137</f>
        <v>2.317241379310345</v>
      </c>
      <c r="X137">
        <v>3</v>
      </c>
      <c r="Y137" s="1">
        <f t="shared" ref="Y137" si="123">P137/X137</f>
        <v>1.1199999999999999</v>
      </c>
      <c r="Z137" s="1">
        <f>25+52/60</f>
        <v>25.866666666666667</v>
      </c>
      <c r="AA137" s="17">
        <v>46</v>
      </c>
      <c r="AB137" s="17">
        <v>996</v>
      </c>
      <c r="AC137" s="17">
        <v>129</v>
      </c>
      <c r="AD137" s="17">
        <v>149</v>
      </c>
      <c r="AE137" s="1">
        <f>24+44/60</f>
        <v>24.733333333333334</v>
      </c>
      <c r="AF137" s="1">
        <f>25+48/60</f>
        <v>25.8</v>
      </c>
      <c r="AG137" s="1">
        <f>25+59/60</f>
        <v>25.983333333333334</v>
      </c>
      <c r="AH137" s="1">
        <f>60/2.1</f>
        <v>28.571428571428569</v>
      </c>
      <c r="AO137">
        <v>0</v>
      </c>
      <c r="AP137">
        <v>1</v>
      </c>
      <c r="AR137" s="1">
        <f>2/60</f>
        <v>3.3333333333333333E-2</v>
      </c>
      <c r="AS137" s="1">
        <f>2</f>
        <v>2</v>
      </c>
      <c r="AT137" s="1">
        <f>8+43/60</f>
        <v>8.7166666666666668</v>
      </c>
      <c r="AU137" s="1">
        <f>51+31/60</f>
        <v>51.516666666666666</v>
      </c>
      <c r="AV137" s="1">
        <f>24+31/60</f>
        <v>24.516666666666666</v>
      </c>
      <c r="AW137" s="16" t="s">
        <v>29</v>
      </c>
      <c r="AX137" s="16" t="s">
        <v>30</v>
      </c>
      <c r="AY137" s="16">
        <v>0</v>
      </c>
    </row>
    <row r="138" spans="1:51" x14ac:dyDescent="0.25">
      <c r="A138">
        <f t="shared" si="117"/>
        <v>670</v>
      </c>
      <c r="B138" s="18">
        <v>44017.510416666664</v>
      </c>
      <c r="C138">
        <v>1</v>
      </c>
      <c r="F138" t="s">
        <v>31</v>
      </c>
      <c r="G138" s="17">
        <f>AVERAGE(86,89)</f>
        <v>87.5</v>
      </c>
      <c r="H138" s="17">
        <f>AVERAGE(74,72)</f>
        <v>73</v>
      </c>
      <c r="I138" s="17">
        <f>AVERAGE(67,57)</f>
        <v>62</v>
      </c>
      <c r="J138" s="17" t="s">
        <v>99</v>
      </c>
      <c r="K138" s="17">
        <v>5</v>
      </c>
      <c r="L138" s="17">
        <v>0</v>
      </c>
      <c r="M138" s="16" t="s">
        <v>65</v>
      </c>
      <c r="N138" s="16" t="s">
        <v>103</v>
      </c>
      <c r="O138" s="16" t="s">
        <v>102</v>
      </c>
      <c r="P138" s="1">
        <v>5.08</v>
      </c>
      <c r="Q138" s="17">
        <v>1593</v>
      </c>
      <c r="R138" s="17">
        <v>18923</v>
      </c>
      <c r="S138" s="17">
        <f>R138-Q138</f>
        <v>17330</v>
      </c>
      <c r="T138" s="1">
        <f>(120+9)/60</f>
        <v>2.15</v>
      </c>
      <c r="U138" s="1">
        <f>(120+10)/60</f>
        <v>2.1666666666666665</v>
      </c>
      <c r="V138" s="1">
        <f t="shared" si="85"/>
        <v>1.6666666666666607E-2</v>
      </c>
      <c r="W138" s="1">
        <f t="shared" ref="W138" si="124">P138/T138</f>
        <v>2.3627906976744186</v>
      </c>
      <c r="X138">
        <v>4</v>
      </c>
      <c r="Y138" s="1">
        <f t="shared" ref="Y138" si="125">P138/X138</f>
        <v>1.27</v>
      </c>
      <c r="Z138" s="1">
        <f>25+25/60</f>
        <v>25.416666666666668</v>
      </c>
      <c r="AA138" s="17">
        <v>79</v>
      </c>
      <c r="AB138" s="17">
        <v>680</v>
      </c>
      <c r="AC138" s="17">
        <v>97</v>
      </c>
      <c r="AD138" s="17">
        <v>132</v>
      </c>
      <c r="AE138" s="1">
        <f>25+50/60</f>
        <v>25.833333333333332</v>
      </c>
      <c r="AF138" s="1">
        <f>28+40/60</f>
        <v>28.666666666666668</v>
      </c>
      <c r="AG138" s="1">
        <f>24+18/60</f>
        <v>24.3</v>
      </c>
      <c r="AH138" s="1">
        <f>23+41/60</f>
        <v>23.683333333333334</v>
      </c>
      <c r="AI138" s="1">
        <f>24+48/60</f>
        <v>24.8</v>
      </c>
      <c r="AJ138" s="1">
        <f>60/2.6</f>
        <v>23.076923076923077</v>
      </c>
      <c r="AO138">
        <v>0</v>
      </c>
      <c r="AP138">
        <v>0</v>
      </c>
      <c r="AQ138" s="16">
        <v>0</v>
      </c>
      <c r="AR138" s="1">
        <f>38+56/60</f>
        <v>38.93333333333333</v>
      </c>
      <c r="AS138" s="1">
        <f>46+46/60</f>
        <v>46.766666666666666</v>
      </c>
      <c r="AT138" s="1">
        <f>18+40/60</f>
        <v>18.666666666666668</v>
      </c>
      <c r="AU138" s="1">
        <f>18+38/60</f>
        <v>18.633333333333333</v>
      </c>
      <c r="AV138" s="1">
        <v>0</v>
      </c>
      <c r="AW138" s="16" t="s">
        <v>29</v>
      </c>
      <c r="AX138" s="16" t="s">
        <v>30</v>
      </c>
      <c r="AY138" s="16">
        <v>0</v>
      </c>
    </row>
    <row r="139" spans="1:51" x14ac:dyDescent="0.25">
      <c r="A139">
        <f t="shared" si="117"/>
        <v>671</v>
      </c>
      <c r="B139" s="18">
        <v>44018.425000000003</v>
      </c>
      <c r="C139">
        <v>1</v>
      </c>
      <c r="F139" t="s">
        <v>49</v>
      </c>
      <c r="G139" s="17">
        <f>AVERAGE(76,77)</f>
        <v>76.5</v>
      </c>
      <c r="H139" s="17">
        <f>AVERAGE(76,75)</f>
        <v>75.5</v>
      </c>
      <c r="I139" s="17">
        <f>AVERAGE(100,94)</f>
        <v>97</v>
      </c>
      <c r="J139" s="17" t="s">
        <v>97</v>
      </c>
      <c r="K139" s="17">
        <v>0</v>
      </c>
      <c r="L139" s="17">
        <v>0</v>
      </c>
      <c r="M139" s="16" t="s">
        <v>65</v>
      </c>
      <c r="N139" s="16" t="s">
        <v>33</v>
      </c>
      <c r="O139" s="16" t="s">
        <v>102</v>
      </c>
      <c r="P139" s="1">
        <v>5.16</v>
      </c>
      <c r="Q139" s="17">
        <v>904</v>
      </c>
      <c r="R139" s="17">
        <v>16075</v>
      </c>
      <c r="S139" s="17">
        <f>R139-Q139</f>
        <v>15171</v>
      </c>
      <c r="T139" s="1">
        <f>(120+1)/60</f>
        <v>2.0166666666666666</v>
      </c>
      <c r="U139" s="1">
        <f>(120+2)/60</f>
        <v>2.0333333333333332</v>
      </c>
      <c r="V139" s="1">
        <f t="shared" si="85"/>
        <v>1.6666666666666607E-2</v>
      </c>
      <c r="W139" s="1">
        <f t="shared" ref="W139" si="126">P139/T139</f>
        <v>2.5586776859504132</v>
      </c>
      <c r="X139">
        <v>4</v>
      </c>
      <c r="Y139" s="1">
        <f t="shared" ref="Y139" si="127">P139/X139</f>
        <v>1.29</v>
      </c>
      <c r="Z139" s="1">
        <f>23+28/60</f>
        <v>23.466666666666665</v>
      </c>
      <c r="AA139" s="17">
        <v>121</v>
      </c>
      <c r="AB139" s="17">
        <v>611</v>
      </c>
      <c r="AC139" s="17">
        <v>88</v>
      </c>
      <c r="AD139" s="17">
        <v>133</v>
      </c>
      <c r="AE139" s="1">
        <f>21+5/60</f>
        <v>21.083333333333332</v>
      </c>
      <c r="AF139" s="1">
        <f>25+37/60</f>
        <v>25.616666666666667</v>
      </c>
      <c r="AG139" s="1">
        <f>22+29/60</f>
        <v>22.483333333333334</v>
      </c>
      <c r="AH139" s="1">
        <f>23+14/60</f>
        <v>23.233333333333334</v>
      </c>
      <c r="AI139" s="1">
        <f>24+49/60</f>
        <v>24.816666666666666</v>
      </c>
      <c r="AJ139" s="1">
        <f>60/2.5</f>
        <v>24</v>
      </c>
      <c r="AO139">
        <v>1</v>
      </c>
      <c r="AP139">
        <v>3</v>
      </c>
      <c r="AQ139" s="16">
        <v>1</v>
      </c>
      <c r="AR139" s="1">
        <f>68+50/60</f>
        <v>68.833333333333329</v>
      </c>
      <c r="AS139" s="1">
        <f>29+24/60</f>
        <v>29.4</v>
      </c>
      <c r="AT139" s="1">
        <f>11</f>
        <v>11</v>
      </c>
      <c r="AU139" s="1">
        <f>4+49/60</f>
        <v>4.8166666666666664</v>
      </c>
      <c r="AV139" s="1">
        <v>0</v>
      </c>
      <c r="AW139" s="16" t="s">
        <v>29</v>
      </c>
      <c r="AX139" s="16" t="s">
        <v>30</v>
      </c>
      <c r="AY139" s="1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2020-07-07T00:33:06Z</dcterms:modified>
</cp:coreProperties>
</file>