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5" i="1" l="1"/>
  <c r="Z35" i="1"/>
  <c r="Y35" i="1"/>
  <c r="X35" i="1"/>
  <c r="W35" i="1"/>
  <c r="Q35" i="1"/>
  <c r="N35" i="1"/>
  <c r="P35" i="1"/>
  <c r="M35" i="1"/>
  <c r="B35" i="1"/>
  <c r="A35" i="1"/>
  <c r="AA34" i="1" l="1"/>
  <c r="Z34" i="1"/>
  <c r="Y34" i="1"/>
  <c r="X34" i="1"/>
  <c r="W34" i="1"/>
  <c r="Q34" i="1"/>
  <c r="P34" i="1"/>
  <c r="N34" i="1"/>
  <c r="M34" i="1"/>
  <c r="B34" i="1"/>
  <c r="A34" i="1"/>
  <c r="AA33" i="1" l="1"/>
  <c r="Z33" i="1"/>
  <c r="Y33" i="1"/>
  <c r="X33" i="1"/>
  <c r="W33" i="1"/>
  <c r="Q33" i="1"/>
  <c r="P33" i="1"/>
  <c r="N33" i="1"/>
  <c r="M33" i="1"/>
  <c r="B33" i="1"/>
  <c r="A33" i="1"/>
  <c r="AA32" i="1" l="1"/>
  <c r="Z32" i="1"/>
  <c r="Y32" i="1"/>
  <c r="X32" i="1"/>
  <c r="W32" i="1"/>
  <c r="Q32" i="1"/>
  <c r="P32" i="1"/>
  <c r="N32" i="1"/>
  <c r="M32" i="1"/>
  <c r="B32" i="1"/>
  <c r="A32" i="1"/>
  <c r="AA31" i="1" l="1"/>
  <c r="Z31" i="1"/>
  <c r="Y31" i="1"/>
  <c r="X31" i="1"/>
  <c r="W31" i="1"/>
  <c r="Q31" i="1"/>
  <c r="P31" i="1"/>
  <c r="N31" i="1"/>
  <c r="M31" i="1"/>
  <c r="B31" i="1"/>
  <c r="A31" i="1"/>
  <c r="AA30" i="1" l="1"/>
  <c r="Z30" i="1"/>
  <c r="Y30" i="1"/>
  <c r="X30" i="1"/>
  <c r="W30" i="1"/>
  <c r="Q30" i="1"/>
  <c r="P30" i="1"/>
  <c r="N30" i="1"/>
  <c r="M30" i="1"/>
  <c r="B30" i="1"/>
  <c r="A30" i="1"/>
  <c r="B29" i="1"/>
  <c r="A29" i="1"/>
  <c r="AA28" i="1" l="1"/>
  <c r="Z28" i="1"/>
  <c r="Y28" i="1"/>
  <c r="X28" i="1"/>
  <c r="W28" i="1"/>
  <c r="Q28" i="1"/>
  <c r="P28" i="1"/>
  <c r="N28" i="1"/>
  <c r="M28" i="1"/>
  <c r="AB27" i="1" l="1"/>
  <c r="AA27" i="1"/>
  <c r="Z27" i="1"/>
  <c r="Y27" i="1"/>
  <c r="X27" i="1"/>
  <c r="W27" i="1"/>
  <c r="Q27" i="1"/>
  <c r="P27" i="1"/>
  <c r="M27" i="1"/>
  <c r="N27" i="1" s="1"/>
  <c r="AA26" i="1" l="1"/>
  <c r="Z26" i="1"/>
  <c r="Y26" i="1"/>
  <c r="X26" i="1"/>
  <c r="W26" i="1"/>
  <c r="Q26" i="1"/>
  <c r="P26" i="1"/>
  <c r="N26" i="1"/>
  <c r="M26" i="1"/>
  <c r="AB22" i="1" l="1"/>
  <c r="Z22" i="1"/>
  <c r="AA22" i="1"/>
  <c r="Y22" i="1"/>
  <c r="X22" i="1"/>
  <c r="W22" i="1"/>
  <c r="Q22" i="1"/>
  <c r="P22" i="1"/>
  <c r="M22" i="1"/>
  <c r="N22" i="1" s="1"/>
  <c r="Z24" i="1"/>
  <c r="Y24" i="1"/>
  <c r="X24" i="1"/>
  <c r="W24" i="1"/>
  <c r="R24" i="1"/>
  <c r="M24" i="1"/>
  <c r="N24" i="1" s="1"/>
  <c r="Q24" i="1"/>
  <c r="P24" i="1"/>
  <c r="Z21" i="1" l="1"/>
  <c r="Y21" i="1"/>
  <c r="X21" i="1"/>
  <c r="W21" i="1"/>
  <c r="Q21" i="1"/>
  <c r="P21" i="1"/>
  <c r="M21" i="1"/>
  <c r="N21" i="1" s="1"/>
  <c r="AA2" i="1" l="1"/>
  <c r="Z2" i="1"/>
  <c r="Y2" i="1"/>
  <c r="X2" i="1"/>
  <c r="W2" i="1"/>
  <c r="Q2" i="1"/>
  <c r="AA20" i="1"/>
  <c r="Z20" i="1"/>
  <c r="Y20" i="1"/>
  <c r="X20" i="1"/>
  <c r="W20" i="1"/>
  <c r="Q20" i="1"/>
  <c r="M20" i="1"/>
  <c r="N20" i="1" s="1"/>
  <c r="P20" i="1"/>
  <c r="P19" i="1"/>
  <c r="L20" i="1"/>
  <c r="Q19" i="1"/>
  <c r="M19" i="1"/>
  <c r="N19" i="1" s="1"/>
  <c r="P3" i="1" l="1"/>
  <c r="A4" i="1"/>
  <c r="A3" i="1" s="1"/>
  <c r="B5" i="1" l="1"/>
  <c r="AA17" i="1"/>
  <c r="Z17" i="1"/>
  <c r="Y17" i="1"/>
  <c r="X17" i="1"/>
  <c r="W17" i="1"/>
  <c r="Q17" i="1"/>
  <c r="N17" i="1"/>
  <c r="M17" i="1"/>
  <c r="A6" i="1" l="1"/>
  <c r="AB16" i="1"/>
  <c r="AA16" i="1"/>
  <c r="Z16" i="1"/>
  <c r="Y16" i="1"/>
  <c r="X16" i="1"/>
  <c r="W16" i="1"/>
  <c r="Q16" i="1"/>
  <c r="P16" i="1"/>
  <c r="M16" i="1"/>
  <c r="N16" i="1" s="1"/>
  <c r="AA15" i="1" l="1"/>
  <c r="Z15" i="1"/>
  <c r="Y15" i="1"/>
  <c r="X15" i="1"/>
  <c r="W15" i="1"/>
  <c r="Q15" i="1"/>
  <c r="P15" i="1"/>
  <c r="N15" i="1"/>
  <c r="M15" i="1"/>
  <c r="L15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11" i="1"/>
  <c r="AB14" i="1" l="1"/>
  <c r="AA14" i="1"/>
  <c r="Z14" i="1"/>
  <c r="Y14" i="1"/>
  <c r="X14" i="1"/>
  <c r="W14" i="1"/>
  <c r="Q14" i="1"/>
  <c r="P14" i="1"/>
  <c r="M14" i="1"/>
  <c r="N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AA9" i="1" l="1"/>
  <c r="Z9" i="1"/>
  <c r="Y9" i="1"/>
  <c r="X9" i="1"/>
  <c r="W9" i="1"/>
  <c r="Q9" i="1"/>
  <c r="P9" i="1"/>
  <c r="N9" i="1"/>
  <c r="M9" i="1"/>
  <c r="AA8" i="1"/>
  <c r="Z8" i="1"/>
  <c r="Y8" i="1"/>
  <c r="X8" i="1"/>
  <c r="W8" i="1"/>
  <c r="Q8" i="1"/>
  <c r="M8" i="1"/>
  <c r="P8" i="1" s="1"/>
  <c r="A7" i="1"/>
  <c r="A8" i="1" s="1"/>
  <c r="A9" i="1" s="1"/>
  <c r="N8" i="1" l="1"/>
  <c r="AB6" i="1"/>
  <c r="AA6" i="1"/>
  <c r="Z6" i="1"/>
  <c r="Y6" i="1"/>
  <c r="X6" i="1"/>
  <c r="W6" i="1"/>
  <c r="Q6" i="1"/>
  <c r="P6" i="1"/>
  <c r="M6" i="1"/>
  <c r="N6" i="1" s="1"/>
  <c r="Y7" i="1"/>
  <c r="X7" i="1"/>
  <c r="W7" i="1"/>
  <c r="Q7" i="1"/>
  <c r="O7" i="1"/>
  <c r="P7" i="1" s="1"/>
  <c r="M7" i="1"/>
  <c r="N7" i="1" s="1"/>
  <c r="L7" i="1"/>
  <c r="B4" i="1"/>
  <c r="B3" i="1" s="1"/>
</calcChain>
</file>

<file path=xl/sharedStrings.xml><?xml version="1.0" encoding="utf-8"?>
<sst xmlns="http://schemas.openxmlformats.org/spreadsheetml/2006/main" count="178" uniqueCount="66">
  <si>
    <t>id</t>
  </si>
  <si>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</si>
  <si>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</si>
  <si>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</si>
  <si>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</si>
  <si>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</si>
  <si>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</si>
  <si>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</si>
  <si>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</si>
  <si>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</si>
  <si>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</si>
  <si>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</si>
  <si>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</si>
  <si>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</si>
  <si>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kcal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</si>
  <si>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</si>
  <si>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</si>
  <si>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</si>
  <si>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</si>
  <si>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</si>
  <si>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</si>
  <si>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</si>
  <si>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</si>
  <si>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</si>
  <si>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</si>
  <si>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</si>
  <si>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</si>
  <si>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</si>
  <si>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</si>
  <si>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</si>
  <si>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</si>
  <si>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date</t>
  </si>
  <si>
    <t>Parks Mall</t>
  </si>
  <si>
    <t>start_time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</si>
  <si>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</si>
  <si>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</si>
  <si>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</si>
  <si>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</si>
  <si>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</si>
  <si>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</si>
  <si>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</si>
  <si>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</si>
  <si>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</si>
  <si>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weather</t>
  </si>
  <si>
    <t>Day off</t>
  </si>
  <si>
    <t>Light Rain</t>
  </si>
  <si>
    <t>Doctor visit</t>
  </si>
  <si>
    <t>Enchanted Lakes</t>
  </si>
  <si>
    <t>Sunny</t>
  </si>
  <si>
    <t>Rain</t>
  </si>
  <si>
    <t>Garmin vivoactive</t>
  </si>
  <si>
    <t>Little Road</t>
  </si>
  <si>
    <t>Veterans Park</t>
  </si>
  <si>
    <t>Lost walk data</t>
  </si>
  <si>
    <t>Vandergriff Park</t>
  </si>
  <si>
    <t>Cloudy</t>
  </si>
  <si>
    <t>Perkins Road</t>
  </si>
  <si>
    <t>Loast data</t>
  </si>
  <si>
    <t>Lost data</t>
  </si>
  <si>
    <t>Fish Creek Linear Park</t>
  </si>
  <si>
    <t>Stoval Park</t>
  </si>
  <si>
    <t>Mostly Cloudy</t>
  </si>
  <si>
    <t>Vetrans - Kelly Loop</t>
  </si>
  <si>
    <t>Operztor error</t>
  </si>
  <si>
    <t>floors_up</t>
  </si>
  <si>
    <t>partly Cloudy'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</si>
</sst>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2">
    <xf numFmtId="0" fontId="0" fillId="0" borderId="0" xfId="0"/>
    <xf numFmtId="2" fontId="0" fillId="0" borderId="0" xfId="0" applyNumberFormat="1"/>
    <xf numFmtId="20" fontId="0" fillId="0" borderId="0" xfId="0" quotePrefix="1" applyNumberFormat="1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abSelected="1" topLeftCell="H1" workbookViewId="0">
      <pane ySplit="1" topLeftCell="A26" activePane="bottomLeft" state="frozen"/>
      <selection activeCell="B1" sqref="B1"/>
      <selection pane="bottomLeft" activeCell="N31" sqref="N31"/>
    </sheetView>
  </sheetViews>
  <sheetFormatPr defaultRowHeight="15" x14ac:dyDescent="0.25"/>
  <cols>
    <col min="2" max="2" width="11.28515625" style="4" customWidth="1"/>
    <col min="4" max="4" width="16.28515625" customWidth="1"/>
    <col min="5" max="5" width="10.140625" customWidth="1"/>
    <col min="6" max="6" width="20" customWidth="1"/>
    <col min="9" max="9" width="9.85546875" customWidth="1"/>
    <col min="10" max="10" width="26" customWidth="1"/>
    <col min="11" max="11" width="9.140625" style="1"/>
    <col min="13" max="14" width="9.140625" style="1"/>
    <col min="16" max="17" width="9.140625" style="1"/>
    <col min="19" max="19" width="9.140625" style="20"/>
    <col min="23" max="28" width="9.140625" style="1"/>
    <col min="33" max="33" width="18.5703125" customWidth="1"/>
    <col min="35" max="35" width="11.140625" customWidth="1"/>
    <col min="36" max="36" width="14.42578125" customWidth="1"/>
  </cols>
  <sheetData>
    <row r="1" spans="1:36" x14ac:dyDescent="0.25">
      <c r="A1" t="s">
        <v>0</v>
      </c>
      <c r="B1" s="4" t="s">
        <v>31</v>
      </c>
      <c r="C1" t="s">
        <v>1</v>
      </c>
      <c r="D1" t="s">
        <v>2</v>
      </c>
      <c r="E1" t="s">
        <v>33</v>
      </c>
      <c r="F1" t="s">
        <v>43</v>
      </c>
      <c r="G1" t="s">
        <v>3</v>
      </c>
      <c r="H1" t="s">
        <v>4</v>
      </c>
      <c r="I1" t="s">
        <v>30</v>
      </c>
      <c r="J1" t="s">
        <v>5</v>
      </c>
      <c r="K1" s="1" t="s">
        <v>6</v>
      </c>
      <c r="L1" t="s">
        <v>7</v>
      </c>
      <c r="M1" s="1" t="s">
        <v>8</v>
      </c>
      <c r="N1" s="1" t="s">
        <v>9</v>
      </c>
      <c r="O1" t="s">
        <v>10</v>
      </c>
      <c r="P1" s="1" t="s">
        <v>11</v>
      </c>
      <c r="Q1" s="1" t="s">
        <v>12</v>
      </c>
      <c r="R1" t="s">
        <v>13</v>
      </c>
      <c r="S1" s="1" t="s">
        <v>64</v>
      </c>
      <c r="T1" t="s">
        <v>14</v>
      </c>
      <c r="U1" t="s">
        <v>15</v>
      </c>
      <c r="V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39</v>
      </c>
    </row>
    <row r="2" spans="1:36" s="20" customFormat="1" x14ac:dyDescent="0.25">
      <c r="A2" s="20">
        <v>518</v>
      </c>
      <c r="B2" s="4">
        <v>43882</v>
      </c>
      <c r="C2" s="20">
        <v>1</v>
      </c>
      <c r="E2" s="3">
        <v>0.70833333333333337</v>
      </c>
      <c r="F2" s="20" t="s">
        <v>55</v>
      </c>
      <c r="G2" s="20">
        <v>54</v>
      </c>
      <c r="H2" s="20">
        <v>98</v>
      </c>
      <c r="I2" s="20" t="s">
        <v>38</v>
      </c>
      <c r="J2" s="20" t="s">
        <v>32</v>
      </c>
      <c r="K2" s="20">
        <v>5.19</v>
      </c>
      <c r="M2" s="1">
        <v>1.55</v>
      </c>
      <c r="N2" s="20">
        <v>3.35</v>
      </c>
      <c r="O2" s="20">
        <v>3</v>
      </c>
      <c r="P2" s="20">
        <v>1.73</v>
      </c>
      <c r="Q2" s="1">
        <f>16+46/60</f>
        <v>16.766666666666666</v>
      </c>
      <c r="R2" s="20">
        <v>220</v>
      </c>
      <c r="T2" s="20">
        <v>667</v>
      </c>
      <c r="U2" s="20">
        <v>101</v>
      </c>
      <c r="V2" s="20">
        <v>150</v>
      </c>
      <c r="W2" s="1">
        <f>16+11.7/60</f>
        <v>16.195</v>
      </c>
      <c r="X2" s="1">
        <f>16+55.8/60</f>
        <v>16.93</v>
      </c>
      <c r="Y2" s="1">
        <f>16+53.8/60</f>
        <v>16.896666666666668</v>
      </c>
      <c r="Z2" s="1">
        <f>17+8.8/60</f>
        <v>17.146666666666668</v>
      </c>
      <c r="AA2" s="1">
        <f>60/3.6</f>
        <v>16.666666666666668</v>
      </c>
      <c r="AB2" s="1"/>
      <c r="AC2" s="1"/>
      <c r="AD2" s="1"/>
      <c r="AE2" s="20">
        <v>1</v>
      </c>
      <c r="AF2" s="20">
        <v>1</v>
      </c>
      <c r="AG2" s="20" t="s">
        <v>50</v>
      </c>
      <c r="AH2" s="20" t="s">
        <v>35</v>
      </c>
      <c r="AI2" s="20">
        <v>0</v>
      </c>
    </row>
    <row r="3" spans="1:36" s="12" customFormat="1" x14ac:dyDescent="0.25">
      <c r="A3" s="13">
        <f>A4-1</f>
        <v>537</v>
      </c>
      <c r="B3" s="4">
        <f>B4-1</f>
        <v>43883</v>
      </c>
      <c r="C3" s="12">
        <v>1</v>
      </c>
      <c r="E3" s="3">
        <v>0.58333333333333337</v>
      </c>
      <c r="F3" s="14" t="s">
        <v>48</v>
      </c>
      <c r="G3" s="15">
        <v>77</v>
      </c>
      <c r="H3" s="15">
        <v>42</v>
      </c>
      <c r="I3" s="16" t="s">
        <v>38</v>
      </c>
      <c r="J3" s="18" t="s">
        <v>54</v>
      </c>
      <c r="K3" s="18">
        <v>5.62</v>
      </c>
      <c r="M3" s="1">
        <v>1.53</v>
      </c>
      <c r="N3" s="1">
        <v>3.93</v>
      </c>
      <c r="O3" s="12">
        <v>2</v>
      </c>
      <c r="P3" s="1">
        <f>K3/O3</f>
        <v>2.81</v>
      </c>
      <c r="Q3" s="19">
        <v>16.350000000000001</v>
      </c>
      <c r="R3" s="20">
        <v>125</v>
      </c>
      <c r="S3" s="20"/>
      <c r="T3" s="20">
        <v>943</v>
      </c>
      <c r="U3" s="20">
        <v>124</v>
      </c>
      <c r="V3" s="20">
        <v>140</v>
      </c>
      <c r="W3" s="20">
        <v>15.62</v>
      </c>
      <c r="X3" s="1">
        <v>16.3</v>
      </c>
      <c r="Y3" s="20">
        <v>16.079999999999998</v>
      </c>
      <c r="Z3" s="20">
        <v>15.83</v>
      </c>
      <c r="AA3" s="20">
        <v>16.5</v>
      </c>
      <c r="AB3" s="20">
        <v>16.22</v>
      </c>
      <c r="AC3" s="20"/>
      <c r="AD3" s="20"/>
      <c r="AE3" s="20">
        <v>1</v>
      </c>
      <c r="AF3" s="20">
        <v>0</v>
      </c>
      <c r="AG3" s="20" t="s">
        <v>50</v>
      </c>
      <c r="AH3" s="20" t="s">
        <v>35</v>
      </c>
      <c r="AI3" s="20">
        <v>0</v>
      </c>
      <c r="AJ3" s="20"/>
    </row>
    <row r="4" spans="1:36" x14ac:dyDescent="0.25">
      <c r="A4" s="12">
        <f>A5-1</f>
        <v>538</v>
      </c>
      <c r="B4" s="4">
        <f>B5-1</f>
        <v>43884</v>
      </c>
      <c r="C4">
        <v>1</v>
      </c>
      <c r="E4" s="3">
        <v>0.41666666666666669</v>
      </c>
      <c r="F4" s="20" t="s">
        <v>36</v>
      </c>
      <c r="G4" s="6">
        <v>74</v>
      </c>
      <c r="H4" s="6">
        <v>64</v>
      </c>
      <c r="I4" s="17" t="s">
        <v>38</v>
      </c>
      <c r="J4" s="7" t="s">
        <v>52</v>
      </c>
      <c r="K4" s="9">
        <v>4.91</v>
      </c>
      <c r="L4" s="9"/>
      <c r="M4" s="1">
        <v>1.25</v>
      </c>
      <c r="N4" s="9">
        <v>3.93</v>
      </c>
      <c r="O4" s="9">
        <v>2</v>
      </c>
      <c r="P4" s="9">
        <v>2.46</v>
      </c>
      <c r="Q4" s="10">
        <v>17.28</v>
      </c>
      <c r="R4" s="10">
        <v>269</v>
      </c>
      <c r="T4" s="10">
        <v>648</v>
      </c>
      <c r="U4" s="10">
        <v>96</v>
      </c>
      <c r="V4" s="10">
        <v>146</v>
      </c>
      <c r="W4" s="11">
        <v>17.03</v>
      </c>
      <c r="X4" s="1">
        <v>16.62</v>
      </c>
      <c r="Y4" s="11">
        <v>17.78</v>
      </c>
      <c r="Z4" s="11">
        <v>16.75</v>
      </c>
      <c r="AA4" s="11">
        <v>17.14</v>
      </c>
      <c r="AC4" s="1"/>
      <c r="AD4" s="1"/>
      <c r="AE4" s="12">
        <v>1</v>
      </c>
      <c r="AF4" s="12">
        <v>0</v>
      </c>
      <c r="AG4" s="12" t="s">
        <v>50</v>
      </c>
      <c r="AH4" s="12" t="s">
        <v>35</v>
      </c>
      <c r="AI4" s="12">
        <v>0</v>
      </c>
      <c r="AJ4" s="12"/>
    </row>
    <row r="5" spans="1:36" x14ac:dyDescent="0.25">
      <c r="A5">
        <v>539</v>
      </c>
      <c r="B5" s="4">
        <f>B6-1</f>
        <v>43885</v>
      </c>
      <c r="C5">
        <v>1</v>
      </c>
      <c r="E5" s="3">
        <v>0.39374999999999999</v>
      </c>
      <c r="F5" t="s">
        <v>49</v>
      </c>
      <c r="G5">
        <v>50</v>
      </c>
      <c r="H5">
        <v>60</v>
      </c>
      <c r="I5" t="s">
        <v>38</v>
      </c>
      <c r="J5" t="s">
        <v>32</v>
      </c>
      <c r="K5">
        <v>5.47</v>
      </c>
      <c r="L5">
        <v>12521</v>
      </c>
      <c r="M5" s="1">
        <v>1.58</v>
      </c>
      <c r="N5">
        <v>3.45</v>
      </c>
      <c r="O5">
        <v>4</v>
      </c>
      <c r="P5">
        <v>1.37</v>
      </c>
      <c r="Q5">
        <v>17.399999999999999</v>
      </c>
      <c r="R5">
        <v>54</v>
      </c>
      <c r="T5">
        <v>1095</v>
      </c>
      <c r="U5">
        <v>126</v>
      </c>
      <c r="V5">
        <v>147</v>
      </c>
      <c r="W5">
        <v>19.12</v>
      </c>
      <c r="X5" s="1">
        <v>20.329999999999998</v>
      </c>
      <c r="Y5">
        <v>21.63</v>
      </c>
      <c r="Z5">
        <v>20.350000000000001</v>
      </c>
      <c r="AA5">
        <v>20</v>
      </c>
      <c r="AB5"/>
      <c r="AF5">
        <v>1</v>
      </c>
      <c r="AG5">
        <v>0</v>
      </c>
      <c r="AH5" t="s">
        <v>50</v>
      </c>
      <c r="AI5" t="s">
        <v>35</v>
      </c>
      <c r="AJ5">
        <v>0</v>
      </c>
    </row>
    <row r="6" spans="1:36" x14ac:dyDescent="0.25">
      <c r="A6">
        <f>A5+1</f>
        <v>540</v>
      </c>
      <c r="B6" s="4">
        <v>43886</v>
      </c>
      <c r="C6">
        <v>1</v>
      </c>
      <c r="E6" s="2">
        <v>0.61805555555555558</v>
      </c>
      <c r="F6" t="s">
        <v>36</v>
      </c>
      <c r="G6">
        <v>62</v>
      </c>
      <c r="H6">
        <v>80</v>
      </c>
      <c r="I6" t="s">
        <v>38</v>
      </c>
      <c r="J6" t="s">
        <v>37</v>
      </c>
      <c r="K6" s="1">
        <v>5.49</v>
      </c>
      <c r="M6" s="1">
        <f>87/60</f>
        <v>1.45</v>
      </c>
      <c r="N6" s="1">
        <f>K6/M6</f>
        <v>3.7862068965517244</v>
      </c>
      <c r="O6">
        <v>1</v>
      </c>
      <c r="P6" s="1">
        <f>K6/O6</f>
        <v>5.49</v>
      </c>
      <c r="Q6" s="1">
        <f>15+45/60</f>
        <v>15.75</v>
      </c>
      <c r="R6">
        <v>30</v>
      </c>
      <c r="T6">
        <v>965</v>
      </c>
      <c r="U6">
        <v>132</v>
      </c>
      <c r="V6">
        <v>159</v>
      </c>
      <c r="W6" s="1">
        <f>15+37/60</f>
        <v>15.616666666666667</v>
      </c>
      <c r="X6" s="1">
        <f>15+50/60</f>
        <v>15.833333333333334</v>
      </c>
      <c r="Y6" s="1">
        <f>15+33/60</f>
        <v>15.55</v>
      </c>
      <c r="Z6" s="1">
        <f>15+27/60</f>
        <v>15.45</v>
      </c>
      <c r="AA6" s="1">
        <f>16+11/60</f>
        <v>16.183333333333334</v>
      </c>
      <c r="AB6" s="1">
        <f>60/3.8</f>
        <v>15.789473684210527</v>
      </c>
      <c r="AE6">
        <v>0</v>
      </c>
      <c r="AF6">
        <v>0</v>
      </c>
      <c r="AG6" t="s">
        <v>34</v>
      </c>
      <c r="AH6" t="s">
        <v>35</v>
      </c>
      <c r="AI6">
        <v>0</v>
      </c>
    </row>
    <row r="7" spans="1:36" x14ac:dyDescent="0.25">
      <c r="A7">
        <f>A6+1</f>
        <v>541</v>
      </c>
      <c r="B7" s="4">
        <v>43887</v>
      </c>
      <c r="C7">
        <v>1</v>
      </c>
      <c r="E7" s="3">
        <v>0.3888888888888889</v>
      </c>
      <c r="F7" t="s">
        <v>36</v>
      </c>
      <c r="G7">
        <v>44</v>
      </c>
      <c r="H7">
        <v>45</v>
      </c>
      <c r="I7" t="s">
        <v>38</v>
      </c>
      <c r="J7" s="20" t="s">
        <v>32</v>
      </c>
      <c r="K7" s="1">
        <v>2.86</v>
      </c>
      <c r="L7">
        <f>9769-843</f>
        <v>8926</v>
      </c>
      <c r="M7" s="1">
        <f>79/60</f>
        <v>1.3166666666666667</v>
      </c>
      <c r="N7" s="1">
        <f>K7/M7</f>
        <v>2.1721518987341772</v>
      </c>
      <c r="O7">
        <f>2</f>
        <v>2</v>
      </c>
      <c r="P7" s="1">
        <f>K7/O7</f>
        <v>1.43</v>
      </c>
      <c r="Q7" s="1">
        <f>27+34/60</f>
        <v>27.566666666666666</v>
      </c>
      <c r="R7">
        <v>54</v>
      </c>
      <c r="T7">
        <v>649</v>
      </c>
      <c r="U7">
        <v>110</v>
      </c>
      <c r="V7">
        <v>146</v>
      </c>
      <c r="W7" s="1">
        <f>16+46/60</f>
        <v>16.766666666666666</v>
      </c>
      <c r="X7" s="1">
        <f>24+41/60</f>
        <v>24.683333333333334</v>
      </c>
      <c r="Y7" s="1">
        <f>37+16/60</f>
        <v>37.266666666666666</v>
      </c>
      <c r="AE7">
        <v>0</v>
      </c>
      <c r="AF7">
        <v>0</v>
      </c>
      <c r="AG7" t="s">
        <v>34</v>
      </c>
      <c r="AH7" t="s">
        <v>35</v>
      </c>
      <c r="AI7">
        <v>0</v>
      </c>
    </row>
    <row r="8" spans="1:36" x14ac:dyDescent="0.25">
      <c r="A8">
        <f>A7+1</f>
        <v>542</v>
      </c>
      <c r="B8" s="4">
        <v>43888</v>
      </c>
      <c r="C8">
        <v>1</v>
      </c>
      <c r="E8" s="3">
        <v>0.6069444444444444</v>
      </c>
      <c r="F8" t="s">
        <v>36</v>
      </c>
      <c r="G8">
        <v>54</v>
      </c>
      <c r="H8">
        <v>29</v>
      </c>
      <c r="I8" t="s">
        <v>41</v>
      </c>
      <c r="J8" t="s">
        <v>40</v>
      </c>
      <c r="K8" s="1">
        <v>4.6100000000000003</v>
      </c>
      <c r="L8">
        <v>9972</v>
      </c>
      <c r="M8" s="1">
        <f>73/60</f>
        <v>1.2166666666666666</v>
      </c>
      <c r="N8" s="1">
        <f>K8/M8</f>
        <v>3.7890410958904117</v>
      </c>
      <c r="O8">
        <v>1</v>
      </c>
      <c r="P8" s="1">
        <f>K8/M8</f>
        <v>3.7890410958904117</v>
      </c>
      <c r="Q8" s="1">
        <f>15+52/60</f>
        <v>15.866666666666667</v>
      </c>
      <c r="R8">
        <v>174</v>
      </c>
      <c r="T8">
        <v>630</v>
      </c>
      <c r="U8">
        <v>106</v>
      </c>
      <c r="V8">
        <v>148</v>
      </c>
      <c r="W8" s="1">
        <f>15+26/60</f>
        <v>15.433333333333334</v>
      </c>
      <c r="X8" s="1">
        <f>15+51/60</f>
        <v>15.85</v>
      </c>
      <c r="Y8" s="1">
        <f>16+10.1/60</f>
        <v>16.168333333333333</v>
      </c>
      <c r="Z8" s="1">
        <f>16+5/60</f>
        <v>16.083333333333332</v>
      </c>
      <c r="AA8" s="1">
        <f>60/3.8</f>
        <v>15.789473684210527</v>
      </c>
      <c r="AE8">
        <v>0</v>
      </c>
      <c r="AF8">
        <v>0</v>
      </c>
      <c r="AG8" t="s">
        <v>34</v>
      </c>
      <c r="AH8" t="s">
        <v>35</v>
      </c>
      <c r="AI8">
        <v>0</v>
      </c>
    </row>
    <row r="9" spans="1:36" x14ac:dyDescent="0.25">
      <c r="A9">
        <f>A8+1</f>
        <v>543</v>
      </c>
      <c r="B9" s="4">
        <f>B8+1</f>
        <v>43889</v>
      </c>
      <c r="C9">
        <v>1</v>
      </c>
      <c r="E9" s="3">
        <v>0.43402777777777773</v>
      </c>
      <c r="F9" t="s">
        <v>36</v>
      </c>
      <c r="G9">
        <v>52</v>
      </c>
      <c r="H9">
        <v>45</v>
      </c>
      <c r="I9" t="s">
        <v>41</v>
      </c>
      <c r="J9" t="s">
        <v>42</v>
      </c>
      <c r="K9" s="1">
        <v>4.24</v>
      </c>
      <c r="L9">
        <v>10059</v>
      </c>
      <c r="M9" s="1">
        <f>68/60</f>
        <v>1.1333333333333333</v>
      </c>
      <c r="N9" s="1">
        <f>K9/M9</f>
        <v>3.7411764705882358</v>
      </c>
      <c r="O9">
        <v>1</v>
      </c>
      <c r="P9" s="1">
        <f>K9/O9</f>
        <v>4.24</v>
      </c>
      <c r="Q9" s="1">
        <f>15+56/60</f>
        <v>15.933333333333334</v>
      </c>
      <c r="R9">
        <v>33</v>
      </c>
      <c r="T9">
        <v>387</v>
      </c>
      <c r="U9">
        <v>92</v>
      </c>
      <c r="V9">
        <v>133</v>
      </c>
      <c r="W9" s="1">
        <f>15+19/60</f>
        <v>15.316666666666666</v>
      </c>
      <c r="X9" s="1">
        <f>15+58.5/60</f>
        <v>15.975</v>
      </c>
      <c r="Y9" s="1">
        <f>16+22.2/60</f>
        <v>16.37</v>
      </c>
      <c r="Z9" s="1">
        <f>15+56.1/60</f>
        <v>15.935</v>
      </c>
      <c r="AA9" s="1">
        <f>60/3.8</f>
        <v>15.789473684210527</v>
      </c>
      <c r="AE9">
        <v>0</v>
      </c>
      <c r="AF9">
        <v>0</v>
      </c>
      <c r="AG9" t="s">
        <v>34</v>
      </c>
      <c r="AH9" t="s">
        <v>35</v>
      </c>
      <c r="AI9">
        <v>0</v>
      </c>
    </row>
    <row r="10" spans="1:36" x14ac:dyDescent="0.25">
      <c r="A10">
        <v>543</v>
      </c>
      <c r="B10" s="4">
        <f>B9+1</f>
        <v>43890</v>
      </c>
      <c r="C10">
        <v>0</v>
      </c>
      <c r="D10" t="s">
        <v>58</v>
      </c>
      <c r="F10" t="s">
        <v>36</v>
      </c>
      <c r="G10">
        <v>74</v>
      </c>
      <c r="H10">
        <v>25</v>
      </c>
      <c r="I10" s="8" t="s">
        <v>38</v>
      </c>
      <c r="AE10">
        <v>2</v>
      </c>
      <c r="AF10">
        <v>1</v>
      </c>
      <c r="AG10" t="s">
        <v>34</v>
      </c>
      <c r="AH10" t="s">
        <v>35</v>
      </c>
      <c r="AI10">
        <v>1</v>
      </c>
      <c r="AJ10" t="s">
        <v>53</v>
      </c>
    </row>
    <row r="11" spans="1:36" x14ac:dyDescent="0.25">
      <c r="A11">
        <f>A10+1</f>
        <v>544</v>
      </c>
      <c r="B11" s="4">
        <f>B10+1</f>
        <v>43891</v>
      </c>
      <c r="C11">
        <v>0</v>
      </c>
      <c r="D11" t="s">
        <v>44</v>
      </c>
    </row>
    <row r="12" spans="1:36" x14ac:dyDescent="0.25">
      <c r="A12">
        <f t="shared" ref="A12:A17" si="0">A11+1</f>
        <v>545</v>
      </c>
      <c r="B12" s="4">
        <f t="shared" ref="B12:B14" si="1">B11+1</f>
        <v>43892</v>
      </c>
      <c r="C12">
        <v>0</v>
      </c>
      <c r="D12" t="s">
        <v>57</v>
      </c>
    </row>
    <row r="13" spans="1:36" x14ac:dyDescent="0.25">
      <c r="A13">
        <f t="shared" si="0"/>
        <v>546</v>
      </c>
      <c r="B13" s="4">
        <f t="shared" si="1"/>
        <v>43893</v>
      </c>
      <c r="C13">
        <v>0</v>
      </c>
      <c r="D13" t="s">
        <v>46</v>
      </c>
    </row>
    <row r="14" spans="1:36" x14ac:dyDescent="0.25">
      <c r="A14">
        <f t="shared" si="0"/>
        <v>547</v>
      </c>
      <c r="B14" s="4">
        <f t="shared" si="1"/>
        <v>43894</v>
      </c>
      <c r="C14">
        <v>1</v>
      </c>
      <c r="E14" s="3">
        <v>0.5180555555555556</v>
      </c>
      <c r="F14" s="5" t="s">
        <v>45</v>
      </c>
      <c r="G14">
        <v>49</v>
      </c>
      <c r="H14">
        <v>72</v>
      </c>
      <c r="I14" t="s">
        <v>38</v>
      </c>
      <c r="J14" s="20" t="s">
        <v>32</v>
      </c>
      <c r="K14" s="1">
        <v>5.05</v>
      </c>
      <c r="L14">
        <v>11922</v>
      </c>
      <c r="M14" s="1">
        <f>92/60</f>
        <v>1.5333333333333334</v>
      </c>
      <c r="N14" s="1">
        <f>K14/M14</f>
        <v>3.293478260869565</v>
      </c>
      <c r="O14">
        <v>3</v>
      </c>
      <c r="P14" s="1">
        <f>K14/O14</f>
        <v>1.6833333333333333</v>
      </c>
      <c r="Q14" s="1">
        <f>18+19/60</f>
        <v>18.316666666666666</v>
      </c>
      <c r="R14">
        <v>54</v>
      </c>
      <c r="T14">
        <v>415</v>
      </c>
      <c r="U14">
        <v>84</v>
      </c>
      <c r="V14">
        <v>107</v>
      </c>
      <c r="W14" s="1">
        <f>18+24/60</f>
        <v>18.399999999999999</v>
      </c>
      <c r="X14" s="1">
        <f>18+15.7/60</f>
        <v>18.261666666666667</v>
      </c>
      <c r="Y14" s="1">
        <f>18+50/60</f>
        <v>18.833333333333332</v>
      </c>
      <c r="Z14" s="1">
        <f>17+51.4/60</f>
        <v>17.856666666666666</v>
      </c>
      <c r="AA14" s="1">
        <f>17+59/60</f>
        <v>17.983333333333334</v>
      </c>
      <c r="AB14" s="1">
        <f>60/2.6</f>
        <v>23.076923076923077</v>
      </c>
      <c r="AE14">
        <v>1</v>
      </c>
      <c r="AF14">
        <v>0</v>
      </c>
      <c r="AG14" t="s">
        <v>34</v>
      </c>
      <c r="AH14" t="s">
        <v>35</v>
      </c>
      <c r="AI14">
        <v>0</v>
      </c>
    </row>
    <row r="15" spans="1:36" x14ac:dyDescent="0.25">
      <c r="A15">
        <f t="shared" si="0"/>
        <v>548</v>
      </c>
      <c r="B15" s="4">
        <f t="shared" ref="B15:B35" si="2">B14+1</f>
        <v>43895</v>
      </c>
      <c r="C15">
        <v>1</v>
      </c>
      <c r="E15" s="3">
        <v>0.4604166666666667</v>
      </c>
      <c r="F15" s="20" t="s">
        <v>36</v>
      </c>
      <c r="G15">
        <v>62</v>
      </c>
      <c r="H15">
        <v>46</v>
      </c>
      <c r="I15" t="s">
        <v>41</v>
      </c>
      <c r="J15" t="s">
        <v>47</v>
      </c>
      <c r="K15" s="1">
        <v>4.4800000000000004</v>
      </c>
      <c r="L15">
        <f>10056-560</f>
        <v>9496</v>
      </c>
      <c r="M15" s="1">
        <f>72/60</f>
        <v>1.2</v>
      </c>
      <c r="N15" s="1">
        <f>K15/M15</f>
        <v>3.7333333333333338</v>
      </c>
      <c r="O15">
        <v>1</v>
      </c>
      <c r="P15" s="1">
        <f>K15/O15</f>
        <v>4.4800000000000004</v>
      </c>
      <c r="Q15" s="1">
        <f>15+59/60</f>
        <v>15.983333333333333</v>
      </c>
      <c r="R15">
        <v>105</v>
      </c>
      <c r="T15">
        <v>515</v>
      </c>
      <c r="U15">
        <v>78</v>
      </c>
      <c r="V15">
        <v>143</v>
      </c>
      <c r="W15" s="1">
        <f>15+21.4/60</f>
        <v>15.356666666666667</v>
      </c>
      <c r="X15" s="1">
        <f>15+41.9/60</f>
        <v>15.698333333333334</v>
      </c>
      <c r="Y15" s="1">
        <f>16+4.8/60</f>
        <v>16.079999999999998</v>
      </c>
      <c r="Z15" s="1">
        <f>16+24.6/60</f>
        <v>16.41</v>
      </c>
      <c r="AA15" s="1">
        <f>60/3.8</f>
        <v>15.789473684210527</v>
      </c>
      <c r="AE15">
        <v>1</v>
      </c>
      <c r="AF15">
        <v>0</v>
      </c>
      <c r="AG15" t="s">
        <v>34</v>
      </c>
      <c r="AH15" t="s">
        <v>35</v>
      </c>
      <c r="AI15">
        <v>0</v>
      </c>
    </row>
    <row r="16" spans="1:36" x14ac:dyDescent="0.25">
      <c r="A16">
        <f t="shared" si="0"/>
        <v>549</v>
      </c>
      <c r="B16" s="4">
        <f t="shared" si="2"/>
        <v>43896</v>
      </c>
      <c r="C16">
        <v>1</v>
      </c>
      <c r="E16" s="3">
        <v>0.54236111111111118</v>
      </c>
      <c r="F16" s="20" t="s">
        <v>36</v>
      </c>
      <c r="G16">
        <v>64</v>
      </c>
      <c r="H16">
        <v>19</v>
      </c>
      <c r="I16" t="s">
        <v>41</v>
      </c>
      <c r="J16" t="s">
        <v>54</v>
      </c>
      <c r="K16" s="1">
        <v>5.8</v>
      </c>
      <c r="L16">
        <v>11898</v>
      </c>
      <c r="M16" s="1">
        <f>1+29/60</f>
        <v>1.4833333333333334</v>
      </c>
      <c r="N16" s="1">
        <f>K16/M16</f>
        <v>3.9101123595505616</v>
      </c>
      <c r="O16">
        <v>2</v>
      </c>
      <c r="P16" s="1">
        <f>K16/O16</f>
        <v>2.9</v>
      </c>
      <c r="Q16" s="1">
        <f>15+21/60</f>
        <v>15.35</v>
      </c>
      <c r="R16">
        <v>148</v>
      </c>
      <c r="T16">
        <v>697</v>
      </c>
      <c r="U16">
        <v>93</v>
      </c>
      <c r="V16">
        <v>146</v>
      </c>
      <c r="W16" s="1">
        <f>14+38.3/60</f>
        <v>14.638333333333334</v>
      </c>
      <c r="X16" s="1">
        <f>15+15.3/60</f>
        <v>15.255000000000001</v>
      </c>
      <c r="Y16" s="1">
        <f>16+2/60</f>
        <v>16.033333333333335</v>
      </c>
      <c r="Z16" s="1">
        <f>14+50.8/60</f>
        <v>14.846666666666666</v>
      </c>
      <c r="AA16" s="1">
        <f>15+32.4/60</f>
        <v>15.54</v>
      </c>
      <c r="AB16" s="1">
        <f>60/3.8</f>
        <v>15.789473684210527</v>
      </c>
      <c r="AE16">
        <v>1</v>
      </c>
      <c r="AF16">
        <v>0</v>
      </c>
      <c r="AG16" t="s">
        <v>34</v>
      </c>
      <c r="AH16" t="s">
        <v>35</v>
      </c>
      <c r="AI16">
        <v>0</v>
      </c>
    </row>
    <row r="17" spans="1:36" x14ac:dyDescent="0.25">
      <c r="A17">
        <f t="shared" si="0"/>
        <v>550</v>
      </c>
      <c r="B17" s="4">
        <f t="shared" si="2"/>
        <v>43897</v>
      </c>
      <c r="C17">
        <v>1</v>
      </c>
      <c r="E17" s="3">
        <v>0.52361111111111114</v>
      </c>
      <c r="F17" t="s">
        <v>36</v>
      </c>
      <c r="G17">
        <v>61</v>
      </c>
      <c r="H17">
        <v>34</v>
      </c>
      <c r="I17" t="s">
        <v>41</v>
      </c>
      <c r="J17" t="s">
        <v>51</v>
      </c>
      <c r="K17" s="1">
        <v>4.47</v>
      </c>
      <c r="L17">
        <v>9834</v>
      </c>
      <c r="M17" s="1">
        <f>(60+11)/60</f>
        <v>1.1833333333333333</v>
      </c>
      <c r="N17" s="1">
        <f>K17/M17</f>
        <v>3.7774647887323942</v>
      </c>
      <c r="O17">
        <v>1</v>
      </c>
      <c r="Q17" s="1">
        <f>15+52/60</f>
        <v>15.866666666666667</v>
      </c>
      <c r="R17">
        <v>226</v>
      </c>
      <c r="T17">
        <v>497</v>
      </c>
      <c r="U17">
        <v>80</v>
      </c>
      <c r="V17">
        <v>107</v>
      </c>
      <c r="W17" s="1">
        <f>15+51.3/60</f>
        <v>15.855</v>
      </c>
      <c r="X17" s="1">
        <f>16+12/4/60</f>
        <v>16.05</v>
      </c>
      <c r="Y17" s="1">
        <f>15+58.2/60</f>
        <v>15.97</v>
      </c>
      <c r="Z17" s="1">
        <f>15+31/60</f>
        <v>15.516666666666667</v>
      </c>
      <c r="AA17" s="1">
        <f>60/3.8</f>
        <v>15.789473684210527</v>
      </c>
      <c r="AE17">
        <v>0</v>
      </c>
      <c r="AF17">
        <v>0</v>
      </c>
      <c r="AG17" t="s">
        <v>34</v>
      </c>
      <c r="AH17" t="s">
        <v>35</v>
      </c>
      <c r="AI17">
        <v>0</v>
      </c>
    </row>
    <row r="18" spans="1:36" x14ac:dyDescent="0.25">
      <c r="A18">
        <f>A17+1</f>
        <v>551</v>
      </c>
      <c r="B18" s="4">
        <f t="shared" si="2"/>
        <v>43898</v>
      </c>
      <c r="C18">
        <v>0</v>
      </c>
      <c r="D18" t="s">
        <v>44</v>
      </c>
    </row>
    <row r="19" spans="1:36" x14ac:dyDescent="0.25">
      <c r="A19" s="12">
        <f>A18+1</f>
        <v>552</v>
      </c>
      <c r="B19" s="4">
        <f t="shared" si="2"/>
        <v>43899</v>
      </c>
      <c r="C19">
        <v>1</v>
      </c>
      <c r="E19" s="3">
        <v>0.38611111111111113</v>
      </c>
      <c r="F19" t="s">
        <v>55</v>
      </c>
      <c r="G19">
        <v>59</v>
      </c>
      <c r="H19">
        <v>87</v>
      </c>
      <c r="I19" s="20" t="s">
        <v>38</v>
      </c>
      <c r="J19" s="20" t="s">
        <v>32</v>
      </c>
      <c r="K19" s="1">
        <v>3.83</v>
      </c>
      <c r="M19" s="1">
        <f>(60+7)/60</f>
        <v>1.1166666666666667</v>
      </c>
      <c r="N19" s="1">
        <f>K19/M19</f>
        <v>3.4298507462686567</v>
      </c>
      <c r="O19">
        <v>2</v>
      </c>
      <c r="P19" s="1">
        <f>K19/O19</f>
        <v>1.915</v>
      </c>
      <c r="Q19" s="1">
        <f>17+33/60</f>
        <v>17.55</v>
      </c>
      <c r="R19" s="20">
        <v>54</v>
      </c>
      <c r="T19">
        <v>290</v>
      </c>
      <c r="AE19">
        <v>1</v>
      </c>
      <c r="AF19">
        <v>0</v>
      </c>
      <c r="AG19" s="12" t="s">
        <v>34</v>
      </c>
      <c r="AH19" s="12" t="s">
        <v>35</v>
      </c>
      <c r="AI19" s="12">
        <v>0</v>
      </c>
      <c r="AJ19" s="12"/>
    </row>
    <row r="20" spans="1:36" x14ac:dyDescent="0.25">
      <c r="A20">
        <f>A19+1</f>
        <v>553</v>
      </c>
      <c r="B20" s="4">
        <f t="shared" si="2"/>
        <v>43900</v>
      </c>
      <c r="C20">
        <v>1</v>
      </c>
      <c r="E20" s="3">
        <v>0.38611111111111113</v>
      </c>
      <c r="F20" s="20" t="s">
        <v>36</v>
      </c>
      <c r="G20">
        <v>54</v>
      </c>
      <c r="H20">
        <v>61</v>
      </c>
      <c r="I20" s="20" t="s">
        <v>41</v>
      </c>
      <c r="J20" t="s">
        <v>56</v>
      </c>
      <c r="K20" s="1">
        <v>4.5599999999999996</v>
      </c>
      <c r="L20">
        <f>10591-1210-25</f>
        <v>9356</v>
      </c>
      <c r="M20" s="1">
        <f>1+16/60+28/(60*60)</f>
        <v>1.2744444444444445</v>
      </c>
      <c r="N20" s="1">
        <f>K20/M20</f>
        <v>3.5780296425457712</v>
      </c>
      <c r="O20">
        <v>1</v>
      </c>
      <c r="P20" s="1">
        <f>K20/O20</f>
        <v>4.5599999999999996</v>
      </c>
      <c r="Q20" s="1">
        <f>16+46/60</f>
        <v>16.766666666666666</v>
      </c>
      <c r="R20">
        <v>220</v>
      </c>
      <c r="T20">
        <v>667</v>
      </c>
      <c r="U20">
        <v>101</v>
      </c>
      <c r="V20">
        <v>150</v>
      </c>
      <c r="W20" s="1">
        <f>16+11.7/60</f>
        <v>16.195</v>
      </c>
      <c r="X20" s="1">
        <f>16+55.8/60</f>
        <v>16.93</v>
      </c>
      <c r="Y20" s="1">
        <f>16+53.8/60</f>
        <v>16.896666666666668</v>
      </c>
      <c r="Z20" s="1">
        <f>17+8.8/60</f>
        <v>17.146666666666668</v>
      </c>
      <c r="AA20" s="1">
        <f>60/3.6</f>
        <v>16.666666666666668</v>
      </c>
      <c r="AE20">
        <v>0</v>
      </c>
      <c r="AF20">
        <v>0</v>
      </c>
      <c r="AG20" s="20" t="s">
        <v>34</v>
      </c>
      <c r="AH20" s="20" t="s">
        <v>35</v>
      </c>
      <c r="AI20">
        <v>0</v>
      </c>
    </row>
    <row r="21" spans="1:36" x14ac:dyDescent="0.25">
      <c r="A21">
        <f>A20+1</f>
        <v>554</v>
      </c>
      <c r="B21" s="4">
        <f t="shared" si="2"/>
        <v>43901</v>
      </c>
      <c r="C21" s="20">
        <v>1</v>
      </c>
      <c r="D21" s="20"/>
      <c r="E21" s="3">
        <v>0.55277777777777781</v>
      </c>
      <c r="F21" t="s">
        <v>36</v>
      </c>
      <c r="G21">
        <v>81</v>
      </c>
      <c r="H21">
        <v>64</v>
      </c>
      <c r="I21" s="20" t="s">
        <v>41</v>
      </c>
      <c r="J21" s="20" t="s">
        <v>52</v>
      </c>
      <c r="K21" s="1">
        <v>3.93</v>
      </c>
      <c r="L21">
        <v>9359</v>
      </c>
      <c r="M21" s="1">
        <f>67/60</f>
        <v>1.1166666666666667</v>
      </c>
      <c r="N21" s="1">
        <f>K21/M21</f>
        <v>3.5194029850746271</v>
      </c>
      <c r="O21">
        <v>1</v>
      </c>
      <c r="P21" s="1">
        <f>K21/O21</f>
        <v>3.93</v>
      </c>
      <c r="Q21" s="1">
        <f>17+6/60</f>
        <v>17.100000000000001</v>
      </c>
      <c r="R21">
        <v>194</v>
      </c>
      <c r="T21">
        <v>910</v>
      </c>
      <c r="U21">
        <v>135</v>
      </c>
      <c r="V21">
        <v>159</v>
      </c>
      <c r="W21" s="1">
        <f>17+22.9/60</f>
        <v>17.381666666666668</v>
      </c>
      <c r="X21" s="1">
        <f>17+6.5/60</f>
        <v>17.108333333333334</v>
      </c>
      <c r="Y21" s="1">
        <f>16+32.4/60</f>
        <v>16.54</v>
      </c>
      <c r="Z21" s="1">
        <f>60/3.5</f>
        <v>17.142857142857142</v>
      </c>
    </row>
    <row r="22" spans="1:36" x14ac:dyDescent="0.25">
      <c r="A22">
        <f t="shared" ref="A22:A35" si="3">A21+1</f>
        <v>555</v>
      </c>
      <c r="B22" s="4">
        <f t="shared" si="2"/>
        <v>43902</v>
      </c>
      <c r="C22">
        <v>1</v>
      </c>
      <c r="E22" s="3">
        <v>0.56388888888888888</v>
      </c>
      <c r="F22" s="20" t="s">
        <v>36</v>
      </c>
      <c r="G22">
        <v>64</v>
      </c>
      <c r="H22">
        <v>53</v>
      </c>
      <c r="I22" s="20" t="s">
        <v>41</v>
      </c>
      <c r="J22" t="s">
        <v>59</v>
      </c>
      <c r="K22" s="1">
        <v>5.76</v>
      </c>
      <c r="M22" s="1">
        <f>(94+44/60)/60</f>
        <v>1.578888888888889</v>
      </c>
      <c r="N22" s="1">
        <f>K22/M22</f>
        <v>3.6481351161154114</v>
      </c>
      <c r="O22">
        <v>1</v>
      </c>
      <c r="P22" s="1">
        <f>K22/O22</f>
        <v>5.76</v>
      </c>
      <c r="Q22" s="1">
        <f>16+27/60</f>
        <v>16.45</v>
      </c>
      <c r="R22">
        <v>272</v>
      </c>
      <c r="T22">
        <v>1270</v>
      </c>
      <c r="U22">
        <v>138</v>
      </c>
      <c r="V22">
        <v>162</v>
      </c>
      <c r="W22" s="1">
        <f>15+19.3/60</f>
        <v>15.321666666666667</v>
      </c>
      <c r="X22" s="1">
        <f>15+35.2/60</f>
        <v>15.586666666666666</v>
      </c>
      <c r="Y22" s="1">
        <f>15+23.2/60</f>
        <v>15.386666666666667</v>
      </c>
      <c r="Z22" s="1">
        <f>16+19.5/60</f>
        <v>16.324999999999999</v>
      </c>
      <c r="AA22" s="1">
        <f>18+16.5/60</f>
        <v>18.274999999999999</v>
      </c>
      <c r="AB22" s="1">
        <f>60/3.3</f>
        <v>18.181818181818183</v>
      </c>
      <c r="AE22">
        <v>2</v>
      </c>
      <c r="AF22">
        <v>0</v>
      </c>
      <c r="AG22" s="20" t="s">
        <v>34</v>
      </c>
      <c r="AH22" s="20" t="s">
        <v>35</v>
      </c>
      <c r="AI22" s="20">
        <v>0</v>
      </c>
    </row>
    <row r="23" spans="1:36" x14ac:dyDescent="0.25">
      <c r="A23">
        <f t="shared" si="3"/>
        <v>556</v>
      </c>
      <c r="B23" s="4">
        <f t="shared" si="2"/>
        <v>43903</v>
      </c>
      <c r="C23">
        <v>0</v>
      </c>
      <c r="D23" t="s">
        <v>44</v>
      </c>
      <c r="I23" s="20"/>
    </row>
    <row r="24" spans="1:36" x14ac:dyDescent="0.25">
      <c r="A24">
        <f t="shared" si="3"/>
        <v>557</v>
      </c>
      <c r="B24" s="4">
        <f t="shared" si="2"/>
        <v>43904</v>
      </c>
      <c r="C24">
        <v>1</v>
      </c>
      <c r="E24" s="3">
        <v>0.53333333333333333</v>
      </c>
      <c r="F24" t="s">
        <v>45</v>
      </c>
      <c r="G24">
        <v>60</v>
      </c>
      <c r="H24">
        <v>86</v>
      </c>
      <c r="I24" s="20" t="s">
        <v>38</v>
      </c>
      <c r="J24" s="20" t="s">
        <v>32</v>
      </c>
      <c r="K24" s="1">
        <v>3.18</v>
      </c>
      <c r="M24" s="1">
        <f>(60+3+47/60)/60</f>
        <v>1.0630555555555554</v>
      </c>
      <c r="N24" s="1">
        <f>K24/M24</f>
        <v>2.9913770577475836</v>
      </c>
      <c r="O24">
        <v>2</v>
      </c>
      <c r="P24" s="1">
        <f>K24/O24</f>
        <v>1.59</v>
      </c>
      <c r="Q24" s="1">
        <f>20+3/60</f>
        <v>20.05</v>
      </c>
      <c r="R24">
        <f>2*54/3</f>
        <v>36</v>
      </c>
      <c r="T24">
        <v>351</v>
      </c>
      <c r="U24">
        <v>90</v>
      </c>
      <c r="V24">
        <v>118</v>
      </c>
      <c r="W24" s="1">
        <f>19+41/60</f>
        <v>19.683333333333334</v>
      </c>
      <c r="X24" s="1">
        <f>19+29.6/60</f>
        <v>19.493333333333332</v>
      </c>
      <c r="Y24" s="1">
        <f>21+7.8/60</f>
        <v>21.13</v>
      </c>
      <c r="Z24" s="1">
        <f>60/3.2</f>
        <v>18.75</v>
      </c>
      <c r="AE24">
        <v>1</v>
      </c>
      <c r="AF24">
        <v>0</v>
      </c>
    </row>
    <row r="25" spans="1:36" x14ac:dyDescent="0.25">
      <c r="A25" s="20">
        <f t="shared" si="3"/>
        <v>558</v>
      </c>
      <c r="B25" s="4">
        <f t="shared" si="2"/>
        <v>43905</v>
      </c>
      <c r="C25">
        <v>0</v>
      </c>
      <c r="D25" t="s">
        <v>44</v>
      </c>
      <c r="E25" s="3">
        <v>0.53680555555555554</v>
      </c>
      <c r="F25" t="s">
        <v>55</v>
      </c>
      <c r="G25">
        <v>57</v>
      </c>
      <c r="H25">
        <v>81</v>
      </c>
    </row>
    <row r="26" spans="1:36" x14ac:dyDescent="0.25">
      <c r="A26" s="20">
        <f t="shared" si="3"/>
        <v>559</v>
      </c>
      <c r="B26" s="4">
        <f t="shared" si="2"/>
        <v>43906</v>
      </c>
      <c r="C26" s="20">
        <v>1</v>
      </c>
      <c r="E26" s="3">
        <v>0.60972222222222217</v>
      </c>
      <c r="F26" t="s">
        <v>55</v>
      </c>
      <c r="G26">
        <v>70</v>
      </c>
      <c r="H26">
        <v>70</v>
      </c>
      <c r="I26" t="s">
        <v>41</v>
      </c>
      <c r="J26" t="s">
        <v>60</v>
      </c>
      <c r="K26" s="1">
        <v>4.97</v>
      </c>
      <c r="L26">
        <v>12897</v>
      </c>
      <c r="M26" s="1">
        <f>77/60</f>
        <v>1.2833333333333334</v>
      </c>
      <c r="N26" s="1">
        <f>K26/M26</f>
        <v>3.8727272727272721</v>
      </c>
      <c r="O26">
        <v>3</v>
      </c>
      <c r="P26" s="1">
        <f>K26/O26</f>
        <v>1.6566666666666665</v>
      </c>
      <c r="Q26" s="1">
        <f>15+31/60</f>
        <v>15.516666666666667</v>
      </c>
      <c r="R26">
        <v>118</v>
      </c>
      <c r="T26">
        <v>591</v>
      </c>
      <c r="U26">
        <v>86</v>
      </c>
      <c r="V26">
        <v>148</v>
      </c>
      <c r="W26" s="1">
        <f>15+31.1/60</f>
        <v>15.518333333333333</v>
      </c>
      <c r="X26" s="1">
        <f>15+39.1/60</f>
        <v>15.651666666666667</v>
      </c>
      <c r="Y26" s="1">
        <f>15+18.3/60</f>
        <v>15.305</v>
      </c>
      <c r="Z26" s="1">
        <f>15+20.8/60</f>
        <v>15.346666666666668</v>
      </c>
      <c r="AA26" s="1">
        <f>15+19.7/60</f>
        <v>15.328333333333333</v>
      </c>
      <c r="AE26">
        <v>1</v>
      </c>
      <c r="AF26">
        <v>1</v>
      </c>
      <c r="AG26" s="20" t="s">
        <v>34</v>
      </c>
      <c r="AH26" s="20" t="s">
        <v>35</v>
      </c>
      <c r="AI26" s="20">
        <v>0</v>
      </c>
    </row>
    <row r="27" spans="1:36" x14ac:dyDescent="0.25">
      <c r="A27">
        <f t="shared" si="3"/>
        <v>560</v>
      </c>
      <c r="B27" s="4">
        <f t="shared" si="2"/>
        <v>43907</v>
      </c>
      <c r="C27">
        <v>1</v>
      </c>
      <c r="E27" s="3">
        <v>0.50138888888888888</v>
      </c>
      <c r="F27" s="5" t="s">
        <v>55</v>
      </c>
      <c r="G27">
        <v>67</v>
      </c>
      <c r="H27">
        <v>84</v>
      </c>
      <c r="I27" s="20" t="s">
        <v>41</v>
      </c>
      <c r="J27" s="20" t="s">
        <v>54</v>
      </c>
      <c r="K27" s="1">
        <v>6.13</v>
      </c>
      <c r="L27">
        <v>12444</v>
      </c>
      <c r="M27" s="1">
        <f>96/60</f>
        <v>1.6</v>
      </c>
      <c r="N27" s="1">
        <f>K27/M27</f>
        <v>3.8312499999999998</v>
      </c>
      <c r="O27">
        <v>2</v>
      </c>
      <c r="P27" s="1">
        <f>K27/O27</f>
        <v>3.0649999999999999</v>
      </c>
      <c r="Q27" s="1">
        <f>15+36/60</f>
        <v>15.6</v>
      </c>
      <c r="R27">
        <v>167</v>
      </c>
      <c r="T27">
        <v>686</v>
      </c>
      <c r="U27">
        <v>86</v>
      </c>
      <c r="V27">
        <v>135</v>
      </c>
      <c r="W27" s="1">
        <f>15+16.8/60</f>
        <v>15.28</v>
      </c>
      <c r="X27" s="1">
        <f>15+28.3/60</f>
        <v>15.471666666666668</v>
      </c>
      <c r="Y27" s="1">
        <f>15+54.6/60</f>
        <v>15.91</v>
      </c>
      <c r="Z27" s="1">
        <f>16+16.3/60</f>
        <v>16.271666666666668</v>
      </c>
      <c r="AA27" s="1">
        <f>15+20.2/60</f>
        <v>15.336666666666666</v>
      </c>
      <c r="AB27" s="1">
        <f>60/3.8</f>
        <v>15.789473684210527</v>
      </c>
      <c r="AE27">
        <v>1</v>
      </c>
      <c r="AF27">
        <v>1</v>
      </c>
      <c r="AG27" s="20" t="s">
        <v>34</v>
      </c>
      <c r="AH27" s="20" t="s">
        <v>35</v>
      </c>
      <c r="AI27" s="20">
        <v>0</v>
      </c>
    </row>
    <row r="28" spans="1:36" x14ac:dyDescent="0.25">
      <c r="A28">
        <f t="shared" si="3"/>
        <v>561</v>
      </c>
      <c r="B28" s="4">
        <f t="shared" si="2"/>
        <v>43908</v>
      </c>
      <c r="C28">
        <v>1</v>
      </c>
      <c r="E28" s="3">
        <v>0.52986111111111112</v>
      </c>
      <c r="F28" s="5" t="s">
        <v>61</v>
      </c>
      <c r="G28">
        <v>79</v>
      </c>
      <c r="H28">
        <v>66</v>
      </c>
      <c r="I28" s="20" t="s">
        <v>41</v>
      </c>
      <c r="J28" t="s">
        <v>62</v>
      </c>
      <c r="K28" s="1">
        <v>4.5599999999999996</v>
      </c>
      <c r="L28">
        <v>9920</v>
      </c>
      <c r="M28" s="1">
        <f>(60+17+36/60)/60</f>
        <v>1.2933333333333332</v>
      </c>
      <c r="N28" s="1">
        <f>K28/M28</f>
        <v>3.5257731958762886</v>
      </c>
      <c r="O28">
        <v>1</v>
      </c>
      <c r="P28" s="1">
        <f>K28/O28</f>
        <v>4.5599999999999996</v>
      </c>
      <c r="Q28" s="1">
        <f>17+1/60</f>
        <v>17.016666666666666</v>
      </c>
      <c r="R28">
        <v>325</v>
      </c>
      <c r="T28">
        <v>995</v>
      </c>
      <c r="U28">
        <v>133</v>
      </c>
      <c r="V28">
        <v>156</v>
      </c>
      <c r="W28" s="1">
        <f>16+13/60</f>
        <v>16.216666666666665</v>
      </c>
      <c r="X28" s="1">
        <f>16+20.9/60</f>
        <v>16.348333333333333</v>
      </c>
      <c r="Y28" s="1">
        <f>16+36.9/60</f>
        <v>16.614999999999998</v>
      </c>
      <c r="Z28" s="1">
        <f>17+53.1/60</f>
        <v>17.885000000000002</v>
      </c>
      <c r="AA28" s="1">
        <f>60/3.2</f>
        <v>18.75</v>
      </c>
      <c r="AE28" s="20">
        <v>1</v>
      </c>
      <c r="AF28" s="20">
        <v>0</v>
      </c>
      <c r="AG28" s="20" t="s">
        <v>34</v>
      </c>
      <c r="AH28" s="20" t="s">
        <v>35</v>
      </c>
      <c r="AI28" s="20">
        <v>0</v>
      </c>
    </row>
    <row r="29" spans="1:36" x14ac:dyDescent="0.25">
      <c r="A29">
        <f t="shared" si="3"/>
        <v>562</v>
      </c>
      <c r="B29" s="4">
        <f t="shared" si="2"/>
        <v>43909</v>
      </c>
      <c r="C29">
        <v>1</v>
      </c>
      <c r="D29" t="s">
        <v>58</v>
      </c>
      <c r="E29" s="3">
        <v>0.54166666666666663</v>
      </c>
      <c r="F29" s="5" t="s">
        <v>65</v>
      </c>
      <c r="G29">
        <v>66</v>
      </c>
      <c r="H29">
        <v>64</v>
      </c>
      <c r="AI29">
        <v>1</v>
      </c>
      <c r="AJ29" t="s">
        <v>63</v>
      </c>
    </row>
    <row r="30" spans="1:36" x14ac:dyDescent="0.25">
      <c r="A30" s="20">
        <f t="shared" si="3"/>
        <v>563</v>
      </c>
      <c r="B30" s="4">
        <f t="shared" si="2"/>
        <v>43910</v>
      </c>
      <c r="C30">
        <v>0</v>
      </c>
      <c r="E30" s="3">
        <v>0.53819444444444442</v>
      </c>
      <c r="F30" s="5" t="s">
        <v>61</v>
      </c>
      <c r="G30">
        <v>51</v>
      </c>
      <c r="H30">
        <v>68</v>
      </c>
      <c r="I30" s="20" t="s">
        <v>38</v>
      </c>
      <c r="J30" s="20" t="s">
        <v>47</v>
      </c>
      <c r="K30" s="1">
        <v>4.53</v>
      </c>
      <c r="L30">
        <v>9714</v>
      </c>
      <c r="M30" s="1">
        <f>72/60</f>
        <v>1.2</v>
      </c>
      <c r="N30" s="1">
        <f>K30/M30</f>
        <v>3.7750000000000004</v>
      </c>
      <c r="O30">
        <v>1</v>
      </c>
      <c r="P30" s="1">
        <f>K30/O30</f>
        <v>4.53</v>
      </c>
      <c r="Q30" s="1">
        <f>16+1/60</f>
        <v>16.016666666666666</v>
      </c>
      <c r="R30">
        <v>85</v>
      </c>
      <c r="T30">
        <v>595</v>
      </c>
      <c r="U30">
        <v>110</v>
      </c>
      <c r="V30">
        <v>136</v>
      </c>
      <c r="W30" s="1">
        <f>15+39.1/60</f>
        <v>15.651666666666667</v>
      </c>
      <c r="X30" s="1">
        <f>15+59.3/60</f>
        <v>15.988333333333333</v>
      </c>
      <c r="Y30" s="1">
        <f>15+57.9/60</f>
        <v>15.965</v>
      </c>
      <c r="Z30" s="1">
        <f>16+14.4/60</f>
        <v>16.239999999999998</v>
      </c>
      <c r="AA30" s="1">
        <f>60/3.7</f>
        <v>16.216216216216214</v>
      </c>
      <c r="AE30">
        <v>0</v>
      </c>
      <c r="AF30">
        <v>0</v>
      </c>
      <c r="AG30" s="20" t="s">
        <v>34</v>
      </c>
      <c r="AH30" s="20" t="s">
        <v>35</v>
      </c>
      <c r="AI30" s="20">
        <v>0</v>
      </c>
    </row>
    <row r="31" spans="1:36" x14ac:dyDescent="0.25">
      <c r="A31">
        <f t="shared" si="3"/>
        <v>564</v>
      </c>
      <c r="B31" s="4">
        <f t="shared" si="2"/>
        <v>43911</v>
      </c>
      <c r="C31">
        <v>1</v>
      </c>
      <c r="E31" s="3">
        <v>0.61875000000000002</v>
      </c>
      <c r="F31" s="20" t="s">
        <v>36</v>
      </c>
      <c r="G31">
        <v>58</v>
      </c>
      <c r="H31">
        <v>60</v>
      </c>
      <c r="I31" s="20" t="s">
        <v>38</v>
      </c>
      <c r="J31" s="20" t="s">
        <v>51</v>
      </c>
      <c r="K31" s="1">
        <v>5.29</v>
      </c>
      <c r="L31" s="21">
        <v>11153</v>
      </c>
      <c r="M31" s="1">
        <f>86/60</f>
        <v>1.4333333333333333</v>
      </c>
      <c r="N31" s="1">
        <f>K31/M31</f>
        <v>3.6906976744186046</v>
      </c>
      <c r="O31">
        <v>1</v>
      </c>
      <c r="P31" s="1">
        <f>K31/O31</f>
        <v>5.29</v>
      </c>
      <c r="Q31" s="1">
        <f>16+13/60</f>
        <v>16.216666666666665</v>
      </c>
      <c r="R31">
        <v>243</v>
      </c>
      <c r="S31" s="20">
        <v>24</v>
      </c>
      <c r="T31">
        <v>617</v>
      </c>
      <c r="U31">
        <v>99</v>
      </c>
      <c r="V31">
        <v>130</v>
      </c>
      <c r="W31" s="1">
        <f>15+55.2/60</f>
        <v>15.92</v>
      </c>
      <c r="X31" s="1">
        <f>16+43.7/60</f>
        <v>16.728333333333332</v>
      </c>
      <c r="Y31" s="1">
        <f>16+18.3/60</f>
        <v>16.305</v>
      </c>
      <c r="Z31" s="1">
        <f>15+49.8/60</f>
        <v>15.83</v>
      </c>
      <c r="AA31" s="1">
        <f>60/3.7</f>
        <v>16.216216216216214</v>
      </c>
      <c r="AE31">
        <v>0</v>
      </c>
      <c r="AF31">
        <v>1</v>
      </c>
      <c r="AG31" s="20" t="s">
        <v>34</v>
      </c>
      <c r="AH31" s="20" t="s">
        <v>35</v>
      </c>
      <c r="AI31" s="20">
        <v>0</v>
      </c>
    </row>
    <row r="32" spans="1:36" x14ac:dyDescent="0.25">
      <c r="A32" s="20">
        <f t="shared" si="3"/>
        <v>565</v>
      </c>
      <c r="B32" s="4">
        <f t="shared" si="2"/>
        <v>43912</v>
      </c>
      <c r="C32" s="20">
        <v>1</v>
      </c>
      <c r="D32" s="20"/>
      <c r="E32" s="3">
        <v>0.62777777777777777</v>
      </c>
      <c r="F32" t="s">
        <v>55</v>
      </c>
      <c r="G32">
        <v>62</v>
      </c>
      <c r="H32">
        <v>80</v>
      </c>
      <c r="I32" s="20" t="s">
        <v>38</v>
      </c>
      <c r="J32" s="20" t="s">
        <v>56</v>
      </c>
      <c r="K32" s="1">
        <v>5.13</v>
      </c>
      <c r="L32">
        <v>10892</v>
      </c>
      <c r="M32" s="1">
        <f>82/60</f>
        <v>1.3666666666666667</v>
      </c>
      <c r="N32" s="1">
        <f>K32/M32</f>
        <v>3.7536585365853656</v>
      </c>
      <c r="O32">
        <v>1</v>
      </c>
      <c r="P32" s="1">
        <f>K32/O32</f>
        <v>5.13</v>
      </c>
      <c r="Q32" s="1">
        <f>16+5/60</f>
        <v>16.083333333333332</v>
      </c>
      <c r="R32" s="20">
        <v>217</v>
      </c>
      <c r="S32" s="20">
        <v>21</v>
      </c>
      <c r="T32">
        <v>673</v>
      </c>
      <c r="U32">
        <v>104</v>
      </c>
      <c r="V32">
        <v>143</v>
      </c>
      <c r="W32" s="1">
        <f>15+56.6/60</f>
        <v>15.943333333333333</v>
      </c>
      <c r="X32" s="1">
        <f>15+55.7/60</f>
        <v>15.928333333333333</v>
      </c>
      <c r="Y32" s="1">
        <f>16+6.8/60</f>
        <v>16.113333333333333</v>
      </c>
      <c r="Z32" s="1">
        <f>16+28.8/60</f>
        <v>16.48</v>
      </c>
      <c r="AA32" s="1">
        <f>60/3.7</f>
        <v>16.216216216216214</v>
      </c>
      <c r="AE32">
        <v>0</v>
      </c>
      <c r="AF32">
        <v>1</v>
      </c>
      <c r="AG32" s="20" t="s">
        <v>34</v>
      </c>
      <c r="AH32" s="20" t="s">
        <v>35</v>
      </c>
      <c r="AI32" s="20">
        <v>0</v>
      </c>
    </row>
    <row r="33" spans="1:36" x14ac:dyDescent="0.25">
      <c r="A33">
        <f t="shared" si="3"/>
        <v>566</v>
      </c>
      <c r="B33" s="4">
        <f t="shared" si="2"/>
        <v>43913</v>
      </c>
      <c r="C33">
        <v>1</v>
      </c>
      <c r="E33" s="3">
        <v>0.5708333333333333</v>
      </c>
      <c r="F33" s="5" t="s">
        <v>55</v>
      </c>
      <c r="G33">
        <v>68</v>
      </c>
      <c r="H33">
        <v>81</v>
      </c>
      <c r="I33" s="20" t="s">
        <v>38</v>
      </c>
      <c r="J33" s="20" t="s">
        <v>60</v>
      </c>
      <c r="K33" s="1">
        <v>4.76</v>
      </c>
      <c r="L33">
        <v>9868</v>
      </c>
      <c r="M33" s="1">
        <f>75/60</f>
        <v>1.25</v>
      </c>
      <c r="N33" s="1">
        <f>K33/M33</f>
        <v>3.8079999999999998</v>
      </c>
      <c r="O33">
        <v>1</v>
      </c>
      <c r="P33" s="1">
        <f>K33/O33</f>
        <v>4.76</v>
      </c>
      <c r="Q33" s="1">
        <f>15+46/60</f>
        <v>15.766666666666667</v>
      </c>
      <c r="R33">
        <v>95</v>
      </c>
      <c r="S33" s="20">
        <v>9</v>
      </c>
      <c r="T33">
        <v>513</v>
      </c>
      <c r="U33">
        <v>80</v>
      </c>
      <c r="V33">
        <v>111</v>
      </c>
      <c r="W33" s="1">
        <f>15+19.9/60</f>
        <v>15.331666666666667</v>
      </c>
      <c r="X33" s="1">
        <f>15+38/60</f>
        <v>15.633333333333333</v>
      </c>
      <c r="Y33" s="1">
        <f>15+54.7/60</f>
        <v>15.911666666666667</v>
      </c>
      <c r="Z33" s="1">
        <f>15+37.4/60</f>
        <v>15.623333333333333</v>
      </c>
      <c r="AA33" s="1">
        <f>60/3.8</f>
        <v>15.789473684210527</v>
      </c>
      <c r="AE33" s="20">
        <v>0</v>
      </c>
      <c r="AF33" s="20">
        <v>0</v>
      </c>
      <c r="AG33" s="20" t="s">
        <v>34</v>
      </c>
      <c r="AH33" s="20" t="s">
        <v>35</v>
      </c>
      <c r="AI33" s="20">
        <v>0</v>
      </c>
      <c r="AJ33" s="20"/>
    </row>
    <row r="34" spans="1:36" x14ac:dyDescent="0.25">
      <c r="A34">
        <f t="shared" si="3"/>
        <v>567</v>
      </c>
      <c r="B34" s="4">
        <f t="shared" si="2"/>
        <v>43914</v>
      </c>
      <c r="C34">
        <v>1</v>
      </c>
      <c r="E34" s="3">
        <v>0.58958333333333335</v>
      </c>
      <c r="F34" t="s">
        <v>36</v>
      </c>
      <c r="G34">
        <v>86</v>
      </c>
      <c r="H34">
        <v>20</v>
      </c>
      <c r="I34" s="20" t="s">
        <v>41</v>
      </c>
      <c r="J34" s="20" t="s">
        <v>54</v>
      </c>
      <c r="K34" s="1">
        <v>4.75</v>
      </c>
      <c r="M34" s="1">
        <f>(60+15)/60</f>
        <v>1.25</v>
      </c>
      <c r="N34" s="1">
        <f>K34/M34</f>
        <v>3.8</v>
      </c>
      <c r="O34">
        <v>2</v>
      </c>
      <c r="P34" s="1">
        <f>K34/O34</f>
        <v>2.375</v>
      </c>
      <c r="Q34" s="1">
        <f>15+53/60</f>
        <v>15.883333333333333</v>
      </c>
      <c r="R34">
        <v>125</v>
      </c>
      <c r="S34" s="20">
        <v>14</v>
      </c>
      <c r="T34">
        <v>706</v>
      </c>
      <c r="U34">
        <v>106</v>
      </c>
      <c r="V34">
        <v>150</v>
      </c>
      <c r="W34" s="1">
        <f>15+5.2/60</f>
        <v>15.086666666666666</v>
      </c>
      <c r="X34" s="1">
        <f>15+48/60</f>
        <v>15.8</v>
      </c>
      <c r="Y34" s="1">
        <f>16+12.7/60</f>
        <v>16.211666666666666</v>
      </c>
      <c r="Z34" s="1">
        <f>15+37.3/60</f>
        <v>15.621666666666666</v>
      </c>
      <c r="AA34" s="1">
        <f>60/3.6</f>
        <v>16.666666666666668</v>
      </c>
      <c r="AE34">
        <v>2</v>
      </c>
      <c r="AF34">
        <v>0</v>
      </c>
      <c r="AG34" s="20" t="s">
        <v>34</v>
      </c>
      <c r="AH34" s="20" t="s">
        <v>35</v>
      </c>
      <c r="AI34" s="20">
        <v>0</v>
      </c>
      <c r="AJ34" s="20"/>
    </row>
    <row r="35" spans="1:36" x14ac:dyDescent="0.25">
      <c r="A35" s="20">
        <f t="shared" si="3"/>
        <v>568</v>
      </c>
      <c r="B35" s="4">
        <f t="shared" si="2"/>
        <v>43915</v>
      </c>
      <c r="C35" s="20">
        <v>1</v>
      </c>
      <c r="E35" s="3">
        <v>0.60763888888888895</v>
      </c>
      <c r="F35" t="s">
        <v>36</v>
      </c>
      <c r="G35">
        <v>87</v>
      </c>
      <c r="H35">
        <v>40</v>
      </c>
      <c r="I35" s="20" t="s">
        <v>41</v>
      </c>
      <c r="J35" s="20" t="s">
        <v>62</v>
      </c>
      <c r="K35" s="1">
        <v>4.6100000000000003</v>
      </c>
      <c r="M35" s="1">
        <f>(60+17+20/60)/60</f>
        <v>1.2888888888888888</v>
      </c>
      <c r="N35" s="1">
        <f>K35/M35</f>
        <v>3.5767241379310351</v>
      </c>
      <c r="O35">
        <v>1</v>
      </c>
      <c r="P35" s="1">
        <f>K35/O35</f>
        <v>4.6100000000000003</v>
      </c>
      <c r="Q35" s="1">
        <f>16+48/60</f>
        <v>16.8</v>
      </c>
      <c r="R35">
        <v>256</v>
      </c>
      <c r="S35" s="20">
        <v>27</v>
      </c>
      <c r="T35">
        <v>980</v>
      </c>
      <c r="U35">
        <v>131</v>
      </c>
      <c r="V35">
        <v>159</v>
      </c>
      <c r="W35" s="1">
        <f>15+37.8/60</f>
        <v>15.63</v>
      </c>
      <c r="X35" s="1">
        <f>16+18.2/60</f>
        <v>16.303333333333335</v>
      </c>
      <c r="Y35" s="1">
        <f>15+56.2/60</f>
        <v>15.936666666666667</v>
      </c>
      <c r="Z35" s="1">
        <f>17+53.6/60</f>
        <v>17.893333333333334</v>
      </c>
      <c r="AA35" s="1">
        <f>60/3.1</f>
        <v>19.35483870967742</v>
      </c>
      <c r="AE35">
        <v>5</v>
      </c>
      <c r="AF35">
        <v>0</v>
      </c>
      <c r="AG35" s="20" t="s">
        <v>34</v>
      </c>
      <c r="AH35" s="20" t="s">
        <v>35</v>
      </c>
      <c r="AI35" s="20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2020-03-26T02:08:37Z</dcterms:modified>
</cp:coreProperties>
</file>