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32" i="1" l="1"/>
  <c r="AS132" i="1"/>
  <c r="AR132" i="1"/>
  <c r="AQ132" i="1"/>
  <c r="AI132" i="1"/>
  <c r="AH132" i="1"/>
  <c r="AG132" i="1"/>
  <c r="AF132" i="1"/>
  <c r="AE132" i="1"/>
  <c r="Z132" i="1"/>
  <c r="Y132" i="1"/>
  <c r="W132" i="1"/>
  <c r="V132" i="1"/>
  <c r="U132" i="1"/>
  <c r="T132" i="1"/>
  <c r="S132" i="1"/>
  <c r="L132" i="1"/>
  <c r="K132" i="1"/>
  <c r="I132" i="1"/>
  <c r="H132" i="1"/>
  <c r="G132" i="1"/>
  <c r="A132" i="1"/>
  <c r="A131" i="1" l="1"/>
  <c r="A130" i="1"/>
  <c r="AU130" i="1" l="1"/>
  <c r="AT130" i="1"/>
  <c r="AS130" i="1"/>
  <c r="AR130" i="1"/>
  <c r="AQ130" i="1"/>
  <c r="AI130" i="1"/>
  <c r="AH130" i="1"/>
  <c r="AG130" i="1"/>
  <c r="AF130" i="1"/>
  <c r="AE130" i="1"/>
  <c r="Z130" i="1"/>
  <c r="Y130" i="1"/>
  <c r="W130" i="1"/>
  <c r="V130" i="1"/>
  <c r="U130" i="1"/>
  <c r="T130" i="1"/>
  <c r="I130" i="1"/>
  <c r="H130" i="1"/>
  <c r="G130" i="1"/>
  <c r="S130" i="1"/>
  <c r="AS129" i="1" l="1"/>
  <c r="AR129" i="1"/>
  <c r="AQ129" i="1"/>
  <c r="AJ129" i="1"/>
  <c r="AI129" i="1"/>
  <c r="AH129" i="1"/>
  <c r="AG129" i="1"/>
  <c r="AF129" i="1"/>
  <c r="AE129" i="1"/>
  <c r="Z129" i="1"/>
  <c r="Y129" i="1"/>
  <c r="W129" i="1"/>
  <c r="V129" i="1"/>
  <c r="U129" i="1"/>
  <c r="T129" i="1"/>
  <c r="S129" i="1"/>
  <c r="I129" i="1"/>
  <c r="H129" i="1"/>
  <c r="G129" i="1"/>
  <c r="AU128" i="1" l="1"/>
  <c r="AT128" i="1"/>
  <c r="AS128" i="1"/>
  <c r="AR128" i="1"/>
  <c r="AI128" i="1"/>
  <c r="AH128" i="1"/>
  <c r="AG128" i="1"/>
  <c r="AF128" i="1"/>
  <c r="AE128" i="1"/>
  <c r="Z128" i="1"/>
  <c r="Y128" i="1"/>
  <c r="W128" i="1"/>
  <c r="V128" i="1"/>
  <c r="U128" i="1"/>
  <c r="T128" i="1"/>
  <c r="A128" i="1"/>
  <c r="AS127" i="1" l="1"/>
  <c r="AR127" i="1"/>
  <c r="AQ127" i="1"/>
  <c r="AL127" i="1"/>
  <c r="AK127" i="1"/>
  <c r="AJ127" i="1"/>
  <c r="AI127" i="1"/>
  <c r="AH127" i="1"/>
  <c r="AG127" i="1"/>
  <c r="AF127" i="1"/>
  <c r="AE127" i="1"/>
  <c r="Z127" i="1"/>
  <c r="Y127" i="1"/>
  <c r="W127" i="1"/>
  <c r="W126" i="1"/>
  <c r="Y126" i="1"/>
  <c r="V127" i="1"/>
  <c r="U127" i="1"/>
  <c r="T127" i="1"/>
  <c r="S127" i="1"/>
  <c r="K127" i="1"/>
  <c r="I127" i="1"/>
  <c r="G127" i="1"/>
  <c r="A127" i="1"/>
  <c r="AU126" i="1" l="1"/>
  <c r="AT126" i="1"/>
  <c r="AS126" i="1"/>
  <c r="AR126" i="1"/>
  <c r="AQ126" i="1"/>
  <c r="AI126" i="1"/>
  <c r="AH126" i="1"/>
  <c r="AG126" i="1"/>
  <c r="AF126" i="1"/>
  <c r="AE126" i="1"/>
  <c r="Z126" i="1"/>
  <c r="V126" i="1"/>
  <c r="T126" i="1"/>
  <c r="S126" i="1"/>
  <c r="I126" i="1"/>
  <c r="A126" i="1"/>
  <c r="AT125" i="1" l="1"/>
  <c r="AS125" i="1"/>
  <c r="AR125" i="1"/>
  <c r="AQ125" i="1"/>
  <c r="AK125" i="1"/>
  <c r="AJ125" i="1"/>
  <c r="AI125" i="1"/>
  <c r="AH125" i="1"/>
  <c r="AG125" i="1"/>
  <c r="AF125" i="1"/>
  <c r="AE125" i="1"/>
  <c r="Z125" i="1"/>
  <c r="Y125" i="1"/>
  <c r="W125" i="1"/>
  <c r="V125" i="1"/>
  <c r="U125" i="1"/>
  <c r="T125" i="1"/>
  <c r="S125" i="1"/>
  <c r="L125" i="1"/>
  <c r="K125" i="1"/>
  <c r="I125" i="1"/>
  <c r="H125" i="1"/>
  <c r="G125" i="1"/>
  <c r="A125" i="1"/>
  <c r="AU124" i="1" l="1"/>
  <c r="AT124" i="1"/>
  <c r="AS124" i="1"/>
  <c r="AR124" i="1"/>
  <c r="AH124" i="1"/>
  <c r="AG124" i="1"/>
  <c r="AF124" i="1"/>
  <c r="AE124" i="1"/>
  <c r="Z124" i="1"/>
  <c r="Y124" i="1"/>
  <c r="W124" i="1"/>
  <c r="V124" i="1"/>
  <c r="U124" i="1"/>
  <c r="T124" i="1"/>
  <c r="S124" i="1"/>
  <c r="G124" i="1" l="1"/>
  <c r="A123" i="1"/>
  <c r="A124" i="1" s="1"/>
  <c r="AT123" i="1" l="1"/>
  <c r="AS123" i="1"/>
  <c r="AR123" i="1"/>
  <c r="AQ123" i="1"/>
  <c r="AK123" i="1"/>
  <c r="AJ123" i="1"/>
  <c r="AI123" i="1"/>
  <c r="AH123" i="1"/>
  <c r="AG123" i="1"/>
  <c r="AF123" i="1"/>
  <c r="AE123" i="1"/>
  <c r="Z123" i="1"/>
  <c r="Y123" i="1"/>
  <c r="W123" i="1"/>
  <c r="V123" i="1"/>
  <c r="U123" i="1"/>
  <c r="T123" i="1"/>
  <c r="K123" i="1"/>
  <c r="I123" i="1"/>
  <c r="A122" i="1"/>
  <c r="AU121" i="1" l="1"/>
  <c r="AT121" i="1"/>
  <c r="AR121" i="1"/>
  <c r="AQ121" i="1"/>
  <c r="AK121" i="1"/>
  <c r="AJ121" i="1"/>
  <c r="AI121" i="1"/>
  <c r="AH121" i="1"/>
  <c r="AG121" i="1"/>
  <c r="AF121" i="1"/>
  <c r="AE121" i="1"/>
  <c r="Z121" i="1"/>
  <c r="Y121" i="1"/>
  <c r="W121" i="1"/>
  <c r="V121" i="1"/>
  <c r="U121" i="1"/>
  <c r="T121" i="1"/>
  <c r="S121" i="1"/>
  <c r="I121" i="1"/>
  <c r="G121" i="1"/>
  <c r="A121" i="1"/>
  <c r="AU120" i="1" l="1"/>
  <c r="AT120" i="1"/>
  <c r="AS120" i="1"/>
  <c r="AR120" i="1"/>
  <c r="AK120" i="1"/>
  <c r="AJ120" i="1"/>
  <c r="AI120" i="1"/>
  <c r="AH120" i="1"/>
  <c r="AG120" i="1"/>
  <c r="AF120" i="1"/>
  <c r="AE120" i="1"/>
  <c r="Z120" i="1"/>
  <c r="W120" i="1"/>
  <c r="Y120" i="1"/>
  <c r="V120" i="1"/>
  <c r="U120" i="1"/>
  <c r="T120" i="1"/>
  <c r="S120" i="1"/>
  <c r="A120" i="1"/>
  <c r="AU119" i="1" l="1"/>
  <c r="AT119" i="1"/>
  <c r="AS119" i="1"/>
  <c r="AR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T118" i="1" l="1"/>
  <c r="AS118" i="1"/>
  <c r="AR118" i="1"/>
  <c r="AQ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<sst xmlns="http://schemas.openxmlformats.org/spreadsheetml/2006/main" count="707" uniqueCount="105">
  <si>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</si>
  <si>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</si>
  <si>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</si>
  <si>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</si>
  <si>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</si>
  <si>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</si>
  <si>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</si>
  <si>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</si>
  <si>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</si>
  <si>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</si>
  <si>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</si>
  <si>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</si>
  <si>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</si>
  <si>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</si>
  <si>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</si>
  <si>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</si>
  <si>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</si>
  <si>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</si>
  <si>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</si>
  <si>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</si>
  <si>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</si>
  <si>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</si>
  <si>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</si>
  <si>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</si>
  <si>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</si>
  <si>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</si>
  <si>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</si>
  <si>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</si>
  <si>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</si>
  <si>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</si>
  <si>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</si>
  <si>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</si>
  <si>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</si>
  <si>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</si>
  <si>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</si>
  <si>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</si>
  <si>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</si>
  <si>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</si>
  <si>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</si>
  <si>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</si>
  <si>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</si>
  <si>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</si>
  <si>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</si>
  <si>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</si>
  <si>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</si>
  <si>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</si>
  <si>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</si>
  <si>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</si>
  <si>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</si>
  <si>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</si>
  <si>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</si>
  <si>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</si>
  <si>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</si>
  <si>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</si>
  <si>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</si>
  <si>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</si>
  <si>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</si>
  <si>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</si>
  <si>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</si>
  <si>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</si>
  <si>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</si>
  <si>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</si>
  <si>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</si>
  <si>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</si>
  <si>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</si>
  <si>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</si>
  <si>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</si>
  <si>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</si>
  <si>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</si>
  <si>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</si>
  <si>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</si>
  <si>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</si>
  <si>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</si>
  <si>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</si>
  <si>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</si>
  <si>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</si>
  <si>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</si>
  <si>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</si>
  <si>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</si>
  <si>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</si>
  <si>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</si>
  <si>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</si>
  <si>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</si>
  <si>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</si>
  <si>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</si>
  <si>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</si>
  <si>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</si>
  <si>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</si>
  <si>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</si>
  <si>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</si>
  <si>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</si>
  <si>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</si>
  <si>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</si>
  <si>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</si>
  <si>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</si>
  <si>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</si>
  <si>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</si>
  <si>
    <t>SE</t>
  </si>
  <si>
    <t>WNW</t>
  </si>
  <si>
    <t>NNE</t>
  </si>
  <si>
    <t>E</t>
  </si>
  <si>
    <t>Parks Mall - 3 laps</t>
  </si>
  <si>
    <t>Parks Mall - 4 laps</t>
  </si>
  <si>
    <t>Skechers 2</t>
  </si>
  <si>
    <t>Widespread Dust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</si>
</sst>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2"/>
  <sheetViews>
    <sheetView tabSelected="1" topLeftCell="AI1" zoomScale="115" zoomScaleNormal="115" workbookViewId="0">
      <pane ySplit="1" topLeftCell="A118" activePane="bottomLeft" state="frozen"/>
      <selection activeCell="B1" sqref="B1"/>
      <selection pane="bottomLeft" activeCell="AV132" sqref="AV132:AX132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11.14062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84</v>
      </c>
      <c r="B1" s="18" t="s">
        <v>54</v>
      </c>
      <c r="C1" t="s">
        <v>0</v>
      </c>
      <c r="D1" t="s">
        <v>1</v>
      </c>
      <c r="E1" s="16" t="s">
        <v>80</v>
      </c>
      <c r="F1" t="s">
        <v>86</v>
      </c>
      <c r="G1" s="17" t="s">
        <v>2</v>
      </c>
      <c r="H1" s="17" t="s">
        <v>87</v>
      </c>
      <c r="I1" s="17" t="s">
        <v>3</v>
      </c>
      <c r="J1" s="17" t="s">
        <v>91</v>
      </c>
      <c r="K1" s="17" t="s">
        <v>88</v>
      </c>
      <c r="L1" s="17" t="s">
        <v>89</v>
      </c>
      <c r="M1" s="16" t="s">
        <v>85</v>
      </c>
      <c r="N1" t="s">
        <v>28</v>
      </c>
      <c r="O1" t="s">
        <v>4</v>
      </c>
      <c r="P1" s="1" t="s">
        <v>5</v>
      </c>
      <c r="Q1" s="17" t="s">
        <v>56</v>
      </c>
      <c r="R1" s="17" t="s">
        <v>57</v>
      </c>
      <c r="S1" s="17" t="s">
        <v>6</v>
      </c>
      <c r="T1" s="1" t="s">
        <v>7</v>
      </c>
      <c r="U1" s="1" t="s">
        <v>68</v>
      </c>
      <c r="V1" s="1" t="s">
        <v>69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58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64</v>
      </c>
      <c r="AN1" s="1" t="s">
        <v>73</v>
      </c>
      <c r="AO1" t="s">
        <v>23</v>
      </c>
      <c r="AP1" t="s">
        <v>24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t="s">
        <v>25</v>
      </c>
      <c r="AW1" t="s">
        <v>26</v>
      </c>
      <c r="AX1" t="s">
        <v>27</v>
      </c>
      <c r="AY1" t="s">
        <v>34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45</v>
      </c>
      <c r="G2" s="17">
        <v>54</v>
      </c>
      <c r="H2" s="17"/>
      <c r="I2" s="17">
        <v>98</v>
      </c>
      <c r="N2" s="16" t="s">
        <v>33</v>
      </c>
      <c r="O2" s="16" t="s">
        <v>96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29</v>
      </c>
      <c r="AW2" s="16" t="s">
        <v>30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31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33</v>
      </c>
      <c r="O3" s="14" t="s">
        <v>44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29</v>
      </c>
      <c r="AW3" s="16" t="s">
        <v>30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31</v>
      </c>
      <c r="G4" s="17">
        <v>74</v>
      </c>
      <c r="I4" s="17">
        <v>64</v>
      </c>
      <c r="N4" s="13" t="s">
        <v>33</v>
      </c>
      <c r="O4" s="4" t="s">
        <v>62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29</v>
      </c>
      <c r="AW4" s="9" t="s">
        <v>30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40</v>
      </c>
      <c r="G5" s="17">
        <v>50</v>
      </c>
      <c r="I5" s="17">
        <v>60</v>
      </c>
      <c r="N5" t="s">
        <v>33</v>
      </c>
      <c r="O5" s="16" t="s">
        <v>96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29</v>
      </c>
      <c r="AW5" s="16" t="s">
        <v>30</v>
      </c>
      <c r="AX5">
        <v>0</v>
      </c>
      <c r="AY5" t="s">
        <v>34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31</v>
      </c>
      <c r="G6" s="17">
        <v>62</v>
      </c>
      <c r="I6" s="17">
        <v>80</v>
      </c>
      <c r="N6" t="s">
        <v>33</v>
      </c>
      <c r="O6" t="s">
        <v>32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29</v>
      </c>
      <c r="AW6" t="s">
        <v>30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31</v>
      </c>
      <c r="G7" s="17">
        <v>44</v>
      </c>
      <c r="I7" s="17">
        <v>45</v>
      </c>
      <c r="N7" t="s">
        <v>33</v>
      </c>
      <c r="O7" s="16" t="s">
        <v>96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29</v>
      </c>
      <c r="AW7" t="s">
        <v>30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31</v>
      </c>
      <c r="G8" s="17">
        <v>54</v>
      </c>
      <c r="I8" s="17">
        <v>29</v>
      </c>
      <c r="N8" t="s">
        <v>36</v>
      </c>
      <c r="O8" t="s">
        <v>35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29</v>
      </c>
      <c r="AW8" t="s">
        <v>30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31</v>
      </c>
      <c r="G9" s="17">
        <v>52</v>
      </c>
      <c r="I9" s="17">
        <v>45</v>
      </c>
      <c r="N9" t="s">
        <v>36</v>
      </c>
      <c r="O9" t="s">
        <v>37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29</v>
      </c>
      <c r="AW9" t="s">
        <v>30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31</v>
      </c>
      <c r="G10" s="17">
        <v>74</v>
      </c>
      <c r="I10" s="17">
        <v>25</v>
      </c>
      <c r="N10" s="5" t="s">
        <v>33</v>
      </c>
      <c r="AO10">
        <v>2</v>
      </c>
      <c r="AP10">
        <v>1</v>
      </c>
      <c r="AV10" t="s">
        <v>29</v>
      </c>
      <c r="AW10" t="s">
        <v>30</v>
      </c>
      <c r="AX10">
        <v>1</v>
      </c>
      <c r="AY10" t="s">
        <v>43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38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71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83</v>
      </c>
      <c r="G14" s="17">
        <v>49</v>
      </c>
      <c r="I14" s="17">
        <v>72</v>
      </c>
      <c r="N14" t="s">
        <v>33</v>
      </c>
      <c r="O14" s="16" t="s">
        <v>96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29</v>
      </c>
      <c r="AW14" t="s">
        <v>30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31</v>
      </c>
      <c r="G15" s="17">
        <v>62</v>
      </c>
      <c r="I15" s="17">
        <v>46</v>
      </c>
      <c r="N15" t="s">
        <v>36</v>
      </c>
      <c r="O15" t="s">
        <v>39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29</v>
      </c>
      <c r="AW15" t="s">
        <v>30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31</v>
      </c>
      <c r="G16" s="17">
        <v>64</v>
      </c>
      <c r="I16" s="17">
        <v>19</v>
      </c>
      <c r="N16" t="s">
        <v>36</v>
      </c>
      <c r="O16" t="s">
        <v>44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29</v>
      </c>
      <c r="AW16" t="s">
        <v>30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31</v>
      </c>
      <c r="G17" s="17">
        <v>61</v>
      </c>
      <c r="I17" s="17">
        <v>34</v>
      </c>
      <c r="N17" t="s">
        <v>36</v>
      </c>
      <c r="O17" t="s">
        <v>41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29</v>
      </c>
      <c r="AW17" t="s">
        <v>30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38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45</v>
      </c>
      <c r="G19" s="17">
        <v>59</v>
      </c>
      <c r="I19" s="17">
        <v>87</v>
      </c>
      <c r="N19" s="16" t="s">
        <v>33</v>
      </c>
      <c r="O19" s="16" t="s">
        <v>96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29</v>
      </c>
      <c r="AW19" s="9" t="s">
        <v>30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31</v>
      </c>
      <c r="G20" s="17">
        <v>54</v>
      </c>
      <c r="I20" s="17">
        <v>61</v>
      </c>
      <c r="N20" s="16" t="s">
        <v>36</v>
      </c>
      <c r="O20" t="s">
        <v>46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29</v>
      </c>
      <c r="AW20" s="16" t="s">
        <v>30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31</v>
      </c>
      <c r="G21" s="17">
        <v>81</v>
      </c>
      <c r="I21" s="17">
        <v>64</v>
      </c>
      <c r="N21" s="16" t="s">
        <v>36</v>
      </c>
      <c r="O21" s="16" t="s">
        <v>42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31</v>
      </c>
      <c r="G22" s="17">
        <v>64</v>
      </c>
      <c r="I22" s="17">
        <v>53</v>
      </c>
      <c r="N22" s="16" t="s">
        <v>36</v>
      </c>
      <c r="O22" t="s">
        <v>47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29</v>
      </c>
      <c r="AW22" s="16" t="s">
        <v>30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38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83</v>
      </c>
      <c r="G24" s="17">
        <v>60</v>
      </c>
      <c r="I24" s="17">
        <v>86</v>
      </c>
      <c r="N24" s="16" t="s">
        <v>33</v>
      </c>
      <c r="O24" s="16" t="s">
        <v>96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38</v>
      </c>
      <c r="F25" t="s">
        <v>45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45</v>
      </c>
      <c r="G26" s="17">
        <v>70</v>
      </c>
      <c r="I26" s="17">
        <v>70</v>
      </c>
      <c r="N26" t="s">
        <v>36</v>
      </c>
      <c r="O26" t="s">
        <v>48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29</v>
      </c>
      <c r="AW26" s="16" t="s">
        <v>30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45</v>
      </c>
      <c r="G27" s="17">
        <v>67</v>
      </c>
      <c r="I27" s="17">
        <v>84</v>
      </c>
      <c r="N27" s="16" t="s">
        <v>36</v>
      </c>
      <c r="O27" s="16" t="s">
        <v>44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29</v>
      </c>
      <c r="AW27" s="16" t="s">
        <v>30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49</v>
      </c>
      <c r="G28" s="17">
        <v>79</v>
      </c>
      <c r="I28" s="17">
        <v>66</v>
      </c>
      <c r="N28" s="16" t="s">
        <v>36</v>
      </c>
      <c r="O28" t="s">
        <v>62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29</v>
      </c>
      <c r="AW28" s="16" t="s">
        <v>30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60</v>
      </c>
      <c r="G29" s="17">
        <v>66</v>
      </c>
      <c r="I29" s="17">
        <v>64</v>
      </c>
      <c r="AX29">
        <v>1</v>
      </c>
      <c r="AY29" t="s">
        <v>50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49</v>
      </c>
      <c r="G30" s="17">
        <v>51</v>
      </c>
      <c r="I30" s="17">
        <v>68</v>
      </c>
      <c r="N30" s="16" t="s">
        <v>33</v>
      </c>
      <c r="O30" s="16" t="s">
        <v>39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29</v>
      </c>
      <c r="AW30" s="16" t="s">
        <v>30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31</v>
      </c>
      <c r="G31" s="17">
        <v>58</v>
      </c>
      <c r="I31" s="17">
        <v>60</v>
      </c>
      <c r="N31" s="16" t="s">
        <v>33</v>
      </c>
      <c r="O31" s="16" t="s">
        <v>41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29</v>
      </c>
      <c r="AW31" s="16" t="s">
        <v>30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45</v>
      </c>
      <c r="G32" s="17">
        <v>62</v>
      </c>
      <c r="I32" s="17">
        <v>80</v>
      </c>
      <c r="N32" s="16" t="s">
        <v>33</v>
      </c>
      <c r="O32" s="16" t="s">
        <v>46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29</v>
      </c>
      <c r="AW32" s="16" t="s">
        <v>30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45</v>
      </c>
      <c r="G33" s="17">
        <v>68</v>
      </c>
      <c r="I33" s="17">
        <v>81</v>
      </c>
      <c r="N33" s="16" t="s">
        <v>33</v>
      </c>
      <c r="O33" s="16" t="s">
        <v>48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29</v>
      </c>
      <c r="AW33" s="16" t="s">
        <v>30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31</v>
      </c>
      <c r="G34" s="17">
        <v>86</v>
      </c>
      <c r="I34" s="17">
        <v>20</v>
      </c>
      <c r="N34" s="16" t="s">
        <v>36</v>
      </c>
      <c r="O34" s="16" t="s">
        <v>44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29</v>
      </c>
      <c r="AW34" s="16" t="s">
        <v>30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31</v>
      </c>
      <c r="G35" s="17">
        <v>87</v>
      </c>
      <c r="I35" s="17">
        <v>40</v>
      </c>
      <c r="N35" s="16" t="s">
        <v>36</v>
      </c>
      <c r="O35" s="16" t="s">
        <v>62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29</v>
      </c>
      <c r="AW35" s="16" t="s">
        <v>30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31</v>
      </c>
      <c r="G36" s="17">
        <v>82</v>
      </c>
      <c r="I36" s="17">
        <v>50</v>
      </c>
      <c r="N36" t="s">
        <v>36</v>
      </c>
      <c r="O36" t="s">
        <v>32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29</v>
      </c>
      <c r="AW36" s="16" t="s">
        <v>30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49</v>
      </c>
      <c r="G37" s="17">
        <v>83</v>
      </c>
      <c r="I37" s="17">
        <v>56</v>
      </c>
      <c r="N37" s="16" t="s">
        <v>33</v>
      </c>
      <c r="O37" s="16" t="s">
        <v>39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29</v>
      </c>
      <c r="AW37" t="s">
        <v>30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31</v>
      </c>
      <c r="G38" s="17">
        <v>74</v>
      </c>
      <c r="I38" s="17">
        <v>19</v>
      </c>
      <c r="N38" t="s">
        <v>36</v>
      </c>
      <c r="O38" s="16" t="s">
        <v>55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29</v>
      </c>
      <c r="AW38" s="16" t="s">
        <v>30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38</v>
      </c>
      <c r="F39" s="3" t="s">
        <v>31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72</v>
      </c>
      <c r="F40" s="3" t="s">
        <v>51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45</v>
      </c>
      <c r="G41" s="17">
        <v>48</v>
      </c>
      <c r="I41" s="17">
        <v>55</v>
      </c>
      <c r="N41" s="16" t="s">
        <v>33</v>
      </c>
      <c r="O41" s="16" t="s">
        <v>44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29</v>
      </c>
      <c r="AW41" s="16" t="s">
        <v>30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31</v>
      </c>
      <c r="G42" s="17">
        <v>72</v>
      </c>
      <c r="I42" s="17">
        <v>50</v>
      </c>
      <c r="N42" t="s">
        <v>36</v>
      </c>
      <c r="O42" s="16" t="s">
        <v>47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29</v>
      </c>
      <c r="AW42" s="16" t="s">
        <v>30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45</v>
      </c>
      <c r="G43" s="17">
        <v>69</v>
      </c>
      <c r="I43" s="17">
        <v>73</v>
      </c>
      <c r="N43" s="16" t="s">
        <v>36</v>
      </c>
      <c r="O43" s="16" t="s">
        <v>39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29</v>
      </c>
      <c r="AW43" s="16" t="s">
        <v>30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72</v>
      </c>
      <c r="F44" t="s">
        <v>45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72</v>
      </c>
      <c r="F45" t="s">
        <v>45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72</v>
      </c>
      <c r="F46" t="s">
        <v>45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31</v>
      </c>
      <c r="G47" s="17">
        <v>71</v>
      </c>
      <c r="I47" s="17">
        <v>70</v>
      </c>
      <c r="N47" s="16" t="s">
        <v>36</v>
      </c>
      <c r="O47" s="16" t="s">
        <v>41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29</v>
      </c>
      <c r="AW47" s="16" t="s">
        <v>30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31</v>
      </c>
      <c r="G48" s="17">
        <v>86</v>
      </c>
      <c r="I48" s="17">
        <v>43</v>
      </c>
      <c r="N48" s="16" t="s">
        <v>33</v>
      </c>
      <c r="O48" s="16" t="s">
        <v>46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29</v>
      </c>
      <c r="AW48" s="16" t="s">
        <v>30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31</v>
      </c>
      <c r="G49" s="17">
        <v>85</v>
      </c>
      <c r="I49" s="17">
        <v>55</v>
      </c>
      <c r="N49" t="s">
        <v>36</v>
      </c>
      <c r="O49" t="s">
        <v>53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29</v>
      </c>
      <c r="AW49" t="s">
        <v>30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31</v>
      </c>
      <c r="G50" s="17">
        <v>88</v>
      </c>
      <c r="I50" s="17">
        <v>49</v>
      </c>
      <c r="N50" s="16" t="s">
        <v>33</v>
      </c>
      <c r="O50" t="s">
        <v>52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29</v>
      </c>
      <c r="AW50" t="s">
        <v>30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31</v>
      </c>
      <c r="G51" s="17">
        <v>77</v>
      </c>
      <c r="I51" s="17">
        <v>71</v>
      </c>
      <c r="N51" s="16" t="s">
        <v>36</v>
      </c>
      <c r="O51" s="16" t="s">
        <v>39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29</v>
      </c>
      <c r="AW51" t="s">
        <v>30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38</v>
      </c>
      <c r="F52" t="s">
        <v>45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70</v>
      </c>
      <c r="F53" t="s">
        <v>49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31</v>
      </c>
      <c r="G54" s="17">
        <v>54</v>
      </c>
      <c r="I54" s="17">
        <v>45</v>
      </c>
      <c r="N54" t="s">
        <v>33</v>
      </c>
      <c r="O54" s="16" t="s">
        <v>61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29</v>
      </c>
      <c r="AW54" t="s">
        <v>30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49</v>
      </c>
      <c r="G55" s="17">
        <v>55</v>
      </c>
      <c r="I55" s="17">
        <v>51</v>
      </c>
      <c r="N55" t="s">
        <v>36</v>
      </c>
      <c r="O55" s="16" t="s">
        <v>44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29</v>
      </c>
      <c r="AW55" s="16" t="s">
        <v>30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31</v>
      </c>
      <c r="G56" s="17">
        <v>63</v>
      </c>
      <c r="I56" s="17">
        <v>71</v>
      </c>
      <c r="N56" s="16" t="s">
        <v>36</v>
      </c>
      <c r="O56" s="16" t="s">
        <v>32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29</v>
      </c>
      <c r="AW56" t="s">
        <v>30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31</v>
      </c>
      <c r="G57" s="17">
        <v>70</v>
      </c>
      <c r="I57" s="17">
        <v>40</v>
      </c>
      <c r="N57" s="16" t="s">
        <v>36</v>
      </c>
      <c r="O57" s="16" t="s">
        <v>35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29</v>
      </c>
      <c r="AW57" t="s">
        <v>30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45</v>
      </c>
      <c r="G58" s="17">
        <v>53</v>
      </c>
      <c r="I58" s="17">
        <v>35</v>
      </c>
      <c r="N58" t="s">
        <v>33</v>
      </c>
      <c r="O58" s="16" t="s">
        <v>53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29</v>
      </c>
      <c r="AW58" s="16" t="s">
        <v>30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31</v>
      </c>
      <c r="G59" s="17">
        <v>63</v>
      </c>
      <c r="I59" s="17">
        <v>48</v>
      </c>
      <c r="N59" t="s">
        <v>36</v>
      </c>
      <c r="O59" t="s">
        <v>55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29</v>
      </c>
      <c r="AW59" t="s">
        <v>30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49</v>
      </c>
      <c r="G60" s="17">
        <v>78</v>
      </c>
      <c r="I60" s="17">
        <v>61</v>
      </c>
      <c r="N60" s="16" t="s">
        <v>33</v>
      </c>
      <c r="O60" s="16" t="s">
        <v>48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29</v>
      </c>
      <c r="AW60" t="s">
        <v>30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49</v>
      </c>
      <c r="G61" s="17">
        <v>79</v>
      </c>
      <c r="I61" s="17">
        <v>61</v>
      </c>
      <c r="N61" s="16" t="s">
        <v>36</v>
      </c>
      <c r="O61" t="s">
        <v>44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29</v>
      </c>
      <c r="AW61" s="16" t="s">
        <v>30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31</v>
      </c>
      <c r="G62" s="17">
        <v>83</v>
      </c>
      <c r="I62" s="17">
        <v>64</v>
      </c>
      <c r="N62" s="16" t="s">
        <v>36</v>
      </c>
      <c r="AD62" s="17"/>
      <c r="AV62" s="16"/>
      <c r="AW62" s="16"/>
      <c r="AX62" s="16">
        <v>1</v>
      </c>
      <c r="AY62" s="16" t="s">
        <v>59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31</v>
      </c>
      <c r="G63" s="17">
        <v>64</v>
      </c>
      <c r="I63" s="17">
        <v>62</v>
      </c>
      <c r="M63" s="16" t="s">
        <v>65</v>
      </c>
      <c r="N63" t="s">
        <v>33</v>
      </c>
      <c r="O63" s="16" t="s">
        <v>62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29</v>
      </c>
      <c r="AW63" s="16" t="s">
        <v>30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72</v>
      </c>
      <c r="F64" t="s">
        <v>45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31</v>
      </c>
      <c r="G65" s="17">
        <v>76</v>
      </c>
      <c r="I65" s="17">
        <v>43</v>
      </c>
      <c r="M65" s="16" t="s">
        <v>66</v>
      </c>
      <c r="N65" t="s">
        <v>33</v>
      </c>
      <c r="O65" s="16" t="s">
        <v>55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29</v>
      </c>
      <c r="AW65" t="s">
        <v>30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31</v>
      </c>
      <c r="G66" s="17">
        <v>81</v>
      </c>
      <c r="I66" s="17">
        <v>37</v>
      </c>
      <c r="M66" s="16" t="s">
        <v>66</v>
      </c>
      <c r="N66" s="16" t="s">
        <v>36</v>
      </c>
      <c r="O66" t="s">
        <v>61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29</v>
      </c>
      <c r="AW66" s="16" t="s">
        <v>30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31</v>
      </c>
      <c r="G67" s="17">
        <v>76</v>
      </c>
      <c r="I67" s="17">
        <v>37</v>
      </c>
      <c r="M67" s="16" t="s">
        <v>66</v>
      </c>
      <c r="N67" t="s">
        <v>33</v>
      </c>
      <c r="O67" t="s">
        <v>47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29</v>
      </c>
      <c r="AW67" s="16" t="s">
        <v>30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31</v>
      </c>
      <c r="G68" s="17">
        <v>81</v>
      </c>
      <c r="I68" s="17">
        <v>23</v>
      </c>
      <c r="M68" s="16" t="s">
        <v>66</v>
      </c>
      <c r="N68" t="s">
        <v>36</v>
      </c>
      <c r="O68" t="s">
        <v>32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29</v>
      </c>
      <c r="AW68" t="s">
        <v>30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31</v>
      </c>
      <c r="G69" s="17">
        <v>83</v>
      </c>
      <c r="I69" s="17">
        <v>37</v>
      </c>
      <c r="M69" s="16" t="s">
        <v>66</v>
      </c>
      <c r="O69" s="16" t="s">
        <v>46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29</v>
      </c>
      <c r="AW69" s="16" t="s">
        <v>30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60</v>
      </c>
      <c r="G70" s="17">
        <v>84</v>
      </c>
      <c r="I70" s="17">
        <v>61</v>
      </c>
      <c r="M70" s="16" t="s">
        <v>66</v>
      </c>
      <c r="N70" t="s">
        <v>36</v>
      </c>
      <c r="O70" t="s">
        <v>41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29</v>
      </c>
      <c r="AW70" t="s">
        <v>30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31</v>
      </c>
      <c r="G71" s="17">
        <v>75</v>
      </c>
      <c r="I71" s="17">
        <v>77</v>
      </c>
      <c r="M71" s="16" t="s">
        <v>66</v>
      </c>
      <c r="N71" t="s">
        <v>33</v>
      </c>
      <c r="O71" t="s">
        <v>39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29</v>
      </c>
      <c r="AW71" s="16" t="s">
        <v>30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31</v>
      </c>
      <c r="G72" s="17">
        <v>77</v>
      </c>
      <c r="I72" s="17">
        <v>32</v>
      </c>
      <c r="M72" s="16" t="s">
        <v>66</v>
      </c>
      <c r="N72" t="s">
        <v>36</v>
      </c>
      <c r="O72" t="s">
        <v>62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29</v>
      </c>
      <c r="AW72" s="16" t="s">
        <v>30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31</v>
      </c>
      <c r="G73" s="17">
        <v>71</v>
      </c>
      <c r="I73" s="17">
        <v>53</v>
      </c>
      <c r="M73" s="16" t="s">
        <v>66</v>
      </c>
      <c r="N73" t="s">
        <v>36</v>
      </c>
      <c r="O73" t="s">
        <v>55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29</v>
      </c>
      <c r="AW73" s="16" t="s">
        <v>30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60</v>
      </c>
      <c r="G74" s="17">
        <v>72</v>
      </c>
      <c r="I74" s="17">
        <v>71</v>
      </c>
      <c r="M74" s="16" t="s">
        <v>66</v>
      </c>
      <c r="N74" t="s">
        <v>33</v>
      </c>
      <c r="O74" t="s">
        <v>32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29</v>
      </c>
      <c r="AW74" t="s">
        <v>30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31</v>
      </c>
      <c r="G75" s="17">
        <v>84</v>
      </c>
      <c r="I75" s="17">
        <v>55</v>
      </c>
      <c r="M75" s="16" t="s">
        <v>66</v>
      </c>
      <c r="N75" s="16" t="s">
        <v>33</v>
      </c>
      <c r="O75" t="s">
        <v>44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29</v>
      </c>
      <c r="AW75" s="16" t="s">
        <v>30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31</v>
      </c>
      <c r="G76" s="17">
        <v>55</v>
      </c>
      <c r="I76" s="17">
        <v>60</v>
      </c>
      <c r="M76" s="16" t="s">
        <v>66</v>
      </c>
      <c r="N76" t="s">
        <v>36</v>
      </c>
      <c r="O76" t="s">
        <v>47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29</v>
      </c>
      <c r="AW76" t="s">
        <v>30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49</v>
      </c>
      <c r="G77" s="17">
        <v>76</v>
      </c>
      <c r="I77" s="17">
        <v>53</v>
      </c>
      <c r="M77" s="16" t="s">
        <v>66</v>
      </c>
      <c r="N77" s="16" t="s">
        <v>33</v>
      </c>
      <c r="O77" s="16" t="s">
        <v>44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29</v>
      </c>
      <c r="AW77" t="s">
        <v>30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31</v>
      </c>
      <c r="G78" s="17">
        <v>77</v>
      </c>
      <c r="I78" s="17">
        <v>31</v>
      </c>
      <c r="M78" s="16" t="s">
        <v>66</v>
      </c>
      <c r="N78" s="16" t="s">
        <v>36</v>
      </c>
      <c r="O78" t="s">
        <v>52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29</v>
      </c>
      <c r="AW78" t="s">
        <v>30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49</v>
      </c>
      <c r="G79" s="17">
        <v>81</v>
      </c>
      <c r="I79" s="17">
        <v>38</v>
      </c>
      <c r="M79" s="16" t="s">
        <v>66</v>
      </c>
      <c r="N79" t="s">
        <v>33</v>
      </c>
      <c r="O79" t="s">
        <v>62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29</v>
      </c>
      <c r="AW79" t="s">
        <v>30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45</v>
      </c>
      <c r="G80" s="17">
        <v>68</v>
      </c>
      <c r="I80" s="17">
        <v>56</v>
      </c>
      <c r="M80" s="16" t="s">
        <v>66</v>
      </c>
      <c r="N80" t="s">
        <v>33</v>
      </c>
      <c r="O80" t="s">
        <v>39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29</v>
      </c>
      <c r="AW80" t="s">
        <v>30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31</v>
      </c>
      <c r="G81" s="17">
        <v>70</v>
      </c>
      <c r="M81" s="16" t="s">
        <v>66</v>
      </c>
      <c r="N81" s="16" t="s">
        <v>36</v>
      </c>
      <c r="O81" t="s">
        <v>63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31</v>
      </c>
      <c r="G82" s="17">
        <v>75</v>
      </c>
      <c r="I82" s="17">
        <v>36</v>
      </c>
      <c r="M82" s="16" t="s">
        <v>66</v>
      </c>
      <c r="N82" s="16" t="s">
        <v>36</v>
      </c>
      <c r="O82" s="16" t="s">
        <v>47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29</v>
      </c>
      <c r="AW82" s="16" t="s">
        <v>30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31</v>
      </c>
      <c r="G83" s="17">
        <v>64</v>
      </c>
      <c r="I83" s="17">
        <v>56</v>
      </c>
      <c r="M83" s="16" t="s">
        <v>66</v>
      </c>
      <c r="N83" t="s">
        <v>33</v>
      </c>
      <c r="O83" t="s">
        <v>44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29</v>
      </c>
      <c r="AW83" s="16" t="s">
        <v>30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72</v>
      </c>
      <c r="F84" t="s">
        <v>83</v>
      </c>
      <c r="G84" s="17">
        <v>70</v>
      </c>
      <c r="I84" s="17">
        <v>100</v>
      </c>
      <c r="M84" s="16" t="s">
        <v>65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45</v>
      </c>
      <c r="G85" s="17">
        <v>73</v>
      </c>
      <c r="I85" s="17">
        <v>76</v>
      </c>
      <c r="M85" s="16" t="s">
        <v>65</v>
      </c>
      <c r="N85" t="s">
        <v>33</v>
      </c>
      <c r="O85" s="16" t="s">
        <v>62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29</v>
      </c>
      <c r="AW85" t="s">
        <v>30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67</v>
      </c>
      <c r="G86" s="17">
        <v>85</v>
      </c>
      <c r="I86" s="17">
        <v>55</v>
      </c>
      <c r="M86" s="16" t="s">
        <v>66</v>
      </c>
      <c r="N86" t="s">
        <v>36</v>
      </c>
      <c r="O86" t="s">
        <v>55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45</v>
      </c>
      <c r="G87" s="17">
        <v>81</v>
      </c>
      <c r="I87" s="17">
        <v>62</v>
      </c>
      <c r="M87" s="16" t="s">
        <v>65</v>
      </c>
      <c r="N87" s="16" t="s">
        <v>33</v>
      </c>
      <c r="O87" t="s">
        <v>47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29</v>
      </c>
      <c r="AW87" s="16" t="s">
        <v>30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72</v>
      </c>
      <c r="F88" t="s">
        <v>45</v>
      </c>
      <c r="G88" s="17">
        <v>68</v>
      </c>
      <c r="I88" s="17">
        <v>87</v>
      </c>
      <c r="M88" s="16" t="s">
        <v>65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31</v>
      </c>
      <c r="G89" s="17">
        <v>80</v>
      </c>
      <c r="I89" s="17">
        <v>54</v>
      </c>
      <c r="M89" s="16" t="s">
        <v>66</v>
      </c>
      <c r="N89" s="16" t="s">
        <v>36</v>
      </c>
      <c r="O89" t="s">
        <v>44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29</v>
      </c>
      <c r="AW89" s="16" t="s">
        <v>30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31</v>
      </c>
      <c r="G90" s="17">
        <v>89</v>
      </c>
      <c r="I90" s="17">
        <v>43</v>
      </c>
      <c r="M90" s="16" t="s">
        <v>66</v>
      </c>
      <c r="N90" s="16" t="s">
        <v>33</v>
      </c>
      <c r="O90" t="s">
        <v>63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29</v>
      </c>
      <c r="AW90" t="s">
        <v>30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31</v>
      </c>
      <c r="G91" s="17">
        <f>AVERAGE(77,81,85)</f>
        <v>81</v>
      </c>
      <c r="I91" s="17">
        <f>AVERAGE(69,72,57)</f>
        <v>66</v>
      </c>
      <c r="M91" s="16" t="s">
        <v>66</v>
      </c>
      <c r="N91" t="s">
        <v>36</v>
      </c>
      <c r="O91" t="s">
        <v>55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29</v>
      </c>
      <c r="AW91" s="16" t="s">
        <v>30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45</v>
      </c>
      <c r="G92" s="17">
        <v>74</v>
      </c>
      <c r="I92" s="17">
        <v>71</v>
      </c>
      <c r="M92" s="16" t="s">
        <v>66</v>
      </c>
      <c r="N92" t="s">
        <v>36</v>
      </c>
      <c r="O92" t="s">
        <v>32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29</v>
      </c>
      <c r="AW92" s="16" t="s">
        <v>30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45</v>
      </c>
      <c r="G93" s="17">
        <v>76</v>
      </c>
      <c r="I93" s="17">
        <v>74</v>
      </c>
      <c r="M93" s="16" t="s">
        <v>66</v>
      </c>
      <c r="N93" t="s">
        <v>33</v>
      </c>
      <c r="O93" t="s">
        <v>62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29</v>
      </c>
      <c r="AW93" t="s">
        <v>30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31</v>
      </c>
      <c r="G94" s="17">
        <f>AVERAGE(54,66,57)</f>
        <v>59</v>
      </c>
      <c r="I94" s="17">
        <f>AVERAGE(80,78,68)</f>
        <v>75.333333333333329</v>
      </c>
      <c r="M94" s="16" t="s">
        <v>66</v>
      </c>
      <c r="N94" s="16" t="s">
        <v>36</v>
      </c>
      <c r="O94" t="s">
        <v>47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29</v>
      </c>
      <c r="AW94" s="16" t="s">
        <v>30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31</v>
      </c>
      <c r="G95" s="17">
        <v>87</v>
      </c>
      <c r="I95" s="17">
        <v>0.56000000000000005</v>
      </c>
      <c r="M95" s="16" t="s">
        <v>66</v>
      </c>
      <c r="N95" t="s">
        <v>33</v>
      </c>
      <c r="O95" t="s">
        <v>79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29</v>
      </c>
      <c r="AW95" t="s">
        <v>30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38</v>
      </c>
      <c r="F96" t="s">
        <v>45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45</v>
      </c>
      <c r="G97" s="17">
        <v>71</v>
      </c>
      <c r="I97" s="17">
        <v>59</v>
      </c>
      <c r="M97" s="16" t="s">
        <v>66</v>
      </c>
      <c r="N97" t="s">
        <v>33</v>
      </c>
      <c r="O97" t="s">
        <v>32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29</v>
      </c>
      <c r="AW97" t="s">
        <v>30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31</v>
      </c>
      <c r="G98" s="17">
        <f>AVERAGE(79,82)</f>
        <v>80.5</v>
      </c>
      <c r="I98" s="17">
        <f>AVERAGE(47+37)</f>
        <v>84</v>
      </c>
      <c r="M98" s="16" t="s">
        <v>66</v>
      </c>
      <c r="N98" t="s">
        <v>33</v>
      </c>
      <c r="O98" t="s">
        <v>44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29</v>
      </c>
      <c r="AW98" t="s">
        <v>30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38</v>
      </c>
      <c r="F99" t="s">
        <v>31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81</v>
      </c>
      <c r="F100" t="s">
        <v>31</v>
      </c>
      <c r="G100" s="17">
        <f>AVERAGE(84,87)</f>
        <v>85.5</v>
      </c>
      <c r="I100" s="17">
        <f>AVERAGE(40,32)</f>
        <v>36</v>
      </c>
      <c r="M100" s="16" t="s">
        <v>66</v>
      </c>
      <c r="N100" t="s">
        <v>36</v>
      </c>
      <c r="O100" t="s">
        <v>63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29</v>
      </c>
      <c r="AW100" s="16" t="s">
        <v>30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81</v>
      </c>
      <c r="F101" t="s">
        <v>31</v>
      </c>
      <c r="G101" s="17">
        <f>AVERAGE(86,87)</f>
        <v>86.5</v>
      </c>
      <c r="I101" s="17">
        <f>AVERAGE(36,35)</f>
        <v>35.5</v>
      </c>
      <c r="M101" s="16" t="s">
        <v>66</v>
      </c>
      <c r="N101" t="s">
        <v>36</v>
      </c>
      <c r="O101" t="s">
        <v>62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29</v>
      </c>
      <c r="AW101" t="s">
        <v>30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60</v>
      </c>
      <c r="G102" s="17">
        <f>AVERAGE(86,88)</f>
        <v>87</v>
      </c>
      <c r="I102" s="17">
        <f>AVERAGE(38,35)</f>
        <v>36.5</v>
      </c>
      <c r="M102" s="16" t="s">
        <v>66</v>
      </c>
      <c r="N102" t="s">
        <v>36</v>
      </c>
      <c r="O102" t="s">
        <v>47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49</v>
      </c>
      <c r="G103" s="17">
        <v>73</v>
      </c>
      <c r="I103" s="17">
        <f>AVERAGE(90,79)</f>
        <v>84.5</v>
      </c>
      <c r="M103" s="16" t="s">
        <v>65</v>
      </c>
      <c r="N103" t="s">
        <v>36</v>
      </c>
      <c r="O103" t="s">
        <v>79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29</v>
      </c>
      <c r="AW103" t="s">
        <v>30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49</v>
      </c>
      <c r="G104" s="17">
        <v>86</v>
      </c>
      <c r="I104" s="17">
        <v>53</v>
      </c>
      <c r="M104" s="16" t="s">
        <v>66</v>
      </c>
      <c r="N104" t="s">
        <v>36</v>
      </c>
      <c r="O104" t="s">
        <v>63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29</v>
      </c>
      <c r="AW104" t="s">
        <v>30</v>
      </c>
      <c r="AX104">
        <v>0</v>
      </c>
    </row>
    <row r="105" spans="1:50" x14ac:dyDescent="0.25">
      <c r="A105">
        <f t="shared" ref="A105:A121" si="78">A104+1</f>
        <v>637</v>
      </c>
      <c r="B105" s="18">
        <v>43985.615972222222</v>
      </c>
      <c r="C105">
        <v>1</v>
      </c>
      <c r="F105" t="s">
        <v>31</v>
      </c>
      <c r="G105" s="17">
        <v>93</v>
      </c>
      <c r="I105" s="17">
        <v>47</v>
      </c>
      <c r="M105" s="16" t="s">
        <v>65</v>
      </c>
      <c r="N105" s="16" t="s">
        <v>33</v>
      </c>
      <c r="O105" s="16" t="s">
        <v>96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29</v>
      </c>
      <c r="AW105" t="s">
        <v>30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31</v>
      </c>
      <c r="G106" s="17">
        <f>AVERAGE(83,86)</f>
        <v>84.5</v>
      </c>
      <c r="I106" s="17">
        <f>AVERAGE(72,67)</f>
        <v>69.5</v>
      </c>
      <c r="M106" s="16" t="s">
        <v>65</v>
      </c>
      <c r="N106" t="s">
        <v>36</v>
      </c>
      <c r="O106" s="16" t="s">
        <v>96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29</v>
      </c>
      <c r="AW106" s="16" t="s">
        <v>30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82</v>
      </c>
      <c r="F107" t="s">
        <v>31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31</v>
      </c>
      <c r="G108" s="17">
        <f>AVERAGE(90,91)</f>
        <v>90.5</v>
      </c>
      <c r="I108" s="17">
        <f>AVERAGE(50,48)</f>
        <v>49</v>
      </c>
      <c r="M108" s="16" t="s">
        <v>65</v>
      </c>
      <c r="N108" t="s">
        <v>36</v>
      </c>
      <c r="O108" s="16" t="s">
        <v>96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29</v>
      </c>
      <c r="AW108" t="s">
        <v>30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38</v>
      </c>
      <c r="F109" t="s">
        <v>31</v>
      </c>
      <c r="G109" s="17">
        <v>91</v>
      </c>
      <c r="I109" s="17">
        <v>50</v>
      </c>
      <c r="M109" s="16" t="s">
        <v>65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31</v>
      </c>
      <c r="G110" s="17">
        <v>95</v>
      </c>
      <c r="I110" s="17">
        <v>41</v>
      </c>
      <c r="M110" s="16" t="s">
        <v>65</v>
      </c>
      <c r="N110" t="s">
        <v>36</v>
      </c>
      <c r="O110" s="16" t="s">
        <v>96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32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29</v>
      </c>
      <c r="AW110" t="s">
        <v>30</v>
      </c>
      <c r="AX110">
        <v>0</v>
      </c>
    </row>
    <row r="111" spans="1:50" x14ac:dyDescent="0.25">
      <c r="A111">
        <f t="shared" si="78"/>
        <v>643</v>
      </c>
      <c r="B111" s="18">
        <v>43991.42291666667</v>
      </c>
      <c r="C111">
        <v>1</v>
      </c>
      <c r="F111" t="s">
        <v>31</v>
      </c>
      <c r="G111" s="17">
        <v>90</v>
      </c>
      <c r="I111" s="17">
        <v>57</v>
      </c>
      <c r="M111" s="16" t="s">
        <v>65</v>
      </c>
      <c r="N111" t="s">
        <v>36</v>
      </c>
      <c r="O111" s="16" t="s">
        <v>96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29</v>
      </c>
      <c r="AW111" t="s">
        <v>30</v>
      </c>
      <c r="AX111">
        <v>0</v>
      </c>
    </row>
    <row r="112" spans="1:50" x14ac:dyDescent="0.25">
      <c r="A112">
        <f t="shared" si="78"/>
        <v>644</v>
      </c>
      <c r="B112" s="18">
        <v>43991.474999999999</v>
      </c>
      <c r="C112">
        <v>1</v>
      </c>
      <c r="F112" t="s">
        <v>31</v>
      </c>
      <c r="G112" s="17">
        <v>97</v>
      </c>
      <c r="I112" s="17">
        <v>26</v>
      </c>
      <c r="M112" s="16" t="s">
        <v>65</v>
      </c>
      <c r="N112" t="s">
        <v>36</v>
      </c>
      <c r="O112" s="16" t="s">
        <v>101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29</v>
      </c>
      <c r="AW112" t="s">
        <v>30</v>
      </c>
      <c r="AX112">
        <v>0</v>
      </c>
    </row>
    <row r="113" spans="1:50" x14ac:dyDescent="0.25">
      <c r="A113">
        <f t="shared" si="78"/>
        <v>645</v>
      </c>
      <c r="B113" s="18">
        <v>43992.533333333333</v>
      </c>
      <c r="C113">
        <v>1</v>
      </c>
      <c r="F113" t="s">
        <v>31</v>
      </c>
      <c r="G113" s="17">
        <v>76</v>
      </c>
      <c r="H113" s="17">
        <v>43</v>
      </c>
      <c r="I113" s="17">
        <v>23</v>
      </c>
      <c r="J113" s="17" t="s">
        <v>90</v>
      </c>
      <c r="K113" s="17">
        <v>12</v>
      </c>
      <c r="L113" s="17">
        <v>25</v>
      </c>
      <c r="M113" s="16" t="s">
        <v>66</v>
      </c>
      <c r="N113" t="s">
        <v>33</v>
      </c>
      <c r="O113" t="s">
        <v>32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29</v>
      </c>
      <c r="AW113" t="s">
        <v>30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31</v>
      </c>
      <c r="G114" s="17">
        <v>87</v>
      </c>
      <c r="H114" s="17">
        <f>AVERAGE(47,48)</f>
        <v>47.5</v>
      </c>
      <c r="I114" s="17">
        <v>26</v>
      </c>
      <c r="J114" s="17" t="s">
        <v>92</v>
      </c>
      <c r="K114" s="17">
        <v>7</v>
      </c>
      <c r="L114" s="17">
        <v>0</v>
      </c>
      <c r="M114" s="16" t="s">
        <v>66</v>
      </c>
      <c r="N114" t="s">
        <v>33</v>
      </c>
      <c r="O114" t="s">
        <v>63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29</v>
      </c>
      <c r="AW114" t="s">
        <v>30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31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93</v>
      </c>
      <c r="K115" s="17">
        <v>15</v>
      </c>
      <c r="L115" s="17">
        <v>29</v>
      </c>
      <c r="M115" s="16" t="s">
        <v>66</v>
      </c>
      <c r="N115" t="s">
        <v>36</v>
      </c>
      <c r="O115" t="s">
        <v>47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29</v>
      </c>
      <c r="AW115" s="16" t="s">
        <v>30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31</v>
      </c>
      <c r="G116" s="17">
        <v>92</v>
      </c>
      <c r="H116" s="17">
        <v>56</v>
      </c>
      <c r="I116" s="17">
        <v>30</v>
      </c>
      <c r="J116" s="17" t="s">
        <v>93</v>
      </c>
      <c r="K116" s="17">
        <v>13</v>
      </c>
      <c r="L116" s="17">
        <v>22</v>
      </c>
      <c r="M116" s="16" t="s">
        <v>66</v>
      </c>
      <c r="N116" t="s">
        <v>33</v>
      </c>
      <c r="O116" t="s">
        <v>101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29</v>
      </c>
      <c r="AW116" t="s">
        <v>30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31</v>
      </c>
      <c r="G117" s="17">
        <v>92</v>
      </c>
      <c r="H117" s="17">
        <v>57</v>
      </c>
      <c r="I117" s="17">
        <v>31</v>
      </c>
      <c r="J117" s="17" t="s">
        <v>94</v>
      </c>
      <c r="K117" s="17">
        <v>13</v>
      </c>
      <c r="L117" s="17">
        <v>18</v>
      </c>
      <c r="M117" s="16" t="s">
        <v>66</v>
      </c>
      <c r="N117" t="s">
        <v>36</v>
      </c>
      <c r="O117" s="16" t="s">
        <v>101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29</v>
      </c>
      <c r="AW117" t="s">
        <v>30</v>
      </c>
      <c r="AX117">
        <v>0</v>
      </c>
    </row>
    <row r="118" spans="1:50" x14ac:dyDescent="0.25">
      <c r="A118">
        <f t="shared" si="78"/>
        <v>650</v>
      </c>
      <c r="B118" s="18">
        <v>43997.42291666667</v>
      </c>
      <c r="C118">
        <v>1</v>
      </c>
      <c r="F118" t="s">
        <v>31</v>
      </c>
      <c r="G118" s="17">
        <v>87</v>
      </c>
      <c r="H118" s="17">
        <v>65</v>
      </c>
      <c r="I118" s="17">
        <f>AVERAGE(46,49)</f>
        <v>47.5</v>
      </c>
      <c r="J118" s="17" t="s">
        <v>93</v>
      </c>
      <c r="K118" s="17">
        <v>7</v>
      </c>
      <c r="L118" s="17">
        <v>0</v>
      </c>
      <c r="M118" s="16" t="s">
        <v>66</v>
      </c>
      <c r="N118" s="16" t="s">
        <v>33</v>
      </c>
      <c r="O118" s="16" t="s">
        <v>101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Q118" s="1">
        <f>0+12/60</f>
        <v>0.2</v>
      </c>
      <c r="AR118" s="1">
        <f>5+24/60</f>
        <v>5.4</v>
      </c>
      <c r="AS118" s="1">
        <f>7+26/60</f>
        <v>7.4333333333333336</v>
      </c>
      <c r="AT118" s="1">
        <f>87+58/60</f>
        <v>87.966666666666669</v>
      </c>
      <c r="AU118" s="1">
        <v>2</v>
      </c>
      <c r="AV118" s="16" t="s">
        <v>29</v>
      </c>
      <c r="AW118" s="16" t="s">
        <v>30</v>
      </c>
      <c r="AX118" s="16">
        <v>0</v>
      </c>
    </row>
    <row r="119" spans="1:50" x14ac:dyDescent="0.25">
      <c r="A119">
        <f t="shared" si="78"/>
        <v>651</v>
      </c>
      <c r="B119" s="18">
        <v>43998.49722222222</v>
      </c>
      <c r="C119">
        <v>1</v>
      </c>
      <c r="F119" t="s">
        <v>31</v>
      </c>
      <c r="G119" s="17">
        <v>92</v>
      </c>
      <c r="H119" s="17">
        <v>63</v>
      </c>
      <c r="I119" s="17">
        <v>39</v>
      </c>
      <c r="J119" s="17" t="s">
        <v>95</v>
      </c>
      <c r="K119" s="17">
        <v>11</v>
      </c>
      <c r="L119" s="17">
        <v>0</v>
      </c>
      <c r="M119" s="16" t="s">
        <v>66</v>
      </c>
      <c r="N119" t="s">
        <v>36</v>
      </c>
      <c r="O119" s="16" t="s">
        <v>96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Q119" s="1">
        <v>0</v>
      </c>
      <c r="AR119" s="1">
        <f>1+27/60</f>
        <v>1.45</v>
      </c>
      <c r="AS119" s="1">
        <f>11+15/60</f>
        <v>11.25</v>
      </c>
      <c r="AT119" s="1">
        <f>37+4/60</f>
        <v>37.06666666666667</v>
      </c>
      <c r="AU119" s="1">
        <f>74+33/60</f>
        <v>74.55</v>
      </c>
      <c r="AV119" s="16" t="s">
        <v>29</v>
      </c>
      <c r="AW119" s="16" t="s">
        <v>30</v>
      </c>
      <c r="AX119" s="16">
        <v>0</v>
      </c>
    </row>
    <row r="120" spans="1:50" x14ac:dyDescent="0.25">
      <c r="A120">
        <f t="shared" si="78"/>
        <v>652</v>
      </c>
      <c r="B120" s="18">
        <v>43999.475694444445</v>
      </c>
      <c r="C120">
        <v>1</v>
      </c>
      <c r="F120" t="s">
        <v>31</v>
      </c>
      <c r="G120" s="17">
        <v>93</v>
      </c>
      <c r="H120" s="17">
        <v>54</v>
      </c>
      <c r="I120" s="17">
        <v>28</v>
      </c>
      <c r="J120" s="17" t="s">
        <v>95</v>
      </c>
      <c r="K120" s="17">
        <v>17</v>
      </c>
      <c r="L120" s="17">
        <v>28</v>
      </c>
      <c r="M120" s="16" t="s">
        <v>66</v>
      </c>
      <c r="N120" s="16" t="s">
        <v>33</v>
      </c>
      <c r="O120" s="16" t="s">
        <v>96</v>
      </c>
      <c r="P120" s="1">
        <v>6.45</v>
      </c>
      <c r="Q120" s="17">
        <v>813</v>
      </c>
      <c r="R120" s="17">
        <v>17264</v>
      </c>
      <c r="S120" s="17">
        <f>R120-Q120</f>
        <v>16451</v>
      </c>
      <c r="T120" s="1">
        <f>135/60</f>
        <v>2.25</v>
      </c>
      <c r="U120" s="1">
        <f>156/60</f>
        <v>2.6</v>
      </c>
      <c r="V120" s="1">
        <f t="shared" si="85"/>
        <v>0.35000000000000009</v>
      </c>
      <c r="W120" s="1">
        <f>P120/T120</f>
        <v>2.8666666666666667</v>
      </c>
      <c r="X120">
        <v>2</v>
      </c>
      <c r="Y120" s="1">
        <f t="shared" ref="Y120" si="102">P120/X120</f>
        <v>3.2250000000000001</v>
      </c>
      <c r="Z120" s="1">
        <f>20+55/60</f>
        <v>20.916666666666668</v>
      </c>
      <c r="AA120" s="17">
        <v>138</v>
      </c>
      <c r="AB120" s="17">
        <v>1200</v>
      </c>
      <c r="AC120" s="17">
        <v>121</v>
      </c>
      <c r="AD120" s="17">
        <v>143</v>
      </c>
      <c r="AE120" s="1">
        <f>18+57/60</f>
        <v>18.95</v>
      </c>
      <c r="AF120" s="1">
        <f>21+51/60</f>
        <v>21.85</v>
      </c>
      <c r="AG120" s="1">
        <f>21+55/60</f>
        <v>21.916666666666668</v>
      </c>
      <c r="AH120" s="1">
        <f>21+30/60</f>
        <v>21.5</v>
      </c>
      <c r="AI120" s="1">
        <f>20+6/60</f>
        <v>20.100000000000001</v>
      </c>
      <c r="AJ120" s="1">
        <f>21+45/60</f>
        <v>21.75</v>
      </c>
      <c r="AK120" s="1">
        <f>60/2.9</f>
        <v>20.689655172413794</v>
      </c>
      <c r="AO120">
        <v>3</v>
      </c>
      <c r="AP120">
        <v>1</v>
      </c>
      <c r="AQ120" s="1">
        <v>0</v>
      </c>
      <c r="AR120" s="1">
        <f>11+9/60</f>
        <v>11.15</v>
      </c>
      <c r="AS120" s="1">
        <f>34+10/60</f>
        <v>34.166666666666664</v>
      </c>
      <c r="AT120" s="1">
        <f>78+24/60</f>
        <v>78.400000000000006</v>
      </c>
      <c r="AU120" s="1">
        <f>11+23/60</f>
        <v>11.383333333333333</v>
      </c>
      <c r="AV120" s="16" t="s">
        <v>29</v>
      </c>
      <c r="AW120" s="16" t="s">
        <v>30</v>
      </c>
      <c r="AX120" s="16">
        <v>0</v>
      </c>
    </row>
    <row r="121" spans="1:50" x14ac:dyDescent="0.25">
      <c r="A121">
        <f t="shared" si="78"/>
        <v>653</v>
      </c>
      <c r="B121" s="18">
        <v>44000.457638888889</v>
      </c>
      <c r="C121">
        <v>1</v>
      </c>
      <c r="F121" t="s">
        <v>31</v>
      </c>
      <c r="G121" s="17">
        <f>AVERAGE(86,89)</f>
        <v>87.5</v>
      </c>
      <c r="H121" s="17">
        <v>66</v>
      </c>
      <c r="I121" s="17">
        <f>AVERAGE(49,46)</f>
        <v>47.5</v>
      </c>
      <c r="J121" s="17" t="s">
        <v>93</v>
      </c>
      <c r="K121" s="17">
        <v>14</v>
      </c>
      <c r="L121" s="17">
        <v>23</v>
      </c>
      <c r="M121" s="16" t="s">
        <v>66</v>
      </c>
      <c r="N121" s="16" t="s">
        <v>33</v>
      </c>
      <c r="O121" s="16" t="s">
        <v>96</v>
      </c>
      <c r="P121" s="1">
        <v>6.64</v>
      </c>
      <c r="Q121" s="17">
        <v>808</v>
      </c>
      <c r="R121" s="17">
        <v>18058</v>
      </c>
      <c r="S121" s="17">
        <f>R121-Q121</f>
        <v>17250</v>
      </c>
      <c r="T121" s="1">
        <f>133/60</f>
        <v>2.2166666666666668</v>
      </c>
      <c r="U121" s="1">
        <f>140/60</f>
        <v>2.3333333333333335</v>
      </c>
      <c r="V121" s="1">
        <f t="shared" si="85"/>
        <v>0.1166666666666667</v>
      </c>
      <c r="W121" s="1">
        <f>P121/T121</f>
        <v>2.9954887218045108</v>
      </c>
      <c r="X121">
        <v>2</v>
      </c>
      <c r="Y121" s="1">
        <f t="shared" ref="Y121" si="103">P121/X121</f>
        <v>3.32</v>
      </c>
      <c r="Z121" s="1">
        <f>20+2/60</f>
        <v>20.033333333333335</v>
      </c>
      <c r="AA121" s="17">
        <v>395</v>
      </c>
      <c r="AB121" s="17">
        <v>1266</v>
      </c>
      <c r="AC121" s="17">
        <v>126</v>
      </c>
      <c r="AD121" s="17">
        <v>149</v>
      </c>
      <c r="AE121" s="1">
        <f>18+17/60</f>
        <v>18.283333333333335</v>
      </c>
      <c r="AF121" s="1">
        <f>21+13/60</f>
        <v>21.216666666666665</v>
      </c>
      <c r="AG121" s="1">
        <f>20+43/60</f>
        <v>20.716666666666665</v>
      </c>
      <c r="AH121" s="1">
        <f>19+2/60</f>
        <v>19.033333333333335</v>
      </c>
      <c r="AI121" s="1">
        <f>18+55/60</f>
        <v>18.916666666666668</v>
      </c>
      <c r="AJ121" s="1">
        <f>20+16/60</f>
        <v>20.266666666666666</v>
      </c>
      <c r="AK121" s="1">
        <f>60/2.6</f>
        <v>23.076923076923077</v>
      </c>
      <c r="AO121">
        <v>2</v>
      </c>
      <c r="AP121">
        <v>0</v>
      </c>
      <c r="AQ121" s="1">
        <f>0.11/60</f>
        <v>1.8333333333333333E-3</v>
      </c>
      <c r="AR121" s="1">
        <f>3+57/60</f>
        <v>3.95</v>
      </c>
      <c r="AS121" s="1">
        <v>25</v>
      </c>
      <c r="AT121" s="1">
        <f>71+42/60</f>
        <v>71.7</v>
      </c>
      <c r="AU121" s="1">
        <f>32+14/60</f>
        <v>32.233333333333334</v>
      </c>
      <c r="AV121" t="s">
        <v>29</v>
      </c>
      <c r="AW121" t="s">
        <v>30</v>
      </c>
      <c r="AX121">
        <v>0</v>
      </c>
    </row>
    <row r="122" spans="1:50" x14ac:dyDescent="0.25">
      <c r="A122">
        <f t="shared" ref="A122:A128" si="104">A121+1</f>
        <v>654</v>
      </c>
      <c r="B122" s="18">
        <v>44001.453472222223</v>
      </c>
      <c r="C122">
        <v>0</v>
      </c>
      <c r="D122" t="s">
        <v>38</v>
      </c>
      <c r="F122" t="s">
        <v>31</v>
      </c>
      <c r="G122" s="17">
        <v>88</v>
      </c>
      <c r="H122" s="17">
        <v>68</v>
      </c>
      <c r="I122" s="17">
        <v>52</v>
      </c>
      <c r="J122" s="17" t="s">
        <v>97</v>
      </c>
      <c r="K122" s="17">
        <v>16</v>
      </c>
      <c r="L122" s="17">
        <v>0</v>
      </c>
      <c r="M122" s="16" t="s">
        <v>65</v>
      </c>
    </row>
    <row r="123" spans="1:50" x14ac:dyDescent="0.25">
      <c r="A123">
        <f t="shared" si="104"/>
        <v>655</v>
      </c>
      <c r="B123" s="18">
        <v>44002.542361111111</v>
      </c>
      <c r="C123">
        <v>1</v>
      </c>
      <c r="F123" t="s">
        <v>31</v>
      </c>
      <c r="G123" s="17">
        <v>85</v>
      </c>
      <c r="H123" s="17">
        <v>67</v>
      </c>
      <c r="I123" s="17">
        <f>AVERAGE(62,58)</f>
        <v>60</v>
      </c>
      <c r="J123" s="17" t="s">
        <v>93</v>
      </c>
      <c r="K123" s="17">
        <f>AVERAGE(9,6)</f>
        <v>7.5</v>
      </c>
      <c r="L123" s="17">
        <v>0</v>
      </c>
      <c r="M123" s="16" t="s">
        <v>66</v>
      </c>
      <c r="N123" s="16" t="s">
        <v>33</v>
      </c>
      <c r="O123" s="16" t="s">
        <v>96</v>
      </c>
      <c r="P123" s="1">
        <v>7.04</v>
      </c>
      <c r="T123" s="1">
        <f>(120+23)/60</f>
        <v>2.3833333333333333</v>
      </c>
      <c r="U123" s="1">
        <f>(120+30)/60</f>
        <v>2.5</v>
      </c>
      <c r="V123" s="1">
        <f t="shared" si="85"/>
        <v>0.1166666666666667</v>
      </c>
      <c r="W123" s="1">
        <f t="shared" ref="W123:W130" si="105">P123/T123</f>
        <v>2.953846153846154</v>
      </c>
      <c r="X123">
        <v>2</v>
      </c>
      <c r="Y123" s="1">
        <f t="shared" ref="Y123" si="106">P123/X123</f>
        <v>3.52</v>
      </c>
      <c r="Z123" s="1">
        <f>20+19/60</f>
        <v>20.316666666666666</v>
      </c>
      <c r="AA123" s="17">
        <v>128</v>
      </c>
      <c r="AB123" s="17">
        <v>785</v>
      </c>
      <c r="AC123" s="17">
        <v>94</v>
      </c>
      <c r="AD123" s="17">
        <v>127</v>
      </c>
      <c r="AE123" s="1">
        <f>19+33/60</f>
        <v>19.55</v>
      </c>
      <c r="AF123" s="1">
        <f>19+18/60</f>
        <v>19.3</v>
      </c>
      <c r="AG123" s="1">
        <f>19+37/60</f>
        <v>19.616666666666667</v>
      </c>
      <c r="AH123" s="1">
        <f>21+54/60</f>
        <v>21.9</v>
      </c>
      <c r="AI123" s="1">
        <f>20+16/60</f>
        <v>20.266666666666666</v>
      </c>
      <c r="AJ123" s="1">
        <f>19+34/60</f>
        <v>19.566666666666666</v>
      </c>
      <c r="AK123" s="1">
        <f>21+17/60</f>
        <v>21.283333333333335</v>
      </c>
      <c r="AO123">
        <v>3</v>
      </c>
      <c r="AP123">
        <v>3</v>
      </c>
      <c r="AQ123" s="1">
        <f>35+11/60</f>
        <v>35.18333333333333</v>
      </c>
      <c r="AR123" s="1">
        <f>86+30/60</f>
        <v>86.5</v>
      </c>
      <c r="AS123" s="1">
        <f>18+2/60</f>
        <v>18.033333333333335</v>
      </c>
      <c r="AT123" s="1">
        <f>57/60</f>
        <v>0.95</v>
      </c>
      <c r="AU123" s="1">
        <v>0</v>
      </c>
      <c r="AV123" s="16" t="s">
        <v>29</v>
      </c>
      <c r="AW123" s="16" t="s">
        <v>30</v>
      </c>
      <c r="AX123" s="16">
        <v>0</v>
      </c>
    </row>
    <row r="124" spans="1:50" x14ac:dyDescent="0.25">
      <c r="A124">
        <f t="shared" si="104"/>
        <v>656</v>
      </c>
      <c r="B124" s="18">
        <v>44003.63958333333</v>
      </c>
      <c r="C124">
        <v>1</v>
      </c>
      <c r="F124" s="16" t="s">
        <v>31</v>
      </c>
      <c r="G124" s="17">
        <f>81+7*(3.3/6)</f>
        <v>84.85</v>
      </c>
      <c r="H124" s="17">
        <v>67</v>
      </c>
      <c r="I124" s="17">
        <v>49</v>
      </c>
      <c r="J124" s="17" t="s">
        <v>98</v>
      </c>
      <c r="K124" s="17">
        <v>9</v>
      </c>
      <c r="L124" s="17">
        <v>0</v>
      </c>
      <c r="M124" s="16" t="s">
        <v>65</v>
      </c>
      <c r="N124" s="16" t="s">
        <v>33</v>
      </c>
      <c r="O124" s="16" t="s">
        <v>96</v>
      </c>
      <c r="P124" s="1">
        <v>3</v>
      </c>
      <c r="Q124" s="17">
        <v>1025</v>
      </c>
      <c r="R124" s="17">
        <v>9200</v>
      </c>
      <c r="S124" s="17">
        <f>R124-Q124</f>
        <v>8175</v>
      </c>
      <c r="T124" s="1">
        <f>63/60</f>
        <v>1.05</v>
      </c>
      <c r="U124" s="1">
        <f>1+4/60</f>
        <v>1.0666666666666667</v>
      </c>
      <c r="V124" s="1">
        <f t="shared" si="85"/>
        <v>1.6666666666666607E-2</v>
      </c>
      <c r="W124" s="1">
        <f t="shared" si="105"/>
        <v>2.8571428571428572</v>
      </c>
      <c r="X124">
        <v>2</v>
      </c>
      <c r="Y124" s="1">
        <f t="shared" ref="Y124" si="107">P124/X124</f>
        <v>1.5</v>
      </c>
      <c r="Z124" s="1">
        <f>19+5/60</f>
        <v>19.083333333333332</v>
      </c>
      <c r="AA124" s="17">
        <v>75</v>
      </c>
      <c r="AB124" s="17">
        <v>614</v>
      </c>
      <c r="AC124" s="17">
        <v>122</v>
      </c>
      <c r="AD124" s="17">
        <v>143</v>
      </c>
      <c r="AE124" s="1">
        <f>16+28/60</f>
        <v>16.466666666666665</v>
      </c>
      <c r="AF124" s="1">
        <f>18+2/60</f>
        <v>18.033333333333335</v>
      </c>
      <c r="AG124" s="1">
        <f>21+32/60</f>
        <v>21.533333333333335</v>
      </c>
      <c r="AH124" s="1">
        <f>60/2.6</f>
        <v>23.076923076923077</v>
      </c>
      <c r="AO124">
        <v>1</v>
      </c>
      <c r="AP124">
        <v>0</v>
      </c>
      <c r="AQ124" s="1">
        <v>0</v>
      </c>
      <c r="AR124" s="1">
        <f>6+55/60</f>
        <v>6.916666666666667</v>
      </c>
      <c r="AS124" s="1">
        <f>10.5</f>
        <v>10.5</v>
      </c>
      <c r="AT124" s="1">
        <f>40+15/60</f>
        <v>40.25</v>
      </c>
      <c r="AU124" s="1">
        <f>5+17/60</f>
        <v>5.2833333333333332</v>
      </c>
      <c r="AV124" s="16" t="s">
        <v>29</v>
      </c>
      <c r="AW124" s="16" t="s">
        <v>30</v>
      </c>
      <c r="AX124" s="16">
        <v>0</v>
      </c>
    </row>
    <row r="125" spans="1:50" x14ac:dyDescent="0.25">
      <c r="A125">
        <f t="shared" si="104"/>
        <v>657</v>
      </c>
      <c r="B125" s="18">
        <v>44004.486111111109</v>
      </c>
      <c r="C125">
        <v>1</v>
      </c>
      <c r="F125" s="16" t="s">
        <v>31</v>
      </c>
      <c r="G125" s="17">
        <f>AVERAGE(86,88,91)</f>
        <v>88.333333333333329</v>
      </c>
      <c r="H125" s="17">
        <f>AVERAGE(66,67,69)</f>
        <v>67.333333333333329</v>
      </c>
      <c r="I125" s="17">
        <f>AVERAGE(51,49,48)</f>
        <v>49.333333333333336</v>
      </c>
      <c r="J125" s="17" t="s">
        <v>93</v>
      </c>
      <c r="K125" s="17">
        <f>AVERAGE(16,0,19)</f>
        <v>11.666666666666666</v>
      </c>
      <c r="L125" s="17">
        <f>AVERAGE(24,0,0)</f>
        <v>8</v>
      </c>
      <c r="M125" s="16" t="s">
        <v>65</v>
      </c>
      <c r="N125" t="s">
        <v>33</v>
      </c>
      <c r="O125" t="s">
        <v>96</v>
      </c>
      <c r="P125" s="1">
        <v>6.8</v>
      </c>
      <c r="Q125" s="17">
        <v>1277</v>
      </c>
      <c r="R125" s="17">
        <v>18696</v>
      </c>
      <c r="S125" s="17">
        <f>R125-Q125</f>
        <v>17419</v>
      </c>
      <c r="T125" s="1">
        <f>(120+17)/60</f>
        <v>2.2833333333333332</v>
      </c>
      <c r="U125" s="1">
        <f>(120+24)/60</f>
        <v>2.4</v>
      </c>
      <c r="V125" s="1">
        <f t="shared" si="85"/>
        <v>0.1166666666666667</v>
      </c>
      <c r="W125" s="1">
        <f t="shared" si="105"/>
        <v>2.9781021897810218</v>
      </c>
      <c r="X125">
        <v>2</v>
      </c>
      <c r="Y125" s="1">
        <f t="shared" ref="Y125:Y126" si="108">P125/X125</f>
        <v>3.4</v>
      </c>
      <c r="Z125" s="1">
        <f>20+11/60</f>
        <v>20.183333333333334</v>
      </c>
      <c r="AA125" s="17">
        <v>358</v>
      </c>
      <c r="AB125" s="17">
        <v>730</v>
      </c>
      <c r="AC125" s="17">
        <v>93</v>
      </c>
      <c r="AD125" s="17">
        <v>130</v>
      </c>
      <c r="AE125" s="1">
        <f>17+39/60</f>
        <v>17.649999999999999</v>
      </c>
      <c r="AF125" s="1">
        <f>19+41/60</f>
        <v>19.683333333333334</v>
      </c>
      <c r="AG125" s="1">
        <f>19+57/60</f>
        <v>19.95</v>
      </c>
      <c r="AH125" s="1">
        <f>20+38/60</f>
        <v>20.633333333333333</v>
      </c>
      <c r="AI125" s="1">
        <f>19+41/60</f>
        <v>19.683333333333334</v>
      </c>
      <c r="AJ125" s="1">
        <f>19+32/60</f>
        <v>19.533333333333335</v>
      </c>
      <c r="AK125" s="1">
        <f>60/2.4</f>
        <v>25</v>
      </c>
      <c r="AO125">
        <v>2</v>
      </c>
      <c r="AP125">
        <v>1</v>
      </c>
      <c r="AQ125" s="1">
        <f>39+18/60</f>
        <v>39.299999999999997</v>
      </c>
      <c r="AR125" s="1">
        <f>86+17/60</f>
        <v>86.283333333333331</v>
      </c>
      <c r="AS125" s="1">
        <f>10+39/60</f>
        <v>10.65</v>
      </c>
      <c r="AT125" s="1">
        <f>0.75</f>
        <v>0.75</v>
      </c>
      <c r="AU125" s="1">
        <v>0</v>
      </c>
      <c r="AV125" s="16" t="s">
        <v>29</v>
      </c>
      <c r="AW125" s="16" t="s">
        <v>30</v>
      </c>
      <c r="AX125" s="16">
        <v>0</v>
      </c>
    </row>
    <row r="126" spans="1:50" x14ac:dyDescent="0.25">
      <c r="A126">
        <f t="shared" si="104"/>
        <v>658</v>
      </c>
      <c r="B126" s="18">
        <v>44005.510416666664</v>
      </c>
      <c r="C126">
        <v>1</v>
      </c>
      <c r="F126" t="s">
        <v>49</v>
      </c>
      <c r="G126" s="17">
        <v>77</v>
      </c>
      <c r="H126" s="17">
        <v>69</v>
      </c>
      <c r="I126" s="17">
        <f>AVERAGE(79,74)</f>
        <v>76.5</v>
      </c>
      <c r="J126" s="17" t="s">
        <v>98</v>
      </c>
      <c r="K126" s="17">
        <v>5</v>
      </c>
      <c r="L126" s="17">
        <v>0</v>
      </c>
      <c r="M126" s="16" t="s">
        <v>65</v>
      </c>
      <c r="N126" s="16" t="s">
        <v>33</v>
      </c>
      <c r="O126" s="16" t="s">
        <v>101</v>
      </c>
      <c r="P126" s="1">
        <v>4.33</v>
      </c>
      <c r="Q126" s="17">
        <v>994</v>
      </c>
      <c r="R126" s="17">
        <v>15491</v>
      </c>
      <c r="S126" s="17">
        <f>R126-Q126</f>
        <v>14497</v>
      </c>
      <c r="T126" s="1">
        <f>(60+48)/60</f>
        <v>1.8</v>
      </c>
      <c r="U126" s="1">
        <v>1.8333333333333333</v>
      </c>
      <c r="V126" s="1">
        <f t="shared" si="85"/>
        <v>3.3333333333333215E-2</v>
      </c>
      <c r="W126" s="1">
        <f t="shared" si="105"/>
        <v>2.4055555555555554</v>
      </c>
      <c r="X126">
        <v>3</v>
      </c>
      <c r="Y126" s="1">
        <f t="shared" si="108"/>
        <v>1.4433333333333334</v>
      </c>
      <c r="Z126" s="1">
        <f>25+8/60</f>
        <v>25.133333333333333</v>
      </c>
      <c r="AA126" s="17">
        <v>36</v>
      </c>
      <c r="AB126" s="17">
        <v>773</v>
      </c>
      <c r="AC126" s="17">
        <v>108</v>
      </c>
      <c r="AD126" s="17">
        <v>136</v>
      </c>
      <c r="AE126" s="1">
        <f>24+34/60</f>
        <v>24.566666666666666</v>
      </c>
      <c r="AF126" s="1">
        <f>26+22/60</f>
        <v>26.366666666666667</v>
      </c>
      <c r="AG126" s="1">
        <f>23+16/60</f>
        <v>23.266666666666666</v>
      </c>
      <c r="AH126" s="1">
        <f>25+39/60</f>
        <v>25.65</v>
      </c>
      <c r="AI126" s="1">
        <f>60/2.4</f>
        <v>25</v>
      </c>
      <c r="AO126">
        <v>0</v>
      </c>
      <c r="AP126">
        <v>1</v>
      </c>
      <c r="AQ126" s="1">
        <f>5+27/60</f>
        <v>5.45</v>
      </c>
      <c r="AR126" s="1">
        <f>31+9/60</f>
        <v>31.15</v>
      </c>
      <c r="AS126" s="1">
        <f>47+1/60</f>
        <v>47.016666666666666</v>
      </c>
      <c r="AT126" s="1">
        <f>24+47/60</f>
        <v>24.783333333333335</v>
      </c>
      <c r="AU126" s="1">
        <f>16/60</f>
        <v>0.26666666666666666</v>
      </c>
      <c r="AV126" t="s">
        <v>29</v>
      </c>
      <c r="AW126" t="s">
        <v>30</v>
      </c>
      <c r="AX126">
        <v>0</v>
      </c>
    </row>
    <row r="127" spans="1:50" x14ac:dyDescent="0.25">
      <c r="A127">
        <f t="shared" si="104"/>
        <v>659</v>
      </c>
      <c r="B127" s="18">
        <v>44006.447916666664</v>
      </c>
      <c r="C127">
        <v>1</v>
      </c>
      <c r="F127" s="16" t="s">
        <v>31</v>
      </c>
      <c r="G127" s="17">
        <f>AVERAGE(85,87)</f>
        <v>86</v>
      </c>
      <c r="H127" s="17">
        <v>67</v>
      </c>
      <c r="I127" s="17">
        <f>AVERAGE(51,47)</f>
        <v>49</v>
      </c>
      <c r="J127" s="17" t="s">
        <v>99</v>
      </c>
      <c r="K127" s="17">
        <f>AVERAGE(12,9)</f>
        <v>10.5</v>
      </c>
      <c r="L127" s="17">
        <v>0</v>
      </c>
      <c r="M127" s="16" t="s">
        <v>65</v>
      </c>
      <c r="N127" t="s">
        <v>36</v>
      </c>
      <c r="O127" s="16" t="s">
        <v>96</v>
      </c>
      <c r="P127" s="1">
        <v>7.18</v>
      </c>
      <c r="Q127" s="17">
        <v>1763</v>
      </c>
      <c r="R127" s="17">
        <v>19883</v>
      </c>
      <c r="S127" s="17">
        <f>R127-Q127</f>
        <v>18120</v>
      </c>
      <c r="T127" s="1">
        <f>(120+28)/60</f>
        <v>2.4666666666666668</v>
      </c>
      <c r="U127" s="1">
        <f>(120+40)/60</f>
        <v>2.6666666666666665</v>
      </c>
      <c r="V127" s="1">
        <f t="shared" si="85"/>
        <v>0.19999999999999973</v>
      </c>
      <c r="W127" s="1">
        <f t="shared" si="105"/>
        <v>2.9108108108108106</v>
      </c>
      <c r="X127">
        <v>3</v>
      </c>
      <c r="Y127" s="1">
        <f t="shared" ref="Y127" si="109">P127/X127</f>
        <v>2.3933333333333331</v>
      </c>
      <c r="Z127" s="1">
        <f>20+36/60</f>
        <v>20.6</v>
      </c>
      <c r="AA127" s="17">
        <v>187</v>
      </c>
      <c r="AB127" s="17">
        <v>788</v>
      </c>
      <c r="AC127" s="17">
        <v>82</v>
      </c>
      <c r="AD127" s="17">
        <v>117</v>
      </c>
      <c r="AE127" s="1">
        <f>17+30/60</f>
        <v>17.5</v>
      </c>
      <c r="AF127" s="1">
        <f>20+47/60</f>
        <v>20.783333333333335</v>
      </c>
      <c r="AG127" s="1">
        <f>20+48/60</f>
        <v>20.8</v>
      </c>
      <c r="AH127" s="1">
        <f>22+5/60</f>
        <v>22.083333333333332</v>
      </c>
      <c r="AI127" s="1">
        <f>16+57/60</f>
        <v>16.95</v>
      </c>
      <c r="AJ127" s="1">
        <f>21+31/60</f>
        <v>21.516666666666666</v>
      </c>
      <c r="AK127" s="1">
        <f>23+32/60</f>
        <v>23.533333333333335</v>
      </c>
      <c r="AL127" s="1">
        <f>60/2.5</f>
        <v>24</v>
      </c>
      <c r="AO127">
        <v>2</v>
      </c>
      <c r="AP127">
        <v>0</v>
      </c>
      <c r="AQ127" s="1">
        <f>41+7/60</f>
        <v>41.116666666666667</v>
      </c>
      <c r="AR127" s="1">
        <f>26+16/60</f>
        <v>26.266666666666666</v>
      </c>
      <c r="AS127" s="1">
        <f>20+31/60</f>
        <v>20.516666666666666</v>
      </c>
      <c r="AT127" s="1">
        <v>0</v>
      </c>
      <c r="AU127" s="1">
        <v>0</v>
      </c>
      <c r="AV127" s="16" t="s">
        <v>29</v>
      </c>
      <c r="AW127" s="16" t="s">
        <v>30</v>
      </c>
      <c r="AX127" s="16">
        <v>0</v>
      </c>
    </row>
    <row r="128" spans="1:50" x14ac:dyDescent="0.25">
      <c r="A128">
        <f t="shared" si="104"/>
        <v>660</v>
      </c>
      <c r="B128" s="18">
        <v>44007.490277777775</v>
      </c>
      <c r="C128">
        <v>1</v>
      </c>
      <c r="F128" t="s">
        <v>31</v>
      </c>
      <c r="G128" s="17">
        <v>85</v>
      </c>
      <c r="H128" s="17">
        <v>70</v>
      </c>
      <c r="I128" s="17">
        <v>61</v>
      </c>
      <c r="J128" s="17" t="s">
        <v>100</v>
      </c>
      <c r="K128" s="17">
        <v>9</v>
      </c>
      <c r="L128" s="17">
        <v>0</v>
      </c>
      <c r="M128" s="16" t="s">
        <v>65</v>
      </c>
      <c r="N128" t="s">
        <v>33</v>
      </c>
      <c r="O128" s="16" t="s">
        <v>101</v>
      </c>
      <c r="P128" s="1">
        <v>4.51</v>
      </c>
      <c r="T128" s="1">
        <f>106/60</f>
        <v>1.7666666666666666</v>
      </c>
      <c r="U128" s="1">
        <f>108/60</f>
        <v>1.8</v>
      </c>
      <c r="V128" s="1">
        <f t="shared" si="85"/>
        <v>3.3333333333333437E-2</v>
      </c>
      <c r="W128" s="1">
        <f t="shared" si="105"/>
        <v>2.5528301886792453</v>
      </c>
      <c r="X128">
        <v>3</v>
      </c>
      <c r="Y128" s="1">
        <f t="shared" ref="Y128:Y130" si="110">P128/X128</f>
        <v>1.5033333333333332</v>
      </c>
      <c r="Z128" s="1">
        <f>23+34/60</f>
        <v>23.566666666666666</v>
      </c>
      <c r="AA128" s="17">
        <v>56</v>
      </c>
      <c r="AB128" s="17">
        <v>995</v>
      </c>
      <c r="AC128" s="17">
        <v>116</v>
      </c>
      <c r="AD128" s="17">
        <v>143</v>
      </c>
      <c r="AE128" s="1">
        <f>24+18/60</f>
        <v>24.3</v>
      </c>
      <c r="AF128" s="1">
        <f>24+21/60</f>
        <v>24.35</v>
      </c>
      <c r="AG128" s="1">
        <f>22+57/60</f>
        <v>22.95</v>
      </c>
      <c r="AH128" s="1">
        <f>24+11/60</f>
        <v>24.183333333333334</v>
      </c>
      <c r="AI128" s="1">
        <f>60/2.9</f>
        <v>20.689655172413794</v>
      </c>
      <c r="AO128">
        <v>0</v>
      </c>
      <c r="AP128">
        <v>1</v>
      </c>
      <c r="AQ128" s="1">
        <v>0</v>
      </c>
      <c r="AR128" s="1">
        <f>15+31/60</f>
        <v>15.516666666666667</v>
      </c>
      <c r="AS128" s="1">
        <f>34+5/60</f>
        <v>34.083333333333336</v>
      </c>
      <c r="AT128" s="1">
        <f>55+49/60</f>
        <v>55.81666666666667</v>
      </c>
      <c r="AU128" s="1">
        <f>49/60</f>
        <v>0.81666666666666665</v>
      </c>
      <c r="AV128" s="16" t="s">
        <v>29</v>
      </c>
      <c r="AW128" s="16" t="s">
        <v>30</v>
      </c>
      <c r="AX128" s="16">
        <v>0</v>
      </c>
    </row>
    <row r="129" spans="1:50" x14ac:dyDescent="0.25">
      <c r="A129">
        <v>661</v>
      </c>
      <c r="B129" s="18">
        <v>44008.481249999997</v>
      </c>
      <c r="C129">
        <v>1</v>
      </c>
      <c r="F129" t="s">
        <v>45</v>
      </c>
      <c r="G129" s="17">
        <f>AVERAGE(86,90,91)</f>
        <v>89</v>
      </c>
      <c r="H129" s="17">
        <f>AVERAGE(71,70,71)</f>
        <v>70.666666666666671</v>
      </c>
      <c r="I129" s="17">
        <f>AVERAGE(61,55,52)</f>
        <v>56</v>
      </c>
      <c r="J129" s="17" t="s">
        <v>93</v>
      </c>
      <c r="K129" s="17">
        <v>15</v>
      </c>
      <c r="L129" s="17">
        <v>23</v>
      </c>
      <c r="M129" s="16" t="s">
        <v>65</v>
      </c>
      <c r="N129" s="16" t="s">
        <v>103</v>
      </c>
      <c r="O129" t="s">
        <v>102</v>
      </c>
      <c r="P129" s="1">
        <v>5.85</v>
      </c>
      <c r="Q129" s="17">
        <v>720</v>
      </c>
      <c r="R129" s="17">
        <v>19311</v>
      </c>
      <c r="S129" s="17">
        <f>R129-Q129</f>
        <v>18591</v>
      </c>
      <c r="T129" s="1">
        <f>(120+27)/60</f>
        <v>2.4500000000000002</v>
      </c>
      <c r="U129" s="1">
        <f>(120+33)/60</f>
        <v>2.5499999999999998</v>
      </c>
      <c r="V129" s="1">
        <f t="shared" si="85"/>
        <v>9.9999999999999645E-2</v>
      </c>
      <c r="W129" s="1">
        <f t="shared" si="105"/>
        <v>2.3877551020408161</v>
      </c>
      <c r="X129">
        <v>4</v>
      </c>
      <c r="Y129" s="1">
        <f t="shared" si="110"/>
        <v>1.4624999999999999</v>
      </c>
      <c r="Z129" s="1">
        <f>25+4/60</f>
        <v>25.066666666666666</v>
      </c>
      <c r="AA129" s="17">
        <v>85</v>
      </c>
      <c r="AB129" s="17">
        <v>647</v>
      </c>
      <c r="AC129" s="17">
        <v>82</v>
      </c>
      <c r="AD129" s="17">
        <v>111</v>
      </c>
      <c r="AE129" s="1">
        <f>26+37/60</f>
        <v>26.616666666666667</v>
      </c>
      <c r="AF129" s="1">
        <f>25+6/60</f>
        <v>25.1</v>
      </c>
      <c r="AG129" s="1">
        <f>25+34/60</f>
        <v>25.566666666666666</v>
      </c>
      <c r="AH129" s="1">
        <f>22+3/60</f>
        <v>22.05</v>
      </c>
      <c r="AI129" s="1">
        <f>24+49/60</f>
        <v>24.816666666666666</v>
      </c>
      <c r="AJ129" s="1">
        <f>60/2.3</f>
        <v>26.086956521739133</v>
      </c>
      <c r="AO129">
        <v>2</v>
      </c>
      <c r="AP129">
        <v>0</v>
      </c>
      <c r="AQ129" s="1">
        <f>60+3/60</f>
        <v>60.05</v>
      </c>
      <c r="AR129" s="1">
        <f>42+38/60</f>
        <v>42.633333333333333</v>
      </c>
      <c r="AS129" s="1">
        <f>3+29/60</f>
        <v>3.4833333333333334</v>
      </c>
      <c r="AT129" s="1">
        <v>0</v>
      </c>
      <c r="AU129" s="1">
        <v>0</v>
      </c>
      <c r="AV129" s="16" t="s">
        <v>29</v>
      </c>
      <c r="AW129" s="16" t="s">
        <v>30</v>
      </c>
      <c r="AX129" s="16">
        <v>0</v>
      </c>
    </row>
    <row r="130" spans="1:50" x14ac:dyDescent="0.25">
      <c r="A130">
        <f>A129+1</f>
        <v>662</v>
      </c>
      <c r="B130" s="18">
        <v>44009.458333333336</v>
      </c>
      <c r="C130">
        <v>1</v>
      </c>
      <c r="F130" s="19" t="s">
        <v>104</v>
      </c>
      <c r="G130" s="17">
        <f>AVERAGE(86,89)</f>
        <v>87.5</v>
      </c>
      <c r="H130" s="17">
        <f>AVERAGE(71,72)</f>
        <v>71.5</v>
      </c>
      <c r="I130" s="17">
        <f>AVERAGE(61,57)</f>
        <v>59</v>
      </c>
      <c r="J130" s="17" t="s">
        <v>93</v>
      </c>
      <c r="K130" s="17">
        <v>14</v>
      </c>
      <c r="L130" s="17">
        <v>26</v>
      </c>
      <c r="M130" s="16" t="s">
        <v>65</v>
      </c>
      <c r="N130" s="16" t="s">
        <v>33</v>
      </c>
      <c r="O130" s="16" t="s">
        <v>101</v>
      </c>
      <c r="P130" s="1">
        <v>4.5599999999999996</v>
      </c>
      <c r="Q130" s="17">
        <v>751</v>
      </c>
      <c r="R130" s="17">
        <v>14944</v>
      </c>
      <c r="S130" s="17">
        <f>R130-Q130</f>
        <v>14193</v>
      </c>
      <c r="T130" s="1">
        <f>(60+45)/60</f>
        <v>1.75</v>
      </c>
      <c r="U130" s="1">
        <f>(60+ 47)/60</f>
        <v>1.7833333333333334</v>
      </c>
      <c r="V130" s="1">
        <f t="shared" si="85"/>
        <v>3.3333333333333437E-2</v>
      </c>
      <c r="W130" s="1">
        <f t="shared" si="105"/>
        <v>2.6057142857142854</v>
      </c>
      <c r="X130">
        <v>3</v>
      </c>
      <c r="Y130" s="1">
        <f t="shared" si="110"/>
        <v>1.5199999999999998</v>
      </c>
      <c r="Z130" s="1">
        <f>22+59/60</f>
        <v>22.983333333333334</v>
      </c>
      <c r="AA130" s="17">
        <v>171</v>
      </c>
      <c r="AB130" s="17">
        <v>817</v>
      </c>
      <c r="AC130" s="17">
        <v>113</v>
      </c>
      <c r="AD130" s="17">
        <v>147</v>
      </c>
      <c r="AE130" s="1">
        <f>26+9/60</f>
        <v>26.15</v>
      </c>
      <c r="AF130" s="1">
        <f>26+3/60</f>
        <v>26.05</v>
      </c>
      <c r="AG130" s="1">
        <f>20+30/60</f>
        <v>20.5</v>
      </c>
      <c r="AH130" s="1">
        <f>19+2/60</f>
        <v>19.033333333333335</v>
      </c>
      <c r="AI130" s="1">
        <f>60/2.6</f>
        <v>23.076923076923077</v>
      </c>
      <c r="AO130">
        <v>1</v>
      </c>
      <c r="AP130">
        <v>2</v>
      </c>
      <c r="AQ130" s="1">
        <f>0+52/60</f>
        <v>0.8666666666666667</v>
      </c>
      <c r="AR130" s="1">
        <f>36+30/60</f>
        <v>36.5</v>
      </c>
      <c r="AS130" s="1">
        <f>25+38/50</f>
        <v>25.76</v>
      </c>
      <c r="AT130" s="1">
        <f>35+22/60</f>
        <v>35.366666666666667</v>
      </c>
      <c r="AU130" s="1">
        <f>6+30/60</f>
        <v>6.5</v>
      </c>
      <c r="AV130" s="16" t="s">
        <v>29</v>
      </c>
      <c r="AW130" s="16" t="s">
        <v>30</v>
      </c>
      <c r="AX130" s="16">
        <v>0</v>
      </c>
    </row>
    <row r="131" spans="1:50" x14ac:dyDescent="0.25">
      <c r="A131">
        <f>A130+1</f>
        <v>663</v>
      </c>
      <c r="B131" s="18">
        <v>44010.495138888888</v>
      </c>
      <c r="C131">
        <v>0</v>
      </c>
      <c r="D131" t="s">
        <v>38</v>
      </c>
      <c r="F131" s="16" t="s">
        <v>49</v>
      </c>
      <c r="G131" s="17">
        <v>88</v>
      </c>
      <c r="H131" s="17">
        <v>72</v>
      </c>
      <c r="I131" s="17">
        <v>58</v>
      </c>
      <c r="J131" s="17" t="s">
        <v>93</v>
      </c>
      <c r="K131" s="17">
        <v>15</v>
      </c>
      <c r="L131" s="17">
        <v>33</v>
      </c>
      <c r="M131" s="16" t="s">
        <v>65</v>
      </c>
    </row>
    <row r="132" spans="1:50" x14ac:dyDescent="0.25">
      <c r="A132">
        <f>A131+1</f>
        <v>664</v>
      </c>
      <c r="B132" s="18">
        <v>44011.505555555559</v>
      </c>
      <c r="C132">
        <v>1</v>
      </c>
      <c r="F132" t="s">
        <v>31</v>
      </c>
      <c r="G132" s="17">
        <f>AVERAGE(90,92)</f>
        <v>91</v>
      </c>
      <c r="H132" s="17">
        <f>AVERAGE(72,70)</f>
        <v>71</v>
      </c>
      <c r="I132" s="17">
        <f>AVERAGE(48,47)</f>
        <v>47.5</v>
      </c>
      <c r="J132" s="17" t="s">
        <v>93</v>
      </c>
      <c r="K132" s="17">
        <f>AVERAGE(16,17)</f>
        <v>16.5</v>
      </c>
      <c r="L132" s="17">
        <f>AVERAGE(29,30)</f>
        <v>29.5</v>
      </c>
      <c r="M132" s="16" t="s">
        <v>65</v>
      </c>
      <c r="N132" s="16" t="s">
        <v>103</v>
      </c>
      <c r="O132" s="16" t="s">
        <v>101</v>
      </c>
      <c r="P132" s="1">
        <v>4.25</v>
      </c>
      <c r="Q132" s="17">
        <v>854</v>
      </c>
      <c r="R132" s="17">
        <v>14500</v>
      </c>
      <c r="S132" s="17">
        <f>R132-Q132</f>
        <v>13646</v>
      </c>
      <c r="T132" s="1">
        <f>(60+49)/60</f>
        <v>1.8166666666666667</v>
      </c>
      <c r="U132" s="1">
        <f>(60+53)/60</f>
        <v>1.8833333333333333</v>
      </c>
      <c r="V132" s="1">
        <f t="shared" si="85"/>
        <v>6.6666666666666652E-2</v>
      </c>
      <c r="W132" s="1">
        <f t="shared" ref="W132" si="111">P132/T132</f>
        <v>2.3394495412844036</v>
      </c>
      <c r="X132">
        <v>3</v>
      </c>
      <c r="Y132" s="1">
        <f t="shared" ref="Y132" si="112">P132/X132</f>
        <v>1.4166666666666667</v>
      </c>
      <c r="Z132" s="1">
        <f>25+37/60</f>
        <v>25.616666666666667</v>
      </c>
      <c r="AA132" s="17">
        <v>56</v>
      </c>
      <c r="AB132" s="17">
        <v>546</v>
      </c>
      <c r="AC132" s="17">
        <v>93</v>
      </c>
      <c r="AD132" s="17">
        <v>127</v>
      </c>
      <c r="AE132" s="1">
        <f>24+27/60</f>
        <v>24.45</v>
      </c>
      <c r="AF132" s="1">
        <f>23+23/60</f>
        <v>23.383333333333333</v>
      </c>
      <c r="AG132" s="1">
        <f>26+58/60</f>
        <v>26.966666666666665</v>
      </c>
      <c r="AH132" s="1">
        <f>27+5/60</f>
        <v>27.083333333333332</v>
      </c>
      <c r="AI132" s="1">
        <f>60/2.2</f>
        <v>27.27272727272727</v>
      </c>
      <c r="AO132">
        <v>1</v>
      </c>
      <c r="AP132">
        <v>0</v>
      </c>
      <c r="AQ132" s="1">
        <f>42+15/60</f>
        <v>42.25</v>
      </c>
      <c r="AR132" s="1">
        <f>48+32/60</f>
        <v>48.533333333333331</v>
      </c>
      <c r="AS132" s="1">
        <f>15+22/60</f>
        <v>15.366666666666667</v>
      </c>
      <c r="AT132" s="1">
        <f>2+6/60</f>
        <v>2.1</v>
      </c>
      <c r="AU132" s="1">
        <v>0</v>
      </c>
      <c r="AV132" s="16" t="s">
        <v>29</v>
      </c>
      <c r="AW132" s="16" t="s">
        <v>30</v>
      </c>
      <c r="AX132" s="1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2020-06-30T02:03:06Z</dcterms:modified>
</cp:coreProperties>
</file>