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<sst xmlns="http://schemas.openxmlformats.org/spreadsheetml/2006/main" count="1328" uniqueCount="139">
  <si>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</si>
  <si>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</si>
  <si>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</si>
  <si>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</si>
  <si>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</si>
  <si>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</si>
  <si>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</si>
  <si>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</si>
  <si>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</si>
  <si>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</si>
  <si>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</si>
  <si>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</si>
  <si>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</si>
  <si>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</si>
  <si>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</si>
  <si>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</si>
  <si>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</si>
  <si>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</si>
  <si>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</si>
  <si>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</si>
  <si>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</si>
  <si>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</si>
  <si>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</si>
  <si>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</si>
  <si>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</si>
  <si>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</si>
  <si>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</si>
  <si>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</si>
  <si>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</si>
  <si>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</si>
  <si>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</si>
  <si>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</si>
  <si>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</si>
  <si>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</si>
  <si>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</si>
  <si>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</si>
  <si>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</si>
  <si>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</si>
  <si>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</si>
  <si>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</si>
  <si>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</si>
  <si>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</si>
  <si>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</si>
  <si>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</si>
  <si>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</si>
  <si>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</si>
  <si>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</si>
  <si>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</si>
  <si>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</si>
  <si>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</si>
  <si>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</si>
  <si>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</si>
  <si>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</si>
  <si>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</si>
  <si>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</si>
  <si>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</si>
  <si>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</si>
  <si>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</si>
  <si>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</si>
  <si>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</si>
  <si>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Vandergriff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</si>
  <si>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</si>
  <si>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</si>
  <si>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</si>
  <si>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</si>
  <si>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</si>
  <si>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</si>
  <si>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</si>
  <si>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</si>
  <si>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Healthcare</t>
  </si>
  <si>
    <t xml:space="preserve">Rain Light</t>
  </si>
  <si>
    <t xml:space="preserve">Enchanted Lakes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</si>
  <si>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</si>
  <si>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</si>
  <si>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</si>
  <si>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</si>
  <si>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</si>
  <si>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</si>
  <si>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</si>
  <si>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</si>
  <si>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</si>
  <si>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</si>
  <si>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</si>
  <si>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</si>
  <si>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</si>
  <si>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</si>
  <si>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</si>
  <si>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</si>
  <si>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</si>
  <si>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</si>
  <si>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</si>
  <si>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</si>
  <si>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</si>
  <si>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</si>
  <si>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</si>
  <si>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</si>
  <si>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</si>
  <si>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</si>
  <si>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</si>
  <si>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</si>
  <si>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</si>
  <si>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</si>
  <si>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</si>
  <si>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</si>
  <si>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</si>
  <si>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</si>
  <si>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</si>
  <si>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</si>
  <si>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</si>
  <si>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</si>
  <si>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</si>
  <si>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</si>
  <si>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SSE </t>
  </si>
  <si>
    <t xml:space="preserve">Surgical 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</si>
  <si>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</si>
  <si>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</si>
  <si>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</si>
  <si>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</si>
  <si>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</si>
  <si>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</si>
  <si>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</si>
  <si>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</si>
  <si>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</si>
  <si>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</si>
  <si>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</si>
  <si>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</si>
  <si>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</si>
  <si>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</si>
  <si>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NE</t>
  </si>
  <si>
    <t xml:space="preserve">CALM</t>
  </si>
  <si>
    <t xml:space="preserve">Distance error</t>
  </si>
  <si>
    <t xml:space="preserve">Mostly Cloudy / Windy </t>
  </si>
  <si>
    <t xml:space="preserve">VAR </t>
  </si>
  <si>
    <t xml:space="preserve">Cloudy </t>
  </si>
  <si>
    <t xml:space="preserve">WNW </t>
  </si>
  <si>
    <t xml:space="preserve">Sketchers 2</t>
  </si>
  <si>
    <t xml:space="preserve">NNE </t>
  </si>
  <si>
    <t xml:space="preserve">Vandergriff Park – Highlands</t>
  </si>
  <si>
    <t xml:space="preserve">Partly Cloudy / Windy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</si>
</sst>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26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pane xSplit="0" ySplit="1" topLeftCell="A207" activePane="bottomLeft" state="frozen"/>
      <selection pane="topLeft" activeCell="AG1" activeCellId="0" sqref="AG1"/>
      <selection pane="bottomLeft" activeCell="AY226" activeCellId="0" sqref="AY226:BA226"/>
    </sheetView>
  </sheetViews>
  <sheetFormatPr defaultColWidth="12.5429687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4.03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9.31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6.6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6" min="16" style="0" width="28.62"/>
    <col collapsed="false" customWidth="true" hidden="false" outlineLevel="0" max="17" min="17" style="3" width="6.11"/>
    <col collapsed="false" customWidth="true" hidden="false" outlineLevel="0" max="18" min="18" style="2" width="9.86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6.23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28" min="28" style="2" width="6.11"/>
    <col collapsed="false" customWidth="true" hidden="false" outlineLevel="0" max="30" min="29" style="2" width="9.19"/>
    <col collapsed="false" customWidth="true" hidden="false" outlineLevel="0" max="31" min="31" style="0" width="7.36"/>
    <col collapsed="false" customWidth="true" hidden="false" outlineLevel="0" max="32" min="32" style="3" width="7.8"/>
    <col collapsed="false" customWidth="true" hidden="false" outlineLevel="0" max="33" min="33" style="3" width="7.92"/>
    <col collapsed="false" customWidth="true" hidden="false" outlineLevel="0" max="34" min="34" style="3" width="7.22"/>
    <col collapsed="false" customWidth="true" hidden="false" outlineLevel="0" max="35" min="35" style="3" width="7.36"/>
    <col collapsed="false" customWidth="true" hidden="false" outlineLevel="0" max="36" min="36" style="3" width="7.22"/>
    <col collapsed="false" customWidth="true" hidden="false" outlineLevel="0" max="37" min="37" style="3" width="7.08"/>
    <col collapsed="false" customWidth="true" hidden="false" outlineLevel="0" max="38" min="38" style="3" width="7.49"/>
    <col collapsed="false" customWidth="true" hidden="false" outlineLevel="0" max="39" min="39" style="3" width="7.22"/>
    <col collapsed="false" customWidth="true" hidden="false" outlineLevel="0" max="40" min="40" style="3" width="7.36"/>
    <col collapsed="false" customWidth="true" hidden="false" outlineLevel="0" max="41" min="41" style="3" width="7.4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4" width="6.74"/>
    <col collapsed="false" customWidth="true" hidden="false" outlineLevel="0" max="46" min="46" style="3" width="6.74"/>
    <col collapsed="false" customWidth="true" hidden="false" outlineLevel="0" max="47" min="47" style="3" width="6.88"/>
    <col collapsed="false" customWidth="true" hidden="false" outlineLevel="0" max="48" min="48" style="3" width="6.61"/>
    <col collapsed="false" customWidth="true" hidden="false" outlineLevel="0" max="50" min="49" style="3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0" t="s">
        <v>41</v>
      </c>
      <c r="AQ1" s="0" t="s">
        <v>42</v>
      </c>
      <c r="AR1" s="3" t="s">
        <v>43</v>
      </c>
      <c r="AS1" s="5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54</v>
      </c>
      <c r="G2" s="2" t="n">
        <v>54</v>
      </c>
      <c r="I2" s="2" t="n">
        <v>98</v>
      </c>
      <c r="O2" s="0" t="s">
        <v>55</v>
      </c>
      <c r="P2" s="0" t="s">
        <v>56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P2" s="0" t="n">
        <v>1</v>
      </c>
      <c r="AQ2" s="0" t="n">
        <v>1</v>
      </c>
      <c r="AY2" s="0" t="s">
        <v>57</v>
      </c>
      <c r="AZ2" s="0" t="s">
        <v>58</v>
      </c>
      <c r="BA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59</v>
      </c>
      <c r="G3" s="2" t="n">
        <v>77</v>
      </c>
      <c r="I3" s="2" t="n">
        <v>42</v>
      </c>
      <c r="O3" s="0" t="s">
        <v>55</v>
      </c>
      <c r="P3" s="0" t="s">
        <v>60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P3" s="0" t="n">
        <v>1</v>
      </c>
      <c r="AQ3" s="0" t="n">
        <v>0</v>
      </c>
      <c r="AY3" s="0" t="s">
        <v>57</v>
      </c>
      <c r="AZ3" s="0" t="s">
        <v>58</v>
      </c>
      <c r="BA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59</v>
      </c>
      <c r="G4" s="2" t="n">
        <v>74</v>
      </c>
      <c r="I4" s="2" t="n">
        <v>64</v>
      </c>
      <c r="O4" s="0" t="s">
        <v>55</v>
      </c>
      <c r="P4" s="0" t="s">
        <v>61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P4" s="0" t="n">
        <v>1</v>
      </c>
      <c r="AQ4" s="0" t="n">
        <v>0</v>
      </c>
      <c r="AY4" s="0" t="s">
        <v>57</v>
      </c>
      <c r="AZ4" s="0" t="s">
        <v>58</v>
      </c>
      <c r="BA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62</v>
      </c>
      <c r="G5" s="2" t="n">
        <v>50</v>
      </c>
      <c r="I5" s="2" t="n">
        <v>60</v>
      </c>
      <c r="O5" s="0" t="s">
        <v>55</v>
      </c>
      <c r="P5" s="0" t="s">
        <v>56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Q5" s="0" t="n">
        <v>1</v>
      </c>
      <c r="AY5" s="0" t="s">
        <v>57</v>
      </c>
      <c r="AZ5" s="0" t="s">
        <v>58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59</v>
      </c>
      <c r="G6" s="2" t="n">
        <v>62</v>
      </c>
      <c r="I6" s="2" t="n">
        <v>80</v>
      </c>
      <c r="O6" s="0" t="s">
        <v>55</v>
      </c>
      <c r="P6" s="0" t="s">
        <v>63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P6" s="0" t="n">
        <v>0</v>
      </c>
      <c r="AQ6" s="0" t="n">
        <v>0</v>
      </c>
      <c r="AY6" s="0" t="s">
        <v>57</v>
      </c>
      <c r="AZ6" s="0" t="s">
        <v>58</v>
      </c>
      <c r="BA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59</v>
      </c>
      <c r="G7" s="2" t="n">
        <v>44</v>
      </c>
      <c r="I7" s="2" t="n">
        <v>45</v>
      </c>
      <c r="O7" s="0" t="s">
        <v>55</v>
      </c>
      <c r="P7" s="0" t="s">
        <v>56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P7" s="0" t="n">
        <v>0</v>
      </c>
      <c r="AQ7" s="0" t="n">
        <v>0</v>
      </c>
      <c r="AY7" s="0" t="s">
        <v>57</v>
      </c>
      <c r="AZ7" s="0" t="s">
        <v>58</v>
      </c>
      <c r="BA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59</v>
      </c>
      <c r="G8" s="2" t="n">
        <v>54</v>
      </c>
      <c r="I8" s="2" t="n">
        <v>29</v>
      </c>
      <c r="O8" s="0" t="s">
        <v>64</v>
      </c>
      <c r="P8" s="0" t="s">
        <v>65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P8" s="0" t="n">
        <v>0</v>
      </c>
      <c r="AQ8" s="0" t="n">
        <v>0</v>
      </c>
      <c r="AY8" s="0" t="s">
        <v>57</v>
      </c>
      <c r="AZ8" s="0" t="s">
        <v>58</v>
      </c>
      <c r="BA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59</v>
      </c>
      <c r="G9" s="2" t="n">
        <v>52</v>
      </c>
      <c r="I9" s="2" t="n">
        <v>45</v>
      </c>
      <c r="O9" s="0" t="s">
        <v>64</v>
      </c>
      <c r="P9" s="0" t="s">
        <v>66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P9" s="0" t="n">
        <v>0</v>
      </c>
      <c r="AQ9" s="0" t="n">
        <v>0</v>
      </c>
      <c r="AY9" s="0" t="s">
        <v>57</v>
      </c>
      <c r="AZ9" s="0" t="s">
        <v>58</v>
      </c>
      <c r="BA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59</v>
      </c>
      <c r="G10" s="2" t="n">
        <v>74</v>
      </c>
      <c r="I10" s="2" t="n">
        <v>25</v>
      </c>
      <c r="O10" s="0" t="s">
        <v>55</v>
      </c>
      <c r="AP10" s="0" t="n">
        <v>2</v>
      </c>
      <c r="AQ10" s="0" t="n">
        <v>1</v>
      </c>
      <c r="AY10" s="0" t="s">
        <v>57</v>
      </c>
      <c r="AZ10" s="0" t="s">
        <v>58</v>
      </c>
      <c r="BA10" s="0" t="n">
        <v>1</v>
      </c>
      <c r="BB10" s="0" t="s">
        <v>67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68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69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70</v>
      </c>
      <c r="G14" s="2" t="n">
        <v>49</v>
      </c>
      <c r="I14" s="2" t="n">
        <v>72</v>
      </c>
      <c r="O14" s="0" t="s">
        <v>55</v>
      </c>
      <c r="P14" s="0" t="s">
        <v>56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P14" s="0" t="n">
        <v>1</v>
      </c>
      <c r="AQ14" s="0" t="n">
        <v>0</v>
      </c>
      <c r="AY14" s="0" t="s">
        <v>57</v>
      </c>
      <c r="AZ14" s="0" t="s">
        <v>58</v>
      </c>
      <c r="BA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59</v>
      </c>
      <c r="G15" s="2" t="n">
        <v>62</v>
      </c>
      <c r="I15" s="2" t="n">
        <v>46</v>
      </c>
      <c r="O15" s="0" t="s">
        <v>64</v>
      </c>
      <c r="P15" s="0" t="s">
        <v>71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P15" s="0" t="n">
        <v>1</v>
      </c>
      <c r="AQ15" s="0" t="n">
        <v>0</v>
      </c>
      <c r="AY15" s="0" t="s">
        <v>57</v>
      </c>
      <c r="AZ15" s="0" t="s">
        <v>58</v>
      </c>
      <c r="BA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59</v>
      </c>
      <c r="G16" s="2" t="n">
        <v>64</v>
      </c>
      <c r="I16" s="2" t="n">
        <v>19</v>
      </c>
      <c r="O16" s="0" t="s">
        <v>64</v>
      </c>
      <c r="P16" s="0" t="s">
        <v>60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P16" s="0" t="n">
        <v>1</v>
      </c>
      <c r="AQ16" s="0" t="n">
        <v>0</v>
      </c>
      <c r="AY16" s="0" t="s">
        <v>57</v>
      </c>
      <c r="AZ16" s="0" t="s">
        <v>58</v>
      </c>
      <c r="BA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59</v>
      </c>
      <c r="G17" s="2" t="n">
        <v>61</v>
      </c>
      <c r="I17" s="2" t="n">
        <v>34</v>
      </c>
      <c r="O17" s="0" t="s">
        <v>64</v>
      </c>
      <c r="P17" s="0" t="s">
        <v>72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P17" s="0" t="n">
        <v>0</v>
      </c>
      <c r="AQ17" s="0" t="n">
        <v>0</v>
      </c>
      <c r="AY17" s="0" t="s">
        <v>57</v>
      </c>
      <c r="AZ17" s="0" t="s">
        <v>58</v>
      </c>
      <c r="BA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68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54</v>
      </c>
      <c r="G19" s="2" t="n">
        <v>59</v>
      </c>
      <c r="I19" s="2" t="n">
        <v>87</v>
      </c>
      <c r="O19" s="0" t="s">
        <v>55</v>
      </c>
      <c r="P19" s="0" t="s">
        <v>56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P19" s="0" t="n">
        <v>1</v>
      </c>
      <c r="AQ19" s="0" t="n">
        <v>0</v>
      </c>
      <c r="AY19" s="0" t="s">
        <v>57</v>
      </c>
      <c r="AZ19" s="0" t="s">
        <v>58</v>
      </c>
      <c r="BA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59</v>
      </c>
      <c r="G20" s="2" t="n">
        <v>54</v>
      </c>
      <c r="I20" s="2" t="n">
        <v>61</v>
      </c>
      <c r="O20" s="0" t="s">
        <v>64</v>
      </c>
      <c r="P20" s="0" t="s">
        <v>73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P20" s="0" t="n">
        <v>0</v>
      </c>
      <c r="AQ20" s="0" t="n">
        <v>0</v>
      </c>
      <c r="AY20" s="0" t="s">
        <v>57</v>
      </c>
      <c r="AZ20" s="0" t="s">
        <v>58</v>
      </c>
      <c r="BA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59</v>
      </c>
      <c r="G21" s="2" t="n">
        <v>81</v>
      </c>
      <c r="I21" s="2" t="n">
        <v>64</v>
      </c>
      <c r="O21" s="0" t="s">
        <v>64</v>
      </c>
      <c r="P21" s="0" t="s">
        <v>74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59</v>
      </c>
      <c r="G22" s="2" t="n">
        <v>64</v>
      </c>
      <c r="I22" s="2" t="n">
        <v>53</v>
      </c>
      <c r="O22" s="0" t="s">
        <v>64</v>
      </c>
      <c r="P22" s="0" t="s">
        <v>75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P22" s="0" t="n">
        <v>2</v>
      </c>
      <c r="AQ22" s="0" t="n">
        <v>0</v>
      </c>
      <c r="AY22" s="0" t="s">
        <v>57</v>
      </c>
      <c r="AZ22" s="0" t="s">
        <v>58</v>
      </c>
      <c r="BA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68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70</v>
      </c>
      <c r="G24" s="2" t="n">
        <v>60</v>
      </c>
      <c r="I24" s="2" t="n">
        <v>86</v>
      </c>
      <c r="O24" s="0" t="s">
        <v>55</v>
      </c>
      <c r="P24" s="0" t="s">
        <v>56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68</v>
      </c>
      <c r="F25" s="0" t="s">
        <v>54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54</v>
      </c>
      <c r="G26" s="2" t="n">
        <v>70</v>
      </c>
      <c r="I26" s="2" t="n">
        <v>70</v>
      </c>
      <c r="O26" s="0" t="s">
        <v>64</v>
      </c>
      <c r="P26" s="0" t="s">
        <v>76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P26" s="0" t="n">
        <v>1</v>
      </c>
      <c r="AQ26" s="0" t="n">
        <v>1</v>
      </c>
      <c r="AY26" s="0" t="s">
        <v>57</v>
      </c>
      <c r="AZ26" s="0" t="s">
        <v>58</v>
      </c>
      <c r="BA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54</v>
      </c>
      <c r="G27" s="2" t="n">
        <v>67</v>
      </c>
      <c r="I27" s="2" t="n">
        <v>84</v>
      </c>
      <c r="O27" s="0" t="s">
        <v>64</v>
      </c>
      <c r="P27" s="0" t="s">
        <v>60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P27" s="0" t="n">
        <v>1</v>
      </c>
      <c r="AQ27" s="0" t="n">
        <v>1</v>
      </c>
      <c r="AY27" s="0" t="s">
        <v>57</v>
      </c>
      <c r="AZ27" s="0" t="s">
        <v>58</v>
      </c>
      <c r="BA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77</v>
      </c>
      <c r="G28" s="2" t="n">
        <v>79</v>
      </c>
      <c r="I28" s="2" t="n">
        <v>66</v>
      </c>
      <c r="O28" s="0" t="s">
        <v>64</v>
      </c>
      <c r="P28" s="0" t="s">
        <v>61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P28" s="0" t="n">
        <v>1</v>
      </c>
      <c r="AQ28" s="0" t="n">
        <v>0</v>
      </c>
      <c r="AY28" s="0" t="s">
        <v>57</v>
      </c>
      <c r="AZ28" s="0" t="s">
        <v>58</v>
      </c>
      <c r="BA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78</v>
      </c>
      <c r="G29" s="2" t="n">
        <v>66</v>
      </c>
      <c r="I29" s="2" t="n">
        <v>64</v>
      </c>
      <c r="BA29" s="0" t="n">
        <v>1</v>
      </c>
      <c r="BB29" s="0" t="s">
        <v>79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77</v>
      </c>
      <c r="G30" s="2" t="n">
        <v>51</v>
      </c>
      <c r="I30" s="2" t="n">
        <v>68</v>
      </c>
      <c r="O30" s="0" t="s">
        <v>55</v>
      </c>
      <c r="P30" s="0" t="s">
        <v>71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P30" s="0" t="n">
        <v>0</v>
      </c>
      <c r="AQ30" s="0" t="n">
        <v>0</v>
      </c>
      <c r="AY30" s="0" t="s">
        <v>57</v>
      </c>
      <c r="AZ30" s="0" t="s">
        <v>58</v>
      </c>
      <c r="BA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59</v>
      </c>
      <c r="G31" s="2" t="n">
        <v>58</v>
      </c>
      <c r="I31" s="2" t="n">
        <v>60</v>
      </c>
      <c r="O31" s="0" t="s">
        <v>55</v>
      </c>
      <c r="P31" s="0" t="s">
        <v>72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P31" s="0" t="n">
        <v>0</v>
      </c>
      <c r="AQ31" s="0" t="n">
        <v>1</v>
      </c>
      <c r="AY31" s="0" t="s">
        <v>57</v>
      </c>
      <c r="AZ31" s="0" t="s">
        <v>58</v>
      </c>
      <c r="BA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54</v>
      </c>
      <c r="G32" s="2" t="n">
        <v>62</v>
      </c>
      <c r="I32" s="2" t="n">
        <v>80</v>
      </c>
      <c r="O32" s="0" t="s">
        <v>55</v>
      </c>
      <c r="P32" s="0" t="s">
        <v>73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P32" s="0" t="n">
        <v>0</v>
      </c>
      <c r="AQ32" s="0" t="n">
        <v>1</v>
      </c>
      <c r="AY32" s="0" t="s">
        <v>57</v>
      </c>
      <c r="AZ32" s="0" t="s">
        <v>58</v>
      </c>
      <c r="BA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54</v>
      </c>
      <c r="G33" s="2" t="n">
        <v>68</v>
      </c>
      <c r="I33" s="2" t="n">
        <v>81</v>
      </c>
      <c r="O33" s="0" t="s">
        <v>55</v>
      </c>
      <c r="P33" s="0" t="s">
        <v>76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P33" s="0" t="n">
        <v>0</v>
      </c>
      <c r="AQ33" s="0" t="n">
        <v>0</v>
      </c>
      <c r="AY33" s="0" t="s">
        <v>57</v>
      </c>
      <c r="AZ33" s="0" t="s">
        <v>58</v>
      </c>
      <c r="BA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59</v>
      </c>
      <c r="G34" s="2" t="n">
        <v>86</v>
      </c>
      <c r="I34" s="2" t="n">
        <v>20</v>
      </c>
      <c r="O34" s="0" t="s">
        <v>64</v>
      </c>
      <c r="P34" s="0" t="s">
        <v>60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P34" s="0" t="n">
        <v>2</v>
      </c>
      <c r="AQ34" s="0" t="n">
        <v>0</v>
      </c>
      <c r="AY34" s="0" t="s">
        <v>57</v>
      </c>
      <c r="AZ34" s="0" t="s">
        <v>58</v>
      </c>
      <c r="BA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59</v>
      </c>
      <c r="G35" s="2" t="n">
        <v>87</v>
      </c>
      <c r="I35" s="2" t="n">
        <v>40</v>
      </c>
      <c r="O35" s="0" t="s">
        <v>64</v>
      </c>
      <c r="P35" s="0" t="s">
        <v>61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P35" s="0" t="n">
        <v>5</v>
      </c>
      <c r="AQ35" s="0" t="n">
        <v>0</v>
      </c>
      <c r="AY35" s="0" t="s">
        <v>57</v>
      </c>
      <c r="AZ35" s="0" t="s">
        <v>58</v>
      </c>
      <c r="BA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59</v>
      </c>
      <c r="G36" s="2" t="n">
        <v>82</v>
      </c>
      <c r="I36" s="2" t="n">
        <v>50</v>
      </c>
      <c r="O36" s="0" t="s">
        <v>64</v>
      </c>
      <c r="P36" s="0" t="s">
        <v>63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P36" s="0" t="n">
        <v>5</v>
      </c>
      <c r="AQ36" s="0" t="n">
        <v>0</v>
      </c>
      <c r="AY36" s="0" t="s">
        <v>57</v>
      </c>
      <c r="AZ36" s="0" t="s">
        <v>58</v>
      </c>
      <c r="BA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77</v>
      </c>
      <c r="G37" s="2" t="n">
        <v>83</v>
      </c>
      <c r="I37" s="2" t="n">
        <v>56</v>
      </c>
      <c r="O37" s="0" t="s">
        <v>55</v>
      </c>
      <c r="P37" s="0" t="s">
        <v>71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P37" s="0" t="n">
        <v>3</v>
      </c>
      <c r="AQ37" s="0" t="n">
        <v>0</v>
      </c>
      <c r="AY37" s="0" t="s">
        <v>57</v>
      </c>
      <c r="AZ37" s="0" t="s">
        <v>58</v>
      </c>
      <c r="BA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59</v>
      </c>
      <c r="G38" s="2" t="n">
        <v>74</v>
      </c>
      <c r="I38" s="2" t="n">
        <v>19</v>
      </c>
      <c r="O38" s="0" t="s">
        <v>64</v>
      </c>
      <c r="P38" s="0" t="s">
        <v>80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P38" s="0" t="n">
        <v>3</v>
      </c>
      <c r="AQ38" s="0" t="n">
        <v>0</v>
      </c>
      <c r="AY38" s="0" t="s">
        <v>57</v>
      </c>
      <c r="AZ38" s="0" t="s">
        <v>58</v>
      </c>
      <c r="BA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68</v>
      </c>
      <c r="F39" s="6" t="s">
        <v>59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81</v>
      </c>
      <c r="F40" s="6" t="s">
        <v>82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54</v>
      </c>
      <c r="G41" s="2" t="n">
        <v>48</v>
      </c>
      <c r="I41" s="2" t="n">
        <v>55</v>
      </c>
      <c r="O41" s="0" t="s">
        <v>55</v>
      </c>
      <c r="P41" s="0" t="s">
        <v>60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P41" s="0" t="n">
        <v>1</v>
      </c>
      <c r="AQ41" s="0" t="n">
        <v>0</v>
      </c>
      <c r="AY41" s="0" t="s">
        <v>57</v>
      </c>
      <c r="AZ41" s="0" t="s">
        <v>58</v>
      </c>
      <c r="BA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59</v>
      </c>
      <c r="G42" s="2" t="n">
        <v>72</v>
      </c>
      <c r="I42" s="2" t="n">
        <v>50</v>
      </c>
      <c r="O42" s="0" t="s">
        <v>64</v>
      </c>
      <c r="P42" s="0" t="s">
        <v>75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P42" s="0" t="n">
        <v>1</v>
      </c>
      <c r="AQ42" s="0" t="n">
        <v>0</v>
      </c>
      <c r="AY42" s="0" t="s">
        <v>57</v>
      </c>
      <c r="AZ42" s="0" t="s">
        <v>58</v>
      </c>
      <c r="BA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54</v>
      </c>
      <c r="G43" s="2" t="n">
        <v>69</v>
      </c>
      <c r="I43" s="2" t="n">
        <v>73</v>
      </c>
      <c r="O43" s="0" t="s">
        <v>64</v>
      </c>
      <c r="P43" s="0" t="s">
        <v>71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P43" s="0" t="n">
        <v>0</v>
      </c>
      <c r="AQ43" s="0" t="n">
        <v>0</v>
      </c>
      <c r="AY43" s="0" t="s">
        <v>57</v>
      </c>
      <c r="AZ43" s="0" t="s">
        <v>58</v>
      </c>
      <c r="BA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81</v>
      </c>
      <c r="F44" s="0" t="s">
        <v>54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81</v>
      </c>
      <c r="F45" s="0" t="s">
        <v>54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81</v>
      </c>
      <c r="F46" s="0" t="s">
        <v>54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59</v>
      </c>
      <c r="G47" s="2" t="n">
        <v>71</v>
      </c>
      <c r="I47" s="2" t="n">
        <v>70</v>
      </c>
      <c r="O47" s="0" t="s">
        <v>64</v>
      </c>
      <c r="P47" s="0" t="s">
        <v>72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P47" s="0" t="n">
        <v>0</v>
      </c>
      <c r="AQ47" s="0" t="n">
        <v>0</v>
      </c>
      <c r="AY47" s="0" t="s">
        <v>57</v>
      </c>
      <c r="AZ47" s="0" t="s">
        <v>58</v>
      </c>
      <c r="BA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7" t="s">
        <v>59</v>
      </c>
      <c r="G48" s="2" t="n">
        <v>86</v>
      </c>
      <c r="I48" s="2" t="n">
        <v>43</v>
      </c>
      <c r="O48" s="0" t="s">
        <v>55</v>
      </c>
      <c r="P48" s="0" t="s">
        <v>73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P48" s="0" t="n">
        <v>5</v>
      </c>
      <c r="AQ48" s="0" t="n">
        <v>1</v>
      </c>
      <c r="AY48" s="0" t="s">
        <v>57</v>
      </c>
      <c r="AZ48" s="0" t="s">
        <v>58</v>
      </c>
      <c r="BA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59</v>
      </c>
      <c r="G49" s="2" t="n">
        <v>85</v>
      </c>
      <c r="I49" s="2" t="n">
        <v>55</v>
      </c>
      <c r="O49" s="0" t="s">
        <v>64</v>
      </c>
      <c r="P49" s="0" t="s">
        <v>83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P49" s="0" t="n">
        <v>0</v>
      </c>
      <c r="AQ49" s="0" t="n">
        <v>0</v>
      </c>
      <c r="AY49" s="0" t="s">
        <v>57</v>
      </c>
      <c r="AZ49" s="0" t="s">
        <v>58</v>
      </c>
      <c r="BA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59</v>
      </c>
      <c r="G50" s="2" t="n">
        <v>88</v>
      </c>
      <c r="I50" s="2" t="n">
        <v>49</v>
      </c>
      <c r="O50" s="0" t="s">
        <v>55</v>
      </c>
      <c r="P50" s="0" t="s">
        <v>84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P50" s="0" t="n">
        <v>0</v>
      </c>
      <c r="AQ50" s="0" t="n">
        <v>1</v>
      </c>
      <c r="AY50" s="0" t="s">
        <v>57</v>
      </c>
      <c r="AZ50" s="0" t="s">
        <v>58</v>
      </c>
      <c r="BA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59</v>
      </c>
      <c r="G51" s="2" t="n">
        <v>77</v>
      </c>
      <c r="I51" s="2" t="n">
        <v>71</v>
      </c>
      <c r="O51" s="0" t="s">
        <v>64</v>
      </c>
      <c r="P51" s="0" t="s">
        <v>71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P51" s="0" t="n">
        <v>1</v>
      </c>
      <c r="AQ51" s="0" t="n">
        <v>1</v>
      </c>
      <c r="AY51" s="0" t="s">
        <v>57</v>
      </c>
      <c r="AZ51" s="0" t="s">
        <v>58</v>
      </c>
      <c r="BA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68</v>
      </c>
      <c r="F52" s="0" t="s">
        <v>54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85</v>
      </c>
      <c r="F53" s="0" t="s">
        <v>77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59</v>
      </c>
      <c r="G54" s="2" t="n">
        <v>54</v>
      </c>
      <c r="I54" s="2" t="n">
        <v>45</v>
      </c>
      <c r="O54" s="0" t="s">
        <v>55</v>
      </c>
      <c r="P54" s="0" t="s">
        <v>86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P54" s="0" t="n">
        <v>0</v>
      </c>
      <c r="AQ54" s="0" t="n">
        <v>0</v>
      </c>
      <c r="AY54" s="0" t="s">
        <v>57</v>
      </c>
      <c r="AZ54" s="0" t="s">
        <v>58</v>
      </c>
      <c r="BA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77</v>
      </c>
      <c r="G55" s="2" t="n">
        <v>55</v>
      </c>
      <c r="I55" s="2" t="n">
        <v>51</v>
      </c>
      <c r="O55" s="0" t="s">
        <v>64</v>
      </c>
      <c r="P55" s="0" t="s">
        <v>60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P55" s="0" t="n">
        <v>0</v>
      </c>
      <c r="AQ55" s="0" t="n">
        <v>0</v>
      </c>
      <c r="AY55" s="0" t="s">
        <v>57</v>
      </c>
      <c r="AZ55" s="0" t="s">
        <v>58</v>
      </c>
      <c r="BA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59</v>
      </c>
      <c r="G56" s="2" t="n">
        <v>63</v>
      </c>
      <c r="I56" s="2" t="n">
        <v>71</v>
      </c>
      <c r="O56" s="0" t="s">
        <v>64</v>
      </c>
      <c r="P56" s="0" t="s">
        <v>63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P56" s="0" t="n">
        <v>3</v>
      </c>
      <c r="AQ56" s="0" t="n">
        <v>0</v>
      </c>
      <c r="AY56" s="0" t="s">
        <v>57</v>
      </c>
      <c r="AZ56" s="0" t="s">
        <v>58</v>
      </c>
      <c r="BA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59</v>
      </c>
      <c r="G57" s="2" t="n">
        <v>70</v>
      </c>
      <c r="I57" s="2" t="n">
        <v>40</v>
      </c>
      <c r="O57" s="0" t="s">
        <v>64</v>
      </c>
      <c r="P57" s="0" t="s">
        <v>65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P57" s="0" t="n">
        <v>3</v>
      </c>
      <c r="AQ57" s="0" t="n">
        <v>1</v>
      </c>
      <c r="AY57" s="0" t="s">
        <v>57</v>
      </c>
      <c r="AZ57" s="0" t="s">
        <v>58</v>
      </c>
      <c r="BA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54</v>
      </c>
      <c r="G58" s="2" t="n">
        <v>53</v>
      </c>
      <c r="I58" s="2" t="n">
        <v>35</v>
      </c>
      <c r="O58" s="0" t="s">
        <v>55</v>
      </c>
      <c r="P58" s="0" t="s">
        <v>83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P58" s="0" t="n">
        <v>0</v>
      </c>
      <c r="AQ58" s="0" t="n">
        <v>0</v>
      </c>
      <c r="AY58" s="0" t="s">
        <v>57</v>
      </c>
      <c r="AZ58" s="0" t="s">
        <v>58</v>
      </c>
      <c r="BA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59</v>
      </c>
      <c r="G59" s="2" t="n">
        <v>63</v>
      </c>
      <c r="I59" s="2" t="n">
        <v>48</v>
      </c>
      <c r="O59" s="0" t="s">
        <v>64</v>
      </c>
      <c r="P59" s="0" t="s">
        <v>80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P59" s="0" t="n">
        <v>3</v>
      </c>
      <c r="AQ59" s="0" t="n">
        <v>0</v>
      </c>
      <c r="AY59" s="0" t="s">
        <v>57</v>
      </c>
      <c r="AZ59" s="0" t="s">
        <v>58</v>
      </c>
      <c r="BA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77</v>
      </c>
      <c r="G60" s="2" t="n">
        <v>78</v>
      </c>
      <c r="I60" s="2" t="n">
        <v>61</v>
      </c>
      <c r="O60" s="0" t="s">
        <v>55</v>
      </c>
      <c r="P60" s="0" t="s">
        <v>76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P60" s="0" t="n">
        <v>2</v>
      </c>
      <c r="AQ60" s="0" t="n">
        <v>0</v>
      </c>
      <c r="AY60" s="0" t="s">
        <v>57</v>
      </c>
      <c r="AZ60" s="0" t="s">
        <v>58</v>
      </c>
      <c r="BA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77</v>
      </c>
      <c r="G61" s="2" t="n">
        <v>79</v>
      </c>
      <c r="I61" s="2" t="n">
        <v>61</v>
      </c>
      <c r="O61" s="0" t="s">
        <v>64</v>
      </c>
      <c r="P61" s="0" t="s">
        <v>60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P61" s="0" t="n">
        <v>0</v>
      </c>
      <c r="AQ61" s="0" t="n">
        <v>0</v>
      </c>
      <c r="AY61" s="0" t="s">
        <v>57</v>
      </c>
      <c r="AZ61" s="0" t="s">
        <v>58</v>
      </c>
      <c r="BA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59</v>
      </c>
      <c r="G62" s="2" t="n">
        <v>83</v>
      </c>
      <c r="I62" s="2" t="n">
        <v>64</v>
      </c>
      <c r="O62" s="0" t="s">
        <v>64</v>
      </c>
      <c r="AE62" s="2"/>
      <c r="BA62" s="0" t="n">
        <v>1</v>
      </c>
      <c r="BB62" s="0" t="s">
        <v>79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59</v>
      </c>
      <c r="G63" s="2" t="n">
        <v>64</v>
      </c>
      <c r="I63" s="2" t="n">
        <v>62</v>
      </c>
      <c r="M63" s="0" t="s">
        <v>87</v>
      </c>
      <c r="O63" s="0" t="s">
        <v>55</v>
      </c>
      <c r="P63" s="0" t="s">
        <v>61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P63" s="0" t="n">
        <v>5</v>
      </c>
      <c r="AQ63" s="0" t="n">
        <v>0</v>
      </c>
      <c r="AY63" s="0" t="s">
        <v>57</v>
      </c>
      <c r="AZ63" s="0" t="s">
        <v>58</v>
      </c>
      <c r="BA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81</v>
      </c>
      <c r="F64" s="0" t="s">
        <v>54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59</v>
      </c>
      <c r="G65" s="2" t="n">
        <v>76</v>
      </c>
      <c r="I65" s="2" t="n">
        <v>43</v>
      </c>
      <c r="M65" s="0" t="s">
        <v>88</v>
      </c>
      <c r="O65" s="0" t="s">
        <v>55</v>
      </c>
      <c r="P65" s="0" t="s">
        <v>80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P65" s="0" t="n">
        <v>1</v>
      </c>
      <c r="AQ65" s="0" t="n">
        <v>1</v>
      </c>
      <c r="AY65" s="0" t="s">
        <v>57</v>
      </c>
      <c r="AZ65" s="0" t="s">
        <v>58</v>
      </c>
      <c r="BA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59</v>
      </c>
      <c r="G66" s="2" t="n">
        <v>81</v>
      </c>
      <c r="I66" s="2" t="n">
        <v>37</v>
      </c>
      <c r="M66" s="0" t="s">
        <v>88</v>
      </c>
      <c r="O66" s="0" t="s">
        <v>64</v>
      </c>
      <c r="P66" s="0" t="s">
        <v>86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P66" s="0" t="n">
        <v>0</v>
      </c>
      <c r="AQ66" s="0" t="n">
        <v>0</v>
      </c>
      <c r="AY66" s="0" t="s">
        <v>57</v>
      </c>
      <c r="AZ66" s="0" t="s">
        <v>58</v>
      </c>
      <c r="BA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59</v>
      </c>
      <c r="G67" s="2" t="n">
        <v>76</v>
      </c>
      <c r="I67" s="2" t="n">
        <v>37</v>
      </c>
      <c r="M67" s="0" t="s">
        <v>88</v>
      </c>
      <c r="O67" s="0" t="s">
        <v>55</v>
      </c>
      <c r="P67" s="0" t="s">
        <v>75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P67" s="0" t="n">
        <v>4</v>
      </c>
      <c r="AQ67" s="0" t="n">
        <v>0</v>
      </c>
      <c r="AY67" s="0" t="s">
        <v>57</v>
      </c>
      <c r="AZ67" s="0" t="s">
        <v>58</v>
      </c>
      <c r="BA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59</v>
      </c>
      <c r="G68" s="2" t="n">
        <v>81</v>
      </c>
      <c r="I68" s="2" t="n">
        <v>23</v>
      </c>
      <c r="M68" s="0" t="s">
        <v>88</v>
      </c>
      <c r="O68" s="0" t="s">
        <v>64</v>
      </c>
      <c r="P68" s="0" t="s">
        <v>63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P68" s="0" t="n">
        <v>3</v>
      </c>
      <c r="AQ68" s="0" t="n">
        <v>1</v>
      </c>
      <c r="AY68" s="0" t="s">
        <v>57</v>
      </c>
      <c r="AZ68" s="0" t="s">
        <v>58</v>
      </c>
      <c r="BA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59</v>
      </c>
      <c r="G69" s="2" t="n">
        <v>83</v>
      </c>
      <c r="I69" s="2" t="n">
        <v>37</v>
      </c>
      <c r="M69" s="0" t="s">
        <v>88</v>
      </c>
      <c r="P69" s="0" t="s">
        <v>73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P69" s="0" t="n">
        <v>3</v>
      </c>
      <c r="AQ69" s="0" t="n">
        <v>2</v>
      </c>
      <c r="AY69" s="0" t="s">
        <v>57</v>
      </c>
      <c r="AZ69" s="0" t="s">
        <v>58</v>
      </c>
      <c r="BA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78</v>
      </c>
      <c r="G70" s="2" t="n">
        <v>84</v>
      </c>
      <c r="I70" s="2" t="n">
        <v>61</v>
      </c>
      <c r="M70" s="0" t="s">
        <v>88</v>
      </c>
      <c r="O70" s="0" t="s">
        <v>64</v>
      </c>
      <c r="P70" s="0" t="s">
        <v>72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P70" s="0" t="n">
        <v>5</v>
      </c>
      <c r="AQ70" s="0" t="n">
        <v>1</v>
      </c>
      <c r="AY70" s="0" t="s">
        <v>57</v>
      </c>
      <c r="AZ70" s="0" t="s">
        <v>58</v>
      </c>
      <c r="BA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59</v>
      </c>
      <c r="G71" s="2" t="n">
        <v>75</v>
      </c>
      <c r="I71" s="2" t="n">
        <v>77</v>
      </c>
      <c r="M71" s="0" t="s">
        <v>88</v>
      </c>
      <c r="O71" s="0" t="s">
        <v>55</v>
      </c>
      <c r="P71" s="0" t="s">
        <v>71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P71" s="0" t="n">
        <v>0</v>
      </c>
      <c r="AQ71" s="0" t="n">
        <v>0</v>
      </c>
      <c r="AY71" s="0" t="s">
        <v>57</v>
      </c>
      <c r="AZ71" s="0" t="s">
        <v>58</v>
      </c>
      <c r="BA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59</v>
      </c>
      <c r="G72" s="2" t="n">
        <v>77</v>
      </c>
      <c r="I72" s="2" t="n">
        <v>32</v>
      </c>
      <c r="M72" s="0" t="s">
        <v>88</v>
      </c>
      <c r="O72" s="0" t="s">
        <v>64</v>
      </c>
      <c r="P72" s="0" t="s">
        <v>61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P72" s="0" t="n">
        <v>0</v>
      </c>
      <c r="AQ72" s="0" t="n">
        <v>1</v>
      </c>
      <c r="AY72" s="0" t="s">
        <v>57</v>
      </c>
      <c r="AZ72" s="0" t="s">
        <v>58</v>
      </c>
      <c r="BA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59</v>
      </c>
      <c r="G73" s="2" t="n">
        <v>71</v>
      </c>
      <c r="I73" s="2" t="n">
        <v>53</v>
      </c>
      <c r="M73" s="0" t="s">
        <v>88</v>
      </c>
      <c r="O73" s="0" t="s">
        <v>64</v>
      </c>
      <c r="P73" s="0" t="s">
        <v>80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P73" s="0" t="n">
        <v>1</v>
      </c>
      <c r="AQ73" s="0" t="n">
        <v>0</v>
      </c>
      <c r="AY73" s="0" t="s">
        <v>57</v>
      </c>
      <c r="AZ73" s="0" t="s">
        <v>58</v>
      </c>
      <c r="BA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78</v>
      </c>
      <c r="G74" s="2" t="n">
        <v>72</v>
      </c>
      <c r="I74" s="2" t="n">
        <v>71</v>
      </c>
      <c r="M74" s="0" t="s">
        <v>88</v>
      </c>
      <c r="O74" s="0" t="s">
        <v>55</v>
      </c>
      <c r="P74" s="0" t="s">
        <v>63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P74" s="0" t="n">
        <v>0</v>
      </c>
      <c r="AQ74" s="0" t="n">
        <v>0</v>
      </c>
      <c r="AY74" s="0" t="s">
        <v>57</v>
      </c>
      <c r="AZ74" s="0" t="s">
        <v>58</v>
      </c>
      <c r="BA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59</v>
      </c>
      <c r="G75" s="2" t="n">
        <v>84</v>
      </c>
      <c r="I75" s="2" t="n">
        <v>55</v>
      </c>
      <c r="M75" s="0" t="s">
        <v>88</v>
      </c>
      <c r="O75" s="0" t="s">
        <v>55</v>
      </c>
      <c r="P75" s="0" t="s">
        <v>60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P75" s="0" t="n">
        <v>0</v>
      </c>
      <c r="AQ75" s="0" t="n">
        <v>0</v>
      </c>
      <c r="AY75" s="0" t="s">
        <v>57</v>
      </c>
      <c r="AZ75" s="0" t="s">
        <v>58</v>
      </c>
      <c r="BA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59</v>
      </c>
      <c r="G76" s="2" t="n">
        <v>55</v>
      </c>
      <c r="I76" s="2" t="n">
        <v>60</v>
      </c>
      <c r="M76" s="0" t="s">
        <v>88</v>
      </c>
      <c r="O76" s="0" t="s">
        <v>64</v>
      </c>
      <c r="P76" s="0" t="s">
        <v>75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P76" s="0" t="n">
        <v>1</v>
      </c>
      <c r="AQ76" s="0" t="n">
        <v>1</v>
      </c>
      <c r="AY76" s="0" t="s">
        <v>57</v>
      </c>
      <c r="AZ76" s="0" t="s">
        <v>58</v>
      </c>
      <c r="BA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77</v>
      </c>
      <c r="G77" s="2" t="n">
        <v>76</v>
      </c>
      <c r="I77" s="2" t="n">
        <v>53</v>
      </c>
      <c r="M77" s="0" t="s">
        <v>88</v>
      </c>
      <c r="O77" s="0" t="s">
        <v>55</v>
      </c>
      <c r="P77" s="0" t="s">
        <v>60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P77" s="0" t="n">
        <v>0</v>
      </c>
      <c r="AQ77" s="0" t="n">
        <v>0</v>
      </c>
      <c r="AY77" s="0" t="s">
        <v>57</v>
      </c>
      <c r="AZ77" s="0" t="s">
        <v>58</v>
      </c>
      <c r="BA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59</v>
      </c>
      <c r="G78" s="2" t="n">
        <v>77</v>
      </c>
      <c r="I78" s="2" t="n">
        <v>31</v>
      </c>
      <c r="M78" s="0" t="s">
        <v>88</v>
      </c>
      <c r="O78" s="0" t="s">
        <v>64</v>
      </c>
      <c r="P78" s="0" t="s">
        <v>84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P78" s="0" t="n">
        <v>0</v>
      </c>
      <c r="AQ78" s="0" t="n">
        <v>0</v>
      </c>
      <c r="AY78" s="0" t="s">
        <v>57</v>
      </c>
      <c r="AZ78" s="0" t="s">
        <v>58</v>
      </c>
      <c r="BA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77</v>
      </c>
      <c r="G79" s="2" t="n">
        <v>81</v>
      </c>
      <c r="I79" s="2" t="n">
        <v>38</v>
      </c>
      <c r="M79" s="0" t="s">
        <v>88</v>
      </c>
      <c r="O79" s="0" t="s">
        <v>55</v>
      </c>
      <c r="P79" s="0" t="s">
        <v>61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P79" s="0" t="n">
        <v>0</v>
      </c>
      <c r="AQ79" s="0" t="n">
        <v>0</v>
      </c>
      <c r="AY79" s="0" t="s">
        <v>57</v>
      </c>
      <c r="AZ79" s="0" t="s">
        <v>58</v>
      </c>
      <c r="BA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54</v>
      </c>
      <c r="G80" s="2" t="n">
        <v>68</v>
      </c>
      <c r="I80" s="2" t="n">
        <v>56</v>
      </c>
      <c r="M80" s="0" t="s">
        <v>88</v>
      </c>
      <c r="O80" s="0" t="s">
        <v>55</v>
      </c>
      <c r="P80" s="0" t="s">
        <v>71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P80" s="0" t="n">
        <v>0</v>
      </c>
      <c r="AQ80" s="0" t="n">
        <v>0</v>
      </c>
      <c r="AY80" s="0" t="s">
        <v>57</v>
      </c>
      <c r="AZ80" s="0" t="s">
        <v>58</v>
      </c>
      <c r="BA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59</v>
      </c>
      <c r="G81" s="2" t="n">
        <v>70</v>
      </c>
      <c r="M81" s="0" t="s">
        <v>88</v>
      </c>
      <c r="O81" s="0" t="s">
        <v>64</v>
      </c>
      <c r="P81" s="0" t="s">
        <v>89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59</v>
      </c>
      <c r="G82" s="2" t="n">
        <v>75</v>
      </c>
      <c r="I82" s="2" t="n">
        <v>36</v>
      </c>
      <c r="M82" s="0" t="s">
        <v>88</v>
      </c>
      <c r="O82" s="0" t="s">
        <v>64</v>
      </c>
      <c r="P82" s="0" t="s">
        <v>75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P82" s="0" t="n">
        <v>3</v>
      </c>
      <c r="AY82" s="0" t="s">
        <v>57</v>
      </c>
      <c r="AZ82" s="0" t="s">
        <v>58</v>
      </c>
      <c r="BA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59</v>
      </c>
      <c r="G83" s="2" t="n">
        <v>64</v>
      </c>
      <c r="I83" s="2" t="n">
        <v>56</v>
      </c>
      <c r="M83" s="0" t="s">
        <v>88</v>
      </c>
      <c r="O83" s="0" t="s">
        <v>55</v>
      </c>
      <c r="P83" s="0" t="s">
        <v>60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P83" s="0" t="n">
        <v>0</v>
      </c>
      <c r="AQ83" s="0" t="n">
        <v>0</v>
      </c>
      <c r="AY83" s="0" t="s">
        <v>57</v>
      </c>
      <c r="AZ83" s="0" t="s">
        <v>58</v>
      </c>
      <c r="BA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81</v>
      </c>
      <c r="F84" s="0" t="s">
        <v>70</v>
      </c>
      <c r="G84" s="2" t="n">
        <v>70</v>
      </c>
      <c r="I84" s="2" t="n">
        <v>100</v>
      </c>
      <c r="M84" s="0" t="s">
        <v>87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54</v>
      </c>
      <c r="G85" s="2" t="n">
        <v>73</v>
      </c>
      <c r="I85" s="2" t="n">
        <v>76</v>
      </c>
      <c r="M85" s="0" t="s">
        <v>87</v>
      </c>
      <c r="O85" s="0" t="s">
        <v>55</v>
      </c>
      <c r="P85" s="0" t="s">
        <v>61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P85" s="0" t="n">
        <v>5</v>
      </c>
      <c r="AQ85" s="0" t="n">
        <v>0</v>
      </c>
      <c r="AY85" s="0" t="s">
        <v>57</v>
      </c>
      <c r="AZ85" s="0" t="s">
        <v>58</v>
      </c>
      <c r="BA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90</v>
      </c>
      <c r="G86" s="2" t="n">
        <v>85</v>
      </c>
      <c r="I86" s="2" t="n">
        <v>55</v>
      </c>
      <c r="M86" s="0" t="s">
        <v>88</v>
      </c>
      <c r="O86" s="0" t="s">
        <v>64</v>
      </c>
      <c r="P86" s="0" t="s">
        <v>80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P86" s="0" t="n">
        <v>6</v>
      </c>
      <c r="AQ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54</v>
      </c>
      <c r="G87" s="2" t="n">
        <v>81</v>
      </c>
      <c r="I87" s="2" t="n">
        <v>62</v>
      </c>
      <c r="M87" s="0" t="s">
        <v>87</v>
      </c>
      <c r="O87" s="0" t="s">
        <v>55</v>
      </c>
      <c r="P87" s="0" t="s">
        <v>75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P87" s="0" t="n">
        <v>7</v>
      </c>
      <c r="AQ87" s="0" t="n">
        <v>0</v>
      </c>
      <c r="AY87" s="0" t="s">
        <v>57</v>
      </c>
      <c r="AZ87" s="0" t="s">
        <v>58</v>
      </c>
      <c r="BA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81</v>
      </c>
      <c r="F88" s="0" t="s">
        <v>54</v>
      </c>
      <c r="G88" s="2" t="n">
        <v>68</v>
      </c>
      <c r="I88" s="2" t="n">
        <v>87</v>
      </c>
      <c r="M88" s="0" t="s">
        <v>87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59</v>
      </c>
      <c r="G89" s="2" t="n">
        <v>80</v>
      </c>
      <c r="I89" s="2" t="n">
        <v>54</v>
      </c>
      <c r="M89" s="0" t="s">
        <v>88</v>
      </c>
      <c r="O89" s="0" t="s">
        <v>64</v>
      </c>
      <c r="P89" s="0" t="s">
        <v>60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P89" s="0" t="n">
        <v>1</v>
      </c>
      <c r="AQ89" s="0" t="n">
        <v>0</v>
      </c>
      <c r="AS89" s="5" t="n">
        <f aca="false">60*U89-SUM(AT89:AX89)</f>
        <v>0</v>
      </c>
      <c r="AT89" s="3" t="n">
        <f aca="false">4+50/60</f>
        <v>4.83333333333333</v>
      </c>
      <c r="AU89" s="3" t="n">
        <f aca="false">13+36/60</f>
        <v>13.6</v>
      </c>
      <c r="AV89" s="3" t="n">
        <f aca="false">20+25/60</f>
        <v>20.4166666666667</v>
      </c>
      <c r="AW89" s="3" t="n">
        <f aca="false">30+52/60</f>
        <v>30.8666666666667</v>
      </c>
      <c r="AX89" s="3" t="n">
        <f aca="false">13+17/60</f>
        <v>13.2833333333333</v>
      </c>
      <c r="AY89" s="0" t="s">
        <v>57</v>
      </c>
      <c r="AZ89" s="0" t="s">
        <v>58</v>
      </c>
      <c r="BA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59</v>
      </c>
      <c r="G90" s="2" t="n">
        <v>89</v>
      </c>
      <c r="I90" s="2" t="n">
        <v>43</v>
      </c>
      <c r="M90" s="0" t="s">
        <v>88</v>
      </c>
      <c r="O90" s="0" t="s">
        <v>55</v>
      </c>
      <c r="P90" s="0" t="s">
        <v>89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P90" s="0" t="n">
        <v>4</v>
      </c>
      <c r="AQ90" s="0" t="n">
        <v>0</v>
      </c>
      <c r="AS90" s="5" t="n">
        <f aca="false">60*U90-SUM(AT90:AX90)</f>
        <v>0.466666666666654</v>
      </c>
      <c r="AT90" s="3" t="n">
        <f aca="false">7+18/60</f>
        <v>7.3</v>
      </c>
      <c r="AU90" s="3" t="n">
        <f aca="false">8+18/60</f>
        <v>8.3</v>
      </c>
      <c r="AV90" s="3" t="n">
        <v>1</v>
      </c>
      <c r="AW90" s="3" t="n">
        <f aca="false">54+50/60</f>
        <v>54.8333333333333</v>
      </c>
      <c r="AX90" s="3" t="n">
        <f aca="false">19+6/60</f>
        <v>19.1</v>
      </c>
      <c r="AY90" s="0" t="s">
        <v>57</v>
      </c>
      <c r="AZ90" s="0" t="s">
        <v>58</v>
      </c>
      <c r="BA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59</v>
      </c>
      <c r="G91" s="2" t="n">
        <f aca="false">AVERAGE(77,81,85)</f>
        <v>81</v>
      </c>
      <c r="I91" s="2" t="n">
        <f aca="false">AVERAGE(69,72,57)</f>
        <v>66</v>
      </c>
      <c r="M91" s="0" t="s">
        <v>88</v>
      </c>
      <c r="O91" s="0" t="s">
        <v>64</v>
      </c>
      <c r="P91" s="0" t="s">
        <v>80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P91" s="0" t="n">
        <v>1</v>
      </c>
      <c r="AQ91" s="0" t="n">
        <v>0</v>
      </c>
      <c r="AS91" s="5" t="n">
        <f aca="false">60*U91-SUM(AT91:AX91)</f>
        <v>0</v>
      </c>
      <c r="AT91" s="3" t="n">
        <f aca="false">1+16/60</f>
        <v>1.26666666666667</v>
      </c>
      <c r="AU91" s="3" t="n">
        <f aca="false">14+28/60</f>
        <v>14.4666666666667</v>
      </c>
      <c r="AV91" s="3" t="n">
        <f aca="false">16+20/60</f>
        <v>16.3333333333333</v>
      </c>
      <c r="AW91" s="3" t="n">
        <f aca="false">58+46/60</f>
        <v>58.7666666666667</v>
      </c>
      <c r="AX91" s="3" t="n">
        <f aca="false">8+39/60</f>
        <v>8.65</v>
      </c>
      <c r="AY91" s="0" t="s">
        <v>57</v>
      </c>
      <c r="AZ91" s="0" t="s">
        <v>58</v>
      </c>
      <c r="BA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54</v>
      </c>
      <c r="G92" s="2" t="n">
        <v>74</v>
      </c>
      <c r="I92" s="2" t="n">
        <v>71</v>
      </c>
      <c r="M92" s="0" t="s">
        <v>88</v>
      </c>
      <c r="O92" s="0" t="s">
        <v>64</v>
      </c>
      <c r="P92" s="0" t="s">
        <v>63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P92" s="0" t="n">
        <v>3</v>
      </c>
      <c r="AQ92" s="0" t="n">
        <v>0</v>
      </c>
      <c r="AS92" s="5" t="n">
        <f aca="false">60*U92-SUM(AT92:AX92)</f>
        <v>12.3833333333333</v>
      </c>
      <c r="AT92" s="3" t="n">
        <f aca="false">27+50/60</f>
        <v>27.8333333333333</v>
      </c>
      <c r="AU92" s="3" t="n">
        <f aca="false">36+21/60</f>
        <v>36.35</v>
      </c>
      <c r="AV92" s="3" t="n">
        <f aca="false">20+56/60</f>
        <v>20.9333333333333</v>
      </c>
      <c r="AW92" s="3" t="n">
        <f aca="false">17+21/60</f>
        <v>17.35</v>
      </c>
      <c r="AX92" s="3" t="n">
        <f aca="false">8+12/60</f>
        <v>8.2</v>
      </c>
      <c r="AY92" s="0" t="s">
        <v>57</v>
      </c>
      <c r="AZ92" s="0" t="s">
        <v>58</v>
      </c>
      <c r="BA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54</v>
      </c>
      <c r="G93" s="2" t="n">
        <v>76</v>
      </c>
      <c r="I93" s="2" t="n">
        <v>74</v>
      </c>
      <c r="M93" s="0" t="s">
        <v>88</v>
      </c>
      <c r="O93" s="0" t="s">
        <v>55</v>
      </c>
      <c r="P93" s="0" t="s">
        <v>61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P93" s="0" t="n">
        <v>2</v>
      </c>
      <c r="AQ93" s="0" t="n">
        <v>0</v>
      </c>
      <c r="AS93" s="5" t="n">
        <f aca="false">60*U93-SUM(AT93:AX93)</f>
        <v>-0.0333333333333314</v>
      </c>
      <c r="AT93" s="3" t="n">
        <f aca="false">41+4/60</f>
        <v>41.0666666666667</v>
      </c>
      <c r="AU93" s="3" t="n">
        <f aca="false">54+30/60</f>
        <v>54.5</v>
      </c>
      <c r="AV93" s="3" t="n">
        <f aca="false">3+58/60</f>
        <v>3.96666666666667</v>
      </c>
      <c r="AW93" s="3" t="n">
        <f aca="false">30/60</f>
        <v>0.5</v>
      </c>
      <c r="AX93" s="3" t="n">
        <v>0</v>
      </c>
      <c r="AY93" s="0" t="s">
        <v>57</v>
      </c>
      <c r="AZ93" s="0" t="s">
        <v>58</v>
      </c>
      <c r="BA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59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88</v>
      </c>
      <c r="O94" s="0" t="s">
        <v>64</v>
      </c>
      <c r="P94" s="0" t="s">
        <v>75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P94" s="0" t="n">
        <v>4</v>
      </c>
      <c r="AQ94" s="0" t="n">
        <v>1</v>
      </c>
      <c r="AS94" s="5" t="n">
        <f aca="false">60*U94-SUM(AT94:AX94)</f>
        <v>24.3</v>
      </c>
      <c r="AT94" s="3" t="n">
        <f aca="false">17+9/60</f>
        <v>17.15</v>
      </c>
      <c r="AU94" s="3" t="n">
        <f aca="false">25</f>
        <v>25</v>
      </c>
      <c r="AV94" s="3" t="n">
        <f aca="false">14+8/60</f>
        <v>14.1333333333333</v>
      </c>
      <c r="AW94" s="3" t="n">
        <f aca="false">27+43/60</f>
        <v>27.7166666666667</v>
      </c>
      <c r="AX94" s="3" t="n">
        <f aca="false">48+56/60</f>
        <v>48.9333333333333</v>
      </c>
      <c r="AY94" s="0" t="s">
        <v>57</v>
      </c>
      <c r="AZ94" s="0" t="s">
        <v>58</v>
      </c>
      <c r="BA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59</v>
      </c>
      <c r="G95" s="2" t="n">
        <v>87</v>
      </c>
      <c r="I95" s="2" t="n">
        <v>0.56</v>
      </c>
      <c r="M95" s="0" t="s">
        <v>88</v>
      </c>
      <c r="O95" s="0" t="s">
        <v>55</v>
      </c>
      <c r="P95" s="0" t="s">
        <v>91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P95" s="0" t="n">
        <v>1</v>
      </c>
      <c r="AQ95" s="0" t="n">
        <v>2</v>
      </c>
      <c r="AS95" s="5" t="n">
        <f aca="false">60*U95-SUM(AT95:AX95)</f>
        <v>0.933333333333337</v>
      </c>
      <c r="AT95" s="3" t="n">
        <f aca="false">6+4/60</f>
        <v>6.06666666666667</v>
      </c>
      <c r="AU95" s="3" t="n">
        <f aca="false">26+21/60</f>
        <v>26.35</v>
      </c>
      <c r="AV95" s="3" t="n">
        <f aca="false">13+33/60</f>
        <v>13.55</v>
      </c>
      <c r="AW95" s="3" t="n">
        <f aca="false">32+14/60</f>
        <v>32.2333333333333</v>
      </c>
      <c r="AX95" s="3" t="n">
        <f aca="false">35+52/60</f>
        <v>35.8666666666667</v>
      </c>
      <c r="AY95" s="0" t="s">
        <v>57</v>
      </c>
      <c r="AZ95" s="0" t="s">
        <v>58</v>
      </c>
      <c r="BA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68</v>
      </c>
      <c r="F96" s="0" t="s">
        <v>54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54</v>
      </c>
      <c r="G97" s="2" t="n">
        <v>71</v>
      </c>
      <c r="I97" s="2" t="n">
        <v>59</v>
      </c>
      <c r="M97" s="0" t="s">
        <v>88</v>
      </c>
      <c r="O97" s="0" t="s">
        <v>55</v>
      </c>
      <c r="P97" s="0" t="s">
        <v>63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P97" s="0" t="n">
        <v>2</v>
      </c>
      <c r="AQ97" s="0" t="n">
        <v>1</v>
      </c>
      <c r="AS97" s="4" t="n">
        <f aca="false">60*U97-SUM(AT97:AX97)</f>
        <v>2.13333333333333</v>
      </c>
      <c r="AT97" s="3" t="n">
        <f aca="false">27+11/60</f>
        <v>27.1833333333333</v>
      </c>
      <c r="AU97" s="3" t="n">
        <f aca="false">44+1/6</f>
        <v>44.1666666666667</v>
      </c>
      <c r="AV97" s="3" t="n">
        <f aca="false">25+24/60</f>
        <v>25.4</v>
      </c>
      <c r="AW97" s="3" t="n">
        <f aca="false">11+32/60</f>
        <v>11.5333333333333</v>
      </c>
      <c r="AX97" s="3" t="n">
        <f aca="false">28+9/60</f>
        <v>28.15</v>
      </c>
      <c r="AY97" s="0" t="s">
        <v>57</v>
      </c>
      <c r="AZ97" s="0" t="s">
        <v>58</v>
      </c>
      <c r="BA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59</v>
      </c>
      <c r="G98" s="2" t="n">
        <f aca="false">AVERAGE(79,82)</f>
        <v>80.5</v>
      </c>
      <c r="I98" s="2" t="n">
        <f aca="false">AVERAGE(47+37)</f>
        <v>84</v>
      </c>
      <c r="M98" s="0" t="s">
        <v>88</v>
      </c>
      <c r="O98" s="0" t="s">
        <v>55</v>
      </c>
      <c r="P98" s="0" t="s">
        <v>60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P98" s="0" t="n">
        <v>1</v>
      </c>
      <c r="AQ98" s="0" t="n">
        <v>1</v>
      </c>
      <c r="AS98" s="4" t="n">
        <f aca="false">60*U98-SUM(AT98:AX98)</f>
        <v>8.99866666666668</v>
      </c>
      <c r="AT98" s="3" t="n">
        <f aca="false">22/60</f>
        <v>0.366666666666667</v>
      </c>
      <c r="AU98" s="3" t="n">
        <f aca="false">5+2/60</f>
        <v>5.03333333333333</v>
      </c>
      <c r="AV98" s="3" t="n">
        <f aca="false">36+57/60</f>
        <v>36.95</v>
      </c>
      <c r="AW98" s="3" t="n">
        <f aca="false">60+5/60</f>
        <v>60.0833333333333</v>
      </c>
      <c r="AX98" s="3" t="n">
        <f aca="false">3.08/60</f>
        <v>0.0513333333333333</v>
      </c>
      <c r="AY98" s="0" t="s">
        <v>57</v>
      </c>
      <c r="AZ98" s="0" t="s">
        <v>58</v>
      </c>
      <c r="BA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68</v>
      </c>
      <c r="F99" s="0" t="s">
        <v>59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92</v>
      </c>
      <c r="F100" s="0" t="s">
        <v>59</v>
      </c>
      <c r="G100" s="2" t="n">
        <f aca="false">AVERAGE(84,87)</f>
        <v>85.5</v>
      </c>
      <c r="I100" s="2" t="n">
        <f aca="false">AVERAGE(40,32)</f>
        <v>36</v>
      </c>
      <c r="M100" s="0" t="s">
        <v>88</v>
      </c>
      <c r="O100" s="0" t="s">
        <v>64</v>
      </c>
      <c r="P100" s="0" t="s">
        <v>89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P100" s="0" t="n">
        <v>1</v>
      </c>
      <c r="AQ100" s="0" t="n">
        <v>1</v>
      </c>
      <c r="AS100" s="4" t="n">
        <f aca="false">60*U100-SUM(AT100:AX100)</f>
        <v>11.5245</v>
      </c>
      <c r="AT100" s="3" t="n">
        <f aca="false">13/60</f>
        <v>0.216666666666667</v>
      </c>
      <c r="AU100" s="3" t="n">
        <f aca="false">28*37/60</f>
        <v>17.2666666666667</v>
      </c>
      <c r="AV100" s="3" t="n">
        <f aca="false">47+14/60</f>
        <v>47.2333333333333</v>
      </c>
      <c r="AW100" s="3" t="n">
        <f aca="false">34+45/60</f>
        <v>34.75</v>
      </c>
      <c r="AX100" s="3" t="n">
        <f aca="false">0.53/60</f>
        <v>0.00883333333333333</v>
      </c>
      <c r="AY100" s="0" t="s">
        <v>57</v>
      </c>
      <c r="AZ100" s="0" t="s">
        <v>58</v>
      </c>
      <c r="BA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92</v>
      </c>
      <c r="F101" s="0" t="s">
        <v>59</v>
      </c>
      <c r="G101" s="2" t="n">
        <f aca="false">AVERAGE(86,87)</f>
        <v>86.5</v>
      </c>
      <c r="I101" s="2" t="n">
        <f aca="false">AVERAGE(36,35)</f>
        <v>35.5</v>
      </c>
      <c r="M101" s="0" t="s">
        <v>88</v>
      </c>
      <c r="O101" s="0" t="s">
        <v>64</v>
      </c>
      <c r="P101" s="0" t="s">
        <v>61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P101" s="0" t="n">
        <v>2</v>
      </c>
      <c r="AQ101" s="0" t="n">
        <v>0</v>
      </c>
      <c r="AS101" s="4" t="n">
        <f aca="false">60*U101-SUM(AT101:AX101)</f>
        <v>0</v>
      </c>
      <c r="AT101" s="3" t="n">
        <f aca="false">1+26/60</f>
        <v>1.43333333333333</v>
      </c>
      <c r="AU101" s="3" t="n">
        <f aca="false">65+39/60</f>
        <v>65.65</v>
      </c>
      <c r="AV101" s="3" t="n">
        <f aca="false">20+34/60</f>
        <v>20.5666666666667</v>
      </c>
      <c r="AW101" s="3" t="n">
        <f aca="false">25+53/60</f>
        <v>25.8833333333333</v>
      </c>
      <c r="AX101" s="3" t="n">
        <f aca="false">1+47/60</f>
        <v>1.78333333333333</v>
      </c>
      <c r="AY101" s="0" t="s">
        <v>57</v>
      </c>
      <c r="AZ101" s="0" t="s">
        <v>58</v>
      </c>
      <c r="BA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78</v>
      </c>
      <c r="G102" s="2" t="n">
        <f aca="false">AVERAGE(86,88)</f>
        <v>87</v>
      </c>
      <c r="I102" s="2" t="n">
        <f aca="false">AVERAGE(38,35)</f>
        <v>36.5</v>
      </c>
      <c r="M102" s="0" t="s">
        <v>88</v>
      </c>
      <c r="O102" s="0" t="s">
        <v>64</v>
      </c>
      <c r="P102" s="0" t="s">
        <v>75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S102" s="4" t="n">
        <f aca="false">60*U102-SUM(AT102:AX102)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77</v>
      </c>
      <c r="G103" s="2" t="n">
        <v>73</v>
      </c>
      <c r="I103" s="2" t="n">
        <f aca="false">AVERAGE(90,79)</f>
        <v>84.5</v>
      </c>
      <c r="M103" s="0" t="s">
        <v>87</v>
      </c>
      <c r="O103" s="0" t="s">
        <v>64</v>
      </c>
      <c r="P103" s="0" t="s">
        <v>91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P103" s="0" t="n">
        <v>1</v>
      </c>
      <c r="AQ103" s="0" t="n">
        <v>3</v>
      </c>
      <c r="AS103" s="4" t="n">
        <f aca="false">60*U103-SUM(AT103:AX103)</f>
        <v>56.9833333333333</v>
      </c>
      <c r="AT103" s="3" t="n">
        <f aca="false">27.25</f>
        <v>27.25</v>
      </c>
      <c r="AU103" s="3" t="n">
        <f aca="false">13+43/60</f>
        <v>13.7166666666667</v>
      </c>
      <c r="AV103" s="3" t="n">
        <f aca="false">14+50/60</f>
        <v>14.8333333333333</v>
      </c>
      <c r="AW103" s="3" t="n">
        <f aca="false">6+13/60</f>
        <v>6.21666666666667</v>
      </c>
      <c r="AX103" s="3" t="n">
        <v>0</v>
      </c>
      <c r="AY103" s="0" t="s">
        <v>57</v>
      </c>
      <c r="AZ103" s="0" t="s">
        <v>58</v>
      </c>
      <c r="BA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77</v>
      </c>
      <c r="G104" s="2" t="n">
        <v>86</v>
      </c>
      <c r="I104" s="2" t="n">
        <v>53</v>
      </c>
      <c r="M104" s="0" t="s">
        <v>88</v>
      </c>
      <c r="O104" s="0" t="s">
        <v>64</v>
      </c>
      <c r="P104" s="0" t="s">
        <v>89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P104" s="0" t="n">
        <v>4</v>
      </c>
      <c r="AQ104" s="0" t="n">
        <v>0</v>
      </c>
      <c r="AS104" s="4" t="n">
        <f aca="false">60*U104-SUM(AT104:AX104)</f>
        <v>0.25</v>
      </c>
      <c r="AT104" s="3" t="n">
        <f aca="false">3+28/60</f>
        <v>3.46666666666667</v>
      </c>
      <c r="AU104" s="3" t="n">
        <f aca="false">36+3/60</f>
        <v>36.05</v>
      </c>
      <c r="AV104" s="3" t="n">
        <f aca="false">25+52/60</f>
        <v>25.8666666666667</v>
      </c>
      <c r="AW104" s="3" t="n">
        <f aca="false">15+28/60</f>
        <v>15.4666666666667</v>
      </c>
      <c r="AX104" s="3" t="n">
        <f aca="false">37+54/60</f>
        <v>37.9</v>
      </c>
      <c r="AY104" s="0" t="s">
        <v>57</v>
      </c>
      <c r="AZ104" s="0" t="s">
        <v>58</v>
      </c>
      <c r="BA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59</v>
      </c>
      <c r="G105" s="2" t="n">
        <v>93</v>
      </c>
      <c r="I105" s="2" t="n">
        <v>47</v>
      </c>
      <c r="M105" s="0" t="s">
        <v>87</v>
      </c>
      <c r="O105" s="0" t="s">
        <v>55</v>
      </c>
      <c r="P105" s="0" t="s">
        <v>56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P105" s="0" t="n">
        <v>0</v>
      </c>
      <c r="AQ105" s="0" t="n">
        <v>0</v>
      </c>
      <c r="AS105" s="4" t="n">
        <f aca="false">60*U105-SUM(AT105:AX105)</f>
        <v>0.449999999999989</v>
      </c>
      <c r="AT105" s="3" t="n">
        <v>3.25</v>
      </c>
      <c r="AU105" s="3" t="n">
        <f aca="false">19+33/60</f>
        <v>19.55</v>
      </c>
      <c r="AV105" s="3" t="n">
        <f aca="false">6+2/60</f>
        <v>6.03333333333333</v>
      </c>
      <c r="AW105" s="3" t="n">
        <f aca="false">70+13/60</f>
        <v>70.2166666666667</v>
      </c>
      <c r="AX105" s="3" t="n">
        <f aca="false">2.5</f>
        <v>2.5</v>
      </c>
      <c r="AY105" s="0" t="s">
        <v>57</v>
      </c>
      <c r="AZ105" s="0" t="s">
        <v>58</v>
      </c>
      <c r="BA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59</v>
      </c>
      <c r="G106" s="2" t="n">
        <f aca="false">AVERAGE(83,86)</f>
        <v>84.5</v>
      </c>
      <c r="I106" s="2" t="n">
        <f aca="false">AVERAGE(72,67)</f>
        <v>69.5</v>
      </c>
      <c r="M106" s="0" t="s">
        <v>87</v>
      </c>
      <c r="O106" s="0" t="s">
        <v>64</v>
      </c>
      <c r="P106" s="0" t="s">
        <v>56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P106" s="0" t="n">
        <v>1</v>
      </c>
      <c r="AQ106" s="0" t="n">
        <v>0</v>
      </c>
      <c r="AS106" s="4" t="n">
        <f aca="false">60*U106-SUM(AT106:AX106)</f>
        <v>0.849999999999994</v>
      </c>
      <c r="AT106" s="3" t="n">
        <f aca="false">5+38/60</f>
        <v>5.63333333333333</v>
      </c>
      <c r="AU106" s="3" t="n">
        <f aca="false">10+45/60</f>
        <v>10.75</v>
      </c>
      <c r="AV106" s="3" t="n">
        <f aca="false">53+46/60</f>
        <v>53.7666666666667</v>
      </c>
      <c r="AW106" s="3" t="n">
        <f aca="false">20</f>
        <v>20</v>
      </c>
      <c r="AX106" s="3" t="n">
        <v>0</v>
      </c>
      <c r="AY106" s="0" t="s">
        <v>57</v>
      </c>
      <c r="AZ106" s="0" t="s">
        <v>58</v>
      </c>
      <c r="BA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93</v>
      </c>
      <c r="F107" s="0" t="s">
        <v>59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59</v>
      </c>
      <c r="G108" s="2" t="n">
        <f aca="false">AVERAGE(90,91)</f>
        <v>90.5</v>
      </c>
      <c r="I108" s="2" t="n">
        <f aca="false">AVERAGE(50,48)</f>
        <v>49</v>
      </c>
      <c r="M108" s="0" t="s">
        <v>87</v>
      </c>
      <c r="O108" s="0" t="s">
        <v>64</v>
      </c>
      <c r="P108" s="0" t="s">
        <v>56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P108" s="0" t="n">
        <v>0</v>
      </c>
      <c r="AQ108" s="0" t="n">
        <v>0</v>
      </c>
      <c r="AS108" s="4" t="n">
        <f aca="false">60*U108-SUM(AT108:AX108)</f>
        <v>0.299999999999983</v>
      </c>
      <c r="AT108" s="3" t="n">
        <v>0</v>
      </c>
      <c r="AU108" s="3" t="n">
        <f aca="false">25/60</f>
        <v>0.416666666666667</v>
      </c>
      <c r="AV108" s="3" t="n">
        <f aca="false">5+33/60</f>
        <v>5.55</v>
      </c>
      <c r="AW108" s="3" t="n">
        <f aca="false">81+3/60</f>
        <v>81.05</v>
      </c>
      <c r="AX108" s="3" t="n">
        <f aca="false">35+41/60</f>
        <v>35.6833333333333</v>
      </c>
      <c r="AY108" s="0" t="s">
        <v>57</v>
      </c>
      <c r="AZ108" s="0" t="s">
        <v>58</v>
      </c>
      <c r="BA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68</v>
      </c>
      <c r="F109" s="0" t="s">
        <v>59</v>
      </c>
      <c r="G109" s="2" t="n">
        <v>91</v>
      </c>
      <c r="I109" s="2" t="n">
        <v>50</v>
      </c>
      <c r="M109" s="0" t="s">
        <v>87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59</v>
      </c>
      <c r="G110" s="2" t="n">
        <v>95</v>
      </c>
      <c r="I110" s="2" t="n">
        <v>41</v>
      </c>
      <c r="M110" s="0" t="s">
        <v>87</v>
      </c>
      <c r="O110" s="0" t="s">
        <v>64</v>
      </c>
      <c r="P110" s="0" t="s">
        <v>56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P110" s="0" t="n">
        <v>1</v>
      </c>
      <c r="AQ110" s="0" t="n">
        <v>1</v>
      </c>
      <c r="AS110" s="4" t="n">
        <f aca="false">60*U110-SUM(AT110:AX110)</f>
        <v>0.11666666666666</v>
      </c>
      <c r="AT110" s="3" t="n">
        <f aca="false">4+27/60</f>
        <v>4.45</v>
      </c>
      <c r="AU110" s="3" t="n">
        <f aca="false">20+54/60</f>
        <v>20.9</v>
      </c>
      <c r="AV110" s="3" t="n">
        <f aca="false">9+35/60</f>
        <v>9.58333333333333</v>
      </c>
      <c r="AW110" s="3" t="n">
        <f aca="false">67+12/60</f>
        <v>67.2</v>
      </c>
      <c r="AX110" s="3" t="n">
        <f aca="false">23+45/60</f>
        <v>23.75</v>
      </c>
      <c r="AY110" s="0" t="s">
        <v>57</v>
      </c>
      <c r="AZ110" s="0" t="s">
        <v>58</v>
      </c>
      <c r="BA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59</v>
      </c>
      <c r="G111" s="2" t="n">
        <v>90</v>
      </c>
      <c r="I111" s="2" t="n">
        <v>57</v>
      </c>
      <c r="M111" s="0" t="s">
        <v>87</v>
      </c>
      <c r="O111" s="0" t="s">
        <v>64</v>
      </c>
      <c r="P111" s="0" t="s">
        <v>56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P111" s="0" t="n">
        <v>0</v>
      </c>
      <c r="AQ111" s="0" t="n">
        <v>0</v>
      </c>
      <c r="AS111" s="4" t="n">
        <f aca="false">60*U111-SUM(AT111:AX111)</f>
        <v>0.0666666666666629</v>
      </c>
      <c r="AT111" s="3" t="n">
        <f aca="false">19/60</f>
        <v>0.316666666666667</v>
      </c>
      <c r="AU111" s="3" t="n">
        <f aca="false">9+11/60</f>
        <v>9.18333333333333</v>
      </c>
      <c r="AV111" s="3" t="n">
        <f aca="false">14+1/60</f>
        <v>14.0166666666667</v>
      </c>
      <c r="AW111" s="3" t="n">
        <f aca="false">39+44/60</f>
        <v>39.7333333333333</v>
      </c>
      <c r="AX111" s="3" t="n">
        <f aca="false">41/60</f>
        <v>0.683333333333333</v>
      </c>
      <c r="AY111" s="0" t="s">
        <v>57</v>
      </c>
      <c r="AZ111" s="0" t="s">
        <v>58</v>
      </c>
      <c r="BA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59</v>
      </c>
      <c r="G112" s="2" t="n">
        <v>97</v>
      </c>
      <c r="I112" s="2" t="n">
        <v>26</v>
      </c>
      <c r="M112" s="0" t="s">
        <v>87</v>
      </c>
      <c r="O112" s="0" t="s">
        <v>64</v>
      </c>
      <c r="P112" s="0" t="s">
        <v>94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P112" s="0" t="n">
        <v>0</v>
      </c>
      <c r="AQ112" s="0" t="n">
        <v>0</v>
      </c>
      <c r="AS112" s="4" t="n">
        <v>0</v>
      </c>
      <c r="AT112" s="3" t="n">
        <v>0</v>
      </c>
      <c r="AU112" s="3" t="n">
        <f aca="false">9+20/60</f>
        <v>9.33333333333333</v>
      </c>
      <c r="AV112" s="3" t="n">
        <f aca="false">21+23/60</f>
        <v>21.3833333333333</v>
      </c>
      <c r="AW112" s="3" t="n">
        <v>0.333333333333333</v>
      </c>
      <c r="AX112" s="3" t="n">
        <v>0</v>
      </c>
      <c r="AY112" s="0" t="s">
        <v>57</v>
      </c>
      <c r="AZ112" s="0" t="s">
        <v>58</v>
      </c>
      <c r="BA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59</v>
      </c>
      <c r="G113" s="2" t="n">
        <v>76</v>
      </c>
      <c r="H113" s="2" t="n">
        <v>43</v>
      </c>
      <c r="I113" s="2" t="n">
        <v>23</v>
      </c>
      <c r="J113" s="2" t="s">
        <v>95</v>
      </c>
      <c r="K113" s="2" t="n">
        <v>12</v>
      </c>
      <c r="L113" s="2" t="n">
        <v>25</v>
      </c>
      <c r="M113" s="0" t="s">
        <v>88</v>
      </c>
      <c r="O113" s="0" t="s">
        <v>55</v>
      </c>
      <c r="P113" s="0" t="s">
        <v>63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P113" s="0" t="n">
        <v>5</v>
      </c>
      <c r="AQ113" s="0" t="n">
        <v>1</v>
      </c>
      <c r="AS113" s="4" t="n">
        <f aca="false">60*U113-SUM(AT113:AX113)</f>
        <v>83.68</v>
      </c>
      <c r="AT113" s="3" t="n">
        <f aca="false">51/60</f>
        <v>0.85</v>
      </c>
      <c r="AU113" s="3" t="n">
        <f aca="false">(33+3/60)</f>
        <v>33.05</v>
      </c>
      <c r="AV113" s="3" t="n">
        <f aca="false">17/60</f>
        <v>0.283333333333333</v>
      </c>
      <c r="AW113" s="3" t="n">
        <f aca="false">(14+54/60)/60</f>
        <v>0.248333333333333</v>
      </c>
      <c r="AX113" s="3" t="n">
        <f aca="false">(53+18/60)/60</f>
        <v>0.888333333333333</v>
      </c>
      <c r="AY113" s="0" t="s">
        <v>57</v>
      </c>
      <c r="AZ113" s="0" t="s">
        <v>58</v>
      </c>
      <c r="BA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59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96</v>
      </c>
      <c r="K114" s="2" t="n">
        <v>7</v>
      </c>
      <c r="L114" s="2" t="n">
        <v>0</v>
      </c>
      <c r="M114" s="0" t="s">
        <v>88</v>
      </c>
      <c r="O114" s="0" t="s">
        <v>55</v>
      </c>
      <c r="P114" s="0" t="s">
        <v>89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P114" s="0" t="n">
        <v>0</v>
      </c>
      <c r="AQ114" s="0" t="n">
        <v>0</v>
      </c>
      <c r="AS114" s="4" t="n">
        <f aca="false">60*U114-SUM(AT114:AX114)</f>
        <v>0.38333333333334</v>
      </c>
      <c r="AT114" s="3" t="n">
        <v>0</v>
      </c>
      <c r="AU114" s="3" t="n">
        <f aca="false">7+16/60</f>
        <v>7.26666666666667</v>
      </c>
      <c r="AV114" s="3" t="n">
        <f aca="false">25+43/60</f>
        <v>25.7166666666667</v>
      </c>
      <c r="AW114" s="3" t="n">
        <f aca="false">53+38/60</f>
        <v>53.6333333333333</v>
      </c>
      <c r="AX114" s="3" t="n">
        <v>0</v>
      </c>
      <c r="AY114" s="0" t="s">
        <v>57</v>
      </c>
      <c r="AZ114" s="0" t="s">
        <v>58</v>
      </c>
      <c r="BA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59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97</v>
      </c>
      <c r="K115" s="2" t="n">
        <v>15</v>
      </c>
      <c r="L115" s="2" t="n">
        <v>29</v>
      </c>
      <c r="M115" s="0" t="s">
        <v>88</v>
      </c>
      <c r="O115" s="0" t="s">
        <v>64</v>
      </c>
      <c r="P115" s="0" t="s">
        <v>75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P115" s="0" t="n">
        <v>6</v>
      </c>
      <c r="AQ115" s="0" t="n">
        <v>0</v>
      </c>
      <c r="AS115" s="4" t="n">
        <f aca="false">60*U115-SUM(AT115:AX115)</f>
        <v>40.3455555555555</v>
      </c>
      <c r="AT115" s="3" t="n">
        <f aca="false">1+20/60</f>
        <v>1.33333333333333</v>
      </c>
      <c r="AU115" s="3" t="n">
        <f aca="false">23+7/60</f>
        <v>23.1166666666667</v>
      </c>
      <c r="AV115" s="3" t="n">
        <f aca="false">16+33/60</f>
        <v>16.55</v>
      </c>
      <c r="AW115" s="3" t="n">
        <f aca="false">49+58/60</f>
        <v>49.9666666666667</v>
      </c>
      <c r="AX115" s="3" t="n">
        <f aca="false">(41+16/60)/60</f>
        <v>0.687777777777778</v>
      </c>
      <c r="AY115" s="0" t="s">
        <v>57</v>
      </c>
      <c r="AZ115" s="0" t="s">
        <v>58</v>
      </c>
      <c r="BA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59</v>
      </c>
      <c r="G116" s="2" t="n">
        <v>92</v>
      </c>
      <c r="H116" s="2" t="n">
        <v>56</v>
      </c>
      <c r="I116" s="2" t="n">
        <v>30</v>
      </c>
      <c r="J116" s="2" t="s">
        <v>97</v>
      </c>
      <c r="K116" s="2" t="n">
        <v>13</v>
      </c>
      <c r="L116" s="2" t="n">
        <v>22</v>
      </c>
      <c r="M116" s="0" t="s">
        <v>88</v>
      </c>
      <c r="O116" s="0" t="s">
        <v>55</v>
      </c>
      <c r="P116" s="0" t="s">
        <v>94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P116" s="0" t="n">
        <v>0</v>
      </c>
      <c r="AQ116" s="0" t="n">
        <v>0</v>
      </c>
      <c r="AS116" s="4" t="n">
        <f aca="false">60*U116-SUM(AT116:AX116)</f>
        <v>40.8833333333333</v>
      </c>
      <c r="AT116" s="3" t="n">
        <f aca="false">52+36/60</f>
        <v>52.6</v>
      </c>
      <c r="AU116" s="3" t="n">
        <f aca="false">15+57/60</f>
        <v>15.95</v>
      </c>
      <c r="AV116" s="3" t="n">
        <f aca="false">20+35/60</f>
        <v>20.5833333333333</v>
      </c>
      <c r="AW116" s="3" t="n">
        <f aca="false">59/60</f>
        <v>0.983333333333333</v>
      </c>
      <c r="AX116" s="3" t="n">
        <v>0</v>
      </c>
      <c r="AY116" s="0" t="s">
        <v>57</v>
      </c>
      <c r="AZ116" s="0" t="s">
        <v>58</v>
      </c>
      <c r="BA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59</v>
      </c>
      <c r="G117" s="2" t="n">
        <v>92</v>
      </c>
      <c r="H117" s="2" t="n">
        <v>57</v>
      </c>
      <c r="I117" s="2" t="n">
        <v>31</v>
      </c>
      <c r="J117" s="2" t="s">
        <v>98</v>
      </c>
      <c r="K117" s="2" t="n">
        <v>13</v>
      </c>
      <c r="L117" s="2" t="n">
        <v>18</v>
      </c>
      <c r="M117" s="0" t="s">
        <v>88</v>
      </c>
      <c r="O117" s="0" t="s">
        <v>64</v>
      </c>
      <c r="P117" s="0" t="s">
        <v>94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P117" s="0" t="n">
        <v>0</v>
      </c>
      <c r="AQ117" s="0" t="n">
        <v>0</v>
      </c>
      <c r="AS117" s="4" t="n">
        <f aca="false">60*U117-SUM(AT117:AX117)</f>
        <v>0.166666666666671</v>
      </c>
      <c r="AT117" s="3" t="n">
        <f aca="false">9+3/60</f>
        <v>9.05</v>
      </c>
      <c r="AU117" s="3" t="n">
        <f aca="false">62+3/60</f>
        <v>62.05</v>
      </c>
      <c r="AV117" s="3" t="n">
        <f aca="false">32+42/60</f>
        <v>32.7</v>
      </c>
      <c r="AW117" s="3" t="n">
        <f aca="false">5+2/60</f>
        <v>5.03333333333333</v>
      </c>
      <c r="AX117" s="3" t="n">
        <v>0</v>
      </c>
      <c r="AY117" s="0" t="s">
        <v>57</v>
      </c>
      <c r="AZ117" s="0" t="s">
        <v>58</v>
      </c>
      <c r="BA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59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97</v>
      </c>
      <c r="K118" s="2" t="n">
        <v>7</v>
      </c>
      <c r="L118" s="2" t="n">
        <v>0</v>
      </c>
      <c r="M118" s="0" t="s">
        <v>88</v>
      </c>
      <c r="O118" s="0" t="s">
        <v>55</v>
      </c>
      <c r="P118" s="0" t="s">
        <v>94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P118" s="0" t="n">
        <v>0</v>
      </c>
      <c r="AQ118" s="0" t="n">
        <v>1</v>
      </c>
      <c r="AS118" s="4" t="n">
        <f aca="false">60*U118-SUM(AT118:AX118)</f>
        <v>0</v>
      </c>
      <c r="AT118" s="3" t="n">
        <f aca="false">0+12/60</f>
        <v>0.2</v>
      </c>
      <c r="AU118" s="3" t="n">
        <f aca="false">5+24/60</f>
        <v>5.4</v>
      </c>
      <c r="AV118" s="3" t="n">
        <f aca="false">7+26/60</f>
        <v>7.43333333333333</v>
      </c>
      <c r="AW118" s="3" t="n">
        <f aca="false">87+58/60</f>
        <v>87.9666666666667</v>
      </c>
      <c r="AX118" s="3" t="n">
        <v>2</v>
      </c>
      <c r="AY118" s="0" t="s">
        <v>57</v>
      </c>
      <c r="AZ118" s="0" t="s">
        <v>58</v>
      </c>
      <c r="BA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59</v>
      </c>
      <c r="G119" s="2" t="n">
        <v>92</v>
      </c>
      <c r="H119" s="2" t="n">
        <v>63</v>
      </c>
      <c r="I119" s="2" t="n">
        <v>39</v>
      </c>
      <c r="J119" s="2" t="s">
        <v>99</v>
      </c>
      <c r="K119" s="2" t="n">
        <v>11</v>
      </c>
      <c r="L119" s="2" t="n">
        <v>0</v>
      </c>
      <c r="M119" s="0" t="s">
        <v>88</v>
      </c>
      <c r="O119" s="0" t="s">
        <v>64</v>
      </c>
      <c r="P119" s="0" t="s">
        <v>56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P119" s="0" t="n">
        <v>2</v>
      </c>
      <c r="AQ119" s="0" t="n">
        <v>0</v>
      </c>
      <c r="AS119" s="4" t="n">
        <v>0</v>
      </c>
      <c r="AT119" s="3" t="n">
        <v>0</v>
      </c>
      <c r="AU119" s="3" t="n">
        <f aca="false">1+26/60</f>
        <v>1.43333333333333</v>
      </c>
      <c r="AV119" s="3" t="n">
        <f aca="false">11+14/60</f>
        <v>11.2333333333333</v>
      </c>
      <c r="AW119" s="3" t="n">
        <f aca="false">37</f>
        <v>37</v>
      </c>
      <c r="AX119" s="3" t="n">
        <f aca="false">74+27/60</f>
        <v>74.45</v>
      </c>
      <c r="AY119" s="0" t="s">
        <v>57</v>
      </c>
      <c r="AZ119" s="0" t="s">
        <v>58</v>
      </c>
      <c r="BA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59</v>
      </c>
      <c r="G120" s="2" t="n">
        <v>93</v>
      </c>
      <c r="H120" s="2" t="n">
        <v>54</v>
      </c>
      <c r="I120" s="2" t="n">
        <v>28</v>
      </c>
      <c r="J120" s="2" t="s">
        <v>99</v>
      </c>
      <c r="K120" s="2" t="n">
        <v>17</v>
      </c>
      <c r="L120" s="2" t="n">
        <v>28</v>
      </c>
      <c r="M120" s="0" t="s">
        <v>88</v>
      </c>
      <c r="O120" s="0" t="s">
        <v>55</v>
      </c>
      <c r="P120" s="0" t="s">
        <v>56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P120" s="0" t="n">
        <v>3</v>
      </c>
      <c r="AQ120" s="0" t="n">
        <v>1</v>
      </c>
      <c r="AS120" s="4" t="n">
        <f aca="false">60*U120-SUM(AT120:AX120)</f>
        <v>-0.0999999999999943</v>
      </c>
      <c r="AT120" s="3" t="n">
        <v>0</v>
      </c>
      <c r="AU120" s="3" t="n">
        <f aca="false">11+9/60</f>
        <v>11.15</v>
      </c>
      <c r="AV120" s="3" t="n">
        <f aca="false">34+10/60</f>
        <v>34.1666666666667</v>
      </c>
      <c r="AW120" s="3" t="n">
        <f aca="false">78+24/60</f>
        <v>78.4</v>
      </c>
      <c r="AX120" s="3" t="n">
        <f aca="false">11+23/60</f>
        <v>11.3833333333333</v>
      </c>
      <c r="AY120" s="0" t="s">
        <v>57</v>
      </c>
      <c r="AZ120" s="0" t="s">
        <v>58</v>
      </c>
      <c r="BA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59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97</v>
      </c>
      <c r="K121" s="2" t="n">
        <v>14</v>
      </c>
      <c r="L121" s="2" t="n">
        <v>23</v>
      </c>
      <c r="M121" s="0" t="s">
        <v>88</v>
      </c>
      <c r="O121" s="0" t="s">
        <v>55</v>
      </c>
      <c r="P121" s="0" t="s">
        <v>56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P121" s="0" t="n">
        <v>2</v>
      </c>
      <c r="AQ121" s="0" t="n">
        <v>0</v>
      </c>
      <c r="AS121" s="4" t="n">
        <v>0</v>
      </c>
      <c r="AT121" s="3" t="n">
        <f aca="false">0.11/60</f>
        <v>0.00183333333333333</v>
      </c>
      <c r="AU121" s="3" t="n">
        <f aca="false">3+57/60</f>
        <v>3.95</v>
      </c>
      <c r="AV121" s="3" t="n">
        <v>25</v>
      </c>
      <c r="AW121" s="3" t="n">
        <f aca="false">71+42/60</f>
        <v>71.7</v>
      </c>
      <c r="AX121" s="3" t="n">
        <f aca="false">32+14/60</f>
        <v>32.2333333333333</v>
      </c>
      <c r="AY121" s="0" t="s">
        <v>57</v>
      </c>
      <c r="AZ121" s="0" t="s">
        <v>58</v>
      </c>
      <c r="BA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68</v>
      </c>
      <c r="F122" s="0" t="s">
        <v>59</v>
      </c>
      <c r="G122" s="2" t="n">
        <v>88</v>
      </c>
      <c r="H122" s="2" t="n">
        <v>68</v>
      </c>
      <c r="I122" s="2" t="n">
        <v>52</v>
      </c>
      <c r="J122" s="2" t="s">
        <v>100</v>
      </c>
      <c r="K122" s="2" t="n">
        <v>16</v>
      </c>
      <c r="L122" s="2" t="n">
        <v>0</v>
      </c>
      <c r="M122" s="0" t="s">
        <v>87</v>
      </c>
      <c r="AS122" s="4" t="n">
        <f aca="false">60*U122-SUM(AT122:AX122)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59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97</v>
      </c>
      <c r="K123" s="2" t="n">
        <f aca="false">AVERAGE(9,6)</f>
        <v>7.5</v>
      </c>
      <c r="L123" s="2" t="n">
        <v>0</v>
      </c>
      <c r="M123" s="0" t="s">
        <v>88</v>
      </c>
      <c r="O123" s="0" t="s">
        <v>55</v>
      </c>
      <c r="P123" s="0" t="s">
        <v>56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P123" s="0" t="n">
        <v>3</v>
      </c>
      <c r="AQ123" s="0" t="n">
        <v>3</v>
      </c>
      <c r="AS123" s="4" t="n">
        <f aca="false">60*U123-SUM(AT123:AX123)</f>
        <v>2.33333333333334</v>
      </c>
      <c r="AT123" s="3" t="n">
        <f aca="false">35+11/60</f>
        <v>35.1833333333333</v>
      </c>
      <c r="AU123" s="3" t="n">
        <f aca="false">86+30/60</f>
        <v>86.5</v>
      </c>
      <c r="AV123" s="3" t="n">
        <f aca="false">18+2/60</f>
        <v>18.0333333333333</v>
      </c>
      <c r="AW123" s="3" t="n">
        <f aca="false">57/60</f>
        <v>0.95</v>
      </c>
      <c r="AX123" s="3" t="n">
        <v>0</v>
      </c>
      <c r="AY123" s="0" t="s">
        <v>57</v>
      </c>
      <c r="AZ123" s="0" t="s">
        <v>58</v>
      </c>
      <c r="BA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59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101</v>
      </c>
      <c r="K124" s="2" t="n">
        <v>9</v>
      </c>
      <c r="L124" s="2" t="n">
        <v>0</v>
      </c>
      <c r="M124" s="0" t="s">
        <v>87</v>
      </c>
      <c r="O124" s="0" t="s">
        <v>55</v>
      </c>
      <c r="P124" s="0" t="s">
        <v>56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P124" s="0" t="n">
        <v>1</v>
      </c>
      <c r="AQ124" s="0" t="n">
        <v>0</v>
      </c>
      <c r="AS124" s="4" t="n">
        <f aca="false">60*U124-SUM(AT124:AX124)</f>
        <v>0.0500000000000043</v>
      </c>
      <c r="AT124" s="3" t="n">
        <v>0</v>
      </c>
      <c r="AU124" s="3" t="n">
        <f aca="false">6+55/60</f>
        <v>6.91666666666667</v>
      </c>
      <c r="AV124" s="3" t="n">
        <f aca="false">10.5</f>
        <v>10.5</v>
      </c>
      <c r="AW124" s="3" t="n">
        <f aca="false">40+15/60</f>
        <v>40.25</v>
      </c>
      <c r="AX124" s="3" t="n">
        <f aca="false">5+17/60</f>
        <v>5.28333333333333</v>
      </c>
      <c r="AY124" s="0" t="s">
        <v>57</v>
      </c>
      <c r="AZ124" s="0" t="s">
        <v>58</v>
      </c>
      <c r="BA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59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97</v>
      </c>
      <c r="K125" s="2" t="n">
        <f aca="false">AVERAGE(16,0,19)</f>
        <v>11.6666666666667</v>
      </c>
      <c r="L125" s="2" t="n">
        <f aca="false">AVERAGE(24,0,0)</f>
        <v>8</v>
      </c>
      <c r="M125" s="0" t="s">
        <v>87</v>
      </c>
      <c r="O125" s="0" t="s">
        <v>55</v>
      </c>
      <c r="P125" s="0" t="s">
        <v>56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P125" s="0" t="n">
        <v>2</v>
      </c>
      <c r="AQ125" s="0" t="n">
        <v>1</v>
      </c>
      <c r="AS125" s="4" t="n">
        <f aca="false">60*U125-SUM(AT125:AX125)</f>
        <v>0.0166666666666515</v>
      </c>
      <c r="AT125" s="3" t="n">
        <f aca="false">39+18/60</f>
        <v>39.3</v>
      </c>
      <c r="AU125" s="3" t="n">
        <f aca="false">86+17/60</f>
        <v>86.2833333333333</v>
      </c>
      <c r="AV125" s="3" t="n">
        <f aca="false">10+39/60</f>
        <v>10.65</v>
      </c>
      <c r="AW125" s="3" t="n">
        <f aca="false">0.75</f>
        <v>0.75</v>
      </c>
      <c r="AX125" s="3" t="n">
        <v>0</v>
      </c>
      <c r="AY125" s="0" t="s">
        <v>57</v>
      </c>
      <c r="AZ125" s="0" t="s">
        <v>58</v>
      </c>
      <c r="BA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77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101</v>
      </c>
      <c r="K126" s="2" t="n">
        <v>5</v>
      </c>
      <c r="L126" s="2" t="n">
        <v>0</v>
      </c>
      <c r="M126" s="0" t="s">
        <v>87</v>
      </c>
      <c r="O126" s="0" t="s">
        <v>55</v>
      </c>
      <c r="P126" s="0" t="s">
        <v>94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P126" s="0" t="n">
        <v>0</v>
      </c>
      <c r="AQ126" s="0" t="n">
        <v>1</v>
      </c>
      <c r="AS126" s="4" t="n">
        <v>0</v>
      </c>
      <c r="AT126" s="3" t="n">
        <f aca="false">5+27/60</f>
        <v>5.45</v>
      </c>
      <c r="AU126" s="3" t="n">
        <f aca="false">31+9/60</f>
        <v>31.15</v>
      </c>
      <c r="AV126" s="3" t="n">
        <f aca="false">47+1/60</f>
        <v>47.0166666666667</v>
      </c>
      <c r="AW126" s="3" t="n">
        <f aca="false">24+47/60</f>
        <v>24.7833333333333</v>
      </c>
      <c r="AX126" s="3" t="n">
        <f aca="false">16/60</f>
        <v>0.266666666666667</v>
      </c>
      <c r="AY126" s="0" t="s">
        <v>57</v>
      </c>
      <c r="AZ126" s="0" t="s">
        <v>58</v>
      </c>
      <c r="BA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59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102</v>
      </c>
      <c r="K127" s="2" t="n">
        <f aca="false">AVERAGE(12,9)</f>
        <v>10.5</v>
      </c>
      <c r="L127" s="2" t="n">
        <v>0</v>
      </c>
      <c r="M127" s="0" t="s">
        <v>87</v>
      </c>
      <c r="O127" s="0" t="s">
        <v>64</v>
      </c>
      <c r="P127" s="0" t="s">
        <v>56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P127" s="0" t="n">
        <v>2</v>
      </c>
      <c r="AQ127" s="0" t="n">
        <v>0</v>
      </c>
      <c r="AS127" s="4" t="n">
        <f aca="false">60*U127-SUM(AT127:AX127)</f>
        <v>60.1</v>
      </c>
      <c r="AT127" s="3" t="n">
        <f aca="false">41+7/60</f>
        <v>41.1166666666667</v>
      </c>
      <c r="AU127" s="3" t="n">
        <f aca="false">26+16/60</f>
        <v>26.2666666666667</v>
      </c>
      <c r="AV127" s="3" t="n">
        <f aca="false">20+31/60</f>
        <v>20.5166666666667</v>
      </c>
      <c r="AW127" s="3" t="n">
        <v>0</v>
      </c>
      <c r="AX127" s="3" t="n">
        <v>0</v>
      </c>
      <c r="AY127" s="0" t="s">
        <v>57</v>
      </c>
      <c r="AZ127" s="0" t="s">
        <v>58</v>
      </c>
      <c r="BA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59</v>
      </c>
      <c r="G128" s="2" t="n">
        <v>85</v>
      </c>
      <c r="H128" s="2" t="n">
        <v>70</v>
      </c>
      <c r="I128" s="2" t="n">
        <v>61</v>
      </c>
      <c r="J128" s="2" t="s">
        <v>103</v>
      </c>
      <c r="K128" s="2" t="n">
        <v>9</v>
      </c>
      <c r="L128" s="2" t="n">
        <v>0</v>
      </c>
      <c r="M128" s="0" t="s">
        <v>87</v>
      </c>
      <c r="O128" s="0" t="s">
        <v>55</v>
      </c>
      <c r="P128" s="0" t="s">
        <v>94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P128" s="0" t="n">
        <v>0</v>
      </c>
      <c r="AQ128" s="0" t="n">
        <v>1</v>
      </c>
      <c r="AS128" s="4" t="n">
        <v>0</v>
      </c>
      <c r="AT128" s="3" t="n">
        <v>0</v>
      </c>
      <c r="AU128" s="3" t="n">
        <f aca="false">15+31/60</f>
        <v>15.5166666666667</v>
      </c>
      <c r="AV128" s="3" t="n">
        <f aca="false">34+5/60</f>
        <v>34.0833333333333</v>
      </c>
      <c r="AW128" s="3" t="n">
        <f aca="false">55+49/60</f>
        <v>55.8166666666667</v>
      </c>
      <c r="AX128" s="3" t="n">
        <f aca="false">49/60</f>
        <v>0.816666666666667</v>
      </c>
      <c r="AY128" s="0" t="s">
        <v>57</v>
      </c>
      <c r="AZ128" s="0" t="s">
        <v>58</v>
      </c>
      <c r="BA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54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97</v>
      </c>
      <c r="K129" s="2" t="n">
        <v>15</v>
      </c>
      <c r="L129" s="2" t="n">
        <v>23</v>
      </c>
      <c r="M129" s="0" t="s">
        <v>87</v>
      </c>
      <c r="O129" s="0" t="s">
        <v>104</v>
      </c>
      <c r="P129" s="0" t="s">
        <v>105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P129" s="0" t="n">
        <v>2</v>
      </c>
      <c r="AQ129" s="0" t="n">
        <v>0</v>
      </c>
      <c r="AS129" s="4" t="n">
        <f aca="false">60*U129-SUM(AT129:AX129)</f>
        <v>40.8333333333333</v>
      </c>
      <c r="AT129" s="3" t="n">
        <f aca="false">60+3/60</f>
        <v>60.05</v>
      </c>
      <c r="AU129" s="3" t="n">
        <f aca="false">42+38/60</f>
        <v>42.6333333333333</v>
      </c>
      <c r="AV129" s="3" t="n">
        <f aca="false">3+29/60</f>
        <v>3.48333333333333</v>
      </c>
      <c r="AW129" s="3" t="n">
        <v>0</v>
      </c>
      <c r="AX129" s="3" t="n">
        <v>0</v>
      </c>
      <c r="AY129" s="0" t="s">
        <v>57</v>
      </c>
      <c r="AZ129" s="0" t="s">
        <v>58</v>
      </c>
      <c r="BA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8" t="s">
        <v>106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97</v>
      </c>
      <c r="K130" s="2" t="n">
        <v>14</v>
      </c>
      <c r="L130" s="2" t="n">
        <v>26</v>
      </c>
      <c r="M130" s="0" t="s">
        <v>87</v>
      </c>
      <c r="O130" s="0" t="s">
        <v>55</v>
      </c>
      <c r="P130" s="0" t="s">
        <v>94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P130" s="0" t="n">
        <v>1</v>
      </c>
      <c r="AQ130" s="0" t="n">
        <v>2</v>
      </c>
      <c r="AS130" s="4" t="n">
        <v>0</v>
      </c>
      <c r="AT130" s="3" t="n">
        <f aca="false">0+52/60</f>
        <v>0.866666666666667</v>
      </c>
      <c r="AU130" s="3" t="n">
        <f aca="false">36+30/60</f>
        <v>36.5</v>
      </c>
      <c r="AV130" s="3" t="n">
        <f aca="false">25+38/50</f>
        <v>25.76</v>
      </c>
      <c r="AW130" s="3" t="n">
        <f aca="false">35+22/60</f>
        <v>35.3666666666667</v>
      </c>
      <c r="AX130" s="3" t="n">
        <f aca="false">6+30/60</f>
        <v>6.5</v>
      </c>
      <c r="AY130" s="0" t="s">
        <v>57</v>
      </c>
      <c r="AZ130" s="0" t="s">
        <v>58</v>
      </c>
      <c r="BA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68</v>
      </c>
      <c r="F131" s="0" t="s">
        <v>77</v>
      </c>
      <c r="G131" s="2" t="n">
        <v>88</v>
      </c>
      <c r="H131" s="2" t="n">
        <v>72</v>
      </c>
      <c r="I131" s="2" t="n">
        <v>58</v>
      </c>
      <c r="J131" s="2" t="s">
        <v>97</v>
      </c>
      <c r="K131" s="2" t="n">
        <v>15</v>
      </c>
      <c r="L131" s="2" t="n">
        <v>33</v>
      </c>
      <c r="M131" s="0" t="s">
        <v>87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59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97</v>
      </c>
      <c r="K132" s="2" t="n">
        <f aca="false">AVERAGE(16,17)</f>
        <v>16.5</v>
      </c>
      <c r="L132" s="2" t="n">
        <f aca="false">AVERAGE(29,30)</f>
        <v>29.5</v>
      </c>
      <c r="M132" s="0" t="s">
        <v>87</v>
      </c>
      <c r="O132" s="0" t="s">
        <v>104</v>
      </c>
      <c r="P132" s="0" t="s">
        <v>94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4" t="n">
        <f aca="false">60*U132-SUM(AT132:AX132)</f>
        <v>0.75</v>
      </c>
      <c r="AT132" s="3" t="n">
        <f aca="false">42+15/60</f>
        <v>42.25</v>
      </c>
      <c r="AU132" s="3" t="n">
        <f aca="false">48+32/60</f>
        <v>48.5333333333333</v>
      </c>
      <c r="AV132" s="3" t="n">
        <f aca="false">15+22/60</f>
        <v>15.3666666666667</v>
      </c>
      <c r="AW132" s="3" t="n">
        <f aca="false">2+6/60</f>
        <v>2.1</v>
      </c>
      <c r="AX132" s="3" t="n">
        <v>0</v>
      </c>
      <c r="AY132" s="0" t="s">
        <v>57</v>
      </c>
      <c r="AZ132" s="0" t="s">
        <v>58</v>
      </c>
      <c r="BA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77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97</v>
      </c>
      <c r="K133" s="2" t="n">
        <f aca="false">AVERAGE(18,21)</f>
        <v>19.5</v>
      </c>
      <c r="L133" s="2" t="n">
        <v>20</v>
      </c>
      <c r="M133" s="0" t="s">
        <v>87</v>
      </c>
      <c r="O133" s="0" t="s">
        <v>104</v>
      </c>
      <c r="P133" s="0" t="s">
        <v>94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P133" s="0" t="n">
        <v>0</v>
      </c>
      <c r="AQ133" s="0" t="n">
        <v>1</v>
      </c>
      <c r="AR133" s="0" t="n">
        <v>1</v>
      </c>
      <c r="AS133" s="4" t="n">
        <f aca="false">60*U133-SUM(AT133:AX133)</f>
        <v>32.3</v>
      </c>
      <c r="AT133" s="3" t="n">
        <f aca="false">52+17/60</f>
        <v>52.2833333333333</v>
      </c>
      <c r="AU133" s="3" t="n">
        <f aca="false">18+48/60</f>
        <v>18.8</v>
      </c>
      <c r="AV133" s="3" t="n">
        <f aca="false">8+37/60</f>
        <v>8.61666666666667</v>
      </c>
      <c r="AW133" s="3" t="n">
        <v>0</v>
      </c>
      <c r="AX133" s="3" t="n">
        <v>0</v>
      </c>
      <c r="AY133" s="0" t="s">
        <v>57</v>
      </c>
      <c r="AZ133" s="0" t="s">
        <v>58</v>
      </c>
      <c r="BA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77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97</v>
      </c>
      <c r="K134" s="2" t="n">
        <f aca="false">AVERAGE(15,13,13)</f>
        <v>13.6666666666667</v>
      </c>
      <c r="L134" s="2" t="n">
        <v>25</v>
      </c>
      <c r="M134" s="0" t="s">
        <v>87</v>
      </c>
      <c r="O134" s="0" t="s">
        <v>55</v>
      </c>
      <c r="P134" s="0" t="s">
        <v>94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4" t="n">
        <f aca="false">60*U134-SUM(AT134:AX134)</f>
        <v>0.049999999999983</v>
      </c>
      <c r="AT134" s="3" t="n">
        <f aca="false">1+23/60</f>
        <v>1.38333333333333</v>
      </c>
      <c r="AU134" s="3" t="n">
        <f aca="false">22+44/60</f>
        <v>22.7333333333333</v>
      </c>
      <c r="AV134" s="3" t="n">
        <f aca="false">27+52/60</f>
        <v>27.8666666666667</v>
      </c>
      <c r="AW134" s="3" t="n">
        <f aca="false">57+46/60</f>
        <v>57.7666666666667</v>
      </c>
      <c r="AX134" s="3" t="n">
        <f aca="false">2+12/60</f>
        <v>2.2</v>
      </c>
      <c r="AY134" s="0" t="s">
        <v>57</v>
      </c>
      <c r="AZ134" s="0" t="s">
        <v>58</v>
      </c>
      <c r="BA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54</v>
      </c>
      <c r="G135" s="2" t="n">
        <v>92</v>
      </c>
      <c r="H135" s="2" t="n">
        <v>76</v>
      </c>
      <c r="I135" s="2" t="n">
        <v>59</v>
      </c>
      <c r="J135" s="2" t="s">
        <v>107</v>
      </c>
      <c r="K135" s="2" t="n">
        <v>10</v>
      </c>
      <c r="L135" s="2" t="n">
        <v>0</v>
      </c>
      <c r="M135" s="0" t="s">
        <v>87</v>
      </c>
      <c r="O135" s="0" t="s">
        <v>55</v>
      </c>
      <c r="P135" s="0" t="s">
        <v>94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P135" s="0" t="n">
        <v>0</v>
      </c>
      <c r="AQ135" s="0" t="n">
        <v>0</v>
      </c>
      <c r="AR135" s="0" t="n">
        <v>0</v>
      </c>
      <c r="AS135" s="4" t="n">
        <f aca="false">60*U135-SUM(AT135:AX135)</f>
        <v>26.7166666666667</v>
      </c>
      <c r="AT135" s="3" t="n">
        <f aca="false">13+23/60</f>
        <v>13.3833333333333</v>
      </c>
      <c r="AU135" s="3" t="n">
        <f aca="false">23+15/60</f>
        <v>23.25</v>
      </c>
      <c r="AV135" s="3" t="n">
        <f aca="false">39/60</f>
        <v>0.65</v>
      </c>
      <c r="AW135" s="3" t="n">
        <v>0</v>
      </c>
      <c r="AX135" s="3" t="n">
        <v>0</v>
      </c>
      <c r="AY135" s="0" t="s">
        <v>57</v>
      </c>
      <c r="AZ135" s="0" t="s">
        <v>58</v>
      </c>
      <c r="BA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59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99</v>
      </c>
      <c r="K136" s="2" t="n">
        <v>3</v>
      </c>
      <c r="L136" s="2" t="n">
        <v>0</v>
      </c>
      <c r="M136" s="0" t="s">
        <v>87</v>
      </c>
      <c r="O136" s="0" t="s">
        <v>104</v>
      </c>
      <c r="P136" s="0" t="s">
        <v>105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4" t="n">
        <f aca="false">60*U136-SUM(AT136:AX136)</f>
        <v>38.9833333333333</v>
      </c>
      <c r="AT136" s="3" t="n">
        <f aca="false">16+9/60</f>
        <v>16.15</v>
      </c>
      <c r="AU136" s="3" t="n">
        <f aca="false">39+14/60</f>
        <v>39.2333333333333</v>
      </c>
      <c r="AV136" s="3" t="n">
        <f aca="false">27+38/60</f>
        <v>27.6333333333333</v>
      </c>
      <c r="AW136" s="3" t="n">
        <v>0</v>
      </c>
      <c r="AX136" s="3" t="n">
        <v>0</v>
      </c>
      <c r="AY136" s="0" t="s">
        <v>57</v>
      </c>
      <c r="AZ136" s="0" t="s">
        <v>58</v>
      </c>
      <c r="BA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59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97</v>
      </c>
      <c r="K137" s="2" t="n">
        <f aca="false">AVERAGE(5,6)</f>
        <v>5.5</v>
      </c>
      <c r="L137" s="2" t="n">
        <v>0</v>
      </c>
      <c r="M137" s="0" t="s">
        <v>87</v>
      </c>
      <c r="O137" s="0" t="s">
        <v>55</v>
      </c>
      <c r="P137" s="0" t="s">
        <v>94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P137" s="0" t="n">
        <v>0</v>
      </c>
      <c r="AQ137" s="0" t="n">
        <v>1</v>
      </c>
      <c r="AS137" s="4" t="n">
        <f aca="false">60*U137-SUM(AT137:AX137)</f>
        <v>0.216666666666669</v>
      </c>
      <c r="AT137" s="3" t="n">
        <f aca="false">2/60</f>
        <v>0.0333333333333333</v>
      </c>
      <c r="AU137" s="3" t="n">
        <f aca="false">2</f>
        <v>2</v>
      </c>
      <c r="AV137" s="3" t="n">
        <f aca="false">8+43/60</f>
        <v>8.71666666666667</v>
      </c>
      <c r="AW137" s="3" t="n">
        <f aca="false">51+31/60</f>
        <v>51.5166666666667</v>
      </c>
      <c r="AX137" s="3" t="n">
        <f aca="false">24+31/60</f>
        <v>24.5166666666667</v>
      </c>
      <c r="AY137" s="0" t="s">
        <v>57</v>
      </c>
      <c r="AZ137" s="0" t="s">
        <v>58</v>
      </c>
      <c r="BA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59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102</v>
      </c>
      <c r="K138" s="2" t="n">
        <v>5</v>
      </c>
      <c r="L138" s="2" t="n">
        <v>0</v>
      </c>
      <c r="M138" s="0" t="s">
        <v>87</v>
      </c>
      <c r="O138" s="0" t="s">
        <v>104</v>
      </c>
      <c r="P138" s="0" t="s">
        <v>105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4" t="n">
        <f aca="false">60*U138-SUM(AT138:AX138)</f>
        <v>6</v>
      </c>
      <c r="AT138" s="3" t="n">
        <f aca="false">38+56/60</f>
        <v>38.9333333333333</v>
      </c>
      <c r="AU138" s="3" t="n">
        <f aca="false">46+46/60</f>
        <v>46.7666666666667</v>
      </c>
      <c r="AV138" s="3" t="n">
        <f aca="false">18+40/60</f>
        <v>18.6666666666667</v>
      </c>
      <c r="AW138" s="3" t="n">
        <f aca="false">18+38/60</f>
        <v>18.6333333333333</v>
      </c>
      <c r="AX138" s="3" t="n">
        <v>0</v>
      </c>
      <c r="AY138" s="0" t="s">
        <v>57</v>
      </c>
      <c r="AZ138" s="0" t="s">
        <v>58</v>
      </c>
      <c r="BA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77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100</v>
      </c>
      <c r="K139" s="2" t="n">
        <v>0</v>
      </c>
      <c r="L139" s="2" t="n">
        <v>0</v>
      </c>
      <c r="M139" s="0" t="s">
        <v>87</v>
      </c>
      <c r="O139" s="0" t="s">
        <v>55</v>
      </c>
      <c r="P139" s="0" t="s">
        <v>105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P139" s="0" t="n">
        <v>1</v>
      </c>
      <c r="AQ139" s="0" t="n">
        <v>3</v>
      </c>
      <c r="AR139" s="0" t="n">
        <v>0</v>
      </c>
      <c r="AS139" s="4" t="n">
        <f aca="false">60*U139-SUM(AT139:AX139)</f>
        <v>6.95</v>
      </c>
      <c r="AT139" s="3" t="n">
        <f aca="false">68+50/60</f>
        <v>68.8333333333333</v>
      </c>
      <c r="AU139" s="3" t="n">
        <f aca="false">29+24/60</f>
        <v>29.4</v>
      </c>
      <c r="AV139" s="3" t="n">
        <f aca="false">11</f>
        <v>11</v>
      </c>
      <c r="AW139" s="3" t="n">
        <f aca="false">4+49/60</f>
        <v>4.81666666666667</v>
      </c>
      <c r="AX139" s="3" t="n">
        <v>0</v>
      </c>
      <c r="AY139" s="0" t="s">
        <v>57</v>
      </c>
      <c r="AZ139" s="0" t="s">
        <v>58</v>
      </c>
      <c r="BA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77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100</v>
      </c>
      <c r="K140" s="2" t="n">
        <v>0</v>
      </c>
      <c r="L140" s="2" t="n">
        <v>0</v>
      </c>
      <c r="M140" s="0" t="s">
        <v>87</v>
      </c>
      <c r="O140" s="0" t="s">
        <v>104</v>
      </c>
      <c r="P140" s="0" t="s">
        <v>105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P140" s="0" t="n">
        <v>1</v>
      </c>
      <c r="AQ140" s="0" t="n">
        <v>3</v>
      </c>
      <c r="AR140" s="0" t="n">
        <v>1</v>
      </c>
      <c r="AS140" s="4" t="n">
        <f aca="false">60*U140-SUM(AT140:AX140)</f>
        <v>6.95</v>
      </c>
      <c r="AT140" s="3" t="n">
        <f aca="false">68+50/60</f>
        <v>68.8333333333333</v>
      </c>
      <c r="AU140" s="3" t="n">
        <f aca="false">29+24/60</f>
        <v>29.4</v>
      </c>
      <c r="AV140" s="3" t="n">
        <f aca="false">11</f>
        <v>11</v>
      </c>
      <c r="AW140" s="3" t="n">
        <f aca="false">4+49/60</f>
        <v>4.81666666666667</v>
      </c>
      <c r="AX140" s="3" t="n">
        <v>0</v>
      </c>
      <c r="AY140" s="0" t="s">
        <v>57</v>
      </c>
      <c r="AZ140" s="0" t="s">
        <v>58</v>
      </c>
      <c r="BA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108</v>
      </c>
      <c r="F141" s="0" t="s">
        <v>54</v>
      </c>
      <c r="G141" s="2" t="n">
        <v>79</v>
      </c>
      <c r="H141" s="2" t="n">
        <v>75</v>
      </c>
      <c r="I141" s="2" t="n">
        <v>88</v>
      </c>
      <c r="J141" s="2" t="s">
        <v>100</v>
      </c>
      <c r="K141" s="2" t="n">
        <v>10</v>
      </c>
      <c r="L141" s="2" t="n">
        <v>0</v>
      </c>
      <c r="M141" s="0" t="s">
        <v>87</v>
      </c>
      <c r="P141" s="0" t="s">
        <v>94</v>
      </c>
      <c r="AY141" s="0" t="s">
        <v>57</v>
      </c>
      <c r="AZ141" s="0" t="s">
        <v>58</v>
      </c>
      <c r="BA141" s="0" t="n">
        <v>1</v>
      </c>
      <c r="BB141" s="0" t="s">
        <v>79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77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99</v>
      </c>
      <c r="K142" s="2" t="n">
        <v>15</v>
      </c>
      <c r="L142" s="2" t="n">
        <v>0</v>
      </c>
      <c r="M142" s="0" t="s">
        <v>87</v>
      </c>
      <c r="O142" s="0" t="s">
        <v>104</v>
      </c>
      <c r="P142" s="0" t="s">
        <v>105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4" t="n">
        <f aca="false">60*U142-SUM(AT142:AX142)</f>
        <v>30.3333333333333</v>
      </c>
      <c r="AT142" s="3" t="n">
        <f aca="false">60+41/60</f>
        <v>60.6833333333333</v>
      </c>
      <c r="AU142" s="3" t="n">
        <f aca="false">22+43/60</f>
        <v>22.7166666666667</v>
      </c>
      <c r="AV142" s="3" t="n">
        <f aca="false">5</f>
        <v>5</v>
      </c>
      <c r="AW142" s="3" t="n">
        <v>0.266666666666667</v>
      </c>
      <c r="AX142" s="3" t="n">
        <v>0</v>
      </c>
      <c r="AY142" s="0" t="s">
        <v>57</v>
      </c>
      <c r="AZ142" s="0" t="s">
        <v>58</v>
      </c>
      <c r="BA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59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97</v>
      </c>
      <c r="K143" s="2" t="n">
        <f aca="false">AVERAGE(14,13,9)</f>
        <v>12</v>
      </c>
      <c r="L143" s="2" t="n">
        <v>24</v>
      </c>
      <c r="M143" s="0" t="s">
        <v>87</v>
      </c>
      <c r="O143" s="0" t="s">
        <v>55</v>
      </c>
      <c r="P143" s="0" t="s">
        <v>105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4" t="n">
        <f aca="false">60*U143-SUM(AT143:AX143)</f>
        <v>5.06666666666666</v>
      </c>
      <c r="AT143" s="3" t="n">
        <f aca="false">60+47/60</f>
        <v>60.7833333333333</v>
      </c>
      <c r="AU143" s="3" t="n">
        <f aca="false">37+38/60</f>
        <v>37.6333333333333</v>
      </c>
      <c r="AV143" s="3" t="n">
        <f aca="false">11+6/60</f>
        <v>11.1</v>
      </c>
      <c r="AW143" s="3" t="n">
        <f aca="false">5+11/60</f>
        <v>5.18333333333333</v>
      </c>
      <c r="AX143" s="3" t="n">
        <f aca="false">14/60</f>
        <v>0.233333333333333</v>
      </c>
      <c r="AY143" s="0" t="s">
        <v>57</v>
      </c>
      <c r="AZ143" s="0" t="s">
        <v>58</v>
      </c>
      <c r="BA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78</v>
      </c>
      <c r="G144" s="2" t="n">
        <v>91</v>
      </c>
      <c r="H144" s="2" t="n">
        <v>76</v>
      </c>
      <c r="I144" s="2" t="n">
        <f aca="false">(65+59)/2</f>
        <v>62</v>
      </c>
      <c r="J144" s="9" t="s">
        <v>109</v>
      </c>
      <c r="K144" s="2" t="n">
        <v>8</v>
      </c>
      <c r="L144" s="2" t="n">
        <v>0</v>
      </c>
      <c r="M144" s="0" t="s">
        <v>87</v>
      </c>
      <c r="O144" s="0" t="s">
        <v>104</v>
      </c>
      <c r="P144" s="0" t="s">
        <v>94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4" t="n">
        <f aca="false">60*U144-SUM(AT144:AX144)</f>
        <v>1.86666666666667</v>
      </c>
      <c r="AT144" s="3" t="n">
        <f aca="false">23+6/60</f>
        <v>23.1</v>
      </c>
      <c r="AU144" s="3" t="n">
        <f aca="false">57+40/60</f>
        <v>57.6666666666667</v>
      </c>
      <c r="AV144" s="3" t="n">
        <f aca="false">8+22/60</f>
        <v>8.36666666666667</v>
      </c>
      <c r="AW144" s="3" t="n">
        <v>0</v>
      </c>
      <c r="AX144" s="3" t="n">
        <v>0</v>
      </c>
      <c r="AY144" s="0" t="s">
        <v>57</v>
      </c>
      <c r="AZ144" s="0" t="s">
        <v>58</v>
      </c>
      <c r="BA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59</v>
      </c>
      <c r="G145" s="2" t="n">
        <v>94</v>
      </c>
      <c r="H145" s="2" t="n">
        <v>78</v>
      </c>
      <c r="I145" s="2" t="n">
        <f aca="false">(68+72)/2</f>
        <v>70</v>
      </c>
      <c r="J145" s="2" t="s">
        <v>110</v>
      </c>
      <c r="K145" s="2" t="n">
        <f aca="false">(7+13)/2</f>
        <v>10</v>
      </c>
      <c r="L145" s="2" t="n">
        <v>0</v>
      </c>
      <c r="M145" s="0" t="s">
        <v>87</v>
      </c>
      <c r="O145" s="0" t="s">
        <v>55</v>
      </c>
      <c r="P145" s="0" t="s">
        <v>105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4" t="n">
        <v>0</v>
      </c>
      <c r="AT145" s="3" t="n">
        <f aca="false">2+43/60</f>
        <v>2.71666666666667</v>
      </c>
      <c r="AU145" s="3" t="n">
        <f aca="false">58+40/60</f>
        <v>58.6666666666667</v>
      </c>
      <c r="AV145" s="3" t="n">
        <f aca="false">39+58/60</f>
        <v>39.9666666666667</v>
      </c>
      <c r="AW145" s="3" t="n">
        <f aca="false">27+33/70</f>
        <v>27.4714285714286</v>
      </c>
      <c r="AX145" s="3" t="n">
        <f aca="false">28/60</f>
        <v>0.466666666666667</v>
      </c>
      <c r="AY145" s="0" t="s">
        <v>57</v>
      </c>
      <c r="AZ145" s="0" t="s">
        <v>58</v>
      </c>
      <c r="BA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78</v>
      </c>
      <c r="G146" s="2" t="n">
        <v>96</v>
      </c>
      <c r="H146" s="2" t="n">
        <v>71</v>
      </c>
      <c r="I146" s="2" t="n">
        <v>42</v>
      </c>
      <c r="J146" s="2" t="s">
        <v>111</v>
      </c>
      <c r="K146" s="2" t="n">
        <v>13</v>
      </c>
      <c r="L146" s="2" t="n">
        <v>17</v>
      </c>
      <c r="M146" s="0" t="s">
        <v>87</v>
      </c>
      <c r="O146" s="0" t="s">
        <v>104</v>
      </c>
      <c r="P146" s="0" t="s">
        <v>94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4" t="n">
        <v>0</v>
      </c>
      <c r="AT146" s="3" t="n">
        <v>0</v>
      </c>
      <c r="AU146" s="3" t="n">
        <f aca="false">5+42/60</f>
        <v>5.7</v>
      </c>
      <c r="AV146" s="3" t="n">
        <f aca="false">12+38/60</f>
        <v>12.6333333333333</v>
      </c>
      <c r="AW146" s="3" t="n">
        <f aca="false">76+36/60</f>
        <v>76.6</v>
      </c>
      <c r="AX146" s="3" t="n">
        <f aca="false">33/60</f>
        <v>0.55</v>
      </c>
      <c r="AY146" s="0" t="s">
        <v>57</v>
      </c>
      <c r="AZ146" s="0" t="s">
        <v>58</v>
      </c>
      <c r="BA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78</v>
      </c>
      <c r="G147" s="2" t="n">
        <f aca="false">(96+99)/2</f>
        <v>97.5</v>
      </c>
      <c r="H147" s="2" t="n">
        <v>73</v>
      </c>
      <c r="I147" s="2" t="n">
        <v>42</v>
      </c>
      <c r="J147" s="2" t="s">
        <v>97</v>
      </c>
      <c r="K147" s="2" t="n">
        <v>15</v>
      </c>
      <c r="L147" s="2" t="n">
        <v>25</v>
      </c>
      <c r="M147" s="0" t="s">
        <v>87</v>
      </c>
      <c r="O147" s="0" t="s">
        <v>55</v>
      </c>
      <c r="P147" s="0" t="s">
        <v>105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4" t="n">
        <v>0</v>
      </c>
      <c r="AT147" s="3" t="n">
        <f aca="false">18+8/60</f>
        <v>18.1333333333333</v>
      </c>
      <c r="AU147" s="3" t="n">
        <f aca="false">25+21/60</f>
        <v>25.35</v>
      </c>
      <c r="AV147" s="3" t="n">
        <f aca="false">50+58/60</f>
        <v>50.9666666666667</v>
      </c>
      <c r="AW147" s="3" t="n">
        <f aca="false">36+49/60</f>
        <v>36.8166666666667</v>
      </c>
      <c r="AX147" s="3" t="n">
        <f aca="false">7/60</f>
        <v>0.116666666666667</v>
      </c>
      <c r="AY147" s="0" t="s">
        <v>57</v>
      </c>
      <c r="AZ147" s="0" t="s">
        <v>58</v>
      </c>
      <c r="BA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78</v>
      </c>
      <c r="G148" s="2" t="n">
        <v>94</v>
      </c>
      <c r="H148" s="2" t="n">
        <v>72</v>
      </c>
      <c r="I148" s="2" t="n">
        <v>50</v>
      </c>
      <c r="J148" s="2" t="s">
        <v>97</v>
      </c>
      <c r="K148" s="2" t="n">
        <v>16</v>
      </c>
      <c r="L148" s="2" t="n">
        <v>0</v>
      </c>
      <c r="M148" s="0" t="s">
        <v>87</v>
      </c>
      <c r="O148" s="0" t="s">
        <v>104</v>
      </c>
      <c r="P148" s="0" t="s">
        <v>105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4" t="n">
        <f aca="false">60*U148-SUM(AT148:AX148)</f>
        <v>4.38333333333333</v>
      </c>
      <c r="AT148" s="3" t="n">
        <f aca="false">47+44/60</f>
        <v>47.7333333333333</v>
      </c>
      <c r="AU148" s="3" t="n">
        <f aca="false">58+55/60</f>
        <v>58.9166666666667</v>
      </c>
      <c r="AV148" s="3" t="n">
        <f aca="false">20+58/60</f>
        <v>20.9666666666667</v>
      </c>
      <c r="AW148" s="3" t="n">
        <f aca="false">1+46/60</f>
        <v>1.76666666666667</v>
      </c>
      <c r="AX148" s="3" t="n">
        <f aca="false">14/60</f>
        <v>0.233333333333333</v>
      </c>
      <c r="AY148" s="0" t="s">
        <v>57</v>
      </c>
      <c r="AZ148" s="0" t="s">
        <v>58</v>
      </c>
      <c r="BA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77</v>
      </c>
      <c r="G149" s="2" t="n">
        <v>92</v>
      </c>
      <c r="H149" s="2" t="n">
        <v>71</v>
      </c>
      <c r="I149" s="2" t="n">
        <v>52</v>
      </c>
      <c r="J149" s="2" t="s">
        <v>97</v>
      </c>
      <c r="K149" s="2" t="n">
        <v>16</v>
      </c>
      <c r="L149" s="2" t="n">
        <v>0</v>
      </c>
      <c r="M149" s="0" t="s">
        <v>87</v>
      </c>
      <c r="O149" s="0" t="s">
        <v>55</v>
      </c>
      <c r="P149" s="0" t="s">
        <v>105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4" t="n">
        <f aca="false">60*U149-SUM(AT149:AX149)</f>
        <v>25.7</v>
      </c>
      <c r="AT149" s="3" t="n">
        <f aca="false">25+30/60</f>
        <v>25.5</v>
      </c>
      <c r="AU149" s="3" t="n">
        <f aca="false">44+51/60</f>
        <v>44.85</v>
      </c>
      <c r="AV149" s="3" t="n">
        <f aca="false">41+15/60</f>
        <v>41.25</v>
      </c>
      <c r="AW149" s="3" t="n">
        <f aca="false">42/60</f>
        <v>0.7</v>
      </c>
      <c r="AX149" s="3" t="n">
        <v>0</v>
      </c>
      <c r="AY149" s="0" t="s">
        <v>57</v>
      </c>
      <c r="AZ149" s="0" t="s">
        <v>58</v>
      </c>
      <c r="BA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59</v>
      </c>
      <c r="G150" s="2" t="n">
        <v>94</v>
      </c>
      <c r="H150" s="2" t="n">
        <v>73</v>
      </c>
      <c r="I150" s="2" t="n">
        <f aca="false">(52+49)/2</f>
        <v>50.5</v>
      </c>
      <c r="J150" s="2" t="s">
        <v>97</v>
      </c>
      <c r="K150" s="2" t="n">
        <f aca="false">AVERAGE(9+6)/2</f>
        <v>7.5</v>
      </c>
      <c r="L150" s="2" t="n">
        <v>27</v>
      </c>
      <c r="M150" s="0" t="s">
        <v>87</v>
      </c>
      <c r="O150" s="0" t="s">
        <v>104</v>
      </c>
      <c r="P150" s="0" t="s">
        <v>105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4" t="n">
        <f aca="false">60*U150-SUM(AT150:AX150)</f>
        <v>20.3333333333333</v>
      </c>
      <c r="AT150" s="3" t="n">
        <f aca="false">17+55/60</f>
        <v>17.9166666666667</v>
      </c>
      <c r="AU150" s="3" t="n">
        <f aca="false">30+46/60</f>
        <v>30.7666666666667</v>
      </c>
      <c r="AV150" s="3" t="n">
        <f aca="false">37+47/60</f>
        <v>37.7833333333333</v>
      </c>
      <c r="AW150" s="3" t="n">
        <f aca="false">18+33/60</f>
        <v>18.55</v>
      </c>
      <c r="AX150" s="3" t="n">
        <f aca="false">1+39/60</f>
        <v>1.65</v>
      </c>
      <c r="AY150" s="0" t="s">
        <v>57</v>
      </c>
      <c r="AZ150" s="0" t="s">
        <v>58</v>
      </c>
      <c r="BA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78</v>
      </c>
      <c r="G151" s="2" t="n">
        <v>95</v>
      </c>
      <c r="H151" s="2" t="n">
        <v>74</v>
      </c>
      <c r="I151" s="2" t="n">
        <f aca="false">(52+49)/2</f>
        <v>50.5</v>
      </c>
      <c r="J151" s="2" t="s">
        <v>103</v>
      </c>
      <c r="K151" s="2" t="n">
        <v>8</v>
      </c>
      <c r="L151" s="2" t="n">
        <v>0</v>
      </c>
      <c r="M151" s="0" t="s">
        <v>87</v>
      </c>
      <c r="O151" s="0" t="s">
        <v>55</v>
      </c>
      <c r="P151" s="0" t="s">
        <v>105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4" t="n">
        <f aca="false">60*U151-SUM(AT151:AX151)</f>
        <v>20.5</v>
      </c>
      <c r="AT151" s="3" t="n">
        <f aca="false">29+5/60</f>
        <v>29.0833333333333</v>
      </c>
      <c r="AU151" s="3" t="n">
        <f aca="false">53+23/60</f>
        <v>53.3833333333333</v>
      </c>
      <c r="AV151" s="3" t="n">
        <f aca="false">36+51/60</f>
        <v>36.85</v>
      </c>
      <c r="AW151" s="3" t="n">
        <f aca="false">11/60</f>
        <v>0.183333333333333</v>
      </c>
      <c r="AX151" s="3" t="n">
        <v>0</v>
      </c>
      <c r="AY151" s="0" t="s">
        <v>57</v>
      </c>
      <c r="AZ151" s="0" t="s">
        <v>58</v>
      </c>
      <c r="BA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59</v>
      </c>
      <c r="G152" s="2" t="n">
        <v>90</v>
      </c>
      <c r="H152" s="2" t="n">
        <v>53</v>
      </c>
      <c r="I152" s="2" t="n">
        <f aca="false">(59+53)/2</f>
        <v>56</v>
      </c>
      <c r="J152" s="2" t="s">
        <v>97</v>
      </c>
      <c r="K152" s="2" t="n">
        <v>9</v>
      </c>
      <c r="L152" s="2" t="n">
        <v>20</v>
      </c>
      <c r="M152" s="0" t="s">
        <v>87</v>
      </c>
      <c r="O152" s="0" t="s">
        <v>104</v>
      </c>
      <c r="P152" s="0" t="s">
        <v>94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4" t="n">
        <f aca="false">60*U152-SUM(AT152:AX152)</f>
        <v>46.9166666666667</v>
      </c>
      <c r="AT152" s="3" t="n">
        <f aca="false">48+35/60</f>
        <v>48.5833333333333</v>
      </c>
      <c r="AU152" s="3" t="n">
        <f aca="false">11+28/60</f>
        <v>11.4666666666667</v>
      </c>
      <c r="AV152" s="3" t="n">
        <f aca="false">2/60</f>
        <v>0.0333333333333333</v>
      </c>
      <c r="AW152" s="3" t="n">
        <v>0</v>
      </c>
      <c r="AX152" s="3" t="n">
        <v>0</v>
      </c>
      <c r="AY152" s="0" t="s">
        <v>57</v>
      </c>
      <c r="AZ152" s="0" t="s">
        <v>58</v>
      </c>
      <c r="BA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78</v>
      </c>
      <c r="G153" s="2" t="n">
        <v>91</v>
      </c>
      <c r="H153" s="2" t="n">
        <v>71</v>
      </c>
      <c r="I153" s="2" t="n">
        <v>51</v>
      </c>
      <c r="J153" s="2" t="s">
        <v>97</v>
      </c>
      <c r="K153" s="2" t="n">
        <v>9</v>
      </c>
      <c r="L153" s="2" t="n">
        <v>16</v>
      </c>
      <c r="M153" s="0" t="s">
        <v>87</v>
      </c>
      <c r="O153" s="0" t="s">
        <v>55</v>
      </c>
      <c r="P153" s="0" t="s">
        <v>94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4" t="n">
        <f aca="false">60*U153-SUM(AT153:AX153)</f>
        <v>26.0166666666667</v>
      </c>
      <c r="AT153" s="3" t="n">
        <f aca="false">54+54/60</f>
        <v>54.9</v>
      </c>
      <c r="AU153" s="3" t="n">
        <f aca="false">23+9/60</f>
        <v>23.15</v>
      </c>
      <c r="AV153" s="3" t="n">
        <f aca="false">56/60</f>
        <v>0.933333333333333</v>
      </c>
      <c r="AW153" s="3" t="n">
        <v>0</v>
      </c>
      <c r="AX153" s="3" t="n">
        <v>0</v>
      </c>
      <c r="AY153" s="0" t="s">
        <v>57</v>
      </c>
      <c r="AZ153" s="0" t="s">
        <v>58</v>
      </c>
      <c r="BA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78</v>
      </c>
      <c r="G154" s="2" t="n">
        <v>92</v>
      </c>
      <c r="H154" s="2" t="n">
        <v>72</v>
      </c>
      <c r="I154" s="2" t="n">
        <v>53</v>
      </c>
      <c r="J154" s="2" t="s">
        <v>97</v>
      </c>
      <c r="K154" s="2" t="n">
        <v>7</v>
      </c>
      <c r="L154" s="2" t="n">
        <v>0</v>
      </c>
      <c r="M154" s="0" t="s">
        <v>87</v>
      </c>
      <c r="O154" s="0" t="s">
        <v>104</v>
      </c>
      <c r="P154" s="0" t="s">
        <v>105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4" t="n">
        <f aca="false">60*U154-SUM(AT154:AX154)</f>
        <v>9.83333333333331</v>
      </c>
      <c r="AT154" s="3" t="n">
        <f aca="false">43+3/60</f>
        <v>43.05</v>
      </c>
      <c r="AU154" s="3" t="n">
        <f aca="false">78+29/60</f>
        <v>78.4833333333333</v>
      </c>
      <c r="AV154" s="3" t="n">
        <f aca="false">7++38/60</f>
        <v>7.63333333333333</v>
      </c>
      <c r="AW154" s="3" t="n">
        <v>0</v>
      </c>
      <c r="AX154" s="3" t="n">
        <v>0</v>
      </c>
      <c r="AY154" s="0" t="s">
        <v>57</v>
      </c>
      <c r="AZ154" s="0" t="s">
        <v>58</v>
      </c>
      <c r="BA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77</v>
      </c>
      <c r="G155" s="2" t="n">
        <v>87</v>
      </c>
      <c r="H155" s="2" t="n">
        <v>73</v>
      </c>
      <c r="I155" s="2" t="n">
        <f aca="false">(72+65)/2</f>
        <v>68.5</v>
      </c>
      <c r="J155" s="2" t="s">
        <v>100</v>
      </c>
      <c r="K155" s="2" t="n">
        <v>7</v>
      </c>
      <c r="L155" s="2" t="n">
        <v>0</v>
      </c>
      <c r="M155" s="0" t="s">
        <v>87</v>
      </c>
      <c r="O155" s="0" t="s">
        <v>55</v>
      </c>
      <c r="P155" s="0" t="s">
        <v>105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4" t="n">
        <f aca="false">60*U155-SUM(AT155:AX155)</f>
        <v>0.650000000000006</v>
      </c>
      <c r="AT155" s="3" t="n">
        <f aca="false">15+29/60</f>
        <v>15.4833333333333</v>
      </c>
      <c r="AU155" s="3" t="n">
        <f aca="false">79+10/60</f>
        <v>79.1666666666667</v>
      </c>
      <c r="AV155" s="3" t="n">
        <f aca="false">31+52/60</f>
        <v>31.8666666666667</v>
      </c>
      <c r="AW155" s="3" t="n">
        <f aca="false">6+50/60</f>
        <v>6.83333333333333</v>
      </c>
      <c r="AX155" s="3" t="n">
        <v>0</v>
      </c>
      <c r="AY155" s="0" t="s">
        <v>57</v>
      </c>
      <c r="AZ155" s="0" t="s">
        <v>58</v>
      </c>
      <c r="BA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10" t="s">
        <v>69</v>
      </c>
      <c r="F156" s="0" t="s">
        <v>78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9" t="s">
        <v>112</v>
      </c>
      <c r="K156" s="2" t="n">
        <v>7</v>
      </c>
      <c r="L156" s="2" t="n">
        <v>0</v>
      </c>
      <c r="M156" s="0" t="s">
        <v>87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113</v>
      </c>
      <c r="F157" s="0" t="s">
        <v>77</v>
      </c>
      <c r="G157" s="2" t="n">
        <v>92</v>
      </c>
      <c r="H157" s="2" t="n">
        <v>75</v>
      </c>
      <c r="I157" s="2" t="n">
        <v>57</v>
      </c>
      <c r="J157" s="2" t="s">
        <v>99</v>
      </c>
      <c r="K157" s="2" t="n">
        <v>6</v>
      </c>
      <c r="L157" s="2" t="n">
        <v>0</v>
      </c>
      <c r="M157" s="0" t="s">
        <v>87</v>
      </c>
    </row>
    <row r="158" customFormat="false" ht="12.8" hidden="false" customHeight="false" outlineLevel="0" collapsed="false">
      <c r="A158" s="11" t="n">
        <f aca="false">A157+1</f>
        <v>690</v>
      </c>
      <c r="B158" s="1" t="n">
        <v>44036.4951388889</v>
      </c>
      <c r="C158" s="0" t="n">
        <v>0</v>
      </c>
      <c r="D158" s="0" t="s">
        <v>113</v>
      </c>
      <c r="F158" s="0" t="s">
        <v>77</v>
      </c>
      <c r="G158" s="2" t="n">
        <v>93</v>
      </c>
      <c r="H158" s="2" t="n">
        <v>72</v>
      </c>
      <c r="I158" s="2" t="n">
        <v>53</v>
      </c>
      <c r="J158" s="2" t="s">
        <v>102</v>
      </c>
      <c r="K158" s="2" t="n">
        <v>7</v>
      </c>
      <c r="L158" s="2" t="n">
        <v>0</v>
      </c>
      <c r="M158" s="0" t="s">
        <v>87</v>
      </c>
    </row>
    <row r="159" customFormat="false" ht="12.8" hidden="false" customHeight="false" outlineLevel="0" collapsed="false">
      <c r="A159" s="11" t="n">
        <f aca="false">A158+1</f>
        <v>691</v>
      </c>
      <c r="B159" s="1" t="n">
        <v>44037.4951388889</v>
      </c>
      <c r="C159" s="0" t="n">
        <v>0</v>
      </c>
      <c r="D159" s="0" t="s">
        <v>113</v>
      </c>
      <c r="F159" s="12" t="s">
        <v>114</v>
      </c>
      <c r="G159" s="2" t="n">
        <v>96</v>
      </c>
      <c r="H159" s="2" t="n">
        <v>72</v>
      </c>
      <c r="I159" s="2" t="n">
        <v>63</v>
      </c>
      <c r="J159" s="12" t="s">
        <v>115</v>
      </c>
      <c r="K159" s="2" t="n">
        <v>9</v>
      </c>
      <c r="L159" s="2" t="n">
        <v>0</v>
      </c>
      <c r="M159" s="0" t="s">
        <v>87</v>
      </c>
    </row>
    <row r="160" customFormat="false" ht="12.8" hidden="false" customHeight="false" outlineLevel="0" collapsed="false">
      <c r="A160" s="11" t="n">
        <f aca="false">A159+1</f>
        <v>692</v>
      </c>
      <c r="B160" s="1" t="n">
        <v>44038.4951388889</v>
      </c>
      <c r="C160" s="0" t="n">
        <v>0</v>
      </c>
      <c r="D160" s="0" t="s">
        <v>113</v>
      </c>
      <c r="F160" s="12" t="s">
        <v>114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100</v>
      </c>
      <c r="K160" s="2" t="n">
        <v>6</v>
      </c>
      <c r="L160" s="2" t="n">
        <v>0</v>
      </c>
      <c r="M160" s="0" t="s">
        <v>87</v>
      </c>
    </row>
    <row r="161" customFormat="false" ht="12.8" hidden="false" customHeight="false" outlineLevel="0" collapsed="false">
      <c r="A161" s="11" t="n">
        <f aca="false">A160+1</f>
        <v>693</v>
      </c>
      <c r="B161" s="1" t="n">
        <v>44039.4951388889</v>
      </c>
      <c r="C161" s="0" t="n">
        <v>0</v>
      </c>
      <c r="D161" s="0" t="s">
        <v>113</v>
      </c>
      <c r="F161" s="12" t="s">
        <v>114</v>
      </c>
      <c r="G161" s="2" t="n">
        <v>84</v>
      </c>
      <c r="H161" s="2" t="n">
        <v>72</v>
      </c>
      <c r="I161" s="2" t="n">
        <v>72</v>
      </c>
      <c r="J161" s="2" t="s">
        <v>99</v>
      </c>
      <c r="K161" s="2" t="n">
        <f aca="false">(7+7+3)/3</f>
        <v>5.66666666666667</v>
      </c>
      <c r="L161" s="2" t="n">
        <v>0</v>
      </c>
      <c r="M161" s="0" t="s">
        <v>87</v>
      </c>
    </row>
    <row r="162" customFormat="false" ht="12.8" hidden="false" customHeight="false" outlineLevel="0" collapsed="false">
      <c r="A162" s="11" t="n">
        <f aca="false">A161+1</f>
        <v>694</v>
      </c>
      <c r="B162" s="1" t="n">
        <v>44040.5034722222</v>
      </c>
      <c r="C162" s="0" t="n">
        <v>1</v>
      </c>
      <c r="F162" s="12" t="s">
        <v>116</v>
      </c>
      <c r="G162" s="2" t="n">
        <v>76</v>
      </c>
      <c r="H162" s="2" t="n">
        <v>76</v>
      </c>
      <c r="I162" s="2" t="n">
        <v>100</v>
      </c>
      <c r="J162" s="2" t="s">
        <v>99</v>
      </c>
      <c r="K162" s="2" t="n">
        <f aca="false">AVERAGE(6,9,10)</f>
        <v>8.33333333333333</v>
      </c>
      <c r="L162" s="2" t="n">
        <v>0</v>
      </c>
      <c r="M162" s="0" t="s">
        <v>87</v>
      </c>
      <c r="N162" s="0" t="n">
        <v>0</v>
      </c>
      <c r="O162" s="0" t="s">
        <v>104</v>
      </c>
      <c r="P162" s="0" t="s">
        <v>94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58</v>
      </c>
      <c r="BA162" s="0" t="n">
        <v>0</v>
      </c>
    </row>
    <row r="163" customFormat="false" ht="12.8" hidden="false" customHeight="false" outlineLevel="0" collapsed="false">
      <c r="A163" s="11" t="n">
        <f aca="false">A162+1</f>
        <v>695</v>
      </c>
      <c r="B163" s="1" t="n">
        <v>44041.50625</v>
      </c>
      <c r="C163" s="0" t="n">
        <v>1</v>
      </c>
      <c r="F163" s="0" t="s">
        <v>54</v>
      </c>
      <c r="G163" s="2" t="n">
        <v>85</v>
      </c>
      <c r="H163" s="2" t="n">
        <v>74</v>
      </c>
      <c r="I163" s="2" t="n">
        <v>69</v>
      </c>
      <c r="J163" s="2" t="s">
        <v>97</v>
      </c>
      <c r="K163" s="2" t="n">
        <v>12</v>
      </c>
      <c r="L163" s="2" t="n">
        <v>0</v>
      </c>
      <c r="M163" s="0" t="s">
        <v>87</v>
      </c>
      <c r="N163" s="0" t="n">
        <v>0</v>
      </c>
      <c r="O163" s="0" t="s">
        <v>104</v>
      </c>
      <c r="P163" s="0" t="s">
        <v>94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P163" s="0" t="n">
        <v>1</v>
      </c>
      <c r="AQ163" s="0" t="n">
        <v>1</v>
      </c>
      <c r="AR163" s="0" t="n">
        <v>0</v>
      </c>
      <c r="AS163" s="4" t="n">
        <f aca="false">60*U163-SUM(AT163:AX163)</f>
        <v>3.9</v>
      </c>
      <c r="AT163" s="3" t="n">
        <f aca="false">38+43/60</f>
        <v>38.7166666666667</v>
      </c>
      <c r="AU163" s="3" t="n">
        <f aca="false">21+45/60</f>
        <v>21.75</v>
      </c>
      <c r="AV163" s="3" t="n">
        <f aca="false">38/60</f>
        <v>0.633333333333333</v>
      </c>
      <c r="AW163" s="3" t="n">
        <v>0</v>
      </c>
      <c r="AX163" s="3" t="n">
        <v>0</v>
      </c>
      <c r="AY163" s="0" t="s">
        <v>57</v>
      </c>
      <c r="AZ163" s="0" t="s">
        <v>58</v>
      </c>
      <c r="BA163" s="0" t="n">
        <v>0</v>
      </c>
    </row>
    <row r="164" customFormat="false" ht="12.8" hidden="false" customHeight="false" outlineLevel="0" collapsed="false">
      <c r="A164" s="11" t="n">
        <f aca="false">A163+1</f>
        <v>696</v>
      </c>
      <c r="B164" s="1" t="n">
        <v>44042.5451388889</v>
      </c>
      <c r="C164" s="0" t="n">
        <v>1</v>
      </c>
      <c r="F164" s="0" t="s">
        <v>59</v>
      </c>
      <c r="G164" s="2" t="n">
        <v>90</v>
      </c>
      <c r="H164" s="2" t="n">
        <v>71</v>
      </c>
      <c r="I164" s="2" t="n">
        <v>54</v>
      </c>
      <c r="J164" s="2" t="s">
        <v>97</v>
      </c>
      <c r="K164" s="2" t="n">
        <v>15</v>
      </c>
      <c r="L164" s="2" t="n">
        <v>0</v>
      </c>
      <c r="M164" s="0" t="s">
        <v>87</v>
      </c>
      <c r="N164" s="0" t="n">
        <v>0</v>
      </c>
      <c r="O164" s="0" t="s">
        <v>104</v>
      </c>
      <c r="P164" s="0" t="s">
        <v>94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4" t="n">
        <f aca="false">60*U164-SUM(AT164:AX164)</f>
        <v>35.6166666666667</v>
      </c>
      <c r="AT164" s="3" t="n">
        <f aca="false">52+26/60</f>
        <v>52.4333333333333</v>
      </c>
      <c r="AU164" s="3" t="n">
        <f aca="false">8+49/60</f>
        <v>8.81666666666667</v>
      </c>
      <c r="AV164" s="3" t="n">
        <f aca="false">2+8/60</f>
        <v>2.13333333333333</v>
      </c>
      <c r="AW164" s="3" t="n">
        <v>0</v>
      </c>
      <c r="AX164" s="3" t="n">
        <v>0</v>
      </c>
      <c r="AY164" s="0" t="s">
        <v>57</v>
      </c>
      <c r="AZ164" s="0" t="s">
        <v>58</v>
      </c>
      <c r="BA164" s="0" t="n">
        <v>0</v>
      </c>
    </row>
    <row r="165" customFormat="false" ht="12.8" hidden="false" customHeight="false" outlineLevel="0" collapsed="false">
      <c r="A165" s="11" t="n">
        <f aca="false">A164+1</f>
        <v>697</v>
      </c>
      <c r="B165" s="1" t="n">
        <v>44043.5208333333</v>
      </c>
      <c r="C165" s="0" t="n">
        <v>1</v>
      </c>
      <c r="F165" s="12" t="s">
        <v>117</v>
      </c>
      <c r="G165" s="2" t="n">
        <v>86</v>
      </c>
      <c r="H165" s="2" t="n">
        <v>50</v>
      </c>
      <c r="I165" s="2" t="n">
        <v>59</v>
      </c>
      <c r="J165" s="12" t="s">
        <v>118</v>
      </c>
      <c r="K165" s="2" t="n">
        <v>10</v>
      </c>
      <c r="L165" s="2" t="n">
        <v>22</v>
      </c>
      <c r="M165" s="0" t="s">
        <v>87</v>
      </c>
      <c r="N165" s="0" t="n">
        <v>0</v>
      </c>
      <c r="O165" s="0" t="s">
        <v>104</v>
      </c>
      <c r="P165" s="0" t="s">
        <v>94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4" t="n">
        <f aca="false">60*U165-SUM(AT165:AX165)</f>
        <v>41.88</v>
      </c>
      <c r="AT165" s="3" t="n">
        <f aca="false">28+52/60</f>
        <v>28.8666666666667</v>
      </c>
      <c r="AU165" s="3" t="n">
        <f aca="false">28+46/50</f>
        <v>28.92</v>
      </c>
      <c r="AV165" s="3" t="n">
        <f aca="false">1+20/60</f>
        <v>1.33333333333333</v>
      </c>
      <c r="AW165" s="3" t="n">
        <v>0</v>
      </c>
      <c r="AX165" s="3" t="n">
        <v>0</v>
      </c>
      <c r="AY165" s="0" t="s">
        <v>57</v>
      </c>
      <c r="AZ165" s="0" t="s">
        <v>58</v>
      </c>
      <c r="BA165" s="0" t="n">
        <v>0</v>
      </c>
    </row>
    <row r="166" customFormat="false" ht="12.8" hidden="false" customHeight="false" outlineLevel="0" collapsed="false">
      <c r="A166" s="11" t="n">
        <f aca="false">A165+1</f>
        <v>698</v>
      </c>
      <c r="B166" s="1" t="n">
        <v>44044.5020833333</v>
      </c>
      <c r="C166" s="0" t="n">
        <v>1</v>
      </c>
      <c r="F166" s="12" t="s">
        <v>114</v>
      </c>
      <c r="G166" s="2" t="n">
        <v>85</v>
      </c>
      <c r="H166" s="2" t="n">
        <v>66</v>
      </c>
      <c r="I166" s="2" t="n">
        <v>53</v>
      </c>
      <c r="J166" s="2" t="s">
        <v>96</v>
      </c>
      <c r="K166" s="2" t="n">
        <v>6</v>
      </c>
      <c r="L166" s="2" t="n">
        <v>0</v>
      </c>
      <c r="M166" s="0" t="s">
        <v>87</v>
      </c>
      <c r="N166" s="0" t="n">
        <v>0</v>
      </c>
      <c r="O166" s="0" t="s">
        <v>104</v>
      </c>
      <c r="P166" s="0" t="s">
        <v>94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4" t="n">
        <f aca="false">60*U166-SUM(AT166:AX166)</f>
        <v>8.7</v>
      </c>
      <c r="AT166" s="3" t="n">
        <f aca="false">73+17/60</f>
        <v>73.2833333333333</v>
      </c>
      <c r="AU166" s="3" t="n">
        <f aca="false">27+40/60</f>
        <v>27.6666666666667</v>
      </c>
      <c r="AV166" s="3" t="n">
        <f aca="false">1+21/60</f>
        <v>1.35</v>
      </c>
      <c r="AW166" s="3" t="n">
        <v>0</v>
      </c>
      <c r="AX166" s="3" t="n">
        <v>0</v>
      </c>
      <c r="AY166" s="0" t="s">
        <v>57</v>
      </c>
      <c r="AZ166" s="0" t="s">
        <v>58</v>
      </c>
      <c r="BA166" s="0" t="n">
        <v>0</v>
      </c>
    </row>
    <row r="167" customFormat="false" ht="12.8" hidden="false" customHeight="false" outlineLevel="0" collapsed="false">
      <c r="A167" s="11" t="n">
        <f aca="false">A166+1</f>
        <v>699</v>
      </c>
      <c r="B167" s="1" t="n">
        <v>44045.6055555556</v>
      </c>
      <c r="C167" s="0" t="n">
        <v>1</v>
      </c>
      <c r="F167" s="0" t="s">
        <v>59</v>
      </c>
      <c r="G167" s="2" t="n">
        <v>94</v>
      </c>
      <c r="H167" s="2" t="n">
        <v>60</v>
      </c>
      <c r="I167" s="2" t="n">
        <v>32</v>
      </c>
      <c r="J167" s="12" t="s">
        <v>96</v>
      </c>
      <c r="K167" s="2" t="n">
        <v>6</v>
      </c>
      <c r="L167" s="2" t="n">
        <v>0</v>
      </c>
      <c r="M167" s="0" t="s">
        <v>88</v>
      </c>
      <c r="N167" s="0" t="n">
        <v>0</v>
      </c>
      <c r="O167" s="0" t="s">
        <v>104</v>
      </c>
      <c r="P167" s="0" t="s">
        <v>94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P167" s="0" t="n">
        <v>1</v>
      </c>
      <c r="AQ167" s="0" t="n">
        <v>0</v>
      </c>
      <c r="AR167" s="0" t="n">
        <v>0</v>
      </c>
      <c r="AS167" s="4" t="n">
        <v>0</v>
      </c>
      <c r="AT167" s="3" t="n">
        <f aca="false">9+6/60</f>
        <v>9.1</v>
      </c>
      <c r="AU167" s="3" t="n">
        <f aca="false">56+18/60</f>
        <v>56.3</v>
      </c>
      <c r="AV167" s="3" t="n">
        <f aca="false">42+30/60</f>
        <v>42.5</v>
      </c>
      <c r="AW167" s="3" t="n">
        <f aca="false">1+52/60</f>
        <v>1.86666666666667</v>
      </c>
      <c r="AX167" s="3" t="n">
        <f aca="false">22/60</f>
        <v>0.366666666666667</v>
      </c>
      <c r="AY167" s="0" t="s">
        <v>57</v>
      </c>
      <c r="AZ167" s="0" t="s">
        <v>58</v>
      </c>
      <c r="BA167" s="0" t="n">
        <v>0</v>
      </c>
    </row>
    <row r="168" customFormat="false" ht="12.8" hidden="false" customHeight="false" outlineLevel="0" collapsed="false">
      <c r="A168" s="11" t="n">
        <f aca="false">A167+1</f>
        <v>700</v>
      </c>
      <c r="B168" s="1" t="n">
        <v>44046.575</v>
      </c>
      <c r="C168" s="0" t="n">
        <v>1</v>
      </c>
      <c r="F168" s="0" t="s">
        <v>59</v>
      </c>
      <c r="G168" s="2" t="n">
        <v>92</v>
      </c>
      <c r="H168" s="2" t="n">
        <v>63</v>
      </c>
      <c r="I168" s="2" t="n">
        <v>39</v>
      </c>
      <c r="J168" s="2" t="s">
        <v>102</v>
      </c>
      <c r="K168" s="2" t="n">
        <v>10</v>
      </c>
      <c r="L168" s="2" t="n">
        <v>17</v>
      </c>
      <c r="M168" s="0" t="s">
        <v>88</v>
      </c>
      <c r="N168" s="0" t="n">
        <v>0</v>
      </c>
      <c r="O168" s="0" t="s">
        <v>104</v>
      </c>
      <c r="P168" s="0" t="s">
        <v>105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P168" s="0" t="n">
        <v>3</v>
      </c>
      <c r="AQ168" s="0" t="n">
        <v>0</v>
      </c>
      <c r="AR168" s="0" t="n">
        <v>0</v>
      </c>
      <c r="AS168" s="4" t="n">
        <v>0</v>
      </c>
      <c r="AT168" s="3" t="n">
        <f aca="false">4+51/60</f>
        <v>4.85</v>
      </c>
      <c r="AU168" s="3" t="n">
        <f aca="false">64+1/60</f>
        <v>64.0166666666667</v>
      </c>
      <c r="AV168" s="3" t="n">
        <f aca="false">67+16/60</f>
        <v>67.2666666666667</v>
      </c>
      <c r="AW168" s="3" t="n">
        <f aca="false">7/60</f>
        <v>0.116666666666667</v>
      </c>
      <c r="AX168" s="3" t="n">
        <v>0</v>
      </c>
      <c r="AY168" s="0" t="s">
        <v>57</v>
      </c>
      <c r="AZ168" s="0" t="s">
        <v>58</v>
      </c>
      <c r="BA168" s="0" t="n">
        <v>0</v>
      </c>
    </row>
    <row r="169" customFormat="false" ht="12.8" hidden="false" customHeight="false" outlineLevel="0" collapsed="false">
      <c r="A169" s="11" t="n">
        <f aca="false">A168+1</f>
        <v>701</v>
      </c>
      <c r="B169" s="1" t="n">
        <v>44047.5284722222</v>
      </c>
      <c r="C169" s="0" t="n">
        <v>1</v>
      </c>
      <c r="F169" s="0" t="s">
        <v>59</v>
      </c>
      <c r="G169" s="2" t="n">
        <v>87</v>
      </c>
      <c r="H169" s="2" t="n">
        <v>60</v>
      </c>
      <c r="I169" s="2" t="n">
        <v>40</v>
      </c>
      <c r="J169" s="2" t="s">
        <v>103</v>
      </c>
      <c r="K169" s="2" t="n">
        <v>5</v>
      </c>
      <c r="L169" s="2" t="n">
        <v>0</v>
      </c>
      <c r="M169" s="0" t="s">
        <v>88</v>
      </c>
      <c r="N169" s="0" t="n">
        <v>0</v>
      </c>
      <c r="O169" s="0" t="s">
        <v>104</v>
      </c>
      <c r="P169" s="0" t="s">
        <v>105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4" t="n">
        <f aca="false">60*U169-SUM(AT169:AX169)</f>
        <v>10.05</v>
      </c>
      <c r="AT169" s="3" t="n">
        <f aca="false">1+49/60</f>
        <v>1.81666666666667</v>
      </c>
      <c r="AU169" s="3" t="n">
        <f aca="false">81+43/60</f>
        <v>81.7166666666667</v>
      </c>
      <c r="AV169" s="3" t="n">
        <f aca="false">48+30/60</f>
        <v>48.5</v>
      </c>
      <c r="AW169" s="3" t="n">
        <f aca="false">2+55/60</f>
        <v>2.91666666666667</v>
      </c>
      <c r="AX169" s="3" t="n">
        <v>0</v>
      </c>
      <c r="AY169" s="0" t="s">
        <v>57</v>
      </c>
      <c r="AZ169" s="0" t="s">
        <v>58</v>
      </c>
      <c r="BA169" s="0" t="n">
        <v>0</v>
      </c>
    </row>
    <row r="170" customFormat="false" ht="12.8" hidden="false" customHeight="false" outlineLevel="0" collapsed="false">
      <c r="A170" s="11" t="n">
        <f aca="false">A169+1</f>
        <v>702</v>
      </c>
      <c r="B170" s="1" t="n">
        <v>44048.5236111111</v>
      </c>
      <c r="C170" s="0" t="n">
        <v>1</v>
      </c>
      <c r="F170" s="12" t="s">
        <v>114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100</v>
      </c>
      <c r="K170" s="2" t="n">
        <f aca="false">(13+8)/2</f>
        <v>10.5</v>
      </c>
      <c r="L170" s="2" t="n">
        <v>0</v>
      </c>
      <c r="M170" s="0" t="s">
        <v>88</v>
      </c>
      <c r="N170" s="0" t="n">
        <v>0</v>
      </c>
      <c r="O170" s="0" t="s">
        <v>104</v>
      </c>
      <c r="P170" s="0" t="s">
        <v>94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4" t="n">
        <f aca="false">60*U170-SUM(AT170:AX170)</f>
        <v>8.13333333333334</v>
      </c>
      <c r="AT170" s="3" t="n">
        <f aca="false">57+40/60</f>
        <v>57.6666666666667</v>
      </c>
      <c r="AU170" s="3" t="n">
        <f aca="false">25+35/60</f>
        <v>25.5833333333333</v>
      </c>
      <c r="AV170" s="3" t="n">
        <f aca="false">15+51/60</f>
        <v>15.85</v>
      </c>
      <c r="AW170" s="3" t="n">
        <f aca="false">46/60</f>
        <v>0.766666666666667</v>
      </c>
      <c r="AX170" s="3" t="n">
        <v>0</v>
      </c>
      <c r="AY170" s="0" t="s">
        <v>57</v>
      </c>
      <c r="AZ170" s="0" t="s">
        <v>58</v>
      </c>
      <c r="BA170" s="0" t="n">
        <v>0</v>
      </c>
    </row>
    <row r="171" customFormat="false" ht="12.8" hidden="false" customHeight="false" outlineLevel="0" collapsed="false">
      <c r="A171" s="11" t="n">
        <f aca="false">A170+1</f>
        <v>703</v>
      </c>
      <c r="B171" s="1" t="n">
        <v>44049.5125</v>
      </c>
      <c r="C171" s="0" t="n">
        <v>1</v>
      </c>
      <c r="F171" s="0" t="s">
        <v>59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99</v>
      </c>
      <c r="K171" s="2" t="n">
        <v>6</v>
      </c>
      <c r="L171" s="2" t="n">
        <v>0</v>
      </c>
      <c r="M171" s="0" t="s">
        <v>87</v>
      </c>
      <c r="N171" s="0" t="n">
        <v>0</v>
      </c>
      <c r="O171" s="0" t="s">
        <v>104</v>
      </c>
      <c r="P171" s="0" t="s">
        <v>94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P171" s="0" t="n">
        <v>0</v>
      </c>
      <c r="AQ171" s="0" t="n">
        <v>0</v>
      </c>
      <c r="AR171" s="0" t="n">
        <v>0</v>
      </c>
      <c r="AS171" s="5" t="n">
        <f aca="false">60*U171-SUM(AT171:AX171)</f>
        <v>82.0333333333333</v>
      </c>
      <c r="AT171" s="3" t="n">
        <f aca="false">19+29/60</f>
        <v>19.4833333333333</v>
      </c>
      <c r="AU171" s="3" t="n">
        <f aca="false">6+46/60</f>
        <v>6.76666666666667</v>
      </c>
      <c r="AV171" s="3" t="n">
        <f aca="false">43/60</f>
        <v>0.716666666666667</v>
      </c>
      <c r="AW171" s="3" t="n">
        <v>0</v>
      </c>
      <c r="AX171" s="3" t="n">
        <v>0</v>
      </c>
      <c r="AY171" s="0" t="s">
        <v>57</v>
      </c>
      <c r="AZ171" s="0" t="s">
        <v>58</v>
      </c>
      <c r="BA171" s="0" t="n">
        <v>0</v>
      </c>
    </row>
    <row r="172" customFormat="false" ht="12.8" hidden="false" customHeight="false" outlineLevel="0" collapsed="false">
      <c r="A172" s="11" t="n">
        <f aca="false">A171+1</f>
        <v>704</v>
      </c>
      <c r="B172" s="1" t="n">
        <v>44050.4770833333</v>
      </c>
      <c r="C172" s="0" t="n">
        <v>1</v>
      </c>
      <c r="F172" s="12" t="s">
        <v>117</v>
      </c>
      <c r="G172" s="2" t="n">
        <v>91</v>
      </c>
      <c r="H172" s="2" t="n">
        <v>69</v>
      </c>
      <c r="I172" s="2" t="n">
        <v>50</v>
      </c>
      <c r="J172" s="2" t="s">
        <v>99</v>
      </c>
      <c r="K172" s="2" t="n">
        <f aca="false">(15+12)/2</f>
        <v>13.5</v>
      </c>
      <c r="L172" s="2" t="n">
        <v>0</v>
      </c>
      <c r="M172" s="0" t="s">
        <v>87</v>
      </c>
      <c r="N172" s="0" t="n">
        <v>0</v>
      </c>
      <c r="O172" s="0" t="s">
        <v>104</v>
      </c>
      <c r="P172" s="0" t="s">
        <v>94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P172" s="0" t="n">
        <v>0</v>
      </c>
      <c r="AQ172" s="0" t="n">
        <v>0</v>
      </c>
      <c r="AR172" s="0" t="n">
        <v>0</v>
      </c>
      <c r="AS172" s="4" t="n">
        <f aca="false">60*U172-SUM(AT172:AX172)</f>
        <v>14.55</v>
      </c>
      <c r="AT172" s="3" t="n">
        <f aca="false">18+40/60</f>
        <v>18.6666666666667</v>
      </c>
      <c r="AU172" s="3" t="n">
        <f aca="false">66+7/10</f>
        <v>66.7</v>
      </c>
      <c r="AV172" s="3" t="n">
        <f aca="false">10+5/60</f>
        <v>10.0833333333333</v>
      </c>
      <c r="AW172" s="3" t="n">
        <v>0</v>
      </c>
      <c r="AX172" s="3" t="n">
        <v>0</v>
      </c>
    </row>
    <row r="173" customFormat="false" ht="12.8" hidden="false" customHeight="false" outlineLevel="0" collapsed="false">
      <c r="A173" s="11" t="n">
        <f aca="false">A172+1</f>
        <v>705</v>
      </c>
      <c r="B173" s="1" t="n">
        <v>44051.5</v>
      </c>
      <c r="C173" s="0" t="n">
        <v>0</v>
      </c>
      <c r="D173" s="0" t="s">
        <v>93</v>
      </c>
      <c r="F173" s="12" t="s">
        <v>119</v>
      </c>
      <c r="G173" s="2" t="n">
        <v>92</v>
      </c>
      <c r="H173" s="2" t="n">
        <v>68</v>
      </c>
      <c r="I173" s="2" t="n">
        <f aca="false">(48+42)/2</f>
        <v>45</v>
      </c>
      <c r="J173" s="2" t="s">
        <v>99</v>
      </c>
      <c r="K173" s="2" t="n">
        <v>15</v>
      </c>
      <c r="L173" s="2" t="n">
        <v>24</v>
      </c>
      <c r="M173" s="0" t="s">
        <v>87</v>
      </c>
    </row>
    <row r="174" customFormat="false" ht="12.8" hidden="false" customHeight="false" outlineLevel="0" collapsed="false">
      <c r="A174" s="11" t="n">
        <f aca="false">A173+1</f>
        <v>706</v>
      </c>
      <c r="B174" s="1" t="n">
        <v>44052.5215277778</v>
      </c>
      <c r="C174" s="0" t="n">
        <v>1</v>
      </c>
      <c r="F174" s="0" t="s">
        <v>59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111</v>
      </c>
      <c r="K174" s="2" t="n">
        <f aca="false">(15+10)/2</f>
        <v>12.5</v>
      </c>
      <c r="L174" s="2" t="n">
        <v>0</v>
      </c>
      <c r="M174" s="0" t="s">
        <v>87</v>
      </c>
      <c r="N174" s="0" t="n">
        <v>0</v>
      </c>
      <c r="O174" s="0" t="s">
        <v>104</v>
      </c>
      <c r="P174" s="0" t="s">
        <v>94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P174" s="0" t="n">
        <v>0</v>
      </c>
      <c r="AQ174" s="0" t="n">
        <v>0</v>
      </c>
      <c r="AR174" s="0" t="n">
        <v>0</v>
      </c>
      <c r="AS174" s="4" t="n">
        <f aca="false">60*U174-SUM(AT174:AX174)</f>
        <v>0.0333333333333314</v>
      </c>
      <c r="AT174" s="3" t="n">
        <v>4</v>
      </c>
      <c r="AU174" s="3" t="n">
        <f aca="false">60+29.5</f>
        <v>89.5</v>
      </c>
      <c r="AV174" s="3" t="n">
        <f aca="false">17+13/60</f>
        <v>17.2166666666667</v>
      </c>
      <c r="AW174" s="3" t="n">
        <f aca="false">1+15/60</f>
        <v>1.25</v>
      </c>
      <c r="AX174" s="3" t="n">
        <v>0</v>
      </c>
      <c r="AY174" s="0" t="s">
        <v>57</v>
      </c>
      <c r="AZ174" s="0" t="s">
        <v>58</v>
      </c>
      <c r="BA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59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107</v>
      </c>
      <c r="K175" s="2" t="n">
        <v>16</v>
      </c>
      <c r="L175" s="2" t="n">
        <v>0</v>
      </c>
      <c r="M175" s="0" t="s">
        <v>87</v>
      </c>
      <c r="N175" s="0" t="n">
        <v>0</v>
      </c>
      <c r="O175" s="0" t="s">
        <v>104</v>
      </c>
      <c r="P175" s="0" t="s">
        <v>94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4" t="n">
        <f aca="false">60*U175-SUM(AT175:AX175)</f>
        <v>6.71666666666667</v>
      </c>
      <c r="AT175" s="0" t="n">
        <f aca="false">37+54/60</f>
        <v>37.9</v>
      </c>
      <c r="AU175" s="3" t="n">
        <f aca="false">24+20/60</f>
        <v>24.3333333333333</v>
      </c>
      <c r="AV175" s="3" t="n">
        <f aca="false">10+47/60</f>
        <v>10.7833333333333</v>
      </c>
      <c r="AW175" s="3" t="n">
        <f aca="false">16/60</f>
        <v>0.266666666666667</v>
      </c>
      <c r="AX175" s="3" t="n">
        <v>0</v>
      </c>
      <c r="AY175" s="0" t="s">
        <v>57</v>
      </c>
      <c r="AZ175" s="0" t="s">
        <v>58</v>
      </c>
      <c r="BA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12" t="s">
        <v>117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12" t="s">
        <v>120</v>
      </c>
      <c r="K176" s="2" t="n">
        <v>15</v>
      </c>
      <c r="L176" s="2" t="n">
        <v>22</v>
      </c>
      <c r="M176" s="0" t="s">
        <v>87</v>
      </c>
      <c r="N176" s="0" t="n">
        <v>0</v>
      </c>
      <c r="O176" s="0" t="s">
        <v>104</v>
      </c>
      <c r="P176" s="0" t="s">
        <v>94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P176" s="0" t="n">
        <v>1</v>
      </c>
      <c r="AQ176" s="0" t="n">
        <v>0</v>
      </c>
      <c r="AR176" s="0" t="n">
        <v>0</v>
      </c>
      <c r="AS176" s="4" t="n">
        <f aca="false">60*U176-SUM(AT176:AX176)</f>
        <v>0.233333333333334</v>
      </c>
      <c r="AT176" s="3" t="n">
        <f aca="false">2.25</f>
        <v>2.25</v>
      </c>
      <c r="AU176" s="3" t="n">
        <f aca="false">37+26/60</f>
        <v>37.4333333333333</v>
      </c>
      <c r="AV176" s="3" t="n">
        <f aca="false">31+15/60</f>
        <v>31.25</v>
      </c>
      <c r="AW176" s="3" t="n">
        <f aca="false">12+50/60</f>
        <v>12.8333333333333</v>
      </c>
      <c r="AX176" s="3" t="n">
        <v>0</v>
      </c>
      <c r="AY176" s="0" t="s">
        <v>57</v>
      </c>
      <c r="AZ176" s="0" t="s">
        <v>58</v>
      </c>
      <c r="BA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12" t="s">
        <v>117</v>
      </c>
      <c r="G177" s="2" t="n">
        <v>97</v>
      </c>
      <c r="H177" s="2" t="n">
        <v>73</v>
      </c>
      <c r="I177" s="2" t="n">
        <v>47</v>
      </c>
      <c r="J177" s="2" t="s">
        <v>97</v>
      </c>
      <c r="K177" s="2" t="n">
        <v>9</v>
      </c>
      <c r="L177" s="2" t="n">
        <v>0</v>
      </c>
      <c r="M177" s="0" t="s">
        <v>87</v>
      </c>
      <c r="N177" s="0" t="n">
        <v>0</v>
      </c>
      <c r="O177" s="0" t="s">
        <v>104</v>
      </c>
      <c r="P177" s="0" t="s">
        <v>94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4" t="n">
        <f aca="false">60*U177-SUM(AT177:AX177)</f>
        <v>28.8166666666667</v>
      </c>
      <c r="AT177" s="3" t="n">
        <f aca="false">46+31/60</f>
        <v>46.5166666666667</v>
      </c>
      <c r="AU177" s="3" t="n">
        <f aca="false">7+6/60</f>
        <v>7.1</v>
      </c>
      <c r="AV177" s="3" t="n">
        <f aca="false">4+34/60</f>
        <v>4.56666666666667</v>
      </c>
      <c r="AW177" s="3" t="n">
        <v>0</v>
      </c>
      <c r="AX177" s="3" t="n">
        <v>0</v>
      </c>
      <c r="AY177" s="0" t="s">
        <v>57</v>
      </c>
      <c r="AZ177" s="0" t="s">
        <v>58</v>
      </c>
      <c r="BA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59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97</v>
      </c>
      <c r="K178" s="2" t="n">
        <f aca="false">(10+14)/2</f>
        <v>12</v>
      </c>
      <c r="L178" s="2" t="n">
        <v>21</v>
      </c>
      <c r="M178" s="0" t="s">
        <v>87</v>
      </c>
      <c r="N178" s="0" t="n">
        <v>0</v>
      </c>
      <c r="O178" s="0" t="s">
        <v>104</v>
      </c>
      <c r="P178" s="0" t="s">
        <v>94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4" t="n">
        <f aca="false">60*U178-SUM(AT178:AX178)</f>
        <v>34.1666666666667</v>
      </c>
      <c r="AT178" s="3" t="n">
        <f aca="false">55+55/60</f>
        <v>55.9166666666667</v>
      </c>
      <c r="AU178" s="3" t="n">
        <f aca="false">18+6/60</f>
        <v>18.1</v>
      </c>
      <c r="AV178" s="3" t="n">
        <f aca="false">3+49/60</f>
        <v>3.81666666666667</v>
      </c>
      <c r="AW178" s="3" t="n">
        <v>0</v>
      </c>
      <c r="AX178" s="3" t="n">
        <v>0</v>
      </c>
      <c r="AY178" s="0" t="s">
        <v>57</v>
      </c>
      <c r="AZ178" s="0" t="s">
        <v>58</v>
      </c>
      <c r="BA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12" t="s">
        <v>117</v>
      </c>
      <c r="G179" s="2" t="n">
        <f aca="false">(95+98)/2</f>
        <v>96.5</v>
      </c>
      <c r="H179" s="2" t="n">
        <v>71</v>
      </c>
      <c r="I179" s="2" t="n">
        <v>43</v>
      </c>
      <c r="J179" s="2" t="s">
        <v>97</v>
      </c>
      <c r="K179" s="2" t="n">
        <v>13</v>
      </c>
      <c r="L179" s="2" t="n">
        <v>21</v>
      </c>
      <c r="M179" s="0" t="s">
        <v>87</v>
      </c>
      <c r="N179" s="0" t="n">
        <v>0</v>
      </c>
      <c r="O179" s="0" t="s">
        <v>104</v>
      </c>
      <c r="P179" s="0" t="s">
        <v>94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4" t="n">
        <f aca="false">60*U179-SUM(AT179:AX179)</f>
        <v>14.3666666666667</v>
      </c>
      <c r="AT179" s="3" t="n">
        <f aca="false">78+31/60</f>
        <v>78.5166666666667</v>
      </c>
      <c r="AU179" s="3" t="n">
        <f aca="false">17+34/60</f>
        <v>17.5666666666667</v>
      </c>
      <c r="AV179" s="3" t="n">
        <f aca="false">33/60</f>
        <v>0.55</v>
      </c>
      <c r="AW179" s="3" t="n">
        <v>0</v>
      </c>
      <c r="AX179" s="3" t="n">
        <v>0</v>
      </c>
      <c r="AY179" s="0" t="s">
        <v>57</v>
      </c>
      <c r="AZ179" s="0" t="s">
        <v>58</v>
      </c>
      <c r="BA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12" t="s">
        <v>117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97</v>
      </c>
      <c r="K180" s="2" t="n">
        <v>8</v>
      </c>
      <c r="L180" s="2" t="n">
        <v>0</v>
      </c>
      <c r="M180" s="0" t="s">
        <v>87</v>
      </c>
      <c r="N180" s="0" t="n">
        <v>0</v>
      </c>
      <c r="O180" s="0" t="s">
        <v>104</v>
      </c>
      <c r="P180" s="0" t="s">
        <v>94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P180" s="0" t="n">
        <v>1</v>
      </c>
      <c r="AQ180" s="0" t="n">
        <v>0</v>
      </c>
      <c r="AR180" s="0" t="n">
        <v>0</v>
      </c>
      <c r="AS180" s="4" t="n">
        <f aca="false">60*U180-SUM(AT180:AX180)</f>
        <v>18.1166666666667</v>
      </c>
      <c r="AT180" s="3" t="n">
        <f aca="false">67+58/60</f>
        <v>67.9666666666667</v>
      </c>
      <c r="AU180" s="3" t="n">
        <f aca="false">33+2/60</f>
        <v>33.0333333333333</v>
      </c>
      <c r="AV180" s="3" t="n">
        <f aca="false">3+53/60</f>
        <v>3.88333333333333</v>
      </c>
      <c r="AW180" s="3" t="n">
        <v>0</v>
      </c>
      <c r="AX180" s="3" t="n">
        <v>0</v>
      </c>
      <c r="AY180" s="0" t="s">
        <v>57</v>
      </c>
      <c r="AZ180" s="0" t="s">
        <v>58</v>
      </c>
      <c r="BA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12" t="s">
        <v>114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121</v>
      </c>
      <c r="K181" s="2" t="n">
        <f aca="false">5/2</f>
        <v>2.5</v>
      </c>
      <c r="L181" s="2" t="n">
        <v>0</v>
      </c>
      <c r="M181" s="0" t="s">
        <v>87</v>
      </c>
      <c r="N181" s="0" t="n">
        <v>0</v>
      </c>
      <c r="O181" s="0" t="s">
        <v>104</v>
      </c>
      <c r="P181" s="0" t="s">
        <v>94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P181" s="0" t="n">
        <v>0</v>
      </c>
      <c r="AQ181" s="0" t="n">
        <v>0</v>
      </c>
      <c r="AR181" s="0" t="n">
        <v>0</v>
      </c>
      <c r="AS181" s="4" t="n">
        <f aca="false">60*U181-SUM(AT181:AX181)</f>
        <v>0.0333333333333314</v>
      </c>
      <c r="AT181" s="3" t="n">
        <f aca="false">32/60</f>
        <v>0.533333333333333</v>
      </c>
      <c r="AU181" s="3" t="n">
        <f aca="false">55+17/60</f>
        <v>55.2833333333333</v>
      </c>
      <c r="AV181" s="3" t="n">
        <f aca="false">67+51/60</f>
        <v>67.85</v>
      </c>
      <c r="AW181" s="3" t="n">
        <f aca="false">11+18/60</f>
        <v>11.3</v>
      </c>
      <c r="AX181" s="3" t="n">
        <v>0</v>
      </c>
      <c r="AY181" s="0" t="s">
        <v>57</v>
      </c>
      <c r="AZ181" s="0" t="s">
        <v>58</v>
      </c>
      <c r="BA181" s="0" t="n">
        <v>1</v>
      </c>
      <c r="BB181" s="0" t="s">
        <v>79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12" t="s">
        <v>114</v>
      </c>
      <c r="G182" s="2" t="n">
        <v>87</v>
      </c>
      <c r="H182" s="2" t="n">
        <f aca="false">(67+70)/2</f>
        <v>68.5</v>
      </c>
      <c r="I182" s="2" t="n">
        <v>54</v>
      </c>
      <c r="J182" s="2" t="s">
        <v>122</v>
      </c>
      <c r="K182" s="2" t="n">
        <v>0</v>
      </c>
      <c r="L182" s="2" t="n">
        <v>0</v>
      </c>
      <c r="M182" s="0" t="s">
        <v>88</v>
      </c>
      <c r="N182" s="0" t="n">
        <v>1</v>
      </c>
      <c r="O182" s="0" t="s">
        <v>104</v>
      </c>
      <c r="P182" s="0" t="s">
        <v>94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P182" s="0" t="n">
        <v>0</v>
      </c>
      <c r="AQ182" s="0" t="n">
        <v>0</v>
      </c>
      <c r="AR182" s="0" t="n">
        <v>0</v>
      </c>
      <c r="AS182" s="4" t="n">
        <f aca="false">60*U182-SUM(AT182:AX182)</f>
        <v>12.8104166666667</v>
      </c>
      <c r="AT182" s="3" t="n">
        <f aca="false">AVERAGE(AT174:AT181)</f>
        <v>36.7</v>
      </c>
      <c r="AU182" s="3" t="n">
        <f aca="false">AVERAGE(AU174:AU181)</f>
        <v>35.29375</v>
      </c>
      <c r="AV182" s="3" t="n">
        <f aca="false">AVERAGE(AV174:AV181)</f>
        <v>17.4895833333333</v>
      </c>
      <c r="AW182" s="3" t="n">
        <f aca="false">AVERAGE(AW174:AW181)</f>
        <v>3.20625</v>
      </c>
      <c r="AX182" s="3" t="n">
        <v>0</v>
      </c>
      <c r="AY182" s="0" t="s">
        <v>57</v>
      </c>
      <c r="AZ182" s="0" t="s">
        <v>58</v>
      </c>
      <c r="BA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69</v>
      </c>
      <c r="F183" s="0" t="s">
        <v>59</v>
      </c>
      <c r="G183" s="2" t="n">
        <v>91</v>
      </c>
      <c r="H183" s="2" t="n">
        <v>68</v>
      </c>
      <c r="I183" s="2" t="n">
        <v>41</v>
      </c>
      <c r="J183" s="2" t="s">
        <v>96</v>
      </c>
      <c r="K183" s="2" t="n">
        <v>15</v>
      </c>
      <c r="L183" s="2" t="n">
        <v>25</v>
      </c>
      <c r="M183" s="0" t="s">
        <v>87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12" t="s">
        <v>117</v>
      </c>
      <c r="G184" s="2" t="n">
        <v>87</v>
      </c>
      <c r="H184" s="2" t="n">
        <v>58</v>
      </c>
      <c r="I184" s="2" t="n">
        <v>37</v>
      </c>
      <c r="J184" s="2" t="s">
        <v>118</v>
      </c>
      <c r="K184" s="2" t="n">
        <v>8</v>
      </c>
      <c r="L184" s="2" t="n">
        <v>0</v>
      </c>
      <c r="M184" s="0" t="s">
        <v>88</v>
      </c>
      <c r="N184" s="0" t="n">
        <v>0</v>
      </c>
      <c r="O184" s="0" t="s">
        <v>104</v>
      </c>
      <c r="P184" s="0" t="s">
        <v>94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4" t="n">
        <f aca="false">60*U184-SUM(AT184:AX184)</f>
        <v>17.1666666666667</v>
      </c>
      <c r="AT184" s="3" t="n">
        <f aca="false">70+35/60</f>
        <v>70.5833333333333</v>
      </c>
      <c r="AU184" s="3" t="n">
        <f aca="false">26+19/60</f>
        <v>26.3166666666667</v>
      </c>
      <c r="AV184" s="3" t="n">
        <f aca="false">12+7/60</f>
        <v>12.1166666666667</v>
      </c>
      <c r="AW184" s="3" t="n">
        <f aca="false">49/60</f>
        <v>0.816666666666667</v>
      </c>
      <c r="AX184" s="3" t="n">
        <v>0</v>
      </c>
      <c r="AY184" s="0" t="s">
        <v>57</v>
      </c>
      <c r="AZ184" s="0" t="s">
        <v>58</v>
      </c>
      <c r="BA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12" t="s">
        <v>119</v>
      </c>
      <c r="G185" s="2" t="n">
        <v>73</v>
      </c>
      <c r="H185" s="2" t="n">
        <v>54</v>
      </c>
      <c r="I185" s="2" t="n">
        <v>48</v>
      </c>
      <c r="J185" s="12" t="s">
        <v>123</v>
      </c>
      <c r="K185" s="2" t="n">
        <v>0</v>
      </c>
      <c r="L185" s="2" t="n">
        <v>0</v>
      </c>
      <c r="M185" s="0" t="s">
        <v>88</v>
      </c>
      <c r="N185" s="0" t="n">
        <v>0</v>
      </c>
      <c r="O185" s="0" t="s">
        <v>104</v>
      </c>
      <c r="P185" s="0" t="s">
        <v>124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4" t="n">
        <v>0</v>
      </c>
      <c r="AT185" s="3" t="n">
        <f aca="false">4+54/60</f>
        <v>4.9</v>
      </c>
      <c r="AU185" s="3" t="n">
        <f aca="false">28+9/60</f>
        <v>28.15</v>
      </c>
      <c r="AV185" s="3" t="n">
        <f aca="false">5+51/60</f>
        <v>5.85</v>
      </c>
      <c r="AW185" s="3" t="n">
        <f aca="false">7+3/60</f>
        <v>7.05</v>
      </c>
      <c r="AX185" s="3" t="n">
        <f aca="false">19+18/60</f>
        <v>19.3</v>
      </c>
      <c r="AY185" s="0" t="s">
        <v>57</v>
      </c>
      <c r="AZ185" s="0" t="s">
        <v>58</v>
      </c>
      <c r="BA185" s="0" t="n">
        <v>1</v>
      </c>
      <c r="BB185" s="0" t="s">
        <v>79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12" t="s">
        <v>119</v>
      </c>
      <c r="G186" s="12" t="n">
        <v>93</v>
      </c>
      <c r="H186" s="2" t="n">
        <v>62</v>
      </c>
      <c r="I186" s="2" t="n">
        <v>37</v>
      </c>
      <c r="J186" s="2" t="s">
        <v>125</v>
      </c>
      <c r="K186" s="2" t="n">
        <v>3</v>
      </c>
      <c r="L186" s="2" t="n">
        <v>0</v>
      </c>
      <c r="M186" s="0" t="s">
        <v>87</v>
      </c>
      <c r="N186" s="0" t="n">
        <v>0</v>
      </c>
      <c r="O186" s="0" t="s">
        <v>104</v>
      </c>
      <c r="P186" s="0" t="s">
        <v>94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4" t="n">
        <v>0</v>
      </c>
      <c r="AT186" s="3" t="n">
        <f aca="false">20+59/60</f>
        <v>20.9833333333333</v>
      </c>
      <c r="AU186" s="3" t="n">
        <f aca="false">26+52/60</f>
        <v>26.8666666666667</v>
      </c>
      <c r="AV186" s="3" t="n">
        <f aca="false">20+52/60</f>
        <v>20.8666666666667</v>
      </c>
      <c r="AW186" s="3" t="n">
        <f aca="false">10+36/60</f>
        <v>10.6</v>
      </c>
      <c r="AX186" s="3" t="n">
        <v>0</v>
      </c>
      <c r="AY186" s="0" t="s">
        <v>57</v>
      </c>
      <c r="AZ186" s="0" t="s">
        <v>58</v>
      </c>
      <c r="BA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12" t="s">
        <v>117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126</v>
      </c>
      <c r="K187" s="2" t="n">
        <f aca="false">(7+12)/2</f>
        <v>9.5</v>
      </c>
      <c r="L187" s="2" t="n">
        <v>0</v>
      </c>
      <c r="M187" s="0" t="s">
        <v>87</v>
      </c>
      <c r="N187" s="0" t="n">
        <v>0</v>
      </c>
      <c r="O187" s="0" t="s">
        <v>104</v>
      </c>
      <c r="P187" s="0" t="s">
        <v>127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4" t="n">
        <v>0</v>
      </c>
      <c r="AT187" s="3" t="n">
        <v>0</v>
      </c>
      <c r="AU187" s="3" t="n">
        <f aca="false">6</f>
        <v>6</v>
      </c>
      <c r="AV187" s="3" t="n">
        <f aca="false">7+19/60</f>
        <v>7.31666666666667</v>
      </c>
      <c r="AW187" s="3" t="n">
        <f aca="false">21+30/60</f>
        <v>21.5</v>
      </c>
      <c r="AX187" s="3" t="n">
        <f aca="false">13+41/60</f>
        <v>13.6833333333333</v>
      </c>
      <c r="AY187" s="0" t="s">
        <v>57</v>
      </c>
      <c r="AZ187" s="0" t="s">
        <v>58</v>
      </c>
      <c r="BA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68</v>
      </c>
      <c r="F188" s="12" t="s">
        <v>119</v>
      </c>
      <c r="G188" s="2" t="n">
        <v>91</v>
      </c>
      <c r="H188" s="2" t="n">
        <v>63</v>
      </c>
      <c r="I188" s="2" t="n">
        <v>38</v>
      </c>
      <c r="J188" s="2" t="s">
        <v>99</v>
      </c>
      <c r="K188" s="2" t="n">
        <v>3</v>
      </c>
      <c r="L188" s="2" t="n">
        <v>0</v>
      </c>
      <c r="M188" s="0" t="s">
        <v>87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10" t="s">
        <v>69</v>
      </c>
      <c r="F189" s="12" t="s">
        <v>119</v>
      </c>
      <c r="G189" s="2" t="n">
        <v>94</v>
      </c>
      <c r="H189" s="2" t="n">
        <v>65</v>
      </c>
      <c r="I189" s="2" t="n">
        <v>38</v>
      </c>
      <c r="J189" s="2" t="s">
        <v>128</v>
      </c>
      <c r="K189" s="2" t="n">
        <v>9</v>
      </c>
      <c r="L189" s="2" t="n">
        <v>0</v>
      </c>
      <c r="M189" s="0" t="s">
        <v>87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12" t="s">
        <v>117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129</v>
      </c>
      <c r="K190" s="2" t="n">
        <v>0</v>
      </c>
      <c r="L190" s="2" t="n">
        <v>0</v>
      </c>
      <c r="M190" s="0" t="s">
        <v>87</v>
      </c>
      <c r="N190" s="0" t="n">
        <v>0</v>
      </c>
      <c r="O190" s="0" t="s">
        <v>104</v>
      </c>
      <c r="P190" s="0" t="s">
        <v>94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P190" s="0" t="n">
        <v>1</v>
      </c>
      <c r="AQ190" s="0" t="n">
        <v>1</v>
      </c>
      <c r="AR190" s="0" t="n">
        <v>0</v>
      </c>
      <c r="AS190" s="4" t="n">
        <f aca="false">60*U190-SUM(AT190:AX190)</f>
        <v>7.55</v>
      </c>
      <c r="AT190" s="3" t="n">
        <f aca="false">67+3/60</f>
        <v>67.05</v>
      </c>
      <c r="AU190" s="3" t="n">
        <f aca="false">44+55/60</f>
        <v>44.9166666666667</v>
      </c>
      <c r="AV190" s="3" t="n">
        <f aca="false">3+29/60</f>
        <v>3.48333333333333</v>
      </c>
      <c r="AW190" s="3" t="n">
        <v>0</v>
      </c>
      <c r="AX190" s="3" t="n">
        <v>0</v>
      </c>
      <c r="AY190" s="0" t="s">
        <v>57</v>
      </c>
      <c r="AZ190" s="0" t="s">
        <v>58</v>
      </c>
      <c r="BA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12" t="s">
        <v>114</v>
      </c>
      <c r="G191" s="2" t="n">
        <v>86</v>
      </c>
      <c r="H191" s="2" t="n">
        <v>86</v>
      </c>
      <c r="I191" s="2" t="n">
        <v>73</v>
      </c>
      <c r="J191" s="2" t="s">
        <v>125</v>
      </c>
      <c r="K191" s="2" t="n">
        <f aca="false">(5+8)/2</f>
        <v>6.5</v>
      </c>
      <c r="L191" s="2" t="n">
        <v>0</v>
      </c>
      <c r="M191" s="0" t="s">
        <v>87</v>
      </c>
      <c r="N191" s="0" t="n">
        <v>0</v>
      </c>
      <c r="O191" s="0" t="s">
        <v>104</v>
      </c>
      <c r="P191" s="0" t="s">
        <v>71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P191" s="0" t="n">
        <v>3</v>
      </c>
      <c r="AQ191" s="0" t="n">
        <v>0</v>
      </c>
      <c r="AR191" s="0" t="n">
        <v>0</v>
      </c>
      <c r="AS191" s="4" t="n">
        <f aca="false">60*U191-SUM(AT191:AX191)</f>
        <v>6.8</v>
      </c>
      <c r="AT191" s="3" t="n">
        <f aca="false">11/60</f>
        <v>0.183333333333333</v>
      </c>
      <c r="AU191" s="3" t="n">
        <f aca="false">17+29/60</f>
        <v>17.4833333333333</v>
      </c>
      <c r="AV191" s="3" t="n">
        <f aca="false">8+41/60</f>
        <v>8.68333333333333</v>
      </c>
      <c r="AW191" s="3" t="n">
        <f aca="false">5+27/60</f>
        <v>5.45</v>
      </c>
      <c r="AX191" s="3" t="n">
        <f aca="false">42+24/60</f>
        <v>42.4</v>
      </c>
      <c r="AY191" s="0" t="s">
        <v>57</v>
      </c>
      <c r="AZ191" s="0" t="s">
        <v>58</v>
      </c>
      <c r="BA191" s="0" t="n">
        <v>1</v>
      </c>
      <c r="BB191" s="0" t="s">
        <v>130</v>
      </c>
    </row>
    <row r="192" customFormat="false" ht="12.8" hidden="false" customHeight="false" outlineLevel="0" collapsed="false">
      <c r="A192" s="0" t="n">
        <f aca="false">A191+1</f>
        <v>724</v>
      </c>
      <c r="B192" s="1" t="n">
        <v>44070.4486111111</v>
      </c>
      <c r="C192" s="0" t="n">
        <v>1</v>
      </c>
      <c r="F192" s="12" t="s">
        <v>117</v>
      </c>
      <c r="G192" s="2" t="n">
        <f aca="false">(81+90)/2</f>
        <v>85.5</v>
      </c>
      <c r="H192" s="2" t="n">
        <v>71</v>
      </c>
      <c r="I192" s="2" t="n">
        <f aca="false">AVERAGE(59,52)</f>
        <v>55.5</v>
      </c>
      <c r="J192" s="2" t="s">
        <v>96</v>
      </c>
      <c r="K192" s="2" t="n">
        <f aca="false">AVERAGE(6,3)</f>
        <v>4.5</v>
      </c>
      <c r="L192" s="2" t="n">
        <v>0</v>
      </c>
      <c r="M192" s="0" t="s">
        <v>87</v>
      </c>
      <c r="N192" s="0" t="n">
        <v>0</v>
      </c>
      <c r="O192" s="0" t="s">
        <v>104</v>
      </c>
      <c r="P192" s="0" t="s">
        <v>94</v>
      </c>
      <c r="Q192" s="3" t="n">
        <v>3.8</v>
      </c>
      <c r="U192" s="3" t="n">
        <f aca="false">96/60</f>
        <v>1.6</v>
      </c>
      <c r="V192" s="3" t="n">
        <f aca="false">99/60</f>
        <v>1.65</v>
      </c>
      <c r="W192" s="3" t="n">
        <f aca="false">V192-U192</f>
        <v>0.0499999999999998</v>
      </c>
      <c r="X192" s="3" t="n">
        <f aca="false">Q192/U192</f>
        <v>2.375</v>
      </c>
      <c r="Y192" s="0" t="n">
        <v>2</v>
      </c>
      <c r="Z192" s="3" t="n">
        <f aca="false">Q192/Y192</f>
        <v>1.9</v>
      </c>
      <c r="AA192" s="3" t="n">
        <f aca="false">25+10/60</f>
        <v>25.1666666666667</v>
      </c>
      <c r="AB192" s="2" t="n">
        <v>43</v>
      </c>
      <c r="AC192" s="2" t="n">
        <v>408</v>
      </c>
      <c r="AD192" s="2" t="n">
        <v>84</v>
      </c>
      <c r="AE192" s="0" t="n">
        <v>125</v>
      </c>
      <c r="AF192" s="3" t="n">
        <f aca="false">19+26/60</f>
        <v>19.4333333333333</v>
      </c>
      <c r="AG192" s="3" t="n">
        <f aca="false">25+46/60</f>
        <v>25.7666666666667</v>
      </c>
      <c r="AH192" s="3" t="n">
        <f aca="false">29+21/60</f>
        <v>29.35</v>
      </c>
      <c r="AI192" s="3" t="n">
        <f aca="false">60/2.3</f>
        <v>26.0869565217391</v>
      </c>
      <c r="AP192" s="0" t="n">
        <v>0</v>
      </c>
      <c r="AQ192" s="0" t="n">
        <v>0</v>
      </c>
      <c r="AR192" s="0" t="n">
        <v>0</v>
      </c>
      <c r="AS192" s="4" t="n">
        <f aca="false">38+58/60</f>
        <v>38.9666666666667</v>
      </c>
      <c r="AT192" s="3" t="n">
        <f aca="false">34+127/60</f>
        <v>36.1166666666667</v>
      </c>
      <c r="AU192" s="3" t="n">
        <f aca="false">1+51/60</f>
        <v>1.85</v>
      </c>
      <c r="AV192" s="3" t="n">
        <f aca="false">20/60</f>
        <v>0.333333333333333</v>
      </c>
      <c r="AW192" s="3" t="n">
        <v>0</v>
      </c>
      <c r="AX192" s="3" t="n">
        <v>0</v>
      </c>
      <c r="AY192" s="0" t="s">
        <v>57</v>
      </c>
      <c r="AZ192" s="0" t="s">
        <v>58</v>
      </c>
      <c r="BA192" s="0" t="n">
        <v>0</v>
      </c>
    </row>
    <row r="193" customFormat="false" ht="12.8" hidden="false" customHeight="false" outlineLevel="0" collapsed="false">
      <c r="A193" s="0" t="n">
        <f aca="false">A192+1</f>
        <v>725</v>
      </c>
      <c r="B193" s="1" t="n">
        <v>44071.4854166667</v>
      </c>
      <c r="C193" s="0" t="n">
        <v>1</v>
      </c>
      <c r="F193" s="12" t="s">
        <v>119</v>
      </c>
      <c r="G193" s="2" t="n">
        <f aca="false">(93+97)/2</f>
        <v>95</v>
      </c>
      <c r="H193" s="2" t="n">
        <v>73</v>
      </c>
      <c r="I193" s="2" t="n">
        <f aca="false">(46+43)/2</f>
        <v>44.5</v>
      </c>
      <c r="J193" s="2" t="s">
        <v>97</v>
      </c>
      <c r="K193" s="2" t="n">
        <v>5</v>
      </c>
      <c r="L193" s="2" t="n">
        <v>0</v>
      </c>
      <c r="M193" s="0" t="s">
        <v>87</v>
      </c>
      <c r="N193" s="0" t="n">
        <v>0</v>
      </c>
      <c r="O193" s="0" t="s">
        <v>104</v>
      </c>
      <c r="P193" s="0" t="s">
        <v>56</v>
      </c>
      <c r="Q193" s="3" t="n">
        <v>3.54</v>
      </c>
      <c r="U193" s="3" t="n">
        <f aca="false">95/60</f>
        <v>1.58333333333333</v>
      </c>
      <c r="V193" s="3" t="n">
        <f aca="false">99/60</f>
        <v>1.65</v>
      </c>
      <c r="W193" s="3" t="n">
        <f aca="false">V193-U193</f>
        <v>0.0666666666666667</v>
      </c>
      <c r="X193" s="3" t="n">
        <f aca="false">Q192/U193</f>
        <v>2.4</v>
      </c>
      <c r="Y193" s="0" t="n">
        <v>3</v>
      </c>
      <c r="Z193" s="3" t="n">
        <f aca="false">Q192/Y193</f>
        <v>1.26666666666667</v>
      </c>
      <c r="AA193" s="3" t="n">
        <f aca="false">25+10/60</f>
        <v>25.1666666666667</v>
      </c>
      <c r="AB193" s="2" t="n">
        <v>43</v>
      </c>
      <c r="AC193" s="2" t="n">
        <v>408</v>
      </c>
      <c r="AD193" s="2" t="n">
        <v>122</v>
      </c>
      <c r="AE193" s="0" t="n">
        <v>145</v>
      </c>
      <c r="AF193" s="3" t="n">
        <f aca="false">18+44/60</f>
        <v>18.7333333333333</v>
      </c>
      <c r="AG193" s="3" t="n">
        <f aca="false">19+46/60</f>
        <v>19.7666666666667</v>
      </c>
      <c r="AH193" s="3" t="n">
        <f aca="false">22+45/60</f>
        <v>22.75</v>
      </c>
      <c r="AI193" s="3" t="n">
        <f aca="false">60/2.9</f>
        <v>20.6896551724138</v>
      </c>
      <c r="AP193" s="0" t="n">
        <v>0</v>
      </c>
      <c r="AQ193" s="0" t="n">
        <v>0</v>
      </c>
      <c r="AR193" s="0" t="n">
        <v>0</v>
      </c>
      <c r="AS193" s="4" t="n">
        <f aca="false">60*U193-SUM(AT193:AX193)</f>
        <v>29.4566666666667</v>
      </c>
      <c r="AT193" s="3" t="n">
        <f aca="false">38+51/60</f>
        <v>38.85</v>
      </c>
      <c r="AU193" s="3" t="n">
        <f aca="false">24+17/50</f>
        <v>24.34</v>
      </c>
      <c r="AV193" s="3" t="n">
        <f aca="false">1+51/50</f>
        <v>2.02</v>
      </c>
      <c r="AW193" s="3" t="n">
        <f aca="false">20/60</f>
        <v>0.333333333333333</v>
      </c>
      <c r="AX193" s="3" t="n">
        <v>0</v>
      </c>
      <c r="AY193" s="0" t="s">
        <v>57</v>
      </c>
      <c r="AZ193" s="0" t="s">
        <v>58</v>
      </c>
      <c r="BA193" s="0" t="n">
        <v>0</v>
      </c>
    </row>
    <row r="194" customFormat="false" ht="12.8" hidden="false" customHeight="false" outlineLevel="0" collapsed="false">
      <c r="A194" s="0" t="n">
        <f aca="false">A193+1</f>
        <v>726</v>
      </c>
      <c r="B194" s="1" t="n">
        <v>44072.4569444444</v>
      </c>
      <c r="C194" s="0" t="n">
        <v>1</v>
      </c>
      <c r="F194" s="12" t="s">
        <v>119</v>
      </c>
      <c r="G194" s="2" t="n">
        <f aca="false">(90+94)/2</f>
        <v>92</v>
      </c>
      <c r="H194" s="2" t="n">
        <v>75</v>
      </c>
      <c r="I194" s="2" t="n">
        <f aca="false">(63+54)/2</f>
        <v>58.5</v>
      </c>
      <c r="J194" s="12" t="s">
        <v>120</v>
      </c>
      <c r="K194" s="2" t="n">
        <f aca="false">(16+13)/2</f>
        <v>14.5</v>
      </c>
      <c r="L194" s="2" t="n">
        <v>0</v>
      </c>
      <c r="M194" s="0" t="s">
        <v>87</v>
      </c>
      <c r="N194" s="0" t="n">
        <v>0</v>
      </c>
      <c r="O194" s="0" t="s">
        <v>104</v>
      </c>
      <c r="P194" s="0" t="s">
        <v>94</v>
      </c>
      <c r="Q194" s="3" t="n">
        <v>3.31</v>
      </c>
      <c r="R194" s="2" t="n">
        <v>1277</v>
      </c>
      <c r="S194" s="2" t="n">
        <v>11928</v>
      </c>
      <c r="T194" s="2" t="n">
        <f aca="false">S194-R194</f>
        <v>10651</v>
      </c>
      <c r="U194" s="3" t="n">
        <f aca="false">85/60</f>
        <v>1.41666666666667</v>
      </c>
      <c r="V194" s="3" t="n">
        <f aca="false">85/60</f>
        <v>1.41666666666667</v>
      </c>
      <c r="W194" s="3" t="n">
        <f aca="false">V194-U194</f>
        <v>0</v>
      </c>
      <c r="X194" s="3" t="n">
        <f aca="false">Q193/U194</f>
        <v>2.49882352941176</v>
      </c>
      <c r="Y194" s="0" t="n">
        <v>2</v>
      </c>
      <c r="Z194" s="3" t="n">
        <f aca="false">Q194/V194</f>
        <v>2.33647058823529</v>
      </c>
      <c r="AA194" s="3" t="n">
        <f aca="false">25+34/60</f>
        <v>25.5666666666667</v>
      </c>
      <c r="AB194" s="2" t="n">
        <v>39</v>
      </c>
      <c r="AC194" s="2" t="n">
        <v>347</v>
      </c>
      <c r="AD194" s="2" t="n">
        <v>80</v>
      </c>
      <c r="AE194" s="0" t="n">
        <v>111</v>
      </c>
      <c r="AF194" s="3" t="n">
        <f aca="false">21+31/60</f>
        <v>21.5166666666667</v>
      </c>
      <c r="AG194" s="3" t="n">
        <f aca="false">27+9/60</f>
        <v>27.15</v>
      </c>
      <c r="AH194" s="3" t="n">
        <f aca="false">28+35/60</f>
        <v>28.5833333333333</v>
      </c>
      <c r="AI194" s="3" t="n">
        <f aca="false">60/2.5</f>
        <v>24</v>
      </c>
      <c r="AP194" s="0" t="n">
        <v>0</v>
      </c>
      <c r="AQ194" s="0" t="n">
        <v>0</v>
      </c>
      <c r="AR194" s="0" t="n">
        <v>0</v>
      </c>
      <c r="AS194" s="4" t="n">
        <f aca="false">60*U194-SUM(AT194:AX194)</f>
        <v>35.4166666666667</v>
      </c>
      <c r="AT194" s="4" t="n">
        <f aca="false">26+33/60</f>
        <v>26.55</v>
      </c>
      <c r="AU194" s="3" t="n">
        <f aca="false">20+15/60</f>
        <v>20.25</v>
      </c>
      <c r="AV194" s="3" t="n">
        <f aca="false">2+47/60</f>
        <v>2.78333333333333</v>
      </c>
      <c r="AW194" s="3" t="n">
        <v>0</v>
      </c>
      <c r="AX194" s="3" t="n">
        <v>0</v>
      </c>
      <c r="AY194" s="0" t="s">
        <v>57</v>
      </c>
      <c r="AZ194" s="0" t="s">
        <v>58</v>
      </c>
      <c r="BA194" s="0" t="n">
        <v>0</v>
      </c>
    </row>
    <row r="195" customFormat="false" ht="12.8" hidden="false" customHeight="false" outlineLevel="0" collapsed="false">
      <c r="A195" s="0" t="n">
        <f aca="false">A194+1</f>
        <v>727</v>
      </c>
      <c r="B195" s="1" t="n">
        <v>44073.5763888889</v>
      </c>
      <c r="C195" s="0" t="n">
        <v>1</v>
      </c>
      <c r="F195" s="12" t="s">
        <v>114</v>
      </c>
      <c r="G195" s="2" t="n">
        <f aca="false">(84+88)/2</f>
        <v>86</v>
      </c>
      <c r="H195" s="2" t="n">
        <v>76</v>
      </c>
      <c r="I195" s="2" t="n">
        <f aca="false">AVERAGE(76+70)/2</f>
        <v>73</v>
      </c>
      <c r="J195" s="2" t="s">
        <v>97</v>
      </c>
      <c r="K195" s="2" t="n">
        <f aca="false">(8+4)/2</f>
        <v>6</v>
      </c>
      <c r="L195" s="2" t="n">
        <v>0</v>
      </c>
      <c r="M195" s="0" t="s">
        <v>87</v>
      </c>
      <c r="N195" s="0" t="n">
        <v>0</v>
      </c>
      <c r="O195" s="0" t="s">
        <v>104</v>
      </c>
      <c r="P195" s="0" t="s">
        <v>63</v>
      </c>
      <c r="Q195" s="3" t="n">
        <v>4.29</v>
      </c>
      <c r="R195" s="2" t="n">
        <v>1560</v>
      </c>
      <c r="S195" s="2" t="n">
        <v>10829</v>
      </c>
      <c r="T195" s="2" t="n">
        <f aca="false">S195-R195</f>
        <v>9269</v>
      </c>
      <c r="U195" s="3" t="n">
        <f aca="false">73/60</f>
        <v>1.21666666666667</v>
      </c>
      <c r="V195" s="3" t="n">
        <f aca="false">85/60</f>
        <v>1.41666666666667</v>
      </c>
      <c r="W195" s="3" t="n">
        <f aca="false">V195-U195</f>
        <v>0.2</v>
      </c>
      <c r="X195" s="3" t="n">
        <f aca="false">Q195/U195</f>
        <v>3.52602739726027</v>
      </c>
      <c r="Y195" s="0" t="n">
        <v>1</v>
      </c>
      <c r="Z195" s="3" t="n">
        <f aca="false">Q195/Y195</f>
        <v>4.29</v>
      </c>
      <c r="AA195" s="3" t="n">
        <f aca="false">17+5/60</f>
        <v>17.0833333333333</v>
      </c>
      <c r="AB195" s="2" t="n">
        <v>260</v>
      </c>
      <c r="AC195" s="2" t="n">
        <v>710</v>
      </c>
      <c r="AD195" s="2" t="n">
        <v>127</v>
      </c>
      <c r="AE195" s="0" t="n">
        <v>150</v>
      </c>
      <c r="AF195" s="3" t="n">
        <f aca="false">16+14/60</f>
        <v>16.2333333333333</v>
      </c>
      <c r="AG195" s="3" t="n">
        <f aca="false">16+35/60</f>
        <v>16.5833333333333</v>
      </c>
      <c r="AH195" s="3" t="n">
        <f aca="false">17+30/60</f>
        <v>17.5</v>
      </c>
      <c r="AI195" s="3" t="n">
        <f aca="false">17+48/60</f>
        <v>17.8</v>
      </c>
      <c r="AJ195" s="3" t="n">
        <f aca="false">60/3.4</f>
        <v>17.6470588235294</v>
      </c>
      <c r="AP195" s="0" t="n">
        <v>3</v>
      </c>
      <c r="AQ195" s="0" t="n">
        <v>0</v>
      </c>
      <c r="AR195" s="0" t="n">
        <v>0</v>
      </c>
      <c r="AS195" s="4" t="n">
        <v>0</v>
      </c>
      <c r="AT195" s="3" t="n">
        <f aca="false">36/60</f>
        <v>0.6</v>
      </c>
      <c r="AU195" s="3" t="n">
        <f aca="false">15+21/60</f>
        <v>15.35</v>
      </c>
      <c r="AV195" s="3" t="n">
        <f aca="false">4+43/60</f>
        <v>4.71666666666667</v>
      </c>
      <c r="AW195" s="3" t="n">
        <f aca="false">7+54/60</f>
        <v>7.9</v>
      </c>
      <c r="AX195" s="3" t="n">
        <f aca="false">44+43/60</f>
        <v>44.7166666666667</v>
      </c>
      <c r="AY195" s="0" t="s">
        <v>57</v>
      </c>
      <c r="AZ195" s="0" t="s">
        <v>58</v>
      </c>
      <c r="BA195" s="0" t="n">
        <v>0</v>
      </c>
    </row>
    <row r="196" customFormat="false" ht="12.8" hidden="false" customHeight="false" outlineLevel="0" collapsed="false">
      <c r="A196" s="0" t="n">
        <v>728</v>
      </c>
      <c r="B196" s="1" t="n">
        <v>44074.4576388889</v>
      </c>
      <c r="C196" s="0" t="n">
        <v>1</v>
      </c>
      <c r="F196" s="12" t="s">
        <v>114</v>
      </c>
      <c r="G196" s="2" t="n">
        <v>90</v>
      </c>
      <c r="H196" s="2" t="n">
        <v>77</v>
      </c>
      <c r="I196" s="2" t="n">
        <v>66</v>
      </c>
      <c r="J196" s="12" t="s">
        <v>120</v>
      </c>
      <c r="K196" s="2" t="n">
        <v>12</v>
      </c>
      <c r="L196" s="2" t="n">
        <v>0</v>
      </c>
      <c r="M196" s="0" t="s">
        <v>87</v>
      </c>
      <c r="N196" s="0" t="n">
        <v>0</v>
      </c>
      <c r="O196" s="0" t="s">
        <v>104</v>
      </c>
      <c r="P196" s="0" t="s">
        <v>80</v>
      </c>
      <c r="Q196" s="3" t="n">
        <v>4.04</v>
      </c>
      <c r="U196" s="3" t="n">
        <f aca="false">67/60</f>
        <v>1.11666666666667</v>
      </c>
      <c r="V196" s="3" t="n">
        <f aca="false">83/60</f>
        <v>1.38333333333333</v>
      </c>
      <c r="W196" s="3" t="n">
        <f aca="false">V196-U196</f>
        <v>0.266666666666667</v>
      </c>
      <c r="X196" s="3" t="n">
        <f aca="false">Q196/U196</f>
        <v>3.61791044776119</v>
      </c>
      <c r="Y196" s="0" t="n">
        <v>1</v>
      </c>
      <c r="Z196" s="3" t="n">
        <f aca="false">Q196/Y196</f>
        <v>4.04</v>
      </c>
      <c r="AA196" s="3" t="n">
        <f aca="false">16+36/60</f>
        <v>16.6</v>
      </c>
      <c r="AB196" s="2" t="n">
        <v>1020</v>
      </c>
      <c r="AC196" s="2" t="n">
        <v>606</v>
      </c>
      <c r="AD196" s="2" t="n">
        <v>121</v>
      </c>
      <c r="AE196" s="0" t="n">
        <v>159</v>
      </c>
      <c r="AF196" s="3" t="n">
        <f aca="false">15+47/60</f>
        <v>15.7833333333333</v>
      </c>
      <c r="AG196" s="3" t="n">
        <f aca="false">17+7/60</f>
        <v>17.1166666666667</v>
      </c>
      <c r="AH196" s="3" t="n">
        <f aca="false">16+34/60</f>
        <v>16.5666666666667</v>
      </c>
      <c r="AI196" s="3" t="n">
        <f aca="false">16+49/60</f>
        <v>16.8166666666667</v>
      </c>
      <c r="AJ196" s="3" t="n">
        <f aca="false">60/2.9</f>
        <v>20.6896551724138</v>
      </c>
      <c r="AP196" s="0" t="n">
        <v>3</v>
      </c>
      <c r="AQ196" s="0" t="n">
        <v>0</v>
      </c>
      <c r="AR196" s="0" t="n">
        <v>0</v>
      </c>
      <c r="AS196" s="4" t="n">
        <v>0</v>
      </c>
      <c r="AT196" s="3" t="n">
        <f aca="false">14/60</f>
        <v>0.233333333333333</v>
      </c>
      <c r="AU196" s="3" t="n">
        <f aca="false">22+10/60</f>
        <v>22.1666666666667</v>
      </c>
      <c r="AV196" s="3" t="n">
        <f aca="false">11+47/60</f>
        <v>11.7833333333333</v>
      </c>
      <c r="AW196" s="3" t="n">
        <f aca="false">6+56/60</f>
        <v>6.93333333333333</v>
      </c>
      <c r="AX196" s="3" t="n">
        <f aca="false">26+2/60</f>
        <v>26.0333333333333</v>
      </c>
      <c r="AY196" s="0" t="s">
        <v>57</v>
      </c>
      <c r="AZ196" s="0" t="s">
        <v>58</v>
      </c>
      <c r="BA196" s="0" t="n">
        <v>0</v>
      </c>
    </row>
    <row r="197" customFormat="false" ht="23.85" hidden="false" customHeight="false" outlineLevel="0" collapsed="false">
      <c r="A197" s="0" t="n">
        <v>729</v>
      </c>
      <c r="B197" s="1" t="n">
        <v>44075.4951388889</v>
      </c>
      <c r="C197" s="0" t="n">
        <v>0</v>
      </c>
      <c r="D197" s="10" t="s">
        <v>69</v>
      </c>
      <c r="F197" s="12" t="s">
        <v>131</v>
      </c>
      <c r="G197" s="2" t="n">
        <v>78</v>
      </c>
      <c r="H197" s="2" t="n">
        <v>71</v>
      </c>
      <c r="I197" s="2" t="n">
        <v>81</v>
      </c>
      <c r="J197" s="2" t="s">
        <v>128</v>
      </c>
      <c r="K197" s="2" t="n">
        <v>24</v>
      </c>
      <c r="L197" s="2" t="n">
        <v>32</v>
      </c>
      <c r="M197" s="0" t="s">
        <v>87</v>
      </c>
    </row>
    <row r="198" customFormat="false" ht="12.8" hidden="false" customHeight="false" outlineLevel="0" collapsed="false">
      <c r="A198" s="0" t="n">
        <f aca="false">A197+1</f>
        <v>730</v>
      </c>
      <c r="B198" s="1" t="n">
        <v>44076.5590277778</v>
      </c>
      <c r="C198" s="0" t="n">
        <v>1</v>
      </c>
      <c r="F198" s="12" t="s">
        <v>114</v>
      </c>
      <c r="G198" s="2" t="n">
        <v>77</v>
      </c>
      <c r="H198" s="2" t="n">
        <v>73</v>
      </c>
      <c r="I198" s="2" t="n">
        <v>84</v>
      </c>
      <c r="J198" s="12" t="s">
        <v>112</v>
      </c>
      <c r="K198" s="2" t="n">
        <v>14</v>
      </c>
      <c r="L198" s="2" t="n">
        <v>24</v>
      </c>
      <c r="M198" s="0" t="s">
        <v>88</v>
      </c>
      <c r="N198" s="0" t="n">
        <v>0</v>
      </c>
      <c r="O198" s="0" t="s">
        <v>104</v>
      </c>
      <c r="P198" s="0" t="s">
        <v>61</v>
      </c>
      <c r="Q198" s="3" t="n">
        <v>4.98</v>
      </c>
      <c r="R198" s="2" t="n">
        <v>1123</v>
      </c>
      <c r="S198" s="2" t="n">
        <v>11819</v>
      </c>
      <c r="T198" s="2" t="n">
        <f aca="false">S198-R198</f>
        <v>10696</v>
      </c>
      <c r="U198" s="3" t="n">
        <f aca="false">85/60</f>
        <v>1.41666666666667</v>
      </c>
      <c r="V198" s="3" t="n">
        <f aca="false">88/60</f>
        <v>1.46666666666667</v>
      </c>
      <c r="W198" s="3" t="n">
        <f aca="false">V198-U198</f>
        <v>0.0499999999999998</v>
      </c>
      <c r="X198" s="3" t="n">
        <f aca="false">Q198/U198</f>
        <v>3.51529411764705</v>
      </c>
      <c r="Y198" s="0" t="n">
        <v>1</v>
      </c>
      <c r="Z198" s="3" t="n">
        <f aca="false">Q198/Y198</f>
        <v>4.98</v>
      </c>
      <c r="AA198" s="3" t="n">
        <f aca="false">17+9/60</f>
        <v>17.15</v>
      </c>
      <c r="AB198" s="2" t="n">
        <v>509</v>
      </c>
      <c r="AC198" s="2" t="n">
        <v>631</v>
      </c>
      <c r="AD198" s="2" t="n">
        <v>113</v>
      </c>
      <c r="AE198" s="0" t="n">
        <v>141</v>
      </c>
      <c r="AF198" s="3" t="n">
        <f aca="false">17+30/60</f>
        <v>17.5</v>
      </c>
      <c r="AG198" s="3" t="n">
        <f aca="false">17+8/60</f>
        <v>17.1333333333333</v>
      </c>
      <c r="AH198" s="3" t="n">
        <f aca="false">17+5/60</f>
        <v>17.0833333333333</v>
      </c>
      <c r="AI198" s="3" t="n">
        <f aca="false">17+11/60</f>
        <v>17.1833333333333</v>
      </c>
      <c r="AJ198" s="3" t="n">
        <f aca="false">60/3.6</f>
        <v>16.6666666666667</v>
      </c>
      <c r="AP198" s="0" t="n">
        <v>1</v>
      </c>
      <c r="AQ198" s="0" t="n">
        <v>0</v>
      </c>
      <c r="AR198" s="0" t="n">
        <v>0</v>
      </c>
      <c r="AS198" s="4" t="n">
        <f aca="false">60*U198-SUM(AT198:AX198)</f>
        <v>9.45000000000023</v>
      </c>
      <c r="AT198" s="3" t="n">
        <f aca="false">4+18/60</f>
        <v>4.3</v>
      </c>
      <c r="AU198" s="3" t="n">
        <f aca="false">18+29/60</f>
        <v>18.4833333333333</v>
      </c>
      <c r="AV198" s="3" t="n">
        <f aca="false">28+7/60</f>
        <v>28.1166666666667</v>
      </c>
      <c r="AW198" s="3" t="n">
        <f aca="false">21+41/60</f>
        <v>21.6833333333333</v>
      </c>
      <c r="AX198" s="3" t="n">
        <f aca="false">2+58/60</f>
        <v>2.96666666666667</v>
      </c>
      <c r="AY198" s="0" t="s">
        <v>57</v>
      </c>
      <c r="AZ198" s="0" t="s">
        <v>58</v>
      </c>
      <c r="BA198" s="0" t="n">
        <v>0</v>
      </c>
    </row>
    <row r="199" customFormat="false" ht="12.8" hidden="false" customHeight="false" outlineLevel="0" collapsed="false">
      <c r="A199" s="0" t="n">
        <f aca="false">A198+1</f>
        <v>731</v>
      </c>
      <c r="B199" s="1" t="n">
        <v>44077.4701388889</v>
      </c>
      <c r="C199" s="0" t="n">
        <v>1</v>
      </c>
      <c r="F199" s="0" t="s">
        <v>54</v>
      </c>
      <c r="G199" s="2" t="n">
        <v>77</v>
      </c>
      <c r="H199" s="2" t="n">
        <v>73</v>
      </c>
      <c r="I199" s="2" t="n">
        <f aca="false">(91+84)/2</f>
        <v>87.5</v>
      </c>
      <c r="J199" s="12" t="s">
        <v>110</v>
      </c>
      <c r="K199" s="2" t="n">
        <v>8</v>
      </c>
      <c r="L199" s="2" t="n">
        <v>0</v>
      </c>
      <c r="M199" s="0" t="s">
        <v>88</v>
      </c>
      <c r="N199" s="0" t="n">
        <v>0</v>
      </c>
      <c r="O199" s="0" t="s">
        <v>104</v>
      </c>
      <c r="P199" s="0" t="s">
        <v>60</v>
      </c>
      <c r="Q199" s="3" t="n">
        <v>6.45</v>
      </c>
      <c r="R199" s="2" t="n">
        <v>947</v>
      </c>
      <c r="S199" s="2" t="n">
        <v>14525</v>
      </c>
      <c r="T199" s="2" t="n">
        <f aca="false">S199-R199</f>
        <v>13578</v>
      </c>
      <c r="U199" s="3" t="n">
        <f aca="false">106/60</f>
        <v>1.76666666666667</v>
      </c>
      <c r="V199" s="3" t="n">
        <f aca="false">109/60</f>
        <v>1.81666666666667</v>
      </c>
      <c r="W199" s="3" t="n">
        <f aca="false">V199-U199</f>
        <v>0.05</v>
      </c>
      <c r="X199" s="3" t="n">
        <f aca="false">Q199/U199</f>
        <v>3.65094339622642</v>
      </c>
      <c r="Y199" s="0" t="n">
        <v>1</v>
      </c>
      <c r="Z199" s="3" t="n">
        <f aca="false">Q199/Y199</f>
        <v>6.45</v>
      </c>
      <c r="AA199" s="3" t="n">
        <f aca="false">16+30/60</f>
        <v>16.5</v>
      </c>
      <c r="AB199" s="2" t="n">
        <v>522</v>
      </c>
      <c r="AC199" s="2" t="n">
        <v>693</v>
      </c>
      <c r="AD199" s="2" t="n">
        <v>92</v>
      </c>
      <c r="AE199" s="0" t="n">
        <v>120</v>
      </c>
      <c r="AF199" s="3" t="n">
        <f aca="false">16+4/60</f>
        <v>16.0666666666667</v>
      </c>
      <c r="AG199" s="3" t="n">
        <f aca="false">15+54/60</f>
        <v>15.9</v>
      </c>
      <c r="AH199" s="3" t="n">
        <f aca="false">16+57/60</f>
        <v>16.95</v>
      </c>
      <c r="AI199" s="3" t="n">
        <f aca="false">17+2/60</f>
        <v>17.0333333333333</v>
      </c>
      <c r="AJ199" s="3" t="n">
        <f aca="false">16+24/60</f>
        <v>16.4</v>
      </c>
      <c r="AK199" s="3" t="n">
        <f aca="false">16+40/60</f>
        <v>16.6666666666667</v>
      </c>
      <c r="AL199" s="3" t="n">
        <f aca="false">60/3.7</f>
        <v>16.2162162162162</v>
      </c>
      <c r="AP199" s="0" t="n">
        <v>3</v>
      </c>
      <c r="AQ199" s="0" t="n">
        <v>0</v>
      </c>
      <c r="AR199" s="0" t="n">
        <v>0</v>
      </c>
      <c r="AS199" s="4" t="n">
        <v>0</v>
      </c>
      <c r="AT199" s="3" t="n">
        <f aca="false">39+40/60</f>
        <v>39.6666666666667</v>
      </c>
      <c r="AU199" s="3" t="n">
        <f aca="false">55+10/60</f>
        <v>55.1666666666667</v>
      </c>
      <c r="AV199" s="3" t="n">
        <f aca="false">11+19/60</f>
        <v>11.3166666666667</v>
      </c>
      <c r="AW199" s="3" t="n">
        <f aca="false">7/60</f>
        <v>0.116666666666667</v>
      </c>
      <c r="AX199" s="3" t="n">
        <v>0</v>
      </c>
      <c r="AY199" s="0" t="s">
        <v>57</v>
      </c>
      <c r="AZ199" s="0" t="s">
        <v>58</v>
      </c>
      <c r="BA199" s="0" t="n">
        <v>0</v>
      </c>
    </row>
    <row r="200" customFormat="false" ht="13.8" hidden="false" customHeight="false" outlineLevel="0" collapsed="false">
      <c r="A200" s="0" t="n">
        <f aca="false">A199+1</f>
        <v>732</v>
      </c>
      <c r="B200" s="1" t="n">
        <v>44078.4743055556</v>
      </c>
      <c r="C200" s="0" t="n">
        <v>1</v>
      </c>
      <c r="F200" s="12" t="s">
        <v>114</v>
      </c>
      <c r="G200" s="2" t="n">
        <v>83</v>
      </c>
      <c r="H200" s="2" t="n">
        <v>72</v>
      </c>
      <c r="I200" s="2" t="n">
        <f aca="false">(76+71)/2</f>
        <v>73.5</v>
      </c>
      <c r="J200" s="12" t="s">
        <v>132</v>
      </c>
      <c r="K200" s="2" t="n">
        <v>5</v>
      </c>
      <c r="L200" s="2" t="n">
        <v>0</v>
      </c>
      <c r="M200" s="0" t="s">
        <v>87</v>
      </c>
      <c r="N200" s="0" t="n">
        <v>0</v>
      </c>
      <c r="O200" s="0" t="s">
        <v>104</v>
      </c>
      <c r="P200" s="13" t="s">
        <v>91</v>
      </c>
      <c r="Q200" s="3" t="n">
        <v>5.12</v>
      </c>
      <c r="R200" s="2" t="n">
        <v>800</v>
      </c>
      <c r="S200" s="2" t="n">
        <v>11895</v>
      </c>
      <c r="T200" s="2" t="n">
        <f aca="false">S200-R200</f>
        <v>11095</v>
      </c>
      <c r="U200" s="3" t="n">
        <f aca="false">(60+29)/60</f>
        <v>1.48333333333333</v>
      </c>
      <c r="V200" s="3" t="n">
        <f aca="false">(60+38)/60</f>
        <v>1.63333333333333</v>
      </c>
      <c r="W200" s="3" t="n">
        <f aca="false">V200-U200</f>
        <v>0.15</v>
      </c>
      <c r="X200" s="3" t="n">
        <f aca="false">Q200/U200</f>
        <v>3.45168539325843</v>
      </c>
      <c r="Y200" s="0" t="n">
        <v>1</v>
      </c>
      <c r="Z200" s="3" t="n">
        <f aca="false">Q200/Y200</f>
        <v>5.12</v>
      </c>
      <c r="AA200" s="3" t="n">
        <f aca="false">17+22/60</f>
        <v>17.3666666666667</v>
      </c>
      <c r="AB200" s="2" t="n">
        <v>656</v>
      </c>
      <c r="AC200" s="2" t="n">
        <v>895</v>
      </c>
      <c r="AD200" s="2" t="n">
        <v>128</v>
      </c>
      <c r="AE200" s="0" t="n">
        <v>152</v>
      </c>
      <c r="AF200" s="3" t="n">
        <f aca="false">16+37/60</f>
        <v>16.6166666666667</v>
      </c>
      <c r="AG200" s="3" t="n">
        <f aca="false">16+41/60</f>
        <v>16.6833333333333</v>
      </c>
      <c r="AH200" s="3" t="n">
        <f aca="false">16+51/60</f>
        <v>16.85</v>
      </c>
      <c r="AI200" s="3" t="n">
        <f aca="false">16+57/60</f>
        <v>16.95</v>
      </c>
      <c r="AJ200" s="3" t="n">
        <f aca="false">19+33/60</f>
        <v>19.55</v>
      </c>
      <c r="AK200" s="3" t="n">
        <f aca="false">60/3.2</f>
        <v>18.75</v>
      </c>
      <c r="AP200" s="0" t="n">
        <v>3</v>
      </c>
      <c r="AQ200" s="0" t="n">
        <v>1</v>
      </c>
      <c r="AR200" s="0" t="n">
        <v>0</v>
      </c>
      <c r="AS200" s="4" t="n">
        <f aca="false">60*U200-SUM(AT200:AX200)</f>
        <v>8.38333333333313</v>
      </c>
      <c r="AT200" s="3" t="n">
        <f aca="false">0</f>
        <v>0</v>
      </c>
      <c r="AU200" s="3" t="n">
        <f aca="false">6+37/60</f>
        <v>6.61666666666667</v>
      </c>
      <c r="AV200" s="3" t="n">
        <f aca="false">9+3/60</f>
        <v>9.05</v>
      </c>
      <c r="AW200" s="3" t="n">
        <f aca="false">41/60+41</f>
        <v>41.6833333333333</v>
      </c>
      <c r="AX200" s="3" t="n">
        <f aca="false">23+16/60</f>
        <v>23.2666666666667</v>
      </c>
      <c r="AY200" s="0" t="s">
        <v>57</v>
      </c>
      <c r="AZ200" s="0" t="s">
        <v>58</v>
      </c>
      <c r="BA200" s="0" t="n">
        <v>0</v>
      </c>
    </row>
    <row r="201" customFormat="false" ht="12.8" hidden="false" customHeight="false" outlineLevel="0" collapsed="false">
      <c r="A201" s="0" t="n">
        <f aca="false">A200+1</f>
        <v>733</v>
      </c>
      <c r="B201" s="1" t="n">
        <v>44079.6229166667</v>
      </c>
      <c r="C201" s="0" t="n">
        <v>1</v>
      </c>
      <c r="F201" s="12" t="s">
        <v>114</v>
      </c>
      <c r="G201" s="12" t="n">
        <v>89</v>
      </c>
      <c r="H201" s="0" t="n">
        <v>70</v>
      </c>
      <c r="I201" s="0" t="n">
        <v>53</v>
      </c>
      <c r="J201" s="0" t="s">
        <v>103</v>
      </c>
      <c r="K201" s="0" t="n">
        <v>7</v>
      </c>
      <c r="L201" s="0" t="n">
        <v>0</v>
      </c>
      <c r="M201" s="0" t="s">
        <v>88</v>
      </c>
      <c r="Q201" s="0"/>
      <c r="R201" s="0"/>
      <c r="S201" s="0"/>
      <c r="T201" s="0"/>
      <c r="U201" s="0"/>
      <c r="V201" s="0"/>
      <c r="W201" s="0"/>
      <c r="X201" s="0"/>
      <c r="Z201" s="0"/>
      <c r="AA201" s="0"/>
      <c r="AB201" s="0"/>
      <c r="AC201" s="0"/>
      <c r="AD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S201" s="0"/>
      <c r="AT201" s="0"/>
      <c r="AU201" s="0"/>
      <c r="AV201" s="0"/>
      <c r="AW201" s="0"/>
      <c r="AX201" s="0"/>
    </row>
    <row r="202" customFormat="false" ht="12.8" hidden="false" customHeight="false" outlineLevel="0" collapsed="false">
      <c r="A202" s="0" t="n">
        <f aca="false">A201+1</f>
        <v>734</v>
      </c>
      <c r="B202" s="1" t="n">
        <v>44080.4951388889</v>
      </c>
      <c r="C202" s="0" t="n">
        <v>0</v>
      </c>
      <c r="D202" s="0" t="s">
        <v>93</v>
      </c>
      <c r="F202" s="12" t="s">
        <v>119</v>
      </c>
      <c r="G202" s="2" t="n">
        <v>83</v>
      </c>
      <c r="H202" s="2" t="n">
        <v>75</v>
      </c>
      <c r="I202" s="2" t="n">
        <v>77</v>
      </c>
      <c r="J202" s="2" t="s">
        <v>107</v>
      </c>
      <c r="K202" s="2" t="n">
        <v>8</v>
      </c>
      <c r="L202" s="2" t="n">
        <v>0</v>
      </c>
      <c r="M202" s="0" t="s">
        <v>87</v>
      </c>
      <c r="N202" s="0" t="n">
        <v>0</v>
      </c>
      <c r="O202" s="0" t="s">
        <v>104</v>
      </c>
      <c r="P202" s="0" t="s">
        <v>76</v>
      </c>
      <c r="Q202" s="3" t="n">
        <v>2.22</v>
      </c>
      <c r="R202" s="2" t="n">
        <v>1167</v>
      </c>
      <c r="S202" s="2" t="n">
        <v>5976</v>
      </c>
      <c r="T202" s="2" t="n">
        <f aca="false">S202-R202</f>
        <v>4809</v>
      </c>
      <c r="U202" s="3" t="n">
        <f aca="false">36/60</f>
        <v>0.6</v>
      </c>
      <c r="V202" s="3" t="n">
        <f aca="false">36/60</f>
        <v>0.6</v>
      </c>
      <c r="W202" s="3" t="n">
        <f aca="false">V202-U202</f>
        <v>0</v>
      </c>
      <c r="X202" s="3" t="n">
        <f aca="false">Q202/U202</f>
        <v>3.7</v>
      </c>
      <c r="Y202" s="0" t="n">
        <v>2</v>
      </c>
      <c r="Z202" s="3" t="n">
        <f aca="false">Q202/Y202</f>
        <v>1.11</v>
      </c>
      <c r="AA202" s="3" t="n">
        <f aca="false">16+15/60</f>
        <v>16.25</v>
      </c>
      <c r="AB202" s="2" t="n">
        <v>43</v>
      </c>
      <c r="AC202" s="2" t="n">
        <v>235</v>
      </c>
      <c r="AD202" s="2" t="n">
        <v>100</v>
      </c>
      <c r="AE202" s="0" t="n">
        <v>124</v>
      </c>
      <c r="AF202" s="3" t="n">
        <f aca="false">16+27/60</f>
        <v>16.45</v>
      </c>
      <c r="AG202" s="3" t="n">
        <f aca="false">16+5/60</f>
        <v>16.0833333333333</v>
      </c>
      <c r="AH202" s="3" t="n">
        <f aca="false">60/3.7</f>
        <v>16.2162162162162</v>
      </c>
      <c r="AP202" s="0" t="n">
        <v>0</v>
      </c>
      <c r="AQ202" s="0" t="n">
        <v>0</v>
      </c>
      <c r="AR202" s="0" t="n">
        <v>0</v>
      </c>
      <c r="AS202" s="4" t="n">
        <f aca="false">60*U202-SUM(AT202:AX202)</f>
        <v>0.150000000000006</v>
      </c>
      <c r="AT202" s="3" t="n">
        <f aca="false">2+2/60</f>
        <v>2.03333333333333</v>
      </c>
      <c r="AU202" s="3" t="n">
        <f aca="false">26+4/60</f>
        <v>26.0666666666667</v>
      </c>
      <c r="AV202" s="3" t="n">
        <f aca="false">6+57/60</f>
        <v>6.95</v>
      </c>
      <c r="AW202" s="3" t="n">
        <f aca="false">48/60</f>
        <v>0.8</v>
      </c>
      <c r="AX202" s="3" t="n">
        <v>0</v>
      </c>
      <c r="AY202" s="0" t="s">
        <v>57</v>
      </c>
      <c r="AZ202" s="0" t="s">
        <v>58</v>
      </c>
      <c r="BA202" s="0" t="n">
        <v>0</v>
      </c>
    </row>
    <row r="203" customFormat="false" ht="12.8" hidden="false" customHeight="false" outlineLevel="0" collapsed="false">
      <c r="A203" s="0" t="n">
        <f aca="false">A202+1</f>
        <v>735</v>
      </c>
      <c r="B203" s="1" t="n">
        <v>44081.4673611111</v>
      </c>
      <c r="C203" s="0" t="n">
        <v>1</v>
      </c>
      <c r="F203" s="12" t="s">
        <v>117</v>
      </c>
      <c r="G203" s="2" t="n">
        <v>92</v>
      </c>
      <c r="H203" s="2" t="n">
        <v>70</v>
      </c>
      <c r="I203" s="12" t="n">
        <v>52</v>
      </c>
      <c r="J203" s="12" t="s">
        <v>120</v>
      </c>
      <c r="K203" s="2" t="n">
        <v>12</v>
      </c>
      <c r="L203" s="2" t="n">
        <v>0</v>
      </c>
      <c r="M203" s="0" t="s">
        <v>87</v>
      </c>
      <c r="N203" s="0" t="n">
        <v>0</v>
      </c>
      <c r="O203" s="0" t="s">
        <v>104</v>
      </c>
      <c r="P203" s="0" t="s">
        <v>89</v>
      </c>
      <c r="Q203" s="3" t="n">
        <v>5.86</v>
      </c>
      <c r="R203" s="2" t="n">
        <v>786</v>
      </c>
      <c r="U203" s="3" t="n">
        <f aca="false">(60+47)/60</f>
        <v>1.78333333333333</v>
      </c>
      <c r="V203" s="3" t="n">
        <f aca="false">(120+12)/60</f>
        <v>2.2</v>
      </c>
      <c r="W203" s="3" t="n">
        <f aca="false">V203-U203</f>
        <v>0.416666666666667</v>
      </c>
      <c r="X203" s="3" t="n">
        <f aca="false">Q203/U203</f>
        <v>3.28598130841121</v>
      </c>
      <c r="Y203" s="0" t="n">
        <v>1</v>
      </c>
      <c r="Z203" s="3" t="n">
        <f aca="false">Q203/Y203</f>
        <v>5.86</v>
      </c>
      <c r="AA203" s="3" t="n">
        <f aca="false">18+17/60</f>
        <v>18.2833333333333</v>
      </c>
      <c r="AB203" s="2" t="n">
        <v>850</v>
      </c>
      <c r="AC203" s="2" t="n">
        <v>991</v>
      </c>
      <c r="AD203" s="2" t="n">
        <v>121</v>
      </c>
      <c r="AE203" s="0" t="n">
        <v>128</v>
      </c>
      <c r="AF203" s="3" t="n">
        <f aca="false">16+13/60</f>
        <v>16.2166666666667</v>
      </c>
      <c r="AG203" s="3" t="n">
        <f aca="false">17+1/60</f>
        <v>17.0166666666667</v>
      </c>
      <c r="AH203" s="3" t="n">
        <f aca="false">18+55/60</f>
        <v>18.9166666666667</v>
      </c>
      <c r="AI203" s="3" t="n">
        <f aca="false">18+49/60</f>
        <v>18.8166666666667</v>
      </c>
      <c r="AJ203" s="3" t="n">
        <f aca="false">19+32/60</f>
        <v>19.5333333333333</v>
      </c>
      <c r="AK203" s="3" t="n">
        <f aca="false">60/3.1</f>
        <v>19.3548387096774</v>
      </c>
      <c r="AP203" s="0" t="n">
        <v>4</v>
      </c>
      <c r="AQ203" s="0" t="n">
        <v>1</v>
      </c>
      <c r="AR203" s="0" t="n">
        <v>0</v>
      </c>
      <c r="AS203" s="4" t="n">
        <v>0</v>
      </c>
      <c r="AT203" s="3" t="n">
        <f aca="false">14/60</f>
        <v>0.233333333333333</v>
      </c>
      <c r="AU203" s="3" t="n">
        <f aca="false">26+56/60</f>
        <v>26.9333333333333</v>
      </c>
      <c r="AV203" s="3" t="n">
        <f aca="false">9+20/60</f>
        <v>9.33333333333333</v>
      </c>
      <c r="AW203" s="3" t="n">
        <f aca="false">42+27/60</f>
        <v>42.45</v>
      </c>
      <c r="AX203" s="3" t="n">
        <f aca="false">28+17/60</f>
        <v>28.2833333333333</v>
      </c>
      <c r="AY203" s="0" t="s">
        <v>57</v>
      </c>
      <c r="AZ203" s="0" t="s">
        <v>58</v>
      </c>
      <c r="BA203" s="0" t="n">
        <v>0</v>
      </c>
    </row>
    <row r="204" customFormat="false" ht="12.8" hidden="false" customHeight="false" outlineLevel="0" collapsed="false">
      <c r="A204" s="0" t="n">
        <f aca="false">A203+1</f>
        <v>736</v>
      </c>
      <c r="B204" s="1" t="n">
        <v>44082.4756944445</v>
      </c>
      <c r="C204" s="0" t="n">
        <v>1</v>
      </c>
      <c r="F204" s="12" t="s">
        <v>114</v>
      </c>
      <c r="G204" s="2" t="n">
        <v>87</v>
      </c>
      <c r="H204" s="2" t="n">
        <v>73</v>
      </c>
      <c r="I204" s="2" t="n">
        <f aca="false">(67+61)/2</f>
        <v>64</v>
      </c>
      <c r="J204" s="2" t="s">
        <v>97</v>
      </c>
      <c r="K204" s="2" t="n">
        <v>16</v>
      </c>
      <c r="L204" s="2" t="n">
        <v>28</v>
      </c>
      <c r="M204" s="0" t="s">
        <v>88</v>
      </c>
      <c r="N204" s="0" t="n">
        <v>0</v>
      </c>
      <c r="O204" s="0" t="s">
        <v>104</v>
      </c>
      <c r="P204" s="0" t="s">
        <v>75</v>
      </c>
      <c r="Q204" s="3" t="n">
        <v>5.24</v>
      </c>
      <c r="U204" s="3" t="n">
        <f aca="false">(60+26)/60</f>
        <v>1.43333333333333</v>
      </c>
      <c r="V204" s="3" t="n">
        <f aca="false">(60+40)/60</f>
        <v>1.66666666666667</v>
      </c>
      <c r="W204" s="3" t="n">
        <f aca="false">V204-U204</f>
        <v>0.233333333333333</v>
      </c>
      <c r="X204" s="3" t="n">
        <f aca="false">Q204/U204</f>
        <v>3.65581395348837</v>
      </c>
      <c r="Y204" s="0" t="n">
        <v>1</v>
      </c>
      <c r="Z204" s="3" t="n">
        <f aca="false">Q204/Y204</f>
        <v>5.24</v>
      </c>
      <c r="AA204" s="3" t="n">
        <f aca="false">16+27/60</f>
        <v>16.45</v>
      </c>
      <c r="AB204" s="2" t="n">
        <v>1355</v>
      </c>
      <c r="AC204" s="2" t="n">
        <v>810</v>
      </c>
      <c r="AD204" s="2" t="n">
        <v>111</v>
      </c>
      <c r="AE204" s="0" t="n">
        <v>151</v>
      </c>
      <c r="AF204" s="3" t="n">
        <f aca="false">15+41/60</f>
        <v>15.6833333333333</v>
      </c>
      <c r="AG204" s="3" t="n">
        <f aca="false">15+48/60</f>
        <v>15.8</v>
      </c>
      <c r="AH204" s="3" t="n">
        <f aca="false">16+45/60</f>
        <v>16.75</v>
      </c>
      <c r="AI204" s="3" t="n">
        <f aca="false">16+44/60</f>
        <v>16.7333333333333</v>
      </c>
      <c r="AJ204" s="3" t="n">
        <f aca="false">16+45/60</f>
        <v>16.75</v>
      </c>
      <c r="AK204" s="3" t="n">
        <f aca="false">60/3.2</f>
        <v>18.75</v>
      </c>
      <c r="AP204" s="0" t="n">
        <v>4</v>
      </c>
      <c r="AQ204" s="0" t="n">
        <v>0</v>
      </c>
      <c r="AR204" s="0" t="n">
        <v>0</v>
      </c>
      <c r="AS204" s="4" t="n">
        <f aca="false">60*U204-SUM(AT204:AX204)</f>
        <v>13.6</v>
      </c>
      <c r="AT204" s="3" t="n">
        <f aca="false">18+29/60</f>
        <v>18.4833333333333</v>
      </c>
      <c r="AU204" s="3" t="n">
        <f aca="false">3+23/60</f>
        <v>3.38333333333333</v>
      </c>
      <c r="AV204" s="3" t="n">
        <f aca="false">3+4/60</f>
        <v>3.06666666666667</v>
      </c>
      <c r="AW204" s="3" t="n">
        <f aca="false">8+27/60</f>
        <v>8.45</v>
      </c>
      <c r="AX204" s="3" t="n">
        <f aca="false">39+1/60</f>
        <v>39.0166666666667</v>
      </c>
      <c r="AY204" s="0" t="s">
        <v>57</v>
      </c>
      <c r="AZ204" s="0" t="s">
        <v>58</v>
      </c>
      <c r="BA204" s="0" t="n">
        <v>0</v>
      </c>
    </row>
    <row r="205" customFormat="false" ht="12.8" hidden="false" customHeight="false" outlineLevel="0" collapsed="false">
      <c r="A205" s="0" t="n">
        <f aca="false">A204+1</f>
        <v>737</v>
      </c>
      <c r="B205" s="1" t="n">
        <v>44083.4951388889</v>
      </c>
      <c r="C205" s="0" t="n">
        <v>0</v>
      </c>
      <c r="D205" s="0" t="s">
        <v>79</v>
      </c>
      <c r="F205" s="12" t="s">
        <v>133</v>
      </c>
      <c r="G205" s="2" t="n">
        <v>81</v>
      </c>
      <c r="H205" s="2" t="n">
        <v>74</v>
      </c>
      <c r="I205" s="2" t="n">
        <v>76</v>
      </c>
      <c r="J205" s="12" t="s">
        <v>112</v>
      </c>
      <c r="K205" s="2" t="n">
        <v>10</v>
      </c>
      <c r="L205" s="2" t="n">
        <v>0</v>
      </c>
      <c r="M205" s="0" t="s">
        <v>88</v>
      </c>
    </row>
    <row r="206" customFormat="false" ht="12.8" hidden="false" customHeight="false" outlineLevel="0" collapsed="false">
      <c r="A206" s="0" t="n">
        <f aca="false">A205+1</f>
        <v>738</v>
      </c>
      <c r="B206" s="1" t="n">
        <v>44084.5798611111</v>
      </c>
      <c r="C206" s="0" t="n">
        <v>1</v>
      </c>
      <c r="F206" s="12" t="s">
        <v>114</v>
      </c>
      <c r="G206" s="2" t="n">
        <v>74</v>
      </c>
      <c r="H206" s="2" t="n">
        <v>63</v>
      </c>
      <c r="I206" s="2" t="n">
        <v>68</v>
      </c>
      <c r="J206" s="12" t="s">
        <v>134</v>
      </c>
      <c r="K206" s="2" t="n">
        <v>9</v>
      </c>
      <c r="L206" s="2" t="n">
        <v>0</v>
      </c>
      <c r="M206" s="12" t="s">
        <v>88</v>
      </c>
      <c r="N206" s="0" t="n">
        <v>0</v>
      </c>
      <c r="O206" s="0" t="s">
        <v>104</v>
      </c>
      <c r="P206" s="0" t="s">
        <v>80</v>
      </c>
      <c r="Q206" s="3" t="n">
        <v>6</v>
      </c>
      <c r="R206" s="2" t="n">
        <v>513</v>
      </c>
      <c r="S206" s="2" t="n">
        <v>12809</v>
      </c>
      <c r="T206" s="2" t="n">
        <f aca="false">S206-R206</f>
        <v>12296</v>
      </c>
      <c r="U206" s="3" t="n">
        <f aca="false">(60+34)/60</f>
        <v>1.56666666666667</v>
      </c>
      <c r="V206" s="3" t="n">
        <f aca="false">(60+39)/60</f>
        <v>1.65</v>
      </c>
      <c r="W206" s="3" t="n">
        <f aca="false">V206-U206</f>
        <v>0.0833333333333333</v>
      </c>
      <c r="X206" s="3" t="n">
        <f aca="false">Q206/U206</f>
        <v>3.82978723404255</v>
      </c>
      <c r="Y206" s="0" t="n">
        <v>1</v>
      </c>
      <c r="Z206" s="3" t="n">
        <f aca="false">Q206/Y206</f>
        <v>6</v>
      </c>
      <c r="AA206" s="3" t="n">
        <f aca="false">15+35/60</f>
        <v>15.5833333333333</v>
      </c>
      <c r="AB206" s="2" t="n">
        <v>312</v>
      </c>
      <c r="AC206" s="2" t="n">
        <v>644</v>
      </c>
      <c r="AD206" s="2" t="n">
        <v>90</v>
      </c>
      <c r="AE206" s="0" t="n">
        <v>115</v>
      </c>
      <c r="AF206" s="3" t="n">
        <f aca="false">15+28/60</f>
        <v>15.4666666666667</v>
      </c>
      <c r="AG206" s="3" t="n">
        <f aca="false">15+21/60</f>
        <v>15.35</v>
      </c>
      <c r="AH206" s="3" t="n">
        <f aca="false">15+39/60</f>
        <v>15.65</v>
      </c>
      <c r="AI206" s="3" t="n">
        <f aca="false">16+13/60</f>
        <v>16.2166666666667</v>
      </c>
      <c r="AJ206" s="3" t="n">
        <f aca="false">15+6/60</f>
        <v>15.1</v>
      </c>
      <c r="AK206" s="3" t="n">
        <f aca="false">15+41/60</f>
        <v>15.6833333333333</v>
      </c>
      <c r="AL206" s="3" t="n">
        <v>0</v>
      </c>
      <c r="AP206" s="0" t="n">
        <v>2</v>
      </c>
      <c r="AQ206" s="0" t="n">
        <v>0</v>
      </c>
      <c r="AR206" s="0" t="n">
        <v>0</v>
      </c>
      <c r="AS206" s="4" t="n">
        <f aca="false">60*U206-SUM(AT206:AX206)</f>
        <v>13.1166666666667</v>
      </c>
      <c r="AT206" s="3" t="n">
        <f aca="false">21+33/60</f>
        <v>21.55</v>
      </c>
      <c r="AU206" s="3" t="n">
        <f aca="false">55+36/60</f>
        <v>55.6</v>
      </c>
      <c r="AV206" s="3" t="n">
        <f aca="false">3+44/60</f>
        <v>3.73333333333333</v>
      </c>
      <c r="AW206" s="3" t="n">
        <v>0</v>
      </c>
      <c r="AX206" s="3" t="n">
        <v>0</v>
      </c>
      <c r="AY206" s="0" t="s">
        <v>57</v>
      </c>
      <c r="AZ206" s="0" t="s">
        <v>58</v>
      </c>
      <c r="BA206" s="0" t="n">
        <v>0</v>
      </c>
    </row>
    <row r="207" customFormat="false" ht="12.8" hidden="false" customHeight="false" outlineLevel="0" collapsed="false">
      <c r="A207" s="0" t="n">
        <f aca="false">A206+1</f>
        <v>739</v>
      </c>
      <c r="B207" s="1" t="n">
        <v>44085.5104166667</v>
      </c>
      <c r="C207" s="0" t="n">
        <v>1</v>
      </c>
      <c r="F207" s="12" t="s">
        <v>114</v>
      </c>
      <c r="G207" s="2" t="n">
        <v>71</v>
      </c>
      <c r="H207" s="2" t="n">
        <v>63</v>
      </c>
      <c r="I207" s="2" t="n">
        <v>68</v>
      </c>
      <c r="J207" s="12" t="s">
        <v>118</v>
      </c>
      <c r="K207" s="2" t="n">
        <v>3</v>
      </c>
      <c r="L207" s="2" t="n">
        <v>0</v>
      </c>
      <c r="M207" s="12" t="s">
        <v>88</v>
      </c>
      <c r="N207" s="0" t="n">
        <v>0</v>
      </c>
      <c r="O207" s="0" t="s">
        <v>135</v>
      </c>
      <c r="P207" s="0" t="s">
        <v>63</v>
      </c>
      <c r="Q207" s="3" t="n">
        <v>6.09</v>
      </c>
      <c r="R207" s="2" t="n">
        <v>581</v>
      </c>
      <c r="S207" s="2" t="n">
        <v>13154</v>
      </c>
      <c r="T207" s="2" t="n">
        <f aca="false">S207-R207</f>
        <v>12573</v>
      </c>
      <c r="U207" s="3" t="n">
        <f aca="false">(60+39)/60</f>
        <v>1.65</v>
      </c>
      <c r="V207" s="3" t="n">
        <f aca="false">(60+42)/60</f>
        <v>1.7</v>
      </c>
      <c r="W207" s="3" t="n">
        <f aca="false">V207-U207</f>
        <v>0.05</v>
      </c>
      <c r="X207" s="3" t="n">
        <f aca="false">Q207/U207</f>
        <v>3.69090909090909</v>
      </c>
      <c r="Y207" s="0" t="n">
        <v>1</v>
      </c>
      <c r="Z207" s="3" t="n">
        <f aca="false">Q207/Y207</f>
        <v>6.09</v>
      </c>
      <c r="AA207" s="3" t="n">
        <f aca="false">16+19/60</f>
        <v>16.3166666666667</v>
      </c>
      <c r="AB207" s="2" t="n">
        <v>925</v>
      </c>
      <c r="AC207" s="2" t="n">
        <v>666</v>
      </c>
      <c r="AD207" s="2" t="n">
        <v>88</v>
      </c>
      <c r="AE207" s="0" t="n">
        <v>128</v>
      </c>
      <c r="AF207" s="3" t="n">
        <f aca="false">16+5/60</f>
        <v>16.0833333333333</v>
      </c>
      <c r="AG207" s="3" t="n">
        <f aca="false">15+46/60</f>
        <v>15.7666666666667</v>
      </c>
      <c r="AH207" s="3" t="n">
        <f aca="false">15+59/60</f>
        <v>15.9833333333333</v>
      </c>
      <c r="AI207" s="3" t="n">
        <f aca="false">16+26/60</f>
        <v>16.4333333333333</v>
      </c>
      <c r="AJ207" s="3" t="n">
        <f aca="false">16+27/60</f>
        <v>16.45</v>
      </c>
      <c r="AK207" s="3" t="n">
        <f aca="false">16+40/60</f>
        <v>16.6666666666667</v>
      </c>
      <c r="AL207" s="3" t="n">
        <f aca="false">60/2.8</f>
        <v>21.4285714285714</v>
      </c>
      <c r="AP207" s="0" t="n">
        <v>2</v>
      </c>
      <c r="AQ207" s="0" t="n">
        <v>0</v>
      </c>
      <c r="AR207" s="0" t="n">
        <v>0</v>
      </c>
      <c r="AS207" s="4" t="n">
        <f aca="false">60*U207-SUM(AT207:AX207)</f>
        <v>15.0833333333333</v>
      </c>
      <c r="AT207" s="3" t="n">
        <f aca="false">37+28/60</f>
        <v>37.4666666666667</v>
      </c>
      <c r="AU207" s="3" t="n">
        <f aca="false">35+56/60</f>
        <v>35.9333333333333</v>
      </c>
      <c r="AV207" s="3" t="n">
        <f aca="false">7+14/60</f>
        <v>7.23333333333333</v>
      </c>
      <c r="AW207" s="3" t="n">
        <f aca="false">3+17/60</f>
        <v>3.28333333333333</v>
      </c>
      <c r="AX207" s="3" t="n">
        <v>0</v>
      </c>
      <c r="AY207" s="0" t="s">
        <v>57</v>
      </c>
      <c r="AZ207" s="0" t="s">
        <v>58</v>
      </c>
      <c r="BA207" s="0" t="n">
        <v>0</v>
      </c>
    </row>
    <row r="208" customFormat="false" ht="12.8" hidden="false" customHeight="false" outlineLevel="0" collapsed="false">
      <c r="A208" s="0" t="n">
        <f aca="false">A207+1</f>
        <v>740</v>
      </c>
      <c r="B208" s="1" t="n">
        <v>44086.4458333333</v>
      </c>
      <c r="C208" s="0" t="n">
        <v>1</v>
      </c>
      <c r="F208" s="12" t="s">
        <v>114</v>
      </c>
      <c r="G208" s="2" t="n">
        <f aca="false">79+35/60*(81-79)</f>
        <v>80.1666666666667</v>
      </c>
      <c r="H208" s="2" t="n">
        <v>68</v>
      </c>
      <c r="I208" s="2" t="n">
        <v>69</v>
      </c>
      <c r="J208" s="12" t="s">
        <v>118</v>
      </c>
      <c r="K208" s="2" t="n">
        <v>3</v>
      </c>
      <c r="L208" s="2" t="n">
        <v>0</v>
      </c>
      <c r="M208" s="12" t="s">
        <v>88</v>
      </c>
      <c r="N208" s="0" t="n">
        <v>0</v>
      </c>
      <c r="O208" s="0" t="s">
        <v>135</v>
      </c>
      <c r="P208" s="0" t="s">
        <v>127</v>
      </c>
      <c r="Q208" s="3" t="n">
        <v>4.84</v>
      </c>
      <c r="R208" s="2" t="n">
        <v>546</v>
      </c>
      <c r="S208" s="2" t="n">
        <v>11454</v>
      </c>
      <c r="T208" s="2" t="n">
        <f aca="false">S208-R208</f>
        <v>10908</v>
      </c>
      <c r="U208" s="3" t="n">
        <f aca="false">(60+35)/60</f>
        <v>1.58333333333333</v>
      </c>
      <c r="V208" s="3" t="n">
        <f aca="false">(60+48)/60</f>
        <v>1.8</v>
      </c>
      <c r="W208" s="3" t="n">
        <f aca="false">V208-U208</f>
        <v>0.216666666666667</v>
      </c>
      <c r="X208" s="3" t="n">
        <f aca="false">Q208/U208</f>
        <v>3.05684210526316</v>
      </c>
      <c r="Y208" s="0" t="n">
        <v>1</v>
      </c>
      <c r="Z208" s="3" t="n">
        <f aca="false">Q208/Y208</f>
        <v>4.84</v>
      </c>
      <c r="AA208" s="3" t="n">
        <f aca="false">19+42/60</f>
        <v>19.7</v>
      </c>
      <c r="AB208" s="2" t="n">
        <v>604</v>
      </c>
      <c r="AC208" s="2" t="n">
        <v>554</v>
      </c>
      <c r="AD208" s="2" t="n">
        <v>112</v>
      </c>
      <c r="AE208" s="0" t="n">
        <v>139</v>
      </c>
      <c r="AF208" s="3" t="n">
        <f aca="false">17+45/60</f>
        <v>17.75</v>
      </c>
      <c r="AG208" s="3" t="n">
        <f aca="false">21+52/60</f>
        <v>21.8666666666667</v>
      </c>
      <c r="AH208" s="3" t="n">
        <f aca="false">21+47/60</f>
        <v>21.7833333333333</v>
      </c>
      <c r="AI208" s="3" t="n">
        <f aca="false">17+43/60</f>
        <v>17.7166666666667</v>
      </c>
      <c r="AJ208" s="3" t="n">
        <f aca="false">16+18/2</f>
        <v>25</v>
      </c>
      <c r="AK208" s="3" t="n">
        <f aca="false">60/3.1</f>
        <v>19.3548387096774</v>
      </c>
      <c r="AP208" s="0" t="n">
        <v>1</v>
      </c>
      <c r="AQ208" s="0" t="n">
        <v>0</v>
      </c>
      <c r="AR208" s="0" t="n">
        <v>0</v>
      </c>
      <c r="AS208" s="4" t="n">
        <f aca="false">60*U208-SUM(AT208:AX208)</f>
        <v>1.46666666666667</v>
      </c>
      <c r="AT208" s="3" t="n">
        <f aca="false">28+36/60</f>
        <v>28.6</v>
      </c>
      <c r="AU208" s="3" t="n">
        <f aca="false">54+7/60</f>
        <v>54.1166666666667</v>
      </c>
      <c r="AV208" s="3" t="n">
        <f aca="false">10+49/60</f>
        <v>10.8166666666667</v>
      </c>
      <c r="AW208" s="3" t="n">
        <v>0</v>
      </c>
      <c r="AX208" s="3" t="n">
        <v>0</v>
      </c>
      <c r="AY208" s="0" t="s">
        <v>57</v>
      </c>
      <c r="AZ208" s="0" t="s">
        <v>58</v>
      </c>
      <c r="BA208" s="0" t="n">
        <v>0</v>
      </c>
    </row>
    <row r="209" customFormat="false" ht="12.8" hidden="false" customHeight="false" outlineLevel="0" collapsed="false">
      <c r="A209" s="0" t="n">
        <f aca="false">A208+1</f>
        <v>741</v>
      </c>
      <c r="B209" s="1" t="n">
        <v>44087.5770833333</v>
      </c>
      <c r="C209" s="0" t="n">
        <v>1</v>
      </c>
      <c r="F209" s="12" t="s">
        <v>117</v>
      </c>
      <c r="G209" s="2" t="n">
        <v>69</v>
      </c>
      <c r="H209" s="2" t="n">
        <v>69</v>
      </c>
      <c r="I209" s="2" t="n">
        <f aca="false">(57+51)/2</f>
        <v>54</v>
      </c>
      <c r="J209" s="12" t="s">
        <v>118</v>
      </c>
      <c r="K209" s="2" t="n">
        <f aca="false">(14+10)/2</f>
        <v>12</v>
      </c>
      <c r="L209" s="2" t="n">
        <v>21</v>
      </c>
      <c r="M209" s="12" t="s">
        <v>88</v>
      </c>
      <c r="N209" s="0" t="n">
        <v>0</v>
      </c>
      <c r="O209" s="0" t="s">
        <v>135</v>
      </c>
      <c r="P209" s="0" t="s">
        <v>71</v>
      </c>
      <c r="Q209" s="3" t="n">
        <v>5.32</v>
      </c>
      <c r="R209" s="2" t="n">
        <v>1557</v>
      </c>
      <c r="S209" s="2" t="n">
        <f aca="false">13164</f>
        <v>13164</v>
      </c>
      <c r="T209" s="2" t="n">
        <f aca="false">S209-R209</f>
        <v>11607</v>
      </c>
      <c r="U209" s="3" t="n">
        <f aca="false">(60+37)/60</f>
        <v>1.61666666666667</v>
      </c>
      <c r="V209" s="3" t="n">
        <f aca="false">(60+39)/60</f>
        <v>1.65</v>
      </c>
      <c r="W209" s="3" t="n">
        <f aca="false">V209-U209</f>
        <v>0.0333333333333332</v>
      </c>
      <c r="X209" s="3" t="n">
        <f aca="false">Q209/U209</f>
        <v>3.29072164948454</v>
      </c>
      <c r="Y209" s="0" t="n">
        <v>1</v>
      </c>
      <c r="Z209" s="3" t="n">
        <f aca="false">Q209/Y209</f>
        <v>5.32</v>
      </c>
      <c r="AA209" s="3" t="n">
        <f aca="false">18+14/60</f>
        <v>18.2333333333333</v>
      </c>
      <c r="AB209" s="2" t="n">
        <v>338</v>
      </c>
      <c r="AC209" s="2" t="n">
        <v>632</v>
      </c>
      <c r="AD209" s="2" t="n">
        <v>130</v>
      </c>
      <c r="AE209" s="0" t="n">
        <v>142</v>
      </c>
      <c r="AF209" s="3" t="n">
        <f aca="false">16+53/60</f>
        <v>16.8833333333333</v>
      </c>
      <c r="AG209" s="3" t="n">
        <f aca="false">17+5/60</f>
        <v>17.0833333333333</v>
      </c>
      <c r="AH209" s="3" t="n">
        <f aca="false">17+29/60</f>
        <v>17.4833333333333</v>
      </c>
      <c r="AI209" s="3" t="n">
        <f aca="false">18+51/60</f>
        <v>18.85</v>
      </c>
      <c r="AJ209" s="3" t="n">
        <f aca="false">19+37/50</f>
        <v>19.74</v>
      </c>
      <c r="AK209" s="3" t="n">
        <f aca="false">60/2.7</f>
        <v>22.2222222222222</v>
      </c>
      <c r="AP209" s="0" t="n">
        <v>1</v>
      </c>
      <c r="AQ209" s="0" t="n">
        <v>1</v>
      </c>
      <c r="AR209" s="0" t="n">
        <v>0</v>
      </c>
      <c r="AS209" s="4" t="n">
        <v>0</v>
      </c>
      <c r="AT209" s="3" t="n">
        <f aca="false">1+38/60</f>
        <v>1.63333333333333</v>
      </c>
      <c r="AU209" s="3" t="n">
        <f aca="false">15+26/60</f>
        <v>15.4333333333333</v>
      </c>
      <c r="AV209" s="3" t="n">
        <f aca="false">79+58/60</f>
        <v>79.9666666666667</v>
      </c>
      <c r="AW209" s="3" t="n">
        <v>0</v>
      </c>
      <c r="AX209" s="3" t="n">
        <v>0</v>
      </c>
      <c r="AY209" s="0" t="s">
        <v>57</v>
      </c>
      <c r="AZ209" s="0" t="s">
        <v>58</v>
      </c>
      <c r="BA209" s="0" t="n">
        <v>0</v>
      </c>
    </row>
    <row r="210" customFormat="false" ht="13.8" hidden="false" customHeight="false" outlineLevel="0" collapsed="false">
      <c r="A210" s="0" t="n">
        <f aca="false">A209+1</f>
        <v>742</v>
      </c>
      <c r="B210" s="1" t="n">
        <v>44088.7625</v>
      </c>
      <c r="C210" s="0" t="n">
        <v>1</v>
      </c>
      <c r="F210" s="12" t="s">
        <v>119</v>
      </c>
      <c r="G210" s="2" t="n">
        <v>88</v>
      </c>
      <c r="H210" s="2" t="n">
        <v>66</v>
      </c>
      <c r="I210" s="2" t="n">
        <v>52</v>
      </c>
      <c r="J210" s="2" t="s">
        <v>96</v>
      </c>
      <c r="K210" s="2" t="n">
        <v>7</v>
      </c>
      <c r="L210" s="2" t="n">
        <v>0</v>
      </c>
      <c r="M210" s="0" t="s">
        <v>88</v>
      </c>
      <c r="N210" s="0" t="n">
        <v>0</v>
      </c>
      <c r="O210" s="0" t="s">
        <v>135</v>
      </c>
      <c r="P210" s="13" t="s">
        <v>91</v>
      </c>
      <c r="Q210" s="3" t="n">
        <v>6.35</v>
      </c>
      <c r="R210" s="2" t="n">
        <v>2103</v>
      </c>
      <c r="S210" s="2" t="n">
        <v>13168</v>
      </c>
      <c r="T210" s="2" t="n">
        <f aca="false">S210-R210</f>
        <v>11065</v>
      </c>
      <c r="U210" s="3" t="n">
        <f aca="false">(60+52)/60</f>
        <v>1.86666666666667</v>
      </c>
      <c r="V210" s="3" t="n">
        <f aca="false">(60+56)/60</f>
        <v>1.93333333333333</v>
      </c>
      <c r="W210" s="3" t="n">
        <f aca="false">V210-U210</f>
        <v>0.0666666666666667</v>
      </c>
      <c r="X210" s="3" t="n">
        <f aca="false">Q210/U210</f>
        <v>3.40178571428571</v>
      </c>
      <c r="Y210" s="0" t="n">
        <v>1</v>
      </c>
      <c r="Z210" s="3" t="n">
        <f aca="false">Q210/Y210</f>
        <v>6.35</v>
      </c>
      <c r="AA210" s="3" t="n">
        <f aca="false">18+14/60</f>
        <v>18.2333333333333</v>
      </c>
      <c r="AB210" s="2" t="n">
        <v>626</v>
      </c>
      <c r="AC210" s="2" t="n">
        <v>701</v>
      </c>
      <c r="AD210" s="2" t="n">
        <v>115</v>
      </c>
      <c r="AE210" s="0" t="n">
        <v>140</v>
      </c>
      <c r="AF210" s="3" t="n">
        <f aca="false">17+23/60</f>
        <v>17.3833333333333</v>
      </c>
      <c r="AG210" s="3" t="n">
        <f aca="false">17+19/60</f>
        <v>17.3166666666667</v>
      </c>
      <c r="AH210" s="3" t="n">
        <f aca="false">17+17/60</f>
        <v>17.2833333333333</v>
      </c>
      <c r="AI210" s="3" t="n">
        <f aca="false">+18+11/60</f>
        <v>18.1833333333333</v>
      </c>
      <c r="AJ210" s="3" t="n">
        <f aca="false">18+11/60</f>
        <v>18.1833333333333</v>
      </c>
      <c r="AK210" s="3" t="n">
        <f aca="false">18+11/60</f>
        <v>18.1833333333333</v>
      </c>
      <c r="AL210" s="3" t="n">
        <f aca="false">60/3.2</f>
        <v>18.75</v>
      </c>
      <c r="AP210" s="0" t="n">
        <v>4</v>
      </c>
      <c r="AQ210" s="0" t="n">
        <v>0</v>
      </c>
      <c r="AR210" s="0" t="n">
        <v>0</v>
      </c>
      <c r="AS210" s="4" t="n">
        <f aca="false">60*U210-SUM(AT210:AX210)</f>
        <v>4.96666666666667</v>
      </c>
      <c r="AT210" s="3" t="n">
        <f aca="false">27+23/60</f>
        <v>27.3833333333333</v>
      </c>
      <c r="AU210" s="3" t="n">
        <f aca="false">49+26/60</f>
        <v>49.4333333333333</v>
      </c>
      <c r="AV210" s="3" t="n">
        <f aca="false">30+13/60</f>
        <v>30.2166666666667</v>
      </c>
      <c r="AW210" s="3" t="n">
        <v>0</v>
      </c>
      <c r="AX210" s="3" t="n">
        <v>0</v>
      </c>
      <c r="AY210" s="0" t="s">
        <v>57</v>
      </c>
      <c r="AZ210" s="0" t="s">
        <v>58</v>
      </c>
      <c r="BA210" s="0" t="n">
        <v>0</v>
      </c>
    </row>
    <row r="211" customFormat="false" ht="12.8" hidden="false" customHeight="false" outlineLevel="0" collapsed="false">
      <c r="A211" s="0" t="n">
        <f aca="false">A210+1</f>
        <v>743</v>
      </c>
      <c r="B211" s="1" t="n">
        <v>44089.4618055556</v>
      </c>
      <c r="C211" s="0" t="n">
        <v>1</v>
      </c>
      <c r="F211" s="12" t="s">
        <v>117</v>
      </c>
      <c r="G211" s="2" t="n">
        <v>85</v>
      </c>
      <c r="H211" s="2" t="n">
        <v>70</v>
      </c>
      <c r="I211" s="2" t="n">
        <f aca="false">(63+59)/2</f>
        <v>61</v>
      </c>
      <c r="J211" s="2" t="s">
        <v>96</v>
      </c>
      <c r="K211" s="2" t="n">
        <f aca="false">(3+7)/2</f>
        <v>5</v>
      </c>
      <c r="L211" s="2" t="n">
        <v>0</v>
      </c>
      <c r="M211" s="0" t="s">
        <v>87</v>
      </c>
      <c r="N211" s="0" t="n">
        <v>0</v>
      </c>
      <c r="O211" s="0" t="s">
        <v>135</v>
      </c>
      <c r="P211" s="0" t="s">
        <v>61</v>
      </c>
      <c r="Q211" s="3" t="n">
        <v>5.89</v>
      </c>
      <c r="R211" s="2" t="n">
        <v>776</v>
      </c>
      <c r="S211" s="2" t="n">
        <v>13433</v>
      </c>
      <c r="T211" s="2" t="n">
        <f aca="false">S211-R211</f>
        <v>12657</v>
      </c>
      <c r="U211" s="3" t="n">
        <f aca="false">(60+41)/60</f>
        <v>1.68333333333333</v>
      </c>
      <c r="V211" s="3" t="n">
        <f aca="false">(60+56)/60</f>
        <v>1.93333333333333</v>
      </c>
      <c r="W211" s="3" t="n">
        <f aca="false">V211-U211</f>
        <v>0.25</v>
      </c>
      <c r="X211" s="3" t="n">
        <f aca="false">Q211/U211</f>
        <v>3.4990099009901</v>
      </c>
      <c r="Y211" s="0" t="n">
        <v>1</v>
      </c>
      <c r="Z211" s="3" t="n">
        <f aca="false">Q211/Y211</f>
        <v>5.89</v>
      </c>
      <c r="AA211" s="3" t="n">
        <f aca="false">17+4/60</f>
        <v>17.0666666666667</v>
      </c>
      <c r="AB211" s="2" t="n">
        <v>761</v>
      </c>
      <c r="AC211" s="2" t="n">
        <v>692</v>
      </c>
      <c r="AD211" s="2" t="n">
        <v>118</v>
      </c>
      <c r="AE211" s="0" t="n">
        <v>149</v>
      </c>
      <c r="AF211" s="3" t="n">
        <f aca="false">16+16/60</f>
        <v>16.2666666666667</v>
      </c>
      <c r="AG211" s="3" t="n">
        <f aca="false">16+17/60</f>
        <v>16.2833333333333</v>
      </c>
      <c r="AH211" s="3" t="n">
        <f aca="false">17+22/60</f>
        <v>17.3666666666667</v>
      </c>
      <c r="AI211" s="3" t="n">
        <f aca="false">18+10/60</f>
        <v>18.1666666666667</v>
      </c>
      <c r="AJ211" s="3" t="n">
        <f aca="false">60/3.6</f>
        <v>16.6666666666667</v>
      </c>
      <c r="AP211" s="0" t="n">
        <v>4</v>
      </c>
      <c r="AQ211" s="0" t="n">
        <v>0</v>
      </c>
      <c r="AR211" s="0" t="n">
        <v>0</v>
      </c>
      <c r="AS211" s="4" t="n">
        <f aca="false">60*U211-SUM(AT211:AX211)</f>
        <v>0.36666666666666</v>
      </c>
      <c r="AT211" s="4" t="n">
        <f aca="false">32+59/60</f>
        <v>32.9833333333333</v>
      </c>
      <c r="AU211" s="3" t="n">
        <f aca="false">31+4/60</f>
        <v>31.0666666666667</v>
      </c>
      <c r="AV211" s="3" t="n">
        <f aca="false">34+11/60</f>
        <v>34.1833333333333</v>
      </c>
      <c r="AW211" s="3" t="n">
        <f aca="false">2+24/60</f>
        <v>2.4</v>
      </c>
      <c r="AX211" s="3" t="n">
        <v>0</v>
      </c>
      <c r="AY211" s="0" t="s">
        <v>57</v>
      </c>
      <c r="AZ211" s="0" t="s">
        <v>58</v>
      </c>
      <c r="BA211" s="0" t="n">
        <v>0</v>
      </c>
    </row>
    <row r="212" customFormat="false" ht="12.8" hidden="false" customHeight="false" outlineLevel="0" collapsed="false">
      <c r="A212" s="0" t="n">
        <f aca="false">A211+1</f>
        <v>744</v>
      </c>
      <c r="B212" s="1" t="n">
        <v>44090.5486111111</v>
      </c>
      <c r="C212" s="0" t="n">
        <v>0</v>
      </c>
      <c r="D212" s="0" t="s">
        <v>68</v>
      </c>
      <c r="F212" s="12" t="s">
        <v>119</v>
      </c>
      <c r="G212" s="2" t="n">
        <v>89</v>
      </c>
      <c r="H212" s="2" t="n">
        <v>70</v>
      </c>
      <c r="I212" s="2" t="n">
        <f aca="false">(57+51)/2</f>
        <v>54</v>
      </c>
      <c r="J212" s="2" t="s">
        <v>96</v>
      </c>
      <c r="K212" s="2" t="n">
        <v>9</v>
      </c>
      <c r="L212" s="2" t="n">
        <v>0</v>
      </c>
      <c r="M212" s="0" t="s">
        <v>87</v>
      </c>
      <c r="N212" s="0" t="n">
        <v>0</v>
      </c>
      <c r="O212" s="0" t="s">
        <v>135</v>
      </c>
      <c r="P212" s="0" t="s">
        <v>89</v>
      </c>
      <c r="Q212" s="3" t="n">
        <v>5.41</v>
      </c>
      <c r="R212" s="2" t="n">
        <v>426</v>
      </c>
      <c r="S212" s="2" t="n">
        <v>12416</v>
      </c>
      <c r="T212" s="2" t="n">
        <f aca="false">S212-R212</f>
        <v>11990</v>
      </c>
      <c r="U212" s="3" t="n">
        <f aca="false">(60+33)/60</f>
        <v>1.55</v>
      </c>
      <c r="V212" s="3" t="n">
        <f aca="false">(60+40)/60</f>
        <v>1.66666666666667</v>
      </c>
      <c r="W212" s="3" t="n">
        <f aca="false">V212-U212</f>
        <v>0.116666666666667</v>
      </c>
      <c r="X212" s="3" t="n">
        <f aca="false">Q212/U212</f>
        <v>3.49032258064516</v>
      </c>
      <c r="Y212" s="0" t="n">
        <v>1</v>
      </c>
      <c r="Z212" s="3" t="n">
        <f aca="false">Q212/Y212</f>
        <v>5.41</v>
      </c>
      <c r="AA212" s="3" t="n">
        <f aca="false">17+10/60</f>
        <v>17.1666666666667</v>
      </c>
      <c r="AB212" s="2" t="n">
        <v>679</v>
      </c>
      <c r="AC212" s="2" t="n">
        <v>631</v>
      </c>
      <c r="AD212" s="2" t="n">
        <v>124</v>
      </c>
      <c r="AE212" s="0" t="n">
        <v>140</v>
      </c>
      <c r="AF212" s="3" t="n">
        <f aca="false">15+35/60</f>
        <v>15.5833333333333</v>
      </c>
      <c r="AG212" s="3" t="n">
        <f aca="false">17+14/60</f>
        <v>17.2333333333333</v>
      </c>
      <c r="AH212" s="3" t="n">
        <f aca="false">19+2/60</f>
        <v>19.0333333333333</v>
      </c>
      <c r="AI212" s="3" t="n">
        <f aca="false">17+17/60</f>
        <v>17.2833333333333</v>
      </c>
      <c r="AJ212" s="3" t="n">
        <f aca="false">16+50/60</f>
        <v>16.8333333333333</v>
      </c>
      <c r="AK212" s="3" t="n">
        <f aca="false">60/3.6</f>
        <v>16.6666666666667</v>
      </c>
      <c r="AP212" s="0" t="n">
        <v>3</v>
      </c>
      <c r="AQ212" s="0" t="n">
        <v>0</v>
      </c>
      <c r="AR212" s="0" t="n">
        <v>0</v>
      </c>
      <c r="AS212" s="4" t="n">
        <f aca="false">60*U212-SUM(AT212:AX212)</f>
        <v>0.0499999999999972</v>
      </c>
      <c r="AT212" s="3" t="n">
        <f aca="false">5+10/60</f>
        <v>5.16666666666667</v>
      </c>
      <c r="AU212" s="0" t="n">
        <f aca="false">35+15/60</f>
        <v>35.25</v>
      </c>
      <c r="AV212" s="3" t="n">
        <f aca="false">52+32/60</f>
        <v>52.5333333333333</v>
      </c>
      <c r="AW212" s="3" t="n">
        <v>0</v>
      </c>
      <c r="AX212" s="3" t="n">
        <v>0</v>
      </c>
      <c r="AY212" s="0" t="s">
        <v>57</v>
      </c>
      <c r="AZ212" s="0" t="s">
        <v>58</v>
      </c>
      <c r="BA212" s="0" t="n">
        <v>0</v>
      </c>
    </row>
    <row r="213" customFormat="false" ht="12.8" hidden="false" customHeight="false" outlineLevel="0" collapsed="false">
      <c r="A213" s="0" t="n">
        <f aca="false">A212+1</f>
        <v>745</v>
      </c>
      <c r="B213" s="1" t="n">
        <v>44091.5111111111</v>
      </c>
      <c r="C213" s="0" t="n">
        <v>1</v>
      </c>
      <c r="F213" s="12" t="s">
        <v>117</v>
      </c>
      <c r="G213" s="2" t="n">
        <v>88</v>
      </c>
      <c r="H213" s="2" t="n">
        <f aca="false">(65+62)/2</f>
        <v>63.5</v>
      </c>
      <c r="I213" s="2" t="n">
        <f aca="false">(51+54)/2</f>
        <v>52.5</v>
      </c>
      <c r="J213" s="12" t="s">
        <v>118</v>
      </c>
      <c r="K213" s="2" t="n">
        <v>8</v>
      </c>
      <c r="L213" s="2" t="n">
        <v>0</v>
      </c>
      <c r="M213" s="0" t="s">
        <v>88</v>
      </c>
      <c r="N213" s="0" t="n">
        <v>0</v>
      </c>
      <c r="O213" s="0" t="s">
        <v>135</v>
      </c>
      <c r="P213" s="0" t="s">
        <v>75</v>
      </c>
      <c r="Q213" s="3" t="n">
        <v>6.49</v>
      </c>
      <c r="R213" s="2" t="n">
        <v>1196</v>
      </c>
      <c r="S213" s="2" t="n">
        <f aca="false">15478-500</f>
        <v>14978</v>
      </c>
      <c r="T213" s="2" t="n">
        <f aca="false">S213-R213</f>
        <v>13782</v>
      </c>
      <c r="U213" s="3" t="n">
        <f aca="false">(60+46)/60</f>
        <v>1.76666666666667</v>
      </c>
      <c r="V213" s="3" t="n">
        <f aca="false">(120+9)/60</f>
        <v>2.15</v>
      </c>
      <c r="W213" s="3" t="n">
        <f aca="false">V213-U213</f>
        <v>0.383333333333333</v>
      </c>
      <c r="X213" s="3" t="n">
        <f aca="false">Q213/U213</f>
        <v>3.67358490566038</v>
      </c>
      <c r="Y213" s="0" t="n">
        <v>1</v>
      </c>
      <c r="Z213" s="3" t="n">
        <f aca="false">Q213/Y213</f>
        <v>6.49</v>
      </c>
      <c r="AA213" s="3" t="n">
        <f aca="false">16+18/60</f>
        <v>16.3</v>
      </c>
      <c r="AB213" s="2" t="n">
        <v>591</v>
      </c>
      <c r="AC213" s="2" t="n">
        <v>648</v>
      </c>
      <c r="AD213" s="2" t="n">
        <v>93</v>
      </c>
      <c r="AE213" s="0" t="n">
        <v>119</v>
      </c>
      <c r="AF213" s="3" t="n">
        <f aca="false">16+1/60</f>
        <v>16.0166666666667</v>
      </c>
      <c r="AG213" s="3" t="n">
        <f aca="false">15+56/60</f>
        <v>15.9333333333333</v>
      </c>
      <c r="AH213" s="3" t="n">
        <f aca="false">16+2/60</f>
        <v>16.0333333333333</v>
      </c>
      <c r="AI213" s="3" t="n">
        <f aca="false">16+42/60</f>
        <v>16.7</v>
      </c>
      <c r="AJ213" s="3" t="n">
        <f aca="false">16+10/60</f>
        <v>16.1666666666667</v>
      </c>
      <c r="AK213" s="3" t="n">
        <f aca="false">16+41/60</f>
        <v>16.6833333333333</v>
      </c>
      <c r="AL213" s="3" t="n">
        <f aca="false">60/3.7</f>
        <v>16.2162162162162</v>
      </c>
      <c r="AP213" s="0" t="n">
        <v>2</v>
      </c>
      <c r="AQ213" s="0" t="n">
        <v>0</v>
      </c>
      <c r="AR213" s="0" t="n">
        <v>0</v>
      </c>
      <c r="AS213" s="4" t="n">
        <f aca="false">60*U213-SUM(AT213:AX213)</f>
        <v>24.0166666666667</v>
      </c>
      <c r="AT213" s="3" t="n">
        <f aca="false">68+32/60</f>
        <v>68.5333333333333</v>
      </c>
      <c r="AU213" s="3" t="n">
        <f aca="false">13+27/60</f>
        <v>13.45</v>
      </c>
      <c r="AV213" s="3" t="n">
        <v>0</v>
      </c>
      <c r="AW213" s="3" t="n">
        <v>0</v>
      </c>
      <c r="AX213" s="3" t="n">
        <v>0</v>
      </c>
      <c r="AY213" s="0" t="s">
        <v>57</v>
      </c>
      <c r="AZ213" s="0" t="s">
        <v>58</v>
      </c>
      <c r="BA213" s="0" t="n">
        <v>0</v>
      </c>
    </row>
    <row r="214" customFormat="false" ht="12.8" hidden="false" customHeight="false" outlineLevel="0" collapsed="false">
      <c r="A214" s="0" t="n">
        <f aca="false">A213+1</f>
        <v>746</v>
      </c>
      <c r="B214" s="1" t="n">
        <v>44092.5263888889</v>
      </c>
      <c r="C214" s="0" t="n">
        <v>1</v>
      </c>
      <c r="F214" s="12" t="s">
        <v>117</v>
      </c>
      <c r="G214" s="2" t="n">
        <v>86</v>
      </c>
      <c r="H214" s="2" t="n">
        <v>64</v>
      </c>
      <c r="I214" s="2" t="n">
        <v>49</v>
      </c>
      <c r="J214" s="2" t="s">
        <v>102</v>
      </c>
      <c r="K214" s="2" t="n">
        <v>7</v>
      </c>
      <c r="L214" s="2" t="n">
        <v>0</v>
      </c>
      <c r="M214" s="0" t="s">
        <v>88</v>
      </c>
      <c r="N214" s="0" t="n">
        <v>0</v>
      </c>
      <c r="O214" s="0" t="s">
        <v>135</v>
      </c>
      <c r="P214" s="0" t="s">
        <v>80</v>
      </c>
      <c r="Q214" s="3" t="n">
        <v>6.17</v>
      </c>
      <c r="R214" s="2" t="n">
        <v>1315</v>
      </c>
      <c r="S214" s="2" t="n">
        <v>14154</v>
      </c>
      <c r="T214" s="2" t="n">
        <f aca="false">S214-R214</f>
        <v>12839</v>
      </c>
      <c r="U214" s="3" t="n">
        <f aca="false">(60+41)/60</f>
        <v>1.68333333333333</v>
      </c>
      <c r="V214" s="3" t="n">
        <f aca="false">(60+53)/60</f>
        <v>1.88333333333333</v>
      </c>
      <c r="W214" s="3" t="n">
        <f aca="false">V214-U214</f>
        <v>0.2</v>
      </c>
      <c r="X214" s="3" t="n">
        <f aca="false">Q214/U214</f>
        <v>3.66534653465347</v>
      </c>
      <c r="Y214" s="0" t="n">
        <v>1</v>
      </c>
      <c r="Z214" s="3" t="n">
        <f aca="false">Q214/Y214</f>
        <v>6.17</v>
      </c>
      <c r="AA214" s="3" t="n">
        <f aca="false">16+25/60</f>
        <v>16.4166666666667</v>
      </c>
      <c r="AB214" s="2" t="n">
        <v>279</v>
      </c>
      <c r="AC214" s="2" t="n">
        <v>691</v>
      </c>
      <c r="AD214" s="2" t="n">
        <v>106</v>
      </c>
      <c r="AE214" s="0" t="n">
        <v>142</v>
      </c>
      <c r="AF214" s="3" t="n">
        <f aca="false">16+8/60</f>
        <v>16.1333333333333</v>
      </c>
      <c r="AG214" s="3" t="n">
        <f aca="false">16+17/60</f>
        <v>16.2833333333333</v>
      </c>
      <c r="AH214" s="3" t="n">
        <f aca="false">16+12/60</f>
        <v>16.2</v>
      </c>
      <c r="AI214" s="3" t="n">
        <f aca="false">18+7/60</f>
        <v>18.1166666666667</v>
      </c>
      <c r="AJ214" s="3" t="n">
        <f aca="false">15+38/60</f>
        <v>15.6333333333333</v>
      </c>
      <c r="AK214" s="3" t="n">
        <f aca="false">16+4/60</f>
        <v>16.0666666666667</v>
      </c>
      <c r="AL214" s="3" t="n">
        <f aca="false">60/3.6</f>
        <v>16.6666666666667</v>
      </c>
      <c r="AP214" s="0" t="n">
        <v>2</v>
      </c>
      <c r="AQ214" s="0" t="n">
        <v>0</v>
      </c>
      <c r="AR214" s="0" t="n">
        <v>0</v>
      </c>
      <c r="AS214" s="4" t="n">
        <f aca="false">60*U214-SUM(AT214:AX214)</f>
        <v>25.5666666666667</v>
      </c>
      <c r="AT214" s="3" t="n">
        <f aca="false">32+29/60</f>
        <v>32.4833333333333</v>
      </c>
      <c r="AU214" s="3" t="n">
        <f aca="false">16+6/60</f>
        <v>16.1</v>
      </c>
      <c r="AV214" s="3" t="n">
        <f aca="false">26+51/60</f>
        <v>26.85</v>
      </c>
      <c r="AW214" s="3" t="n">
        <v>0</v>
      </c>
      <c r="AX214" s="3" t="n">
        <v>0</v>
      </c>
      <c r="AY214" s="0" t="s">
        <v>57</v>
      </c>
      <c r="AZ214" s="0" t="s">
        <v>58</v>
      </c>
      <c r="BA214" s="0" t="n">
        <v>0</v>
      </c>
    </row>
    <row r="215" customFormat="false" ht="12.8" hidden="false" customHeight="false" outlineLevel="0" collapsed="false">
      <c r="A215" s="0" t="n">
        <f aca="false">A214+1</f>
        <v>747</v>
      </c>
      <c r="B215" s="1" t="n">
        <v>44093.5027777778</v>
      </c>
      <c r="C215" s="0" t="n">
        <v>1</v>
      </c>
      <c r="F215" s="12" t="s">
        <v>119</v>
      </c>
      <c r="G215" s="2" t="n">
        <v>75</v>
      </c>
      <c r="H215" s="2" t="n">
        <v>59</v>
      </c>
      <c r="I215" s="2" t="n">
        <v>57</v>
      </c>
      <c r="J215" s="12" t="s">
        <v>136</v>
      </c>
      <c r="K215" s="2" t="n">
        <v>10</v>
      </c>
      <c r="L215" s="2" t="n">
        <v>0</v>
      </c>
      <c r="M215" s="0" t="s">
        <v>88</v>
      </c>
      <c r="N215" s="0" t="n">
        <v>0</v>
      </c>
      <c r="O215" s="0" t="s">
        <v>135</v>
      </c>
      <c r="P215" s="0" t="s">
        <v>89</v>
      </c>
      <c r="Q215" s="3" t="n">
        <v>7.2</v>
      </c>
      <c r="R215" s="2" t="n">
        <v>455</v>
      </c>
      <c r="S215" s="2" t="n">
        <v>15511</v>
      </c>
      <c r="T215" s="2" t="n">
        <f aca="false">S215-R215</f>
        <v>15056</v>
      </c>
      <c r="U215" s="3" t="n">
        <f aca="false">121/60</f>
        <v>2.01666666666667</v>
      </c>
      <c r="V215" s="3" t="n">
        <f aca="false">128/60</f>
        <v>2.13333333333333</v>
      </c>
      <c r="W215" s="3" t="n">
        <f aca="false">V215-U215</f>
        <v>0.116666666666667</v>
      </c>
      <c r="X215" s="3" t="n">
        <f aca="false">Q215/U215</f>
        <v>3.5702479338843</v>
      </c>
      <c r="Y215" s="0" t="n">
        <v>1</v>
      </c>
      <c r="Z215" s="3" t="n">
        <f aca="false">Q215/Y215</f>
        <v>7.2</v>
      </c>
      <c r="AA215" s="3" t="n">
        <f aca="false">16+52/60</f>
        <v>16.8666666666667</v>
      </c>
      <c r="AB215" s="2" t="n">
        <v>331</v>
      </c>
      <c r="AC215" s="2" t="n">
        <v>739</v>
      </c>
      <c r="AD215" s="2" t="n">
        <v>82</v>
      </c>
      <c r="AE215" s="0" t="n">
        <v>112</v>
      </c>
      <c r="AF215" s="3" t="n">
        <f aca="false">15+47/60</f>
        <v>15.7833333333333</v>
      </c>
      <c r="AG215" s="3" t="n">
        <f aca="false">16+33/60</f>
        <v>16.55</v>
      </c>
      <c r="AH215" s="3" t="n">
        <f aca="false">17+6/60</f>
        <v>17.1</v>
      </c>
      <c r="AI215" s="3" t="n">
        <f aca="false">17+27/60</f>
        <v>17.45</v>
      </c>
      <c r="AJ215" s="3" t="n">
        <f aca="false">17+20/60</f>
        <v>17.3333333333333</v>
      </c>
      <c r="AK215" s="3" t="n">
        <f aca="false">+16+22/60</f>
        <v>16.3666666666667</v>
      </c>
      <c r="AL215" s="3" t="n">
        <f aca="false">17+22.4/60</f>
        <v>17.3733333333333</v>
      </c>
      <c r="AM215" s="3" t="n">
        <f aca="false">60/3.5</f>
        <v>17.1428571428571</v>
      </c>
      <c r="AP215" s="0" t="n">
        <v>1</v>
      </c>
      <c r="AQ215" s="0" t="n">
        <v>1</v>
      </c>
      <c r="AR215" s="0" t="n">
        <v>0</v>
      </c>
      <c r="AS215" s="4" t="n">
        <f aca="false">60*U215-SUM(AT215:AX215)</f>
        <v>79.65</v>
      </c>
      <c r="AT215" s="3" t="n">
        <f aca="false">40+46/60</f>
        <v>40.7666666666667</v>
      </c>
      <c r="AU215" s="3" t="n">
        <f aca="false">35/60</f>
        <v>0.583333333333333</v>
      </c>
      <c r="AV215" s="3" t="n">
        <v>0</v>
      </c>
      <c r="AW215" s="3" t="n">
        <v>0</v>
      </c>
      <c r="AX215" s="3" t="n">
        <v>0</v>
      </c>
      <c r="AY215" s="0" t="s">
        <v>57</v>
      </c>
      <c r="AZ215" s="0" t="s">
        <v>58</v>
      </c>
      <c r="BA215" s="0" t="n">
        <v>0</v>
      </c>
    </row>
    <row r="216" customFormat="false" ht="12.8" hidden="false" customHeight="false" outlineLevel="0" collapsed="false">
      <c r="A216" s="0" t="n">
        <f aca="false">A215+1</f>
        <v>748</v>
      </c>
      <c r="B216" s="1" t="n">
        <v>44094.5625</v>
      </c>
      <c r="C216" s="0" t="n">
        <v>1</v>
      </c>
      <c r="F216" s="0" t="s">
        <v>59</v>
      </c>
      <c r="G216" s="2" t="n">
        <v>80</v>
      </c>
      <c r="H216" s="2" t="n">
        <v>56</v>
      </c>
      <c r="I216" s="2" t="n">
        <v>80</v>
      </c>
      <c r="J216" s="2" t="s">
        <v>128</v>
      </c>
      <c r="K216" s="2" t="n">
        <v>12</v>
      </c>
      <c r="L216" s="2" t="n">
        <v>20</v>
      </c>
      <c r="M216" s="0" t="s">
        <v>88</v>
      </c>
      <c r="N216" s="0" t="n">
        <v>0</v>
      </c>
      <c r="O216" s="0" t="s">
        <v>135</v>
      </c>
      <c r="P216" s="0" t="s">
        <v>137</v>
      </c>
      <c r="Q216" s="0" t="n">
        <v>6.18</v>
      </c>
      <c r="R216" s="0" t="n">
        <v>1556</v>
      </c>
      <c r="S216" s="0" t="n">
        <v>15104</v>
      </c>
      <c r="T216" s="2" t="n">
        <f aca="false">S216-R216</f>
        <v>13548</v>
      </c>
      <c r="U216" s="3" t="n">
        <f aca="false">(60+46)/60</f>
        <v>1.76666666666667</v>
      </c>
      <c r="V216" s="3" t="n">
        <f aca="false">(120+7)/60</f>
        <v>2.11666666666667</v>
      </c>
      <c r="W216" s="3" t="n">
        <f aca="false">V216-U216</f>
        <v>0.35</v>
      </c>
      <c r="X216" s="3" t="n">
        <f aca="false">Q216/U216</f>
        <v>3.49811320754717</v>
      </c>
      <c r="Y216" s="0" t="n">
        <v>1</v>
      </c>
      <c r="Z216" s="3" t="n">
        <f aca="false">Q216/Y216</f>
        <v>6.18</v>
      </c>
      <c r="AA216" s="3" t="n">
        <f aca="false">17+12/60</f>
        <v>17.2</v>
      </c>
      <c r="AB216" s="2" t="n">
        <v>154</v>
      </c>
      <c r="AC216" s="2" t="n">
        <v>671</v>
      </c>
      <c r="AD216" s="2" t="n">
        <v>104</v>
      </c>
      <c r="AE216" s="0" t="n">
        <v>129</v>
      </c>
      <c r="AF216" s="3" t="n">
        <f aca="false">16+22/60</f>
        <v>16.3666666666667</v>
      </c>
      <c r="AG216" s="3" t="n">
        <f aca="false">16+52/60</f>
        <v>16.8666666666667</v>
      </c>
      <c r="AH216" s="3" t="n">
        <f aca="false">18+45/60</f>
        <v>18.75</v>
      </c>
      <c r="AI216" s="3" t="n">
        <f aca="false">17+6/60</f>
        <v>17.1</v>
      </c>
      <c r="AJ216" s="3" t="n">
        <f aca="false">16+29/60</f>
        <v>16.4833333333333</v>
      </c>
      <c r="AK216" s="3" t="n">
        <f aca="false">17+1/60</f>
        <v>17.0166666666667</v>
      </c>
      <c r="AL216" s="3" t="n">
        <f aca="false">60/2.9</f>
        <v>20.6896551724138</v>
      </c>
      <c r="AP216" s="0" t="n">
        <v>2</v>
      </c>
      <c r="AQ216" s="0" t="n">
        <v>0</v>
      </c>
      <c r="AR216" s="0" t="n">
        <v>0</v>
      </c>
      <c r="AS216" s="4" t="n">
        <f aca="false">60*U216-SUM(AT216:AX216)</f>
        <v>0.556666666666672</v>
      </c>
      <c r="AT216" s="3" t="n">
        <v>76.41</v>
      </c>
      <c r="AU216" s="3" t="n">
        <f aca="false">26+36/60</f>
        <v>26.6</v>
      </c>
      <c r="AV216" s="3" t="n">
        <f aca="false">2+26/60</f>
        <v>2.43333333333333</v>
      </c>
      <c r="AW216" s="3" t="n">
        <v>0</v>
      </c>
      <c r="AX216" s="3" t="n">
        <v>0</v>
      </c>
      <c r="AY216" s="0" t="s">
        <v>57</v>
      </c>
      <c r="AZ216" s="0" t="s">
        <v>58</v>
      </c>
      <c r="BA216" s="0" t="n">
        <v>0</v>
      </c>
    </row>
    <row r="217" customFormat="false" ht="12.8" hidden="false" customHeight="false" outlineLevel="0" collapsed="false">
      <c r="A217" s="0" t="n">
        <f aca="false">A216+1</f>
        <v>749</v>
      </c>
      <c r="B217" s="1" t="n">
        <v>44095.49375</v>
      </c>
      <c r="C217" s="0" t="n">
        <v>1</v>
      </c>
      <c r="F217" s="0" t="s">
        <v>54</v>
      </c>
      <c r="G217" s="2" t="n">
        <v>76</v>
      </c>
      <c r="H217" s="2" t="n">
        <v>65</v>
      </c>
      <c r="I217" s="2" t="n">
        <v>71</v>
      </c>
      <c r="J217" s="2" t="s">
        <v>103</v>
      </c>
      <c r="K217" s="2" t="n">
        <v>9</v>
      </c>
      <c r="L217" s="2" t="n">
        <v>0</v>
      </c>
      <c r="M217" s="0" t="s">
        <v>88</v>
      </c>
      <c r="N217" s="0" t="n">
        <v>0</v>
      </c>
      <c r="O217" s="0" t="s">
        <v>135</v>
      </c>
      <c r="P217" s="0" t="s">
        <v>127</v>
      </c>
      <c r="Q217" s="3" t="n">
        <v>5.79</v>
      </c>
      <c r="R217" s="2" t="n">
        <v>1195</v>
      </c>
      <c r="S217" s="2" t="n">
        <v>14173</v>
      </c>
      <c r="T217" s="2" t="n">
        <f aca="false">S217-R217</f>
        <v>12978</v>
      </c>
      <c r="U217" s="3" t="n">
        <f aca="false">(50+51)/60</f>
        <v>1.68333333333333</v>
      </c>
      <c r="V217" s="3" t="n">
        <f aca="false">(50+59)/60</f>
        <v>1.81666666666667</v>
      </c>
      <c r="W217" s="3" t="n">
        <f aca="false">V217-U217</f>
        <v>0.133333333333333</v>
      </c>
      <c r="X217" s="3" t="n">
        <f aca="false">Q217/U217</f>
        <v>3.43960396039604</v>
      </c>
      <c r="Y217" s="0" t="n">
        <v>1</v>
      </c>
      <c r="Z217" s="3" t="n">
        <f aca="false">Q217/Y217</f>
        <v>5.79</v>
      </c>
      <c r="AA217" s="3" t="n">
        <f aca="false">19+12/60</f>
        <v>19.2</v>
      </c>
      <c r="AB217" s="2" t="n">
        <v>689</v>
      </c>
      <c r="AC217" s="2" t="n">
        <v>660</v>
      </c>
      <c r="AD217" s="2" t="n">
        <v>119</v>
      </c>
      <c r="AE217" s="0" t="n">
        <v>142</v>
      </c>
      <c r="AF217" s="3" t="n">
        <f aca="false">16+24/60</f>
        <v>16.4</v>
      </c>
      <c r="AG217" s="3" t="n">
        <f aca="false">17+15/60</f>
        <v>17.25</v>
      </c>
      <c r="AH217" s="3" t="n">
        <f aca="false">22+44/60</f>
        <v>22.7333333333333</v>
      </c>
      <c r="AI217" s="3" t="n">
        <f aca="false">21+13/60</f>
        <v>21.2166666666667</v>
      </c>
      <c r="AJ217" s="3" t="n">
        <f aca="false">19+19/60</f>
        <v>19.3166666666667</v>
      </c>
      <c r="AK217" s="3" t="n">
        <f aca="false">60/3.3</f>
        <v>18.1818181818182</v>
      </c>
      <c r="AP217" s="0" t="n">
        <v>1</v>
      </c>
      <c r="AQ217" s="0" t="n">
        <v>0</v>
      </c>
      <c r="AR217" s="0" t="n">
        <v>0</v>
      </c>
      <c r="AS217" s="4" t="n">
        <v>0</v>
      </c>
      <c r="AT217" s="3" t="n">
        <f aca="false">11+4/60</f>
        <v>11.0666666666667</v>
      </c>
      <c r="AU217" s="3" t="n">
        <f aca="false">74+36/60</f>
        <v>74.6</v>
      </c>
      <c r="AV217" s="3" t="n">
        <f aca="false">25+34/60/60</f>
        <v>25.0094444444444</v>
      </c>
      <c r="AW217" s="3" t="n">
        <v>0</v>
      </c>
      <c r="AX217" s="3" t="n">
        <v>0</v>
      </c>
      <c r="AY217" s="0" t="s">
        <v>57</v>
      </c>
      <c r="AZ217" s="0" t="s">
        <v>58</v>
      </c>
      <c r="BA217" s="0" t="n">
        <v>0</v>
      </c>
    </row>
    <row r="218" customFormat="false" ht="12.8" hidden="false" customHeight="false" outlineLevel="0" collapsed="false">
      <c r="A218" s="0" t="n">
        <f aca="false">A217+1</f>
        <v>750</v>
      </c>
      <c r="B218" s="1" t="n">
        <v>44096.4951388889</v>
      </c>
      <c r="C218" s="0" t="n">
        <v>0</v>
      </c>
      <c r="D218" s="0" t="s">
        <v>81</v>
      </c>
      <c r="F218" s="0" t="s">
        <v>54</v>
      </c>
      <c r="G218" s="2" t="n">
        <v>69</v>
      </c>
      <c r="H218" s="2" t="n">
        <v>67</v>
      </c>
      <c r="I218" s="2" t="n">
        <v>96</v>
      </c>
      <c r="J218" s="2" t="s">
        <v>103</v>
      </c>
      <c r="K218" s="2" t="n">
        <v>8</v>
      </c>
      <c r="L218" s="2" t="n">
        <v>0</v>
      </c>
      <c r="M218" s="0" t="s">
        <v>87</v>
      </c>
    </row>
    <row r="219" customFormat="false" ht="13.8" hidden="false" customHeight="false" outlineLevel="0" collapsed="false">
      <c r="A219" s="0" t="n">
        <f aca="false">A218+1</f>
        <v>751</v>
      </c>
      <c r="B219" s="1" t="n">
        <v>44097.5972222222</v>
      </c>
      <c r="C219" s="0" t="n">
        <v>1</v>
      </c>
      <c r="F219" s="12" t="s">
        <v>133</v>
      </c>
      <c r="G219" s="2" t="n">
        <v>71</v>
      </c>
      <c r="H219" s="2" t="n">
        <v>63</v>
      </c>
      <c r="I219" s="2" t="n">
        <v>75</v>
      </c>
      <c r="J219" s="2" t="s">
        <v>96</v>
      </c>
      <c r="K219" s="2" t="n">
        <v>13</v>
      </c>
      <c r="L219" s="2" t="n">
        <v>0</v>
      </c>
      <c r="M219" s="0" t="s">
        <v>88</v>
      </c>
      <c r="N219" s="0" t="n">
        <v>0</v>
      </c>
      <c r="O219" s="0" t="s">
        <v>135</v>
      </c>
      <c r="P219" s="13" t="s">
        <v>91</v>
      </c>
      <c r="Q219" s="3" t="n">
        <v>6.38</v>
      </c>
      <c r="R219" s="2" t="n">
        <v>1227</v>
      </c>
      <c r="S219" s="2" t="n">
        <v>14924</v>
      </c>
      <c r="T219" s="2" t="n">
        <f aca="false">S219-R219</f>
        <v>13697</v>
      </c>
      <c r="U219" s="3" t="n">
        <f aca="false">(60+52)/60</f>
        <v>1.86666666666667</v>
      </c>
      <c r="V219" s="3" t="n">
        <f aca="false">(60+59)/60</f>
        <v>1.98333333333333</v>
      </c>
      <c r="W219" s="3" t="n">
        <f aca="false">V219-U219</f>
        <v>0.11666666666666</v>
      </c>
      <c r="X219" s="3" t="n">
        <f aca="false">Q219/U219</f>
        <v>3.41785714285714</v>
      </c>
      <c r="Y219" s="0" t="n">
        <v>1</v>
      </c>
      <c r="Z219" s="3" t="n">
        <f aca="false">Q219/Y219</f>
        <v>6.38</v>
      </c>
      <c r="AA219" s="3" t="n">
        <f aca="false">17+35/60</f>
        <v>17.5833333333333</v>
      </c>
      <c r="AB219" s="2" t="n">
        <v>315</v>
      </c>
      <c r="AC219" s="2" t="n">
        <v>694</v>
      </c>
      <c r="AD219" s="2" t="n">
        <v>88</v>
      </c>
      <c r="AE219" s="0" t="n">
        <v>115</v>
      </c>
      <c r="AF219" s="3" t="n">
        <f aca="false">16+41/60</f>
        <v>16.6833333333333</v>
      </c>
      <c r="AG219" s="3" t="n">
        <f aca="false">17+2/60</f>
        <v>17.0333333333333</v>
      </c>
      <c r="AH219" s="3" t="n">
        <f aca="false">17+14/60</f>
        <v>17.2333333333333</v>
      </c>
      <c r="AI219" s="3" t="n">
        <f aca="false">20+18/60</f>
        <v>20.3</v>
      </c>
      <c r="AJ219" s="3" t="n">
        <f aca="false">17+36/60</f>
        <v>17.6</v>
      </c>
      <c r="AK219" s="3" t="n">
        <f aca="false">16+52/60</f>
        <v>16.8666666666667</v>
      </c>
      <c r="AL219" s="3" t="n">
        <f aca="false">60/3.4</f>
        <v>17.6470588235294</v>
      </c>
      <c r="AP219" s="0" t="n">
        <v>1</v>
      </c>
      <c r="AQ219" s="0" t="n">
        <v>0</v>
      </c>
      <c r="AR219" s="0" t="n">
        <v>0</v>
      </c>
      <c r="AS219" s="4" t="n">
        <f aca="false">60*U219-SUM(AT219:AX219)</f>
        <v>59.7000000000002</v>
      </c>
      <c r="AT219" s="3" t="n">
        <f aca="false">45+39/60</f>
        <v>45.65</v>
      </c>
      <c r="AU219" s="3" t="n">
        <f aca="false">6+39/60</f>
        <v>6.65</v>
      </c>
      <c r="AV219" s="3" t="n">
        <v>0</v>
      </c>
      <c r="AW219" s="3" t="n">
        <v>0</v>
      </c>
      <c r="AX219" s="3" t="n">
        <v>0</v>
      </c>
      <c r="AY219" s="0" t="s">
        <v>57</v>
      </c>
      <c r="AZ219" s="0" t="s">
        <v>58</v>
      </c>
      <c r="BA219" s="0" t="n">
        <v>0</v>
      </c>
    </row>
    <row r="220" customFormat="false" ht="12.8" hidden="false" customHeight="false" outlineLevel="0" collapsed="false">
      <c r="A220" s="0" t="n">
        <f aca="false">A219+1</f>
        <v>752</v>
      </c>
      <c r="B220" s="1" t="n">
        <v>44098.6152777778</v>
      </c>
      <c r="C220" s="0" t="n">
        <v>1</v>
      </c>
      <c r="F220" s="12" t="s">
        <v>114</v>
      </c>
      <c r="G220" s="2" t="n">
        <v>70</v>
      </c>
      <c r="H220" s="2" t="n">
        <v>61</v>
      </c>
      <c r="I220" s="2" t="n">
        <v>73</v>
      </c>
      <c r="J220" s="12" t="s">
        <v>123</v>
      </c>
      <c r="K220" s="2" t="n">
        <v>0</v>
      </c>
      <c r="L220" s="2" t="n">
        <v>0</v>
      </c>
      <c r="M220" s="0" t="s">
        <v>88</v>
      </c>
      <c r="N220" s="0" t="n">
        <v>0</v>
      </c>
      <c r="O220" s="0" t="s">
        <v>135</v>
      </c>
      <c r="P220" s="0" t="s">
        <v>61</v>
      </c>
      <c r="Q220" s="3" t="n">
        <v>4.84</v>
      </c>
      <c r="U220" s="3" t="n">
        <f aca="false">80/60</f>
        <v>1.33333333333333</v>
      </c>
      <c r="V220" s="3" t="n">
        <f aca="false">81/60</f>
        <v>1.35</v>
      </c>
      <c r="W220" s="3" t="n">
        <f aca="false">V220-U220</f>
        <v>0.0166666666666668</v>
      </c>
      <c r="X220" s="3" t="n">
        <f aca="false">Q220/U220</f>
        <v>3.63</v>
      </c>
      <c r="Y220" s="0" t="n">
        <v>2</v>
      </c>
      <c r="Z220" s="3" t="n">
        <f aca="false">Q220/Y220</f>
        <v>2.42</v>
      </c>
      <c r="AA220" s="3" t="n">
        <f aca="false">16+36/60</f>
        <v>16.6</v>
      </c>
      <c r="AB220" s="2" t="n">
        <v>262</v>
      </c>
      <c r="AC220" s="2" t="n">
        <v>600</v>
      </c>
      <c r="AD220" s="2" t="n">
        <v>124</v>
      </c>
      <c r="AE220" s="0" t="n">
        <v>158</v>
      </c>
      <c r="AF220" s="3" t="n">
        <f aca="false">17+26/60</f>
        <v>17.4333333333333</v>
      </c>
      <c r="AG220" s="3" t="n">
        <f aca="false">15+25/60</f>
        <v>15.4166666666667</v>
      </c>
      <c r="AH220" s="3" t="n">
        <f aca="false">16+30/60</f>
        <v>16.5</v>
      </c>
      <c r="AI220" s="3" t="n">
        <f aca="false">16+30/60</f>
        <v>16.5</v>
      </c>
      <c r="AJ220" s="3" t="n">
        <f aca="false">60/3.5</f>
        <v>17.1428571428571</v>
      </c>
      <c r="AP220" s="0" t="n">
        <v>0</v>
      </c>
      <c r="AQ220" s="0" t="n">
        <v>0</v>
      </c>
      <c r="AR220" s="0" t="n">
        <v>0</v>
      </c>
      <c r="AS220" s="4" t="n">
        <f aca="false">60*U220-SUM(AT220:AX220)</f>
        <v>3.63333333333333</v>
      </c>
      <c r="AT220" s="3" t="n">
        <f aca="false">16+29/60</f>
        <v>16.4833333333333</v>
      </c>
      <c r="AU220" s="3" t="n">
        <f aca="false">8+44/60</f>
        <v>8.73333333333333</v>
      </c>
      <c r="AV220" s="3" t="n">
        <f aca="false">51+9/60</f>
        <v>51.15</v>
      </c>
      <c r="AW220" s="3" t="n">
        <v>0</v>
      </c>
      <c r="AX220" s="3" t="n">
        <v>0</v>
      </c>
      <c r="AY220" s="0" t="s">
        <v>57</v>
      </c>
      <c r="AZ220" s="0" t="s">
        <v>58</v>
      </c>
      <c r="BA220" s="0" t="n">
        <v>0</v>
      </c>
    </row>
    <row r="221" customFormat="false" ht="12.8" hidden="false" customHeight="false" outlineLevel="0" collapsed="false">
      <c r="A221" s="0" t="n">
        <f aca="false">A220+1</f>
        <v>753</v>
      </c>
      <c r="B221" s="1" t="n">
        <v>44099.5118055556</v>
      </c>
      <c r="C221" s="0" t="n">
        <v>1</v>
      </c>
      <c r="F221" s="12" t="s">
        <v>119</v>
      </c>
      <c r="G221" s="2" t="n">
        <f aca="false">(73+76)/2</f>
        <v>74.5</v>
      </c>
      <c r="H221" s="2" t="n">
        <v>64</v>
      </c>
      <c r="I221" s="2" t="n">
        <f aca="false">(73+67)/2</f>
        <v>70</v>
      </c>
      <c r="J221" s="2" t="s">
        <v>97</v>
      </c>
      <c r="K221" s="2" t="n">
        <v>10</v>
      </c>
      <c r="L221" s="2" t="n">
        <v>0</v>
      </c>
      <c r="M221" s="0" t="s">
        <v>88</v>
      </c>
      <c r="O221" s="0" t="s">
        <v>135</v>
      </c>
      <c r="P221" s="0" t="s">
        <v>63</v>
      </c>
      <c r="Q221" s="3" t="n">
        <v>6.83</v>
      </c>
      <c r="R221" s="2" t="n">
        <v>616</v>
      </c>
      <c r="S221" s="2" t="n">
        <v>15219</v>
      </c>
      <c r="T221" s="2" t="n">
        <f aca="false">S221-R221</f>
        <v>14603</v>
      </c>
      <c r="U221" s="3" t="n">
        <f aca="false">(60+58)/60</f>
        <v>1.96666666666667</v>
      </c>
      <c r="V221" s="3" t="n">
        <f aca="false">(120+23)/60</f>
        <v>2.38333333333333</v>
      </c>
      <c r="W221" s="3" t="n">
        <f aca="false">V221-U221</f>
        <v>0.416666666666667</v>
      </c>
      <c r="X221" s="3" t="n">
        <f aca="false">Q221/U221</f>
        <v>3.4728813559322</v>
      </c>
      <c r="Y221" s="0" t="n">
        <v>1</v>
      </c>
      <c r="Z221" s="3" t="n">
        <f aca="false">Q221/Y221</f>
        <v>6.83</v>
      </c>
      <c r="AA221" s="3" t="n">
        <f aca="false">17+16/60</f>
        <v>17.2666666666667</v>
      </c>
      <c r="AB221" s="2" t="n">
        <v>1752</v>
      </c>
      <c r="AC221" s="2" t="n">
        <v>696</v>
      </c>
      <c r="AD221" s="2" t="n">
        <v>103</v>
      </c>
      <c r="AE221" s="0" t="n">
        <v>150</v>
      </c>
      <c r="AF221" s="3" t="n">
        <f aca="false">15+46/60</f>
        <v>15.7666666666667</v>
      </c>
      <c r="AG221" s="3" t="n">
        <f aca="false">15+19/60</f>
        <v>15.3166666666667</v>
      </c>
      <c r="AH221" s="3" t="n">
        <f aca="false">15+29/60</f>
        <v>15.4833333333333</v>
      </c>
      <c r="AI221" s="3" t="n">
        <f aca="false">16+47/60</f>
        <v>16.7833333333333</v>
      </c>
      <c r="AJ221" s="3" t="n">
        <f aca="false">18+44/60</f>
        <v>18.7333333333333</v>
      </c>
      <c r="AK221" s="3" t="n">
        <f aca="false">18+33/60</f>
        <v>18.55</v>
      </c>
      <c r="AL221" s="3" t="n">
        <f aca="false">17+16/60</f>
        <v>17.2666666666667</v>
      </c>
      <c r="AP221" s="0" t="n">
        <v>6</v>
      </c>
      <c r="AQ221" s="0" t="n">
        <v>0</v>
      </c>
      <c r="AR221" s="0" t="n">
        <v>0</v>
      </c>
      <c r="AS221" s="4" t="n">
        <f aca="false">60*U221-SUM(AT221:AX221)</f>
        <v>29.65</v>
      </c>
      <c r="AT221" s="3" t="n">
        <f aca="false">27+57/60</f>
        <v>27.95</v>
      </c>
      <c r="AU221" s="3" t="n">
        <f aca="false">37+56/60</f>
        <v>37.9333333333333</v>
      </c>
      <c r="AV221" s="3" t="n">
        <f aca="false">20+34/60</f>
        <v>20.5666666666667</v>
      </c>
      <c r="AW221" s="3" t="n">
        <f aca="false">1+54/60</f>
        <v>1.9</v>
      </c>
      <c r="AX221" s="3" t="n">
        <v>0</v>
      </c>
      <c r="AY221" s="0" t="s">
        <v>57</v>
      </c>
      <c r="AZ221" s="0" t="s">
        <v>58</v>
      </c>
      <c r="BA221" s="0" t="n">
        <v>0</v>
      </c>
    </row>
    <row r="222" customFormat="false" ht="12.8" hidden="false" customHeight="false" outlineLevel="0" collapsed="false">
      <c r="A222" s="0" t="n">
        <f aca="false">A221+1</f>
        <v>754</v>
      </c>
      <c r="B222" s="1" t="n">
        <v>44100.5222222222</v>
      </c>
      <c r="C222" s="0" t="n">
        <v>1</v>
      </c>
      <c r="F222" s="0" t="s">
        <v>59</v>
      </c>
      <c r="G222" s="2" t="n">
        <f aca="false">(84+86+87)/3</f>
        <v>85.6666666666667</v>
      </c>
      <c r="H222" s="2" t="n">
        <f aca="false">(69+69+66)/3</f>
        <v>68</v>
      </c>
      <c r="I222" s="2" t="n">
        <f aca="false">(67+57+49)/3</f>
        <v>57.6666666666667</v>
      </c>
      <c r="J222" s="2" t="s">
        <v>97</v>
      </c>
      <c r="K222" s="2" t="n">
        <f aca="false">(12+16+15)/2</f>
        <v>21.5</v>
      </c>
      <c r="L222" s="2" t="n">
        <v>24</v>
      </c>
      <c r="M222" s="0" t="s">
        <v>87</v>
      </c>
      <c r="N222" s="0" t="n">
        <v>0</v>
      </c>
      <c r="O222" s="0" t="s">
        <v>135</v>
      </c>
      <c r="P222" s="0" t="s">
        <v>127</v>
      </c>
      <c r="Q222" s="3" t="n">
        <v>5.95</v>
      </c>
      <c r="R222" s="2" t="n">
        <v>708</v>
      </c>
      <c r="S222" s="2" t="n">
        <v>14498</v>
      </c>
      <c r="T222" s="2" t="n">
        <f aca="false">S222-R222</f>
        <v>13790</v>
      </c>
      <c r="U222" s="3" t="n">
        <f aca="false">(60+84)/60</f>
        <v>2.4</v>
      </c>
      <c r="V222" s="3" t="n">
        <f aca="false">(120+29)/60</f>
        <v>2.48333333333333</v>
      </c>
      <c r="W222" s="3" t="n">
        <f aca="false">V222-U222</f>
        <v>0.0833333333333335</v>
      </c>
      <c r="X222" s="3" t="n">
        <f aca="false">Q222/U222</f>
        <v>2.47916666666667</v>
      </c>
      <c r="Y222" s="0" t="n">
        <v>1</v>
      </c>
      <c r="Z222" s="3" t="n">
        <f aca="false">Q222/Y222</f>
        <v>5.95</v>
      </c>
      <c r="AA222" s="3" t="n">
        <f aca="false">19+46/60</f>
        <v>19.7666666666667</v>
      </c>
      <c r="AB222" s="2" t="n">
        <v>1795</v>
      </c>
      <c r="AC222" s="2" t="n">
        <v>716</v>
      </c>
      <c r="AD222" s="2" t="n">
        <v>109</v>
      </c>
      <c r="AE222" s="0" t="n">
        <v>143</v>
      </c>
      <c r="AF222" s="3" t="n">
        <f aca="false">16+57/60</f>
        <v>16.95</v>
      </c>
      <c r="AG222" s="3" t="n">
        <f aca="false">17+46/60</f>
        <v>17.7666666666667</v>
      </c>
      <c r="AH222" s="3" t="n">
        <f aca="false">18+56/60</f>
        <v>18.9333333333333</v>
      </c>
      <c r="AI222" s="3" t="n">
        <f aca="false">22+51/60</f>
        <v>22.85</v>
      </c>
      <c r="AJ222" s="3" t="n">
        <f aca="false">22+51/60</f>
        <v>22.85</v>
      </c>
      <c r="AK222" s="3" t="n">
        <f aca="false">60/2.9</f>
        <v>20.6896551724138</v>
      </c>
      <c r="AP222" s="0" t="n">
        <v>2</v>
      </c>
      <c r="AQ222" s="0" t="n">
        <v>0</v>
      </c>
      <c r="AR222" s="0" t="n">
        <v>0</v>
      </c>
      <c r="AS222" s="4" t="n">
        <f aca="false">60*U222-SUM(AT222:AX222)</f>
        <v>32.3166666666667</v>
      </c>
      <c r="AT222" s="3" t="n">
        <f aca="false">41+4/60</f>
        <v>41.0666666666667</v>
      </c>
      <c r="AU222" s="3" t="n">
        <f aca="false">56+8/60</f>
        <v>56.1333333333333</v>
      </c>
      <c r="AV222" s="3" t="n">
        <f aca="false">14+26/60</f>
        <v>14.4333333333333</v>
      </c>
      <c r="AW222" s="3" t="n">
        <f aca="false">3/60</f>
        <v>0.05</v>
      </c>
      <c r="AX222" s="3" t="n">
        <v>0</v>
      </c>
      <c r="AY222" s="0" t="s">
        <v>57</v>
      </c>
      <c r="AZ222" s="0" t="s">
        <v>58</v>
      </c>
      <c r="BA222" s="0" t="n">
        <v>0</v>
      </c>
    </row>
    <row r="223" customFormat="false" ht="14.9" hidden="false" customHeight="true" outlineLevel="0" collapsed="false">
      <c r="A223" s="0" t="n">
        <f aca="false">A222+1</f>
        <v>755</v>
      </c>
      <c r="B223" s="1" t="n">
        <v>44101.525</v>
      </c>
      <c r="C223" s="0" t="n">
        <v>1</v>
      </c>
      <c r="F223" s="12" t="s">
        <v>131</v>
      </c>
      <c r="G223" s="2" t="n">
        <v>86</v>
      </c>
      <c r="H223" s="2" t="n">
        <v>72</v>
      </c>
      <c r="I223" s="2" t="n">
        <v>63</v>
      </c>
      <c r="J223" s="2" t="s">
        <v>97</v>
      </c>
      <c r="K223" s="2" t="n">
        <v>26</v>
      </c>
      <c r="L223" s="2" t="n">
        <v>35</v>
      </c>
      <c r="M223" s="0" t="s">
        <v>87</v>
      </c>
      <c r="N223" s="0" t="n">
        <v>0</v>
      </c>
      <c r="O223" s="0" t="s">
        <v>135</v>
      </c>
      <c r="P223" s="0" t="s">
        <v>71</v>
      </c>
      <c r="Q223" s="3" t="n">
        <v>4.5</v>
      </c>
      <c r="R223" s="2" t="n">
        <v>1310</v>
      </c>
      <c r="S223" s="2" t="n">
        <v>10870</v>
      </c>
      <c r="T223" s="2" t="n">
        <f aca="false">S223-R223</f>
        <v>9560</v>
      </c>
      <c r="U223" s="3" t="n">
        <f aca="false">(60+20)/60</f>
        <v>1.33333333333333</v>
      </c>
      <c r="V223" s="3" t="n">
        <f aca="false">(60+34)/60</f>
        <v>1.56666666666667</v>
      </c>
      <c r="W223" s="3" t="n">
        <f aca="false">V223-U223</f>
        <v>0.233333333333333</v>
      </c>
      <c r="X223" s="3" t="n">
        <f aca="false">Q223/U223</f>
        <v>3.375</v>
      </c>
      <c r="Y223" s="0" t="n">
        <v>1</v>
      </c>
      <c r="Z223" s="3" t="n">
        <f aca="false">Q223/Y223</f>
        <v>4.5</v>
      </c>
      <c r="AA223" s="3" t="n">
        <f aca="false">17+54/60</f>
        <v>17.9</v>
      </c>
      <c r="AB223" s="2" t="n">
        <f aca="false">420</f>
        <v>420</v>
      </c>
      <c r="AC223" s="2" t="n">
        <v>500</v>
      </c>
      <c r="AD223" s="2" t="n">
        <v>104</v>
      </c>
      <c r="AE223" s="0" t="n">
        <v>142</v>
      </c>
      <c r="AF223" s="3" t="n">
        <f aca="false">16+52/60</f>
        <v>16.8666666666667</v>
      </c>
      <c r="AG223" s="3" t="n">
        <f aca="false">16+53/60</f>
        <v>16.8833333333333</v>
      </c>
      <c r="AH223" s="3" t="n">
        <f aca="false">17+30/60</f>
        <v>17.5</v>
      </c>
      <c r="AI223" s="3" t="n">
        <f aca="false">19+44/60</f>
        <v>19.7333333333333</v>
      </c>
      <c r="AJ223" s="3" t="n">
        <f aca="false">60/3.1</f>
        <v>19.3548387096774</v>
      </c>
      <c r="AP223" s="0" t="n">
        <v>1</v>
      </c>
      <c r="AQ223" s="0" t="n">
        <v>0</v>
      </c>
      <c r="AR223" s="0" t="n">
        <v>0</v>
      </c>
      <c r="AS223" s="4" t="n">
        <v>0</v>
      </c>
      <c r="AT223" s="3" t="n">
        <f aca="false">58+56/60</f>
        <v>58.9333333333333</v>
      </c>
      <c r="AU223" s="3" t="n">
        <f aca="false">16+66/60</f>
        <v>17.1</v>
      </c>
      <c r="AV223" s="3" t="n">
        <f aca="false">4+17/60</f>
        <v>4.28333333333333</v>
      </c>
      <c r="AW223" s="3" t="n">
        <v>0</v>
      </c>
      <c r="AX223" s="3" t="n">
        <v>0</v>
      </c>
      <c r="AY223" s="0" t="s">
        <v>57</v>
      </c>
      <c r="AZ223" s="0" t="s">
        <v>58</v>
      </c>
      <c r="BA223" s="0" t="n">
        <v>0</v>
      </c>
    </row>
    <row r="224" customFormat="false" ht="12.8" hidden="false" customHeight="false" outlineLevel="0" collapsed="false">
      <c r="A224" s="0" t="n">
        <f aca="false">A223+1</f>
        <v>756</v>
      </c>
      <c r="B224" s="1" t="n">
        <v>44102.5430555556</v>
      </c>
      <c r="C224" s="0" t="n">
        <v>1</v>
      </c>
      <c r="F224" s="12" t="s">
        <v>138</v>
      </c>
      <c r="G224" s="2" t="n">
        <v>76</v>
      </c>
      <c r="H224" s="2" t="n">
        <v>43</v>
      </c>
      <c r="I224" s="2" t="n">
        <f aca="false">(33+29)/2</f>
        <v>31</v>
      </c>
      <c r="J224" s="2" t="s">
        <v>96</v>
      </c>
      <c r="K224" s="2" t="n">
        <f aca="false">(18+21)/2</f>
        <v>19.5</v>
      </c>
      <c r="L224" s="2" t="n">
        <v>30</v>
      </c>
      <c r="M224" s="0" t="s">
        <v>88</v>
      </c>
      <c r="N224" s="0" t="n">
        <v>0</v>
      </c>
      <c r="O224" s="0" t="s">
        <v>135</v>
      </c>
      <c r="P224" s="0" t="s">
        <v>75</v>
      </c>
      <c r="Q224" s="3" t="n">
        <v>6.91</v>
      </c>
      <c r="R224" s="2" t="n">
        <v>1991</v>
      </c>
      <c r="S224" s="2" t="n">
        <v>16178</v>
      </c>
      <c r="T224" s="2" t="n">
        <f aca="false">S224-R224</f>
        <v>14187</v>
      </c>
      <c r="U224" s="3" t="n">
        <f aca="false">(60+50)/60</f>
        <v>1.83333333333333</v>
      </c>
      <c r="V224" s="3" t="n">
        <f aca="false">120/60</f>
        <v>2</v>
      </c>
      <c r="W224" s="3" t="n">
        <f aca="false">V224-U224</f>
        <v>0.166666666666667</v>
      </c>
      <c r="X224" s="3" t="n">
        <f aca="false">Q224/U224</f>
        <v>3.76909090909091</v>
      </c>
      <c r="Y224" s="0" t="n">
        <v>1</v>
      </c>
      <c r="Z224" s="3" t="n">
        <f aca="false">Q224/Y224</f>
        <v>6.91</v>
      </c>
      <c r="AA224" s="3" t="n">
        <f aca="false">15+53/60</f>
        <v>15.8833333333333</v>
      </c>
      <c r="AB224" s="2" t="n">
        <v>102</v>
      </c>
      <c r="AC224" s="2" t="n">
        <v>719</v>
      </c>
      <c r="AD224" s="2" t="n">
        <v>95</v>
      </c>
      <c r="AE224" s="0" t="n">
        <v>125</v>
      </c>
      <c r="AF224" s="3" t="n">
        <f aca="false">15+34/60</f>
        <v>15.5666666666667</v>
      </c>
      <c r="AG224" s="3" t="n">
        <f aca="false">15+22/60</f>
        <v>15.3666666666667</v>
      </c>
      <c r="AH224" s="3" t="n">
        <f aca="false">16+27/60</f>
        <v>16.45</v>
      </c>
      <c r="AI224" s="3" t="n">
        <f aca="false">16+23/60</f>
        <v>16.3833333333333</v>
      </c>
      <c r="AJ224" s="3" t="n">
        <f aca="false">16+3/60</f>
        <v>16.05</v>
      </c>
      <c r="AK224" s="3" t="n">
        <f aca="false">60/3.7</f>
        <v>16.2162162162162</v>
      </c>
      <c r="AP224" s="0" t="n">
        <v>2</v>
      </c>
      <c r="AQ224" s="0" t="n">
        <v>1</v>
      </c>
      <c r="AR224" s="0" t="n">
        <v>0</v>
      </c>
      <c r="AS224" s="4" t="n">
        <f aca="false">60*U224-SUM(AT224:AX224)</f>
        <v>23.7633333333333</v>
      </c>
      <c r="AT224" s="3" t="n">
        <f aca="false">79+26/50</f>
        <v>79.52</v>
      </c>
      <c r="AU224" s="3" t="n">
        <f aca="false">6+42/60</f>
        <v>6.7</v>
      </c>
      <c r="AV224" s="3" t="n">
        <f aca="false">1/60</f>
        <v>0.0166666666666667</v>
      </c>
      <c r="AW224" s="3" t="n">
        <v>0</v>
      </c>
      <c r="AX224" s="3" t="n">
        <v>0</v>
      </c>
      <c r="AY224" s="0" t="s">
        <v>57</v>
      </c>
      <c r="AZ224" s="0" t="s">
        <v>58</v>
      </c>
      <c r="BA224" s="0" t="n">
        <v>0</v>
      </c>
    </row>
    <row r="225" customFormat="false" ht="12.8" hidden="false" customHeight="false" outlineLevel="0" collapsed="false">
      <c r="A225" s="0" t="n">
        <f aca="false">A224+1</f>
        <v>757</v>
      </c>
      <c r="B225" s="1" t="n">
        <v>44103.5375</v>
      </c>
      <c r="C225" s="0" t="n">
        <v>1</v>
      </c>
      <c r="F225" s="0" t="s">
        <v>59</v>
      </c>
      <c r="G225" s="2" t="n">
        <v>81</v>
      </c>
      <c r="H225" s="2" t="n">
        <v>32</v>
      </c>
      <c r="I225" s="2" t="n">
        <v>17</v>
      </c>
      <c r="J225" s="2" t="s">
        <v>101</v>
      </c>
      <c r="K225" s="2" t="n">
        <v>11</v>
      </c>
      <c r="L225" s="2" t="n">
        <f aca="false">(20+32)/2</f>
        <v>26</v>
      </c>
      <c r="M225" s="0" t="s">
        <v>88</v>
      </c>
      <c r="N225" s="0" t="n">
        <v>0</v>
      </c>
      <c r="O225" s="0" t="s">
        <v>135</v>
      </c>
      <c r="P225" s="0" t="s">
        <v>80</v>
      </c>
      <c r="Q225" s="3" t="n">
        <v>6.16</v>
      </c>
      <c r="R225" s="2" t="n">
        <v>1078</v>
      </c>
      <c r="S225" s="2" t="n">
        <v>13392</v>
      </c>
      <c r="T225" s="2" t="n">
        <f aca="false">S225-R225</f>
        <v>12314</v>
      </c>
      <c r="U225" s="3" t="n">
        <f aca="false">(60+37)/60</f>
        <v>1.61666666666667</v>
      </c>
      <c r="V225" s="3" t="n">
        <f aca="false">(60+42)/60</f>
        <v>1.7</v>
      </c>
      <c r="W225" s="3" t="n">
        <f aca="false">V225-U225</f>
        <v>0.0833333333333333</v>
      </c>
      <c r="X225" s="3" t="n">
        <f aca="false">Q225/U225</f>
        <v>3.81030927835052</v>
      </c>
      <c r="Y225" s="0" t="n">
        <v>1</v>
      </c>
      <c r="Z225" s="3" t="n">
        <f aca="false">Q225/Y225</f>
        <v>6.16</v>
      </c>
      <c r="AA225" s="3" t="n">
        <f aca="false">15+39/60</f>
        <v>15.65</v>
      </c>
      <c r="AB225" s="2" t="n">
        <v>308</v>
      </c>
      <c r="AC225" s="2" t="n">
        <v>565</v>
      </c>
      <c r="AD225" s="2" t="n">
        <v>84</v>
      </c>
      <c r="AE225" s="0" t="n">
        <v>125</v>
      </c>
      <c r="AF225" s="3" t="n">
        <f aca="false">15+24/60</f>
        <v>15.4</v>
      </c>
      <c r="AG225" s="3" t="n">
        <f aca="false">15+27/60</f>
        <v>15.45</v>
      </c>
      <c r="AH225" s="3" t="n">
        <f aca="false">15+27/60</f>
        <v>15.45</v>
      </c>
      <c r="AI225" s="3" t="n">
        <f aca="false">17+6/60</f>
        <v>17.1</v>
      </c>
      <c r="AJ225" s="3" t="n">
        <f aca="false">15+6/60</f>
        <v>15.1</v>
      </c>
      <c r="AK225" s="3" t="n">
        <f aca="false">15+23/60</f>
        <v>15.3833333333333</v>
      </c>
      <c r="AL225" s="3" t="n">
        <f aca="false">60/3.7</f>
        <v>16.2162162162162</v>
      </c>
      <c r="AP225" s="0" t="n">
        <v>2</v>
      </c>
      <c r="AQ225" s="0" t="n">
        <v>0</v>
      </c>
      <c r="AR225" s="0" t="n">
        <v>0</v>
      </c>
      <c r="AS225" s="4" t="n">
        <f aca="false">60*U225-SUM(AT225:AX225)</f>
        <v>68.3333333333333</v>
      </c>
      <c r="AT225" s="3" t="n">
        <f aca="false">26+1/60</f>
        <v>26.0166666666667</v>
      </c>
      <c r="AU225" s="3" t="n">
        <f aca="false">2+39/60</f>
        <v>2.65</v>
      </c>
      <c r="AV225" s="3" t="n">
        <v>0</v>
      </c>
      <c r="AW225" s="3" t="n">
        <v>0</v>
      </c>
      <c r="AX225" s="3" t="n">
        <v>0</v>
      </c>
      <c r="AY225" s="0" t="s">
        <v>57</v>
      </c>
      <c r="AZ225" s="0" t="s">
        <v>58</v>
      </c>
      <c r="BA225" s="0" t="n">
        <v>0</v>
      </c>
    </row>
    <row r="226" customFormat="false" ht="12.8" hidden="false" customHeight="false" outlineLevel="0" collapsed="false">
      <c r="A226" s="0" t="n">
        <f aca="false">A225+1</f>
        <v>758</v>
      </c>
      <c r="B226" s="1" t="n">
        <v>44104.5222222222</v>
      </c>
      <c r="C226" s="0" t="n">
        <v>1</v>
      </c>
      <c r="F226" s="0" t="s">
        <v>59</v>
      </c>
      <c r="G226" s="2" t="n">
        <v>90</v>
      </c>
      <c r="H226" s="2" t="n">
        <v>42</v>
      </c>
      <c r="I226" s="2" t="n">
        <v>19</v>
      </c>
      <c r="J226" s="0" t="s">
        <v>59</v>
      </c>
      <c r="K226" s="2" t="n">
        <v>5</v>
      </c>
      <c r="L226" s="2" t="n">
        <v>0</v>
      </c>
      <c r="M226" s="0" t="s">
        <v>88</v>
      </c>
      <c r="N226" s="0" t="n">
        <v>0</v>
      </c>
      <c r="O226" s="0" t="s">
        <v>135</v>
      </c>
      <c r="P226" s="0" t="s">
        <v>63</v>
      </c>
      <c r="Q226" s="3" t="n">
        <v>6.82</v>
      </c>
      <c r="R226" s="2" t="n">
        <v>246</v>
      </c>
      <c r="U226" s="3" t="n">
        <f aca="false">(60+57)/60</f>
        <v>1.95</v>
      </c>
      <c r="V226" s="3" t="n">
        <f aca="false">(120+15)/60</f>
        <v>2.25</v>
      </c>
      <c r="W226" s="3" t="n">
        <f aca="false">V226-U226</f>
        <v>0.3</v>
      </c>
      <c r="X226" s="3" t="n">
        <f aca="false">Q226/V226</f>
        <v>3.03111111111111</v>
      </c>
      <c r="Y226" s="0" t="n">
        <v>1</v>
      </c>
      <c r="Z226" s="3" t="n">
        <f aca="false">Q226/Y226</f>
        <v>6.82</v>
      </c>
      <c r="AA226" s="3" t="n">
        <f aca="false">17+12/60</f>
        <v>17.2</v>
      </c>
      <c r="AB226" s="2" t="n">
        <v>433</v>
      </c>
      <c r="AC226" s="2" t="n">
        <v>787</v>
      </c>
      <c r="AD226" s="2" t="n">
        <v>115</v>
      </c>
      <c r="AE226" s="0" t="n">
        <v>140</v>
      </c>
      <c r="AF226" s="3" t="n">
        <f aca="false">16+24/60</f>
        <v>16.4</v>
      </c>
      <c r="AG226" s="3" t="n">
        <f aca="false">16+18/60</f>
        <v>16.3</v>
      </c>
      <c r="AH226" s="3" t="n">
        <f aca="false">17+2/60</f>
        <v>17.0333333333333</v>
      </c>
      <c r="AI226" s="3" t="n">
        <f aca="false">18-28/60</f>
        <v>17.5333333333333</v>
      </c>
      <c r="AJ226" s="3" t="n">
        <f aca="false">17+20/60</f>
        <v>17.3333333333333</v>
      </c>
      <c r="AK226" s="3" t="n">
        <f aca="false">17+18/60</f>
        <v>17.3</v>
      </c>
      <c r="AL226" s="3" t="n">
        <f aca="false">60/3.5</f>
        <v>17.1428571428571</v>
      </c>
      <c r="AP226" s="0" t="n">
        <v>3</v>
      </c>
      <c r="AQ226" s="0" t="n">
        <v>1</v>
      </c>
      <c r="AR226" s="0" t="n">
        <v>0</v>
      </c>
      <c r="AS226" s="4" t="n">
        <f aca="false">60*U226-SUM(AT226:AX226)</f>
        <v>0.550000000000011</v>
      </c>
      <c r="AT226" s="3" t="n">
        <f aca="false">28+54/60</f>
        <v>28.9</v>
      </c>
      <c r="AU226" s="3" t="n">
        <f aca="false">61+44/60</f>
        <v>61.7333333333333</v>
      </c>
      <c r="AV226" s="3" t="n">
        <f aca="false">25+49/60</f>
        <v>25.8166666666667</v>
      </c>
      <c r="AW226" s="3" t="n">
        <v>0</v>
      </c>
      <c r="AX226" s="3" t="n">
        <v>0</v>
      </c>
      <c r="AY226" s="0" t="s">
        <v>57</v>
      </c>
      <c r="AZ226" s="0" t="s">
        <v>58</v>
      </c>
      <c r="BA2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2020-09-30T19:18:57Z</dcterms:modified>
  <cp:revision>107</cp:revision>
  <dc:subject/>
  <dc:title/>
</cp:coreProperties>
</file>