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<sst xmlns="http://schemas.openxmlformats.org/spreadsheetml/2006/main" count="1492" uniqueCount="144">
  <si>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</si>
  <si>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</si>
  <si>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</si>
  <si>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</si>
  <si>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</si>
  <si>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</si>
  <si>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</si>
  <si>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</si>
  <si>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</si>
  <si>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</si>
  <si>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</si>
  <si>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</si>
  <si>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</si>
  <si>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</si>
  <si>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</si>
  <si>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</si>
  <si>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</si>
  <si>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</si>
  <si>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</si>
  <si>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</si>
  <si>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</si>
  <si>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</si>
  <si>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</si>
  <si>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</si>
  <si>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</si>
  <si>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</si>
  <si>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</si>
  <si>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</si>
  <si>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</si>
  <si>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</si>
  <si>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</si>
  <si>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</si>
  <si>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</si>
  <si>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</si>
  <si>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</si>
  <si>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</si>
  <si>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</si>
  <si>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</si>
  <si>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</si>
  <si>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</si>
  <si>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</si>
  <si>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</si>
  <si>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</si>
  <si>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</si>
  <si>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</si>
  <si>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</si>
  <si>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</si>
  <si>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</si>
  <si>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</si>
  <si>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</si>
  <si>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</si>
  <si>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</si>
  <si>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</si>
  <si>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</si>
  <si>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</si>
  <si>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</si>
  <si>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</si>
  <si>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</si>
  <si>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</si>
  <si>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</si>
  <si>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</si>
  <si>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</si>
  <si>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</si>
  <si>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</si>
  <si>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</si>
  <si>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</si>
  <si>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</si>
  <si>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</si>
  <si>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</si>
  <si>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</si>
  <si>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</si>
  <si>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</si>
  <si>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</si>
  <si>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</si>
  <si>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</si>
  <si>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</si>
  <si>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</si>
  <si>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</si>
  <si>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</si>
  <si>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</si>
  <si>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</si>
  <si>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</si>
  <si>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</si>
  <si>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</si>
  <si>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</si>
  <si>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</si>
  <si>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</si>
  <si>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</si>
  <si>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</si>
  <si>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</si>
  <si>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</si>
  <si>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</si>
  <si>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</si>
  <si>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</si>
  <si>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</si>
  <si>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WSW 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</si>
  <si>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</si>
  <si>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</si>
  <si>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</si>
  <si>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</si>
  <si>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</si>
  <si>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</si>
  <si>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</si>
  <si>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</si>
  <si>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</si>
  <si>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</si>
  <si>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</si>
  <si>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</si>
  <si>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</si>
  <si>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</si>
  <si>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</si>
  <si>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</si>
  <si>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</si>
  <si>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</si>
  <si>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</si>
  <si>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</si>
  <si>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</si>
  <si>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</si>
  <si>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</si>
  <si>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</si>
  <si>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</si>
  <si>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</si>
  <si>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</si>
  <si>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</si>
  <si>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</si>
  <si>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</si>
  <si>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</si>
  <si>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</si>
  <si>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</si>
  <si>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</si>
  <si>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</si>
  <si>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</si>
  <si>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</si>
  <si>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</si>
  <si>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</si>
  <si>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</si>
  <si>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</si>
  <si>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</si>
  <si>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</si>
  <si>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Partly Cloudy / Windy </t>
  </si>
  <si>
    <t xml:space="preserve">North Green Oaks</t>
  </si>
  <si>
    <t xml:space="preserve">Garmin not charged</t>
  </si>
  <si>
    <t xml:space="preserve">Light Drizzle </t>
  </si>
  <si>
    <t xml:space="preserve">SP2 food bank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</si>
</sst>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34" activePane="bottomLeft" state="frozen"/>
      <selection pane="topLeft" activeCell="A1" activeCellId="0" sqref="A1"/>
      <selection pane="bottomLeft" activeCell="A251" activeCellId="0" sqref="A251"/>
    </sheetView>
  </sheetViews>
  <sheetFormatPr defaultColWidth="13.0742187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5.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2" width="8.71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4" width="6.74"/>
    <col collapsed="false" customWidth="true" hidden="false" outlineLevel="0" max="47" min="47" style="3" width="6.74"/>
    <col collapsed="false" customWidth="true" hidden="false" outlineLevel="0" max="48" min="48" style="3" width="6.88"/>
    <col collapsed="false" customWidth="true" hidden="false" outlineLevel="0" max="49" min="49" style="3" width="6.61"/>
    <col collapsed="false" customWidth="true" hidden="false" outlineLevel="0" max="51" min="50" style="3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0" t="s">
        <v>42</v>
      </c>
      <c r="AR1" s="0" t="s">
        <v>43</v>
      </c>
      <c r="AS1" s="3" t="s">
        <v>44</v>
      </c>
      <c r="AT1" s="5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55</v>
      </c>
      <c r="G2" s="2" t="n">
        <v>54</v>
      </c>
      <c r="I2" s="2" t="n">
        <v>98</v>
      </c>
      <c r="O2" s="0" t="s">
        <v>56</v>
      </c>
      <c r="P2" s="0" t="s">
        <v>57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Q2" s="0" t="n">
        <v>1</v>
      </c>
      <c r="AR2" s="0" t="n">
        <v>1</v>
      </c>
      <c r="AZ2" s="0" t="s">
        <v>58</v>
      </c>
      <c r="BA2" s="0" t="s">
        <v>59</v>
      </c>
      <c r="BB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60</v>
      </c>
      <c r="G3" s="2" t="n">
        <v>77</v>
      </c>
      <c r="I3" s="2" t="n">
        <v>42</v>
      </c>
      <c r="O3" s="0" t="s">
        <v>56</v>
      </c>
      <c r="P3" s="0" t="s">
        <v>61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Q3" s="0" t="n">
        <v>1</v>
      </c>
      <c r="AR3" s="0" t="n">
        <v>0</v>
      </c>
      <c r="AZ3" s="0" t="s">
        <v>58</v>
      </c>
      <c r="BA3" s="0" t="s">
        <v>59</v>
      </c>
      <c r="BB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60</v>
      </c>
      <c r="G4" s="2" t="n">
        <v>74</v>
      </c>
      <c r="I4" s="2" t="n">
        <v>64</v>
      </c>
      <c r="O4" s="0" t="s">
        <v>56</v>
      </c>
      <c r="P4" s="0" t="s">
        <v>62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Q4" s="0" t="n">
        <v>1</v>
      </c>
      <c r="AR4" s="0" t="n">
        <v>0</v>
      </c>
      <c r="AZ4" s="0" t="s">
        <v>58</v>
      </c>
      <c r="BA4" s="0" t="s">
        <v>59</v>
      </c>
      <c r="BB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63</v>
      </c>
      <c r="G5" s="2" t="n">
        <v>50</v>
      </c>
      <c r="I5" s="2" t="n">
        <v>60</v>
      </c>
      <c r="O5" s="0" t="s">
        <v>56</v>
      </c>
      <c r="P5" s="0" t="s">
        <v>57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R5" s="0" t="n">
        <v>1</v>
      </c>
      <c r="AZ5" s="0" t="s">
        <v>58</v>
      </c>
      <c r="BA5" s="0" t="s">
        <v>59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60</v>
      </c>
      <c r="G6" s="2" t="n">
        <v>62</v>
      </c>
      <c r="I6" s="2" t="n">
        <v>80</v>
      </c>
      <c r="O6" s="0" t="s">
        <v>56</v>
      </c>
      <c r="P6" s="0" t="s">
        <v>64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Q6" s="0" t="n">
        <v>0</v>
      </c>
      <c r="AR6" s="0" t="n">
        <v>0</v>
      </c>
      <c r="AZ6" s="0" t="s">
        <v>58</v>
      </c>
      <c r="BA6" s="0" t="s">
        <v>59</v>
      </c>
      <c r="BB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60</v>
      </c>
      <c r="G7" s="2" t="n">
        <v>44</v>
      </c>
      <c r="I7" s="2" t="n">
        <v>45</v>
      </c>
      <c r="O7" s="0" t="s">
        <v>56</v>
      </c>
      <c r="P7" s="0" t="s">
        <v>57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Q7" s="0" t="n">
        <v>0</v>
      </c>
      <c r="AR7" s="0" t="n">
        <v>0</v>
      </c>
      <c r="AZ7" s="0" t="s">
        <v>58</v>
      </c>
      <c r="BA7" s="0" t="s">
        <v>59</v>
      </c>
      <c r="BB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60</v>
      </c>
      <c r="G8" s="2" t="n">
        <v>54</v>
      </c>
      <c r="I8" s="2" t="n">
        <v>29</v>
      </c>
      <c r="O8" s="0" t="s">
        <v>65</v>
      </c>
      <c r="P8" s="0" t="s">
        <v>66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Q8" s="0" t="n">
        <v>0</v>
      </c>
      <c r="AR8" s="0" t="n">
        <v>0</v>
      </c>
      <c r="AZ8" s="0" t="s">
        <v>58</v>
      </c>
      <c r="BA8" s="0" t="s">
        <v>59</v>
      </c>
      <c r="BB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60</v>
      </c>
      <c r="G9" s="2" t="n">
        <v>52</v>
      </c>
      <c r="I9" s="2" t="n">
        <v>45</v>
      </c>
      <c r="O9" s="0" t="s">
        <v>65</v>
      </c>
      <c r="P9" s="0" t="s">
        <v>67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Q9" s="0" t="n">
        <v>0</v>
      </c>
      <c r="AR9" s="0" t="n">
        <v>0</v>
      </c>
      <c r="AZ9" s="0" t="s">
        <v>58</v>
      </c>
      <c r="BA9" s="0" t="s">
        <v>59</v>
      </c>
      <c r="BB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60</v>
      </c>
      <c r="G10" s="2" t="n">
        <v>74</v>
      </c>
      <c r="I10" s="2" t="n">
        <v>25</v>
      </c>
      <c r="AQ10" s="0" t="n">
        <v>2</v>
      </c>
      <c r="AR10" s="0" t="n">
        <v>1</v>
      </c>
      <c r="AZ10" s="0" t="s">
        <v>58</v>
      </c>
      <c r="BA10" s="0" t="s">
        <v>59</v>
      </c>
      <c r="BB10" s="0" t="n">
        <v>1</v>
      </c>
      <c r="BC10" s="0" t="s">
        <v>68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69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70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71</v>
      </c>
      <c r="G14" s="2" t="n">
        <v>57</v>
      </c>
      <c r="J14" s="7"/>
      <c r="K14" s="7"/>
      <c r="O14" s="0" t="s">
        <v>56</v>
      </c>
      <c r="P14" s="0" t="s">
        <v>57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Q14" s="0" t="n">
        <v>1</v>
      </c>
      <c r="AR14" s="0" t="n">
        <v>0</v>
      </c>
      <c r="AZ14" s="0" t="s">
        <v>58</v>
      </c>
      <c r="BA14" s="0" t="s">
        <v>59</v>
      </c>
      <c r="BB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60</v>
      </c>
      <c r="G15" s="2" t="n">
        <v>62</v>
      </c>
      <c r="I15" s="2" t="n">
        <v>46</v>
      </c>
      <c r="O15" s="0" t="s">
        <v>65</v>
      </c>
      <c r="P15" s="0" t="s">
        <v>72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Q15" s="0" t="n">
        <v>1</v>
      </c>
      <c r="AR15" s="0" t="n">
        <v>0</v>
      </c>
      <c r="AZ15" s="0" t="s">
        <v>58</v>
      </c>
      <c r="BA15" s="0" t="s">
        <v>59</v>
      </c>
      <c r="BB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60</v>
      </c>
      <c r="G16" s="2" t="n">
        <v>64</v>
      </c>
      <c r="I16" s="2" t="n">
        <v>19</v>
      </c>
      <c r="O16" s="0" t="s">
        <v>65</v>
      </c>
      <c r="P16" s="0" t="s">
        <v>61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Q16" s="0" t="n">
        <v>1</v>
      </c>
      <c r="AR16" s="0" t="n">
        <v>0</v>
      </c>
      <c r="AZ16" s="0" t="s">
        <v>58</v>
      </c>
      <c r="BA16" s="0" t="s">
        <v>59</v>
      </c>
      <c r="BB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60</v>
      </c>
      <c r="G17" s="2" t="n">
        <v>61</v>
      </c>
      <c r="I17" s="2" t="n">
        <v>34</v>
      </c>
      <c r="O17" s="0" t="s">
        <v>65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Q17" s="0" t="n">
        <v>0</v>
      </c>
      <c r="AR17" s="0" t="n">
        <v>0</v>
      </c>
      <c r="AZ17" s="0" t="s">
        <v>58</v>
      </c>
      <c r="BA17" s="0" t="s">
        <v>59</v>
      </c>
      <c r="BB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69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55</v>
      </c>
      <c r="G19" s="2" t="n">
        <v>59</v>
      </c>
      <c r="I19" s="2" t="n">
        <v>87</v>
      </c>
      <c r="O19" s="0" t="s">
        <v>56</v>
      </c>
      <c r="P19" s="0" t="s">
        <v>57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Q19" s="0" t="n">
        <v>1</v>
      </c>
      <c r="AR19" s="0" t="n">
        <v>0</v>
      </c>
      <c r="AZ19" s="0" t="s">
        <v>58</v>
      </c>
      <c r="BA19" s="0" t="s">
        <v>59</v>
      </c>
      <c r="BB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60</v>
      </c>
      <c r="G20" s="2" t="n">
        <v>54</v>
      </c>
      <c r="I20" s="2" t="n">
        <v>61</v>
      </c>
      <c r="O20" s="0" t="s">
        <v>65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Q20" s="0" t="n">
        <v>0</v>
      </c>
      <c r="AR20" s="0" t="n">
        <v>0</v>
      </c>
      <c r="AZ20" s="0" t="s">
        <v>58</v>
      </c>
      <c r="BA20" s="0" t="s">
        <v>59</v>
      </c>
      <c r="BB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60</v>
      </c>
      <c r="G21" s="2" t="n">
        <v>81</v>
      </c>
      <c r="I21" s="2" t="n">
        <v>64</v>
      </c>
      <c r="O21" s="0" t="s">
        <v>65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60</v>
      </c>
      <c r="G22" s="2" t="n">
        <v>64</v>
      </c>
      <c r="I22" s="2" t="n">
        <v>53</v>
      </c>
      <c r="O22" s="0" t="s">
        <v>65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Q22" s="0" t="n">
        <v>2</v>
      </c>
      <c r="AR22" s="0" t="n">
        <v>0</v>
      </c>
      <c r="AZ22" s="0" t="s">
        <v>58</v>
      </c>
      <c r="BA22" s="0" t="s">
        <v>59</v>
      </c>
      <c r="BB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69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71</v>
      </c>
      <c r="G24" s="2" t="n">
        <v>60</v>
      </c>
      <c r="I24" s="2" t="n">
        <v>86</v>
      </c>
      <c r="O24" s="0" t="s">
        <v>56</v>
      </c>
      <c r="P24" s="0" t="s">
        <v>57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69</v>
      </c>
      <c r="F25" s="0" t="s">
        <v>55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55</v>
      </c>
      <c r="G26" s="2" t="n">
        <v>70</v>
      </c>
      <c r="I26" s="2" t="n">
        <v>70</v>
      </c>
      <c r="O26" s="0" t="s">
        <v>65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Q26" s="0" t="n">
        <v>1</v>
      </c>
      <c r="AR26" s="0" t="n">
        <v>1</v>
      </c>
      <c r="AZ26" s="0" t="s">
        <v>58</v>
      </c>
      <c r="BA26" s="0" t="s">
        <v>59</v>
      </c>
      <c r="BB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55</v>
      </c>
      <c r="G27" s="2" t="n">
        <v>67</v>
      </c>
      <c r="I27" s="2" t="n">
        <v>84</v>
      </c>
      <c r="O27" s="0" t="s">
        <v>65</v>
      </c>
      <c r="P27" s="0" t="s">
        <v>61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Q27" s="0" t="n">
        <v>1</v>
      </c>
      <c r="AR27" s="0" t="n">
        <v>1</v>
      </c>
      <c r="AZ27" s="0" t="s">
        <v>58</v>
      </c>
      <c r="BA27" s="0" t="s">
        <v>59</v>
      </c>
      <c r="BB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65</v>
      </c>
      <c r="P28" s="0" t="s">
        <v>62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Q28" s="0" t="n">
        <v>1</v>
      </c>
      <c r="AR28" s="0" t="n">
        <v>0</v>
      </c>
      <c r="AZ28" s="0" t="s">
        <v>58</v>
      </c>
      <c r="BA28" s="0" t="s">
        <v>59</v>
      </c>
      <c r="BB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B29" s="0" t="n">
        <v>1</v>
      </c>
      <c r="BC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56</v>
      </c>
      <c r="P30" s="0" t="s">
        <v>72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Q30" s="0" t="n">
        <v>0</v>
      </c>
      <c r="AR30" s="0" t="n">
        <v>0</v>
      </c>
      <c r="AZ30" s="0" t="s">
        <v>58</v>
      </c>
      <c r="BA30" s="0" t="s">
        <v>59</v>
      </c>
      <c r="BB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60</v>
      </c>
      <c r="G31" s="2" t="n">
        <v>58</v>
      </c>
      <c r="I31" s="2" t="n">
        <v>60</v>
      </c>
      <c r="O31" s="0" t="s">
        <v>56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Q31" s="0" t="n">
        <v>0</v>
      </c>
      <c r="AR31" s="0" t="n">
        <v>1</v>
      </c>
      <c r="AZ31" s="0" t="s">
        <v>58</v>
      </c>
      <c r="BA31" s="0" t="s">
        <v>59</v>
      </c>
      <c r="BB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55</v>
      </c>
      <c r="G32" s="2" t="n">
        <v>62</v>
      </c>
      <c r="I32" s="2" t="n">
        <v>80</v>
      </c>
      <c r="O32" s="0" t="s">
        <v>56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Q32" s="0" t="n">
        <v>0</v>
      </c>
      <c r="AR32" s="0" t="n">
        <v>1</v>
      </c>
      <c r="AZ32" s="0" t="s">
        <v>58</v>
      </c>
      <c r="BA32" s="0" t="s">
        <v>59</v>
      </c>
      <c r="BB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55</v>
      </c>
      <c r="G33" s="2" t="n">
        <v>68</v>
      </c>
      <c r="I33" s="2" t="n">
        <v>81</v>
      </c>
      <c r="O33" s="0" t="s">
        <v>56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Q33" s="0" t="n">
        <v>0</v>
      </c>
      <c r="AR33" s="0" t="n">
        <v>0</v>
      </c>
      <c r="AZ33" s="0" t="s">
        <v>58</v>
      </c>
      <c r="BA33" s="0" t="s">
        <v>59</v>
      </c>
      <c r="BB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60</v>
      </c>
      <c r="G34" s="2" t="n">
        <v>86</v>
      </c>
      <c r="I34" s="2" t="n">
        <v>20</v>
      </c>
      <c r="O34" s="0" t="s">
        <v>65</v>
      </c>
      <c r="P34" s="0" t="s">
        <v>61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Q34" s="0" t="n">
        <v>2</v>
      </c>
      <c r="AR34" s="0" t="n">
        <v>0</v>
      </c>
      <c r="AZ34" s="0" t="s">
        <v>58</v>
      </c>
      <c r="BA34" s="0" t="s">
        <v>59</v>
      </c>
      <c r="BB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60</v>
      </c>
      <c r="G35" s="2" t="n">
        <v>87</v>
      </c>
      <c r="I35" s="2" t="n">
        <v>40</v>
      </c>
      <c r="O35" s="0" t="s">
        <v>65</v>
      </c>
      <c r="P35" s="0" t="s">
        <v>62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Q35" s="0" t="n">
        <v>5</v>
      </c>
      <c r="AR35" s="0" t="n">
        <v>0</v>
      </c>
      <c r="AZ35" s="0" t="s">
        <v>58</v>
      </c>
      <c r="BA35" s="0" t="s">
        <v>59</v>
      </c>
      <c r="BB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60</v>
      </c>
      <c r="G36" s="2" t="n">
        <v>82</v>
      </c>
      <c r="I36" s="2" t="n">
        <v>50</v>
      </c>
      <c r="O36" s="0" t="s">
        <v>65</v>
      </c>
      <c r="P36" s="0" t="s">
        <v>64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Q36" s="0" t="n">
        <v>5</v>
      </c>
      <c r="AR36" s="0" t="n">
        <v>0</v>
      </c>
      <c r="AZ36" s="0" t="s">
        <v>58</v>
      </c>
      <c r="BA36" s="0" t="s">
        <v>59</v>
      </c>
      <c r="BB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56</v>
      </c>
      <c r="P37" s="0" t="s">
        <v>72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Q37" s="0" t="n">
        <v>3</v>
      </c>
      <c r="AR37" s="0" t="n">
        <v>0</v>
      </c>
      <c r="AZ37" s="0" t="s">
        <v>58</v>
      </c>
      <c r="BA37" s="0" t="s">
        <v>59</v>
      </c>
      <c r="BB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60</v>
      </c>
      <c r="G38" s="2" t="n">
        <v>74</v>
      </c>
      <c r="I38" s="2" t="n">
        <v>19</v>
      </c>
      <c r="O38" s="0" t="s">
        <v>65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Q38" s="0" t="n">
        <v>3</v>
      </c>
      <c r="AR38" s="0" t="n">
        <v>0</v>
      </c>
      <c r="AZ38" s="0" t="s">
        <v>58</v>
      </c>
      <c r="BA38" s="0" t="s">
        <v>59</v>
      </c>
      <c r="BB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69</v>
      </c>
      <c r="F39" s="6" t="s">
        <v>60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55</v>
      </c>
      <c r="G41" s="2" t="n">
        <v>48</v>
      </c>
      <c r="I41" s="2" t="n">
        <v>55</v>
      </c>
      <c r="O41" s="0" t="s">
        <v>56</v>
      </c>
      <c r="P41" s="0" t="s">
        <v>61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Q41" s="0" t="n">
        <v>1</v>
      </c>
      <c r="AR41" s="0" t="n">
        <v>0</v>
      </c>
      <c r="AZ41" s="0" t="s">
        <v>58</v>
      </c>
      <c r="BA41" s="0" t="s">
        <v>59</v>
      </c>
      <c r="BB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60</v>
      </c>
      <c r="G42" s="2" t="n">
        <v>72</v>
      </c>
      <c r="I42" s="2" t="n">
        <v>50</v>
      </c>
      <c r="O42" s="0" t="s">
        <v>65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Q42" s="0" t="n">
        <v>1</v>
      </c>
      <c r="AR42" s="0" t="n">
        <v>0</v>
      </c>
      <c r="AZ42" s="0" t="s">
        <v>58</v>
      </c>
      <c r="BA42" s="0" t="s">
        <v>59</v>
      </c>
      <c r="BB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55</v>
      </c>
      <c r="G43" s="2" t="n">
        <v>69</v>
      </c>
      <c r="I43" s="2" t="n">
        <v>73</v>
      </c>
      <c r="O43" s="0" t="s">
        <v>65</v>
      </c>
      <c r="P43" s="0" t="s">
        <v>72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Q43" s="0" t="n">
        <v>0</v>
      </c>
      <c r="AR43" s="0" t="n">
        <v>0</v>
      </c>
      <c r="AZ43" s="0" t="s">
        <v>58</v>
      </c>
      <c r="BA43" s="0" t="s">
        <v>59</v>
      </c>
      <c r="BB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55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55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55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60</v>
      </c>
      <c r="G47" s="2" t="n">
        <v>71</v>
      </c>
      <c r="I47" s="2" t="n">
        <v>70</v>
      </c>
      <c r="O47" s="0" t="s">
        <v>65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Q47" s="0" t="n">
        <v>0</v>
      </c>
      <c r="AR47" s="0" t="n">
        <v>0</v>
      </c>
      <c r="AZ47" s="0" t="s">
        <v>58</v>
      </c>
      <c r="BA47" s="0" t="s">
        <v>59</v>
      </c>
      <c r="BB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8" t="s">
        <v>60</v>
      </c>
      <c r="G48" s="2" t="n">
        <v>86</v>
      </c>
      <c r="I48" s="2" t="n">
        <v>43</v>
      </c>
      <c r="O48" s="0" t="s">
        <v>56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Q48" s="0" t="n">
        <v>5</v>
      </c>
      <c r="AR48" s="0" t="n">
        <v>1</v>
      </c>
      <c r="AZ48" s="0" t="s">
        <v>58</v>
      </c>
      <c r="BA48" s="0" t="s">
        <v>59</v>
      </c>
      <c r="BB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60</v>
      </c>
      <c r="G49" s="2" t="n">
        <v>85</v>
      </c>
      <c r="I49" s="2" t="n">
        <v>55</v>
      </c>
      <c r="O49" s="0" t="s">
        <v>65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Q49" s="0" t="n">
        <v>0</v>
      </c>
      <c r="AR49" s="0" t="n">
        <v>0</v>
      </c>
      <c r="AZ49" s="0" t="s">
        <v>58</v>
      </c>
      <c r="BA49" s="0" t="s">
        <v>59</v>
      </c>
      <c r="BB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60</v>
      </c>
      <c r="G50" s="2" t="n">
        <v>88</v>
      </c>
      <c r="I50" s="2" t="n">
        <v>49</v>
      </c>
      <c r="O50" s="0" t="s">
        <v>56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Q50" s="0" t="n">
        <v>0</v>
      </c>
      <c r="AR50" s="0" t="n">
        <v>1</v>
      </c>
      <c r="AZ50" s="0" t="s">
        <v>58</v>
      </c>
      <c r="BA50" s="0" t="s">
        <v>59</v>
      </c>
      <c r="BB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60</v>
      </c>
      <c r="G51" s="2" t="n">
        <v>77</v>
      </c>
      <c r="I51" s="2" t="n">
        <v>71</v>
      </c>
      <c r="O51" s="0" t="s">
        <v>65</v>
      </c>
      <c r="P51" s="0" t="s">
        <v>72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Q51" s="0" t="n">
        <v>1</v>
      </c>
      <c r="AR51" s="0" t="n">
        <v>1</v>
      </c>
      <c r="AZ51" s="0" t="s">
        <v>58</v>
      </c>
      <c r="BA51" s="0" t="s">
        <v>59</v>
      </c>
      <c r="BB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69</v>
      </c>
      <c r="F52" s="0" t="s">
        <v>55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60</v>
      </c>
      <c r="G54" s="2" t="n">
        <v>54</v>
      </c>
      <c r="I54" s="2" t="n">
        <v>45</v>
      </c>
      <c r="O54" s="0" t="s">
        <v>56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Q54" s="0" t="n">
        <v>0</v>
      </c>
      <c r="AR54" s="0" t="n">
        <v>0</v>
      </c>
      <c r="AZ54" s="0" t="s">
        <v>58</v>
      </c>
      <c r="BA54" s="0" t="s">
        <v>59</v>
      </c>
      <c r="BB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65</v>
      </c>
      <c r="P55" s="0" t="s">
        <v>61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Q55" s="0" t="n">
        <v>0</v>
      </c>
      <c r="AR55" s="0" t="n">
        <v>0</v>
      </c>
      <c r="AZ55" s="0" t="s">
        <v>58</v>
      </c>
      <c r="BA55" s="0" t="s">
        <v>59</v>
      </c>
      <c r="BB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60</v>
      </c>
      <c r="G56" s="2" t="n">
        <v>63</v>
      </c>
      <c r="I56" s="2" t="n">
        <v>71</v>
      </c>
      <c r="O56" s="0" t="s">
        <v>65</v>
      </c>
      <c r="P56" s="0" t="s">
        <v>64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Q56" s="0" t="n">
        <v>3</v>
      </c>
      <c r="AR56" s="0" t="n">
        <v>0</v>
      </c>
      <c r="AZ56" s="0" t="s">
        <v>58</v>
      </c>
      <c r="BA56" s="0" t="s">
        <v>59</v>
      </c>
      <c r="BB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60</v>
      </c>
      <c r="G57" s="2" t="n">
        <v>70</v>
      </c>
      <c r="I57" s="2" t="n">
        <v>40</v>
      </c>
      <c r="O57" s="0" t="s">
        <v>65</v>
      </c>
      <c r="P57" s="0" t="s">
        <v>66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Q57" s="0" t="n">
        <v>3</v>
      </c>
      <c r="AR57" s="0" t="n">
        <v>1</v>
      </c>
      <c r="AZ57" s="0" t="s">
        <v>58</v>
      </c>
      <c r="BA57" s="0" t="s">
        <v>59</v>
      </c>
      <c r="BB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55</v>
      </c>
      <c r="G58" s="2" t="n">
        <v>53</v>
      </c>
      <c r="I58" s="2" t="n">
        <v>35</v>
      </c>
      <c r="O58" s="0" t="s">
        <v>56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Q58" s="0" t="n">
        <v>0</v>
      </c>
      <c r="AR58" s="0" t="n">
        <v>0</v>
      </c>
      <c r="AZ58" s="0" t="s">
        <v>58</v>
      </c>
      <c r="BA58" s="0" t="s">
        <v>59</v>
      </c>
      <c r="BB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60</v>
      </c>
      <c r="G59" s="2" t="n">
        <v>63</v>
      </c>
      <c r="I59" s="2" t="n">
        <v>48</v>
      </c>
      <c r="O59" s="0" t="s">
        <v>65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Q59" s="0" t="n">
        <v>3</v>
      </c>
      <c r="AR59" s="0" t="n">
        <v>0</v>
      </c>
      <c r="AZ59" s="0" t="s">
        <v>58</v>
      </c>
      <c r="BA59" s="0" t="s">
        <v>59</v>
      </c>
      <c r="BB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56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Q60" s="0" t="n">
        <v>2</v>
      </c>
      <c r="AR60" s="0" t="n">
        <v>0</v>
      </c>
      <c r="AZ60" s="0" t="s">
        <v>58</v>
      </c>
      <c r="BA60" s="0" t="s">
        <v>59</v>
      </c>
      <c r="BB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65</v>
      </c>
      <c r="P61" s="0" t="s">
        <v>61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Q61" s="0" t="n">
        <v>0</v>
      </c>
      <c r="AR61" s="0" t="n">
        <v>0</v>
      </c>
      <c r="AZ61" s="0" t="s">
        <v>58</v>
      </c>
      <c r="BA61" s="0" t="s">
        <v>59</v>
      </c>
      <c r="BB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60</v>
      </c>
      <c r="G62" s="2" t="n">
        <v>83</v>
      </c>
      <c r="I62" s="2" t="n">
        <v>64</v>
      </c>
      <c r="O62" s="0" t="s">
        <v>65</v>
      </c>
      <c r="AE62" s="2"/>
      <c r="BB62" s="0" t="n">
        <v>1</v>
      </c>
      <c r="BC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60</v>
      </c>
      <c r="G63" s="2" t="n">
        <v>64</v>
      </c>
      <c r="I63" s="2" t="n">
        <v>62</v>
      </c>
      <c r="M63" s="0" t="s">
        <v>88</v>
      </c>
      <c r="O63" s="0" t="s">
        <v>56</v>
      </c>
      <c r="P63" s="0" t="s">
        <v>62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Q63" s="0" t="n">
        <v>5</v>
      </c>
      <c r="AR63" s="0" t="n">
        <v>0</v>
      </c>
      <c r="AZ63" s="0" t="s">
        <v>58</v>
      </c>
      <c r="BA63" s="0" t="s">
        <v>59</v>
      </c>
      <c r="BB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55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60</v>
      </c>
      <c r="G65" s="2" t="n">
        <v>76</v>
      </c>
      <c r="I65" s="2" t="n">
        <v>43</v>
      </c>
      <c r="M65" s="0" t="s">
        <v>89</v>
      </c>
      <c r="O65" s="0" t="s">
        <v>56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Q65" s="0" t="n">
        <v>1</v>
      </c>
      <c r="AR65" s="0" t="n">
        <v>1</v>
      </c>
      <c r="AZ65" s="0" t="s">
        <v>58</v>
      </c>
      <c r="BA65" s="0" t="s">
        <v>59</v>
      </c>
      <c r="BB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60</v>
      </c>
      <c r="G66" s="2" t="n">
        <v>81</v>
      </c>
      <c r="I66" s="2" t="n">
        <v>37</v>
      </c>
      <c r="M66" s="0" t="s">
        <v>89</v>
      </c>
      <c r="O66" s="0" t="s">
        <v>65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Q66" s="0" t="n">
        <v>0</v>
      </c>
      <c r="AR66" s="0" t="n">
        <v>0</v>
      </c>
      <c r="AZ66" s="0" t="s">
        <v>58</v>
      </c>
      <c r="BA66" s="0" t="s">
        <v>59</v>
      </c>
      <c r="BB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60</v>
      </c>
      <c r="G67" s="2" t="n">
        <v>76</v>
      </c>
      <c r="I67" s="2" t="n">
        <v>37</v>
      </c>
      <c r="M67" s="0" t="s">
        <v>89</v>
      </c>
      <c r="O67" s="0" t="s">
        <v>56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Q67" s="0" t="n">
        <v>4</v>
      </c>
      <c r="AR67" s="0" t="n">
        <v>0</v>
      </c>
      <c r="AZ67" s="0" t="s">
        <v>58</v>
      </c>
      <c r="BA67" s="0" t="s">
        <v>59</v>
      </c>
      <c r="BB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60</v>
      </c>
      <c r="G68" s="2" t="n">
        <v>81</v>
      </c>
      <c r="I68" s="2" t="n">
        <v>23</v>
      </c>
      <c r="M68" s="0" t="s">
        <v>89</v>
      </c>
      <c r="O68" s="0" t="s">
        <v>65</v>
      </c>
      <c r="P68" s="0" t="s">
        <v>64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Q68" s="0" t="n">
        <v>3</v>
      </c>
      <c r="AR68" s="0" t="n">
        <v>1</v>
      </c>
      <c r="AZ68" s="0" t="s">
        <v>58</v>
      </c>
      <c r="BA68" s="0" t="s">
        <v>59</v>
      </c>
      <c r="BB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60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Q69" s="0" t="n">
        <v>3</v>
      </c>
      <c r="AR69" s="0" t="n">
        <v>2</v>
      </c>
      <c r="AZ69" s="0" t="s">
        <v>58</v>
      </c>
      <c r="BA69" s="0" t="s">
        <v>59</v>
      </c>
      <c r="BB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65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Q70" s="0" t="n">
        <v>5</v>
      </c>
      <c r="AR70" s="0" t="n">
        <v>1</v>
      </c>
      <c r="AZ70" s="0" t="s">
        <v>58</v>
      </c>
      <c r="BA70" s="0" t="s">
        <v>59</v>
      </c>
      <c r="BB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60</v>
      </c>
      <c r="G71" s="2" t="n">
        <v>75</v>
      </c>
      <c r="I71" s="2" t="n">
        <v>77</v>
      </c>
      <c r="M71" s="0" t="s">
        <v>89</v>
      </c>
      <c r="O71" s="0" t="s">
        <v>56</v>
      </c>
      <c r="P71" s="0" t="s">
        <v>72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Q71" s="0" t="n">
        <v>0</v>
      </c>
      <c r="AR71" s="0" t="n">
        <v>0</v>
      </c>
      <c r="AZ71" s="0" t="s">
        <v>58</v>
      </c>
      <c r="BA71" s="0" t="s">
        <v>59</v>
      </c>
      <c r="BB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60</v>
      </c>
      <c r="G72" s="2" t="n">
        <v>77</v>
      </c>
      <c r="I72" s="2" t="n">
        <v>32</v>
      </c>
      <c r="M72" s="0" t="s">
        <v>89</v>
      </c>
      <c r="O72" s="0" t="s">
        <v>65</v>
      </c>
      <c r="P72" s="0" t="s">
        <v>62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Q72" s="0" t="n">
        <v>0</v>
      </c>
      <c r="AR72" s="0" t="n">
        <v>1</v>
      </c>
      <c r="AZ72" s="0" t="s">
        <v>58</v>
      </c>
      <c r="BA72" s="0" t="s">
        <v>59</v>
      </c>
      <c r="BB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60</v>
      </c>
      <c r="G73" s="2" t="n">
        <v>71</v>
      </c>
      <c r="I73" s="2" t="n">
        <v>53</v>
      </c>
      <c r="M73" s="0" t="s">
        <v>89</v>
      </c>
      <c r="O73" s="0" t="s">
        <v>65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Q73" s="0" t="n">
        <v>1</v>
      </c>
      <c r="AR73" s="0" t="n">
        <v>0</v>
      </c>
      <c r="AZ73" s="0" t="s">
        <v>58</v>
      </c>
      <c r="BA73" s="0" t="s">
        <v>59</v>
      </c>
      <c r="BB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56</v>
      </c>
      <c r="P74" s="0" t="s">
        <v>64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Q74" s="0" t="n">
        <v>0</v>
      </c>
      <c r="AR74" s="0" t="n">
        <v>0</v>
      </c>
      <c r="AZ74" s="0" t="s">
        <v>58</v>
      </c>
      <c r="BA74" s="0" t="s">
        <v>59</v>
      </c>
      <c r="BB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60</v>
      </c>
      <c r="G75" s="2" t="n">
        <v>84</v>
      </c>
      <c r="I75" s="2" t="n">
        <v>55</v>
      </c>
      <c r="M75" s="0" t="s">
        <v>89</v>
      </c>
      <c r="O75" s="0" t="s">
        <v>56</v>
      </c>
      <c r="P75" s="0" t="s">
        <v>61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Q75" s="0" t="n">
        <v>0</v>
      </c>
      <c r="AR75" s="0" t="n">
        <v>0</v>
      </c>
      <c r="AZ75" s="0" t="s">
        <v>58</v>
      </c>
      <c r="BA75" s="0" t="s">
        <v>59</v>
      </c>
      <c r="BB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60</v>
      </c>
      <c r="G76" s="2" t="n">
        <v>55</v>
      </c>
      <c r="I76" s="2" t="n">
        <v>60</v>
      </c>
      <c r="M76" s="0" t="s">
        <v>89</v>
      </c>
      <c r="O76" s="0" t="s">
        <v>65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Q76" s="0" t="n">
        <v>1</v>
      </c>
      <c r="AR76" s="0" t="n">
        <v>1</v>
      </c>
      <c r="AZ76" s="0" t="s">
        <v>58</v>
      </c>
      <c r="BA76" s="0" t="s">
        <v>59</v>
      </c>
      <c r="BB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56</v>
      </c>
      <c r="P77" s="0" t="s">
        <v>61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Q77" s="0" t="n">
        <v>0</v>
      </c>
      <c r="AR77" s="0" t="n">
        <v>0</v>
      </c>
      <c r="AZ77" s="0" t="s">
        <v>58</v>
      </c>
      <c r="BA77" s="0" t="s">
        <v>59</v>
      </c>
      <c r="BB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60</v>
      </c>
      <c r="G78" s="2" t="n">
        <v>77</v>
      </c>
      <c r="I78" s="2" t="n">
        <v>31</v>
      </c>
      <c r="M78" s="0" t="s">
        <v>89</v>
      </c>
      <c r="O78" s="0" t="s">
        <v>65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Q78" s="0" t="n">
        <v>0</v>
      </c>
      <c r="AR78" s="0" t="n">
        <v>0</v>
      </c>
      <c r="AZ78" s="0" t="s">
        <v>58</v>
      </c>
      <c r="BA78" s="0" t="s">
        <v>59</v>
      </c>
      <c r="BB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56</v>
      </c>
      <c r="P79" s="0" t="s">
        <v>62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Q79" s="0" t="n">
        <v>0</v>
      </c>
      <c r="AR79" s="0" t="n">
        <v>0</v>
      </c>
      <c r="AZ79" s="0" t="s">
        <v>58</v>
      </c>
      <c r="BA79" s="0" t="s">
        <v>59</v>
      </c>
      <c r="BB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55</v>
      </c>
      <c r="G80" s="2" t="n">
        <v>68</v>
      </c>
      <c r="I80" s="2" t="n">
        <v>56</v>
      </c>
      <c r="M80" s="0" t="s">
        <v>89</v>
      </c>
      <c r="O80" s="0" t="s">
        <v>56</v>
      </c>
      <c r="P80" s="0" t="s">
        <v>72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Q80" s="0" t="n">
        <v>0</v>
      </c>
      <c r="AR80" s="0" t="n">
        <v>0</v>
      </c>
      <c r="AZ80" s="0" t="s">
        <v>58</v>
      </c>
      <c r="BA80" s="0" t="s">
        <v>59</v>
      </c>
      <c r="BB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60</v>
      </c>
      <c r="G81" s="2" t="n">
        <v>70</v>
      </c>
      <c r="M81" s="0" t="s">
        <v>89</v>
      </c>
      <c r="O81" s="0" t="s">
        <v>65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60</v>
      </c>
      <c r="G82" s="2" t="n">
        <v>75</v>
      </c>
      <c r="I82" s="2" t="n">
        <v>36</v>
      </c>
      <c r="M82" s="0" t="s">
        <v>89</v>
      </c>
      <c r="O82" s="0" t="s">
        <v>65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Q82" s="0" t="n">
        <v>3</v>
      </c>
      <c r="AZ82" s="0" t="s">
        <v>58</v>
      </c>
      <c r="BA82" s="0" t="s">
        <v>59</v>
      </c>
      <c r="BB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60</v>
      </c>
      <c r="G83" s="2" t="n">
        <v>64</v>
      </c>
      <c r="I83" s="2" t="n">
        <v>56</v>
      </c>
      <c r="M83" s="0" t="s">
        <v>89</v>
      </c>
      <c r="O83" s="0" t="s">
        <v>56</v>
      </c>
      <c r="P83" s="0" t="s">
        <v>61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Q83" s="0" t="n">
        <v>0</v>
      </c>
      <c r="AR83" s="0" t="n">
        <v>0</v>
      </c>
      <c r="AZ83" s="0" t="s">
        <v>58</v>
      </c>
      <c r="BA83" s="0" t="s">
        <v>59</v>
      </c>
      <c r="BB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71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55</v>
      </c>
      <c r="G85" s="2" t="n">
        <v>73</v>
      </c>
      <c r="I85" s="2" t="n">
        <v>76</v>
      </c>
      <c r="M85" s="0" t="s">
        <v>88</v>
      </c>
      <c r="O85" s="0" t="s">
        <v>56</v>
      </c>
      <c r="P85" s="0" t="s">
        <v>62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Q85" s="0" t="n">
        <v>5</v>
      </c>
      <c r="AR85" s="0" t="n">
        <v>0</v>
      </c>
      <c r="AZ85" s="0" t="s">
        <v>58</v>
      </c>
      <c r="BA85" s="0" t="s">
        <v>59</v>
      </c>
      <c r="BB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65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55</v>
      </c>
      <c r="G87" s="2" t="n">
        <v>81</v>
      </c>
      <c r="I87" s="2" t="n">
        <v>62</v>
      </c>
      <c r="M87" s="0" t="s">
        <v>88</v>
      </c>
      <c r="O87" s="0" t="s">
        <v>56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Q87" s="0" t="n">
        <v>7</v>
      </c>
      <c r="AR87" s="0" t="n">
        <v>0</v>
      </c>
      <c r="AZ87" s="0" t="s">
        <v>58</v>
      </c>
      <c r="BA87" s="0" t="s">
        <v>59</v>
      </c>
      <c r="BB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55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60</v>
      </c>
      <c r="G89" s="2" t="n">
        <v>80</v>
      </c>
      <c r="I89" s="2" t="n">
        <v>54</v>
      </c>
      <c r="M89" s="0" t="s">
        <v>89</v>
      </c>
      <c r="O89" s="0" t="s">
        <v>65</v>
      </c>
      <c r="P89" s="0" t="s">
        <v>61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Q89" s="0" t="n">
        <v>1</v>
      </c>
      <c r="AR89" s="0" t="n">
        <v>0</v>
      </c>
      <c r="AT89" s="5" t="n">
        <f aca="false">60*U89-SUM(AU89:AY89)</f>
        <v>0</v>
      </c>
      <c r="AU89" s="3" t="n">
        <f aca="false">4+50/60</f>
        <v>4.83333333333333</v>
      </c>
      <c r="AV89" s="3" t="n">
        <f aca="false">13+36/60</f>
        <v>13.6</v>
      </c>
      <c r="AW89" s="3" t="n">
        <f aca="false">20+25/60</f>
        <v>20.4166666666667</v>
      </c>
      <c r="AX89" s="3" t="n">
        <f aca="false">30+52/60</f>
        <v>30.8666666666667</v>
      </c>
      <c r="AY89" s="3" t="n">
        <f aca="false">13+17/60</f>
        <v>13.2833333333333</v>
      </c>
      <c r="AZ89" s="0" t="s">
        <v>58</v>
      </c>
      <c r="BA89" s="0" t="s">
        <v>59</v>
      </c>
      <c r="BB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60</v>
      </c>
      <c r="G90" s="2" t="n">
        <v>89</v>
      </c>
      <c r="I90" s="2" t="n">
        <v>43</v>
      </c>
      <c r="M90" s="0" t="s">
        <v>89</v>
      </c>
      <c r="O90" s="0" t="s">
        <v>56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Q90" s="0" t="n">
        <v>4</v>
      </c>
      <c r="AR90" s="0" t="n">
        <v>0</v>
      </c>
      <c r="AT90" s="5" t="n">
        <f aca="false">60*U90-SUM(AU90:AY90)</f>
        <v>0.466666666666654</v>
      </c>
      <c r="AU90" s="3" t="n">
        <f aca="false">7+18/60</f>
        <v>7.3</v>
      </c>
      <c r="AV90" s="3" t="n">
        <f aca="false">8+18/60</f>
        <v>8.3</v>
      </c>
      <c r="AW90" s="3" t="n">
        <v>1</v>
      </c>
      <c r="AX90" s="3" t="n">
        <f aca="false">54+50/60</f>
        <v>54.8333333333333</v>
      </c>
      <c r="AY90" s="3" t="n">
        <f aca="false">19+6/60</f>
        <v>19.1</v>
      </c>
      <c r="AZ90" s="0" t="s">
        <v>58</v>
      </c>
      <c r="BA90" s="0" t="s">
        <v>59</v>
      </c>
      <c r="BB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60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65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Q91" s="0" t="n">
        <v>1</v>
      </c>
      <c r="AR91" s="0" t="n">
        <v>0</v>
      </c>
      <c r="AT91" s="5" t="n">
        <f aca="false">60*U91-SUM(AU91:AY91)</f>
        <v>0</v>
      </c>
      <c r="AU91" s="3" t="n">
        <f aca="false">1+16/60</f>
        <v>1.26666666666667</v>
      </c>
      <c r="AV91" s="3" t="n">
        <f aca="false">14+28/60</f>
        <v>14.4666666666667</v>
      </c>
      <c r="AW91" s="3" t="n">
        <f aca="false">16+20/60</f>
        <v>16.3333333333333</v>
      </c>
      <c r="AX91" s="3" t="n">
        <f aca="false">58+46/60</f>
        <v>58.7666666666667</v>
      </c>
      <c r="AY91" s="3" t="n">
        <f aca="false">8+39/60</f>
        <v>8.65</v>
      </c>
      <c r="AZ91" s="0" t="s">
        <v>58</v>
      </c>
      <c r="BA91" s="0" t="s">
        <v>59</v>
      </c>
      <c r="BB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55</v>
      </c>
      <c r="G92" s="2" t="n">
        <v>74</v>
      </c>
      <c r="I92" s="2" t="n">
        <v>71</v>
      </c>
      <c r="M92" s="0" t="s">
        <v>89</v>
      </c>
      <c r="O92" s="0" t="s">
        <v>65</v>
      </c>
      <c r="P92" s="0" t="s">
        <v>64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Q92" s="0" t="n">
        <v>3</v>
      </c>
      <c r="AR92" s="0" t="n">
        <v>0</v>
      </c>
      <c r="AT92" s="5" t="n">
        <f aca="false">60*U92-SUM(AU92:AY92)</f>
        <v>12.3833333333333</v>
      </c>
      <c r="AU92" s="3" t="n">
        <f aca="false">27+50/60</f>
        <v>27.8333333333333</v>
      </c>
      <c r="AV92" s="3" t="n">
        <f aca="false">36+21/60</f>
        <v>36.35</v>
      </c>
      <c r="AW92" s="3" t="n">
        <f aca="false">20+56/60</f>
        <v>20.9333333333333</v>
      </c>
      <c r="AX92" s="3" t="n">
        <f aca="false">17+21/60</f>
        <v>17.35</v>
      </c>
      <c r="AY92" s="3" t="n">
        <f aca="false">8+12/60</f>
        <v>8.2</v>
      </c>
      <c r="AZ92" s="0" t="s">
        <v>58</v>
      </c>
      <c r="BA92" s="0" t="s">
        <v>59</v>
      </c>
      <c r="BB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55</v>
      </c>
      <c r="G93" s="2" t="n">
        <v>76</v>
      </c>
      <c r="I93" s="2" t="n">
        <v>74</v>
      </c>
      <c r="M93" s="0" t="s">
        <v>89</v>
      </c>
      <c r="O93" s="0" t="s">
        <v>56</v>
      </c>
      <c r="P93" s="0" t="s">
        <v>62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Q93" s="0" t="n">
        <v>2</v>
      </c>
      <c r="AR93" s="0" t="n">
        <v>0</v>
      </c>
      <c r="AT93" s="5" t="n">
        <f aca="false">60*U93-SUM(AU93:AY93)</f>
        <v>-0.0333333333333314</v>
      </c>
      <c r="AU93" s="3" t="n">
        <f aca="false">41+4/60</f>
        <v>41.0666666666667</v>
      </c>
      <c r="AV93" s="3" t="n">
        <f aca="false">54+30/60</f>
        <v>54.5</v>
      </c>
      <c r="AW93" s="3" t="n">
        <f aca="false">3+58/60</f>
        <v>3.96666666666667</v>
      </c>
      <c r="AX93" s="3" t="n">
        <f aca="false">30/60</f>
        <v>0.5</v>
      </c>
      <c r="AY93" s="3" t="n">
        <v>0</v>
      </c>
      <c r="AZ93" s="0" t="s">
        <v>58</v>
      </c>
      <c r="BA93" s="0" t="s">
        <v>59</v>
      </c>
      <c r="BB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60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65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Q94" s="0" t="n">
        <v>4</v>
      </c>
      <c r="AR94" s="0" t="n">
        <v>1</v>
      </c>
      <c r="AT94" s="5" t="n">
        <f aca="false">60*U94-SUM(AU94:AY94)</f>
        <v>24.3</v>
      </c>
      <c r="AU94" s="3" t="n">
        <f aca="false">17+9/60</f>
        <v>17.15</v>
      </c>
      <c r="AV94" s="3" t="n">
        <f aca="false">25</f>
        <v>25</v>
      </c>
      <c r="AW94" s="3" t="n">
        <f aca="false">14+8/60</f>
        <v>14.1333333333333</v>
      </c>
      <c r="AX94" s="3" t="n">
        <f aca="false">27+43/60</f>
        <v>27.7166666666667</v>
      </c>
      <c r="AY94" s="3" t="n">
        <f aca="false">48+56/60</f>
        <v>48.9333333333333</v>
      </c>
      <c r="AZ94" s="0" t="s">
        <v>58</v>
      </c>
      <c r="BA94" s="0" t="s">
        <v>59</v>
      </c>
      <c r="BB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60</v>
      </c>
      <c r="G95" s="2" t="n">
        <v>87</v>
      </c>
      <c r="I95" s="2" t="n">
        <v>0.56</v>
      </c>
      <c r="M95" s="0" t="s">
        <v>89</v>
      </c>
      <c r="O95" s="0" t="s">
        <v>56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Q95" s="0" t="n">
        <v>1</v>
      </c>
      <c r="AR95" s="0" t="n">
        <v>2</v>
      </c>
      <c r="AT95" s="5" t="n">
        <f aca="false">60*U95-SUM(AU95:AY95)</f>
        <v>0.933333333333337</v>
      </c>
      <c r="AU95" s="3" t="n">
        <f aca="false">6+4/60</f>
        <v>6.06666666666667</v>
      </c>
      <c r="AV95" s="3" t="n">
        <f aca="false">26+21/60</f>
        <v>26.35</v>
      </c>
      <c r="AW95" s="3" t="n">
        <f aca="false">13+33/60</f>
        <v>13.55</v>
      </c>
      <c r="AX95" s="3" t="n">
        <f aca="false">32+14/60</f>
        <v>32.2333333333333</v>
      </c>
      <c r="AY95" s="3" t="n">
        <f aca="false">35+52/60</f>
        <v>35.8666666666667</v>
      </c>
      <c r="AZ95" s="0" t="s">
        <v>58</v>
      </c>
      <c r="BA95" s="0" t="s">
        <v>59</v>
      </c>
      <c r="BB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69</v>
      </c>
      <c r="F96" s="0" t="s">
        <v>55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55</v>
      </c>
      <c r="G97" s="2" t="n">
        <v>71</v>
      </c>
      <c r="I97" s="2" t="n">
        <v>59</v>
      </c>
      <c r="M97" s="0" t="s">
        <v>89</v>
      </c>
      <c r="O97" s="0" t="s">
        <v>56</v>
      </c>
      <c r="P97" s="0" t="s">
        <v>64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Q97" s="0" t="n">
        <v>2</v>
      </c>
      <c r="AR97" s="0" t="n">
        <v>1</v>
      </c>
      <c r="AT97" s="4" t="n">
        <f aca="false">60*U97-SUM(AU97:AY97)</f>
        <v>2.13333333333333</v>
      </c>
      <c r="AU97" s="3" t="n">
        <f aca="false">27+11/60</f>
        <v>27.1833333333333</v>
      </c>
      <c r="AV97" s="3" t="n">
        <f aca="false">44+1/6</f>
        <v>44.1666666666667</v>
      </c>
      <c r="AW97" s="3" t="n">
        <f aca="false">25+24/60</f>
        <v>25.4</v>
      </c>
      <c r="AX97" s="3" t="n">
        <f aca="false">11+32/60</f>
        <v>11.5333333333333</v>
      </c>
      <c r="AY97" s="3" t="n">
        <f aca="false">28+9/60</f>
        <v>28.15</v>
      </c>
      <c r="AZ97" s="0" t="s">
        <v>58</v>
      </c>
      <c r="BA97" s="0" t="s">
        <v>59</v>
      </c>
      <c r="BB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60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56</v>
      </c>
      <c r="P98" s="0" t="s">
        <v>61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Q98" s="0" t="n">
        <v>1</v>
      </c>
      <c r="AR98" s="0" t="n">
        <v>1</v>
      </c>
      <c r="AT98" s="4" t="n">
        <f aca="false">60*U98-SUM(AU98:AY98)</f>
        <v>8.99866666666668</v>
      </c>
      <c r="AU98" s="3" t="n">
        <f aca="false">22/60</f>
        <v>0.366666666666667</v>
      </c>
      <c r="AV98" s="3" t="n">
        <f aca="false">5+2/60</f>
        <v>5.03333333333333</v>
      </c>
      <c r="AW98" s="3" t="n">
        <f aca="false">36+57/60</f>
        <v>36.95</v>
      </c>
      <c r="AX98" s="3" t="n">
        <f aca="false">60+5/60</f>
        <v>60.0833333333333</v>
      </c>
      <c r="AY98" s="3" t="n">
        <f aca="false">3.08/60</f>
        <v>0.0513333333333333</v>
      </c>
      <c r="AZ98" s="0" t="s">
        <v>58</v>
      </c>
      <c r="BA98" s="0" t="s">
        <v>59</v>
      </c>
      <c r="BB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69</v>
      </c>
      <c r="F99" s="0" t="s">
        <v>60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60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65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Q100" s="0" t="n">
        <v>1</v>
      </c>
      <c r="AR100" s="0" t="n">
        <v>1</v>
      </c>
      <c r="AT100" s="4" t="n">
        <f aca="false">60*U100-SUM(AU100:AY100)</f>
        <v>11.5245</v>
      </c>
      <c r="AU100" s="3" t="n">
        <f aca="false">13/60</f>
        <v>0.216666666666667</v>
      </c>
      <c r="AV100" s="3" t="n">
        <f aca="false">28*37/60</f>
        <v>17.2666666666667</v>
      </c>
      <c r="AW100" s="3" t="n">
        <f aca="false">47+14/60</f>
        <v>47.2333333333333</v>
      </c>
      <c r="AX100" s="3" t="n">
        <f aca="false">34+45/60</f>
        <v>34.75</v>
      </c>
      <c r="AY100" s="3" t="n">
        <f aca="false">0.53/60</f>
        <v>0.00883333333333333</v>
      </c>
      <c r="AZ100" s="0" t="s">
        <v>58</v>
      </c>
      <c r="BA100" s="0" t="s">
        <v>59</v>
      </c>
      <c r="BB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60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65</v>
      </c>
      <c r="P101" s="0" t="s">
        <v>62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Q101" s="0" t="n">
        <v>2</v>
      </c>
      <c r="AR101" s="0" t="n">
        <v>0</v>
      </c>
      <c r="AT101" s="4" t="n">
        <f aca="false">60*U101-SUM(AU101:AY101)</f>
        <v>0</v>
      </c>
      <c r="AU101" s="3" t="n">
        <f aca="false">1+26/60</f>
        <v>1.43333333333333</v>
      </c>
      <c r="AV101" s="3" t="n">
        <f aca="false">65+39/60</f>
        <v>65.65</v>
      </c>
      <c r="AW101" s="3" t="n">
        <f aca="false">20+34/60</f>
        <v>20.5666666666667</v>
      </c>
      <c r="AX101" s="3" t="n">
        <f aca="false">25+53/60</f>
        <v>25.8833333333333</v>
      </c>
      <c r="AY101" s="3" t="n">
        <f aca="false">1+47/60</f>
        <v>1.78333333333333</v>
      </c>
      <c r="AZ101" s="0" t="s">
        <v>58</v>
      </c>
      <c r="BA101" s="0" t="s">
        <v>59</v>
      </c>
      <c r="BB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43982.5701388889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65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T102" s="4" t="n">
        <f aca="false">60*U102-SUM(AU102:AY102)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65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Q103" s="0" t="n">
        <v>1</v>
      </c>
      <c r="AR103" s="0" t="n">
        <v>3</v>
      </c>
      <c r="AT103" s="4" t="n">
        <f aca="false">60*U103-SUM(AU103:AY103)</f>
        <v>56.9833333333333</v>
      </c>
      <c r="AU103" s="3" t="n">
        <f aca="false">27.25</f>
        <v>27.25</v>
      </c>
      <c r="AV103" s="3" t="n">
        <f aca="false">13+43/60</f>
        <v>13.7166666666667</v>
      </c>
      <c r="AW103" s="3" t="n">
        <f aca="false">14+50/60</f>
        <v>14.8333333333333</v>
      </c>
      <c r="AX103" s="3" t="n">
        <f aca="false">6+13/60</f>
        <v>6.21666666666667</v>
      </c>
      <c r="AY103" s="3" t="n">
        <v>0</v>
      </c>
      <c r="AZ103" s="0" t="s">
        <v>58</v>
      </c>
      <c r="BA103" s="0" t="s">
        <v>59</v>
      </c>
      <c r="BB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65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Q104" s="0" t="n">
        <v>4</v>
      </c>
      <c r="AR104" s="0" t="n">
        <v>0</v>
      </c>
      <c r="AT104" s="4" t="n">
        <f aca="false">60*U104-SUM(AU104:AY104)</f>
        <v>0.25</v>
      </c>
      <c r="AU104" s="3" t="n">
        <f aca="false">3+28/60</f>
        <v>3.46666666666667</v>
      </c>
      <c r="AV104" s="3" t="n">
        <f aca="false">36+3/60</f>
        <v>36.05</v>
      </c>
      <c r="AW104" s="3" t="n">
        <f aca="false">25+52/60</f>
        <v>25.8666666666667</v>
      </c>
      <c r="AX104" s="3" t="n">
        <f aca="false">15+28/60</f>
        <v>15.4666666666667</v>
      </c>
      <c r="AY104" s="3" t="n">
        <f aca="false">37+54/60</f>
        <v>37.9</v>
      </c>
      <c r="AZ104" s="0" t="s">
        <v>58</v>
      </c>
      <c r="BA104" s="0" t="s">
        <v>59</v>
      </c>
      <c r="BB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60</v>
      </c>
      <c r="G105" s="2" t="n">
        <v>93</v>
      </c>
      <c r="I105" s="2" t="n">
        <v>47</v>
      </c>
      <c r="M105" s="0" t="s">
        <v>88</v>
      </c>
      <c r="O105" s="0" t="s">
        <v>56</v>
      </c>
      <c r="P105" s="0" t="s">
        <v>57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Q105" s="0" t="n">
        <v>0</v>
      </c>
      <c r="AR105" s="0" t="n">
        <v>0</v>
      </c>
      <c r="AT105" s="4" t="n">
        <f aca="false">60*U105-SUM(AU105:AY105)</f>
        <v>0.449999999999989</v>
      </c>
      <c r="AU105" s="3" t="n">
        <v>3.25</v>
      </c>
      <c r="AV105" s="3" t="n">
        <f aca="false">19+33/60</f>
        <v>19.55</v>
      </c>
      <c r="AW105" s="3" t="n">
        <f aca="false">6+2/60</f>
        <v>6.03333333333333</v>
      </c>
      <c r="AX105" s="3" t="n">
        <f aca="false">70+13/60</f>
        <v>70.2166666666667</v>
      </c>
      <c r="AY105" s="3" t="n">
        <f aca="false">2.5</f>
        <v>2.5</v>
      </c>
      <c r="AZ105" s="0" t="s">
        <v>58</v>
      </c>
      <c r="BA105" s="0" t="s">
        <v>59</v>
      </c>
      <c r="BB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60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65</v>
      </c>
      <c r="P106" s="0" t="s">
        <v>57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Q106" s="0" t="n">
        <v>1</v>
      </c>
      <c r="AR106" s="0" t="n">
        <v>0</v>
      </c>
      <c r="AT106" s="4" t="n">
        <f aca="false">60*U106-SUM(AU106:AY106)</f>
        <v>0.849999999999994</v>
      </c>
      <c r="AU106" s="3" t="n">
        <f aca="false">5+38/60</f>
        <v>5.63333333333333</v>
      </c>
      <c r="AV106" s="3" t="n">
        <f aca="false">10+45/60</f>
        <v>10.75</v>
      </c>
      <c r="AW106" s="3" t="n">
        <f aca="false">53+46/60</f>
        <v>53.7666666666667</v>
      </c>
      <c r="AX106" s="3" t="n">
        <f aca="false">20</f>
        <v>20</v>
      </c>
      <c r="AY106" s="3" t="n">
        <v>0</v>
      </c>
      <c r="AZ106" s="0" t="s">
        <v>58</v>
      </c>
      <c r="BA106" s="0" t="s">
        <v>59</v>
      </c>
      <c r="BB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60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60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65</v>
      </c>
      <c r="P108" s="0" t="s">
        <v>57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Q108" s="0" t="n">
        <v>0</v>
      </c>
      <c r="AR108" s="0" t="n">
        <v>0</v>
      </c>
      <c r="AT108" s="4" t="n">
        <f aca="false">60*U108-SUM(AU108:AY108)</f>
        <v>0.299999999999983</v>
      </c>
      <c r="AU108" s="3" t="n">
        <v>0</v>
      </c>
      <c r="AV108" s="3" t="n">
        <f aca="false">25/60</f>
        <v>0.416666666666667</v>
      </c>
      <c r="AW108" s="3" t="n">
        <f aca="false">5+33/60</f>
        <v>5.55</v>
      </c>
      <c r="AX108" s="3" t="n">
        <f aca="false">81+3/60</f>
        <v>81.05</v>
      </c>
      <c r="AY108" s="3" t="n">
        <f aca="false">35+41/60</f>
        <v>35.6833333333333</v>
      </c>
      <c r="AZ108" s="0" t="s">
        <v>58</v>
      </c>
      <c r="BA108" s="0" t="s">
        <v>59</v>
      </c>
      <c r="BB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69</v>
      </c>
      <c r="F109" s="0" t="s">
        <v>60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60</v>
      </c>
      <c r="G110" s="2" t="n">
        <v>95</v>
      </c>
      <c r="I110" s="2" t="n">
        <v>41</v>
      </c>
      <c r="M110" s="0" t="s">
        <v>88</v>
      </c>
      <c r="O110" s="0" t="s">
        <v>65</v>
      </c>
      <c r="P110" s="0" t="s">
        <v>57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Q110" s="0" t="n">
        <v>1</v>
      </c>
      <c r="AR110" s="0" t="n">
        <v>1</v>
      </c>
      <c r="AT110" s="4" t="n">
        <f aca="false">60*U110-SUM(AU110:AY110)</f>
        <v>0.11666666666666</v>
      </c>
      <c r="AU110" s="3" t="n">
        <f aca="false">4+27/60</f>
        <v>4.45</v>
      </c>
      <c r="AV110" s="3" t="n">
        <f aca="false">20+54/60</f>
        <v>20.9</v>
      </c>
      <c r="AW110" s="3" t="n">
        <f aca="false">9+35/60</f>
        <v>9.58333333333333</v>
      </c>
      <c r="AX110" s="3" t="n">
        <f aca="false">67+12/60</f>
        <v>67.2</v>
      </c>
      <c r="AY110" s="3" t="n">
        <f aca="false">23+45/60</f>
        <v>23.75</v>
      </c>
      <c r="AZ110" s="0" t="s">
        <v>58</v>
      </c>
      <c r="BA110" s="0" t="s">
        <v>59</v>
      </c>
      <c r="BB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60</v>
      </c>
      <c r="G111" s="2" t="n">
        <v>90</v>
      </c>
      <c r="I111" s="2" t="n">
        <v>57</v>
      </c>
      <c r="M111" s="0" t="s">
        <v>88</v>
      </c>
      <c r="O111" s="0" t="s">
        <v>65</v>
      </c>
      <c r="P111" s="0" t="s">
        <v>57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Q111" s="0" t="n">
        <v>0</v>
      </c>
      <c r="AR111" s="0" t="n">
        <v>0</v>
      </c>
      <c r="AT111" s="4" t="n">
        <f aca="false">60*U111-SUM(AU111:AY111)</f>
        <v>0.0666666666666629</v>
      </c>
      <c r="AU111" s="3" t="n">
        <f aca="false">19/60</f>
        <v>0.316666666666667</v>
      </c>
      <c r="AV111" s="3" t="n">
        <f aca="false">9+11/60</f>
        <v>9.18333333333333</v>
      </c>
      <c r="AW111" s="3" t="n">
        <f aca="false">14+1/60</f>
        <v>14.0166666666667</v>
      </c>
      <c r="AX111" s="3" t="n">
        <f aca="false">39+44/60</f>
        <v>39.7333333333333</v>
      </c>
      <c r="AY111" s="3" t="n">
        <f aca="false">41/60</f>
        <v>0.683333333333333</v>
      </c>
      <c r="AZ111" s="0" t="s">
        <v>58</v>
      </c>
      <c r="BA111" s="0" t="s">
        <v>59</v>
      </c>
      <c r="BB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60</v>
      </c>
      <c r="G112" s="2" t="n">
        <v>97</v>
      </c>
      <c r="H112" s="2" t="n">
        <f aca="false">(56+44)/2</f>
        <v>50</v>
      </c>
      <c r="I112" s="2" t="n">
        <v>26</v>
      </c>
      <c r="J112" s="7" t="s">
        <v>95</v>
      </c>
      <c r="K112" s="2" t="n">
        <v>16</v>
      </c>
      <c r="L112" s="2" t="n">
        <v>27</v>
      </c>
      <c r="M112" s="0" t="s">
        <v>88</v>
      </c>
      <c r="O112" s="0" t="s">
        <v>65</v>
      </c>
      <c r="P112" s="0" t="s">
        <v>96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Q112" s="0" t="n">
        <v>0</v>
      </c>
      <c r="AR112" s="0" t="n">
        <v>0</v>
      </c>
      <c r="AT112" s="4" t="n">
        <v>0</v>
      </c>
      <c r="AU112" s="3" t="n">
        <v>0</v>
      </c>
      <c r="AV112" s="3" t="n">
        <f aca="false">9+20/60</f>
        <v>9.33333333333333</v>
      </c>
      <c r="AW112" s="3" t="n">
        <f aca="false">21+23/60</f>
        <v>21.3833333333333</v>
      </c>
      <c r="AX112" s="3" t="n">
        <v>0.333333333333333</v>
      </c>
      <c r="AY112" s="3" t="n">
        <v>0</v>
      </c>
      <c r="AZ112" s="0" t="s">
        <v>58</v>
      </c>
      <c r="BA112" s="0" t="s">
        <v>59</v>
      </c>
      <c r="BB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60</v>
      </c>
      <c r="G113" s="2" t="n">
        <v>76</v>
      </c>
      <c r="H113" s="2" t="n">
        <v>43</v>
      </c>
      <c r="I113" s="2" t="n">
        <v>23</v>
      </c>
      <c r="J113" s="2" t="s">
        <v>97</v>
      </c>
      <c r="K113" s="2" t="n">
        <v>12</v>
      </c>
      <c r="L113" s="2" t="n">
        <v>25</v>
      </c>
      <c r="M113" s="0" t="s">
        <v>89</v>
      </c>
      <c r="O113" s="0" t="s">
        <v>56</v>
      </c>
      <c r="P113" s="0" t="s">
        <v>64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Q113" s="0" t="n">
        <v>5</v>
      </c>
      <c r="AR113" s="0" t="n">
        <v>1</v>
      </c>
      <c r="AT113" s="4" t="n">
        <f aca="false">60*U113-SUM(AU113:AY113)</f>
        <v>83.68</v>
      </c>
      <c r="AU113" s="3" t="n">
        <f aca="false">51/60</f>
        <v>0.85</v>
      </c>
      <c r="AV113" s="3" t="n">
        <f aca="false">(33+3/60)</f>
        <v>33.05</v>
      </c>
      <c r="AW113" s="3" t="n">
        <f aca="false">17/60</f>
        <v>0.283333333333333</v>
      </c>
      <c r="AX113" s="3" t="n">
        <f aca="false">(14+54/60)/60</f>
        <v>0.248333333333333</v>
      </c>
      <c r="AY113" s="3" t="n">
        <f aca="false">(53+18/60)/60</f>
        <v>0.888333333333333</v>
      </c>
      <c r="AZ113" s="0" t="s">
        <v>58</v>
      </c>
      <c r="BA113" s="0" t="s">
        <v>59</v>
      </c>
      <c r="BB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60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98</v>
      </c>
      <c r="K114" s="2" t="n">
        <v>7</v>
      </c>
      <c r="L114" s="2" t="n">
        <v>0</v>
      </c>
      <c r="M114" s="0" t="s">
        <v>89</v>
      </c>
      <c r="O114" s="0" t="s">
        <v>56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Q114" s="0" t="n">
        <v>0</v>
      </c>
      <c r="AR114" s="0" t="n">
        <v>0</v>
      </c>
      <c r="AT114" s="4" t="n">
        <f aca="false">60*U114-SUM(AU114:AY114)</f>
        <v>0.38333333333334</v>
      </c>
      <c r="AU114" s="3" t="n">
        <v>0</v>
      </c>
      <c r="AV114" s="3" t="n">
        <f aca="false">7+16/60</f>
        <v>7.26666666666667</v>
      </c>
      <c r="AW114" s="3" t="n">
        <f aca="false">25+43/60</f>
        <v>25.7166666666667</v>
      </c>
      <c r="AX114" s="3" t="n">
        <f aca="false">53+38/60</f>
        <v>53.6333333333333</v>
      </c>
      <c r="AY114" s="3" t="n">
        <v>0</v>
      </c>
      <c r="AZ114" s="0" t="s">
        <v>58</v>
      </c>
      <c r="BA114" s="0" t="s">
        <v>59</v>
      </c>
      <c r="BB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60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99</v>
      </c>
      <c r="K115" s="2" t="n">
        <v>15</v>
      </c>
      <c r="L115" s="2" t="n">
        <v>29</v>
      </c>
      <c r="M115" s="0" t="s">
        <v>89</v>
      </c>
      <c r="O115" s="0" t="s">
        <v>65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Q115" s="0" t="n">
        <v>6</v>
      </c>
      <c r="AR115" s="0" t="n">
        <v>0</v>
      </c>
      <c r="AT115" s="4" t="n">
        <f aca="false">60*U115-SUM(AU115:AY115)</f>
        <v>40.3455555555555</v>
      </c>
      <c r="AU115" s="3" t="n">
        <f aca="false">1+20/60</f>
        <v>1.33333333333333</v>
      </c>
      <c r="AV115" s="3" t="n">
        <f aca="false">23+7/60</f>
        <v>23.1166666666667</v>
      </c>
      <c r="AW115" s="3" t="n">
        <f aca="false">16+33/60</f>
        <v>16.55</v>
      </c>
      <c r="AX115" s="3" t="n">
        <f aca="false">49+58/60</f>
        <v>49.9666666666667</v>
      </c>
      <c r="AY115" s="3" t="n">
        <f aca="false">(41+16/60)/60</f>
        <v>0.687777777777778</v>
      </c>
      <c r="AZ115" s="0" t="s">
        <v>58</v>
      </c>
      <c r="BA115" s="0" t="s">
        <v>59</v>
      </c>
      <c r="BB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60</v>
      </c>
      <c r="G116" s="2" t="n">
        <v>92</v>
      </c>
      <c r="H116" s="2" t="n">
        <v>56</v>
      </c>
      <c r="I116" s="2" t="n">
        <v>30</v>
      </c>
      <c r="J116" s="2" t="s">
        <v>99</v>
      </c>
      <c r="K116" s="2" t="n">
        <v>13</v>
      </c>
      <c r="L116" s="2" t="n">
        <v>22</v>
      </c>
      <c r="M116" s="0" t="s">
        <v>89</v>
      </c>
      <c r="O116" s="0" t="s">
        <v>56</v>
      </c>
      <c r="P116" s="0" t="s">
        <v>96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Q116" s="0" t="n">
        <v>0</v>
      </c>
      <c r="AR116" s="0" t="n">
        <v>0</v>
      </c>
      <c r="AT116" s="4" t="n">
        <f aca="false">60*U116-SUM(AU116:AY116)</f>
        <v>40.8833333333333</v>
      </c>
      <c r="AU116" s="3" t="n">
        <f aca="false">52+36/60</f>
        <v>52.6</v>
      </c>
      <c r="AV116" s="3" t="n">
        <f aca="false">15+57/60</f>
        <v>15.95</v>
      </c>
      <c r="AW116" s="3" t="n">
        <f aca="false">20+35/60</f>
        <v>20.5833333333333</v>
      </c>
      <c r="AX116" s="3" t="n">
        <f aca="false">59/60</f>
        <v>0.983333333333333</v>
      </c>
      <c r="AY116" s="3" t="n">
        <v>0</v>
      </c>
      <c r="AZ116" s="0" t="s">
        <v>58</v>
      </c>
      <c r="BA116" s="0" t="s">
        <v>59</v>
      </c>
      <c r="BB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60</v>
      </c>
      <c r="G117" s="2" t="n">
        <v>92</v>
      </c>
      <c r="H117" s="2" t="n">
        <v>57</v>
      </c>
      <c r="I117" s="2" t="n">
        <v>31</v>
      </c>
      <c r="J117" s="2" t="s">
        <v>100</v>
      </c>
      <c r="K117" s="2" t="n">
        <v>13</v>
      </c>
      <c r="L117" s="2" t="n">
        <v>18</v>
      </c>
      <c r="M117" s="0" t="s">
        <v>89</v>
      </c>
      <c r="O117" s="0" t="s">
        <v>65</v>
      </c>
      <c r="P117" s="0" t="s">
        <v>96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Q117" s="0" t="n">
        <v>0</v>
      </c>
      <c r="AR117" s="0" t="n">
        <v>0</v>
      </c>
      <c r="AT117" s="4" t="n">
        <f aca="false">60*U117-SUM(AU117:AY117)</f>
        <v>0.166666666666671</v>
      </c>
      <c r="AU117" s="3" t="n">
        <f aca="false">9+3/60</f>
        <v>9.05</v>
      </c>
      <c r="AV117" s="3" t="n">
        <f aca="false">62+3/60</f>
        <v>62.05</v>
      </c>
      <c r="AW117" s="3" t="n">
        <f aca="false">32+42/60</f>
        <v>32.7</v>
      </c>
      <c r="AX117" s="3" t="n">
        <f aca="false">5+2/60</f>
        <v>5.03333333333333</v>
      </c>
      <c r="AY117" s="3" t="n">
        <v>0</v>
      </c>
      <c r="AZ117" s="0" t="s">
        <v>58</v>
      </c>
      <c r="BA117" s="0" t="s">
        <v>59</v>
      </c>
      <c r="BB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60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99</v>
      </c>
      <c r="K118" s="2" t="n">
        <v>7</v>
      </c>
      <c r="L118" s="2" t="n">
        <v>0</v>
      </c>
      <c r="M118" s="0" t="s">
        <v>89</v>
      </c>
      <c r="O118" s="0" t="s">
        <v>56</v>
      </c>
      <c r="P118" s="0" t="s">
        <v>96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Q118" s="0" t="n">
        <v>0</v>
      </c>
      <c r="AR118" s="0" t="n">
        <v>1</v>
      </c>
      <c r="AT118" s="4" t="n">
        <f aca="false">60*U118-SUM(AU118:AY118)</f>
        <v>0</v>
      </c>
      <c r="AU118" s="3" t="n">
        <f aca="false">0+12/60</f>
        <v>0.2</v>
      </c>
      <c r="AV118" s="3" t="n">
        <f aca="false">5+24/60</f>
        <v>5.4</v>
      </c>
      <c r="AW118" s="3" t="n">
        <f aca="false">7+26/60</f>
        <v>7.43333333333333</v>
      </c>
      <c r="AX118" s="3" t="n">
        <f aca="false">87+58/60</f>
        <v>87.9666666666667</v>
      </c>
      <c r="AY118" s="3" t="n">
        <v>2</v>
      </c>
      <c r="AZ118" s="0" t="s">
        <v>58</v>
      </c>
      <c r="BA118" s="0" t="s">
        <v>59</v>
      </c>
      <c r="BB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60</v>
      </c>
      <c r="G119" s="2" t="n">
        <v>92</v>
      </c>
      <c r="H119" s="2" t="n">
        <v>63</v>
      </c>
      <c r="I119" s="2" t="n">
        <v>39</v>
      </c>
      <c r="J119" s="2" t="s">
        <v>101</v>
      </c>
      <c r="K119" s="2" t="n">
        <v>11</v>
      </c>
      <c r="L119" s="2" t="n">
        <v>0</v>
      </c>
      <c r="M119" s="0" t="s">
        <v>89</v>
      </c>
      <c r="O119" s="0" t="s">
        <v>65</v>
      </c>
      <c r="P119" s="0" t="s">
        <v>57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Q119" s="0" t="n">
        <v>2</v>
      </c>
      <c r="AR119" s="0" t="n">
        <v>0</v>
      </c>
      <c r="AT119" s="4" t="n">
        <v>0</v>
      </c>
      <c r="AU119" s="3" t="n">
        <v>0</v>
      </c>
      <c r="AV119" s="3" t="n">
        <f aca="false">1+26/60</f>
        <v>1.43333333333333</v>
      </c>
      <c r="AW119" s="3" t="n">
        <f aca="false">11+14/60</f>
        <v>11.2333333333333</v>
      </c>
      <c r="AX119" s="3" t="n">
        <f aca="false">37</f>
        <v>37</v>
      </c>
      <c r="AY119" s="3" t="n">
        <f aca="false">74+27/60</f>
        <v>74.45</v>
      </c>
      <c r="AZ119" s="0" t="s">
        <v>58</v>
      </c>
      <c r="BA119" s="0" t="s">
        <v>59</v>
      </c>
      <c r="BB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60</v>
      </c>
      <c r="G120" s="2" t="n">
        <v>93</v>
      </c>
      <c r="H120" s="2" t="n">
        <v>54</v>
      </c>
      <c r="I120" s="2" t="n">
        <v>28</v>
      </c>
      <c r="J120" s="2" t="s">
        <v>101</v>
      </c>
      <c r="K120" s="2" t="n">
        <v>17</v>
      </c>
      <c r="L120" s="2" t="n">
        <v>28</v>
      </c>
      <c r="M120" s="0" t="s">
        <v>89</v>
      </c>
      <c r="O120" s="0" t="s">
        <v>56</v>
      </c>
      <c r="P120" s="0" t="s">
        <v>57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Q120" s="0" t="n">
        <v>3</v>
      </c>
      <c r="AR120" s="0" t="n">
        <v>1</v>
      </c>
      <c r="AT120" s="4" t="n">
        <f aca="false">60*U120-SUM(AU120:AY120)</f>
        <v>-0.0999999999999943</v>
      </c>
      <c r="AU120" s="3" t="n">
        <v>0</v>
      </c>
      <c r="AV120" s="3" t="n">
        <f aca="false">11+9/60</f>
        <v>11.15</v>
      </c>
      <c r="AW120" s="3" t="n">
        <f aca="false">34+10/60</f>
        <v>34.1666666666667</v>
      </c>
      <c r="AX120" s="3" t="n">
        <f aca="false">78+24/60</f>
        <v>78.4</v>
      </c>
      <c r="AY120" s="3" t="n">
        <f aca="false">11+23/60</f>
        <v>11.3833333333333</v>
      </c>
      <c r="AZ120" s="0" t="s">
        <v>58</v>
      </c>
      <c r="BA120" s="0" t="s">
        <v>59</v>
      </c>
      <c r="BB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60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99</v>
      </c>
      <c r="K121" s="2" t="n">
        <v>14</v>
      </c>
      <c r="L121" s="2" t="n">
        <v>23</v>
      </c>
      <c r="M121" s="0" t="s">
        <v>89</v>
      </c>
      <c r="O121" s="0" t="s">
        <v>56</v>
      </c>
      <c r="P121" s="0" t="s">
        <v>57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Q121" s="0" t="n">
        <v>2</v>
      </c>
      <c r="AR121" s="0" t="n">
        <v>0</v>
      </c>
      <c r="AT121" s="4" t="n">
        <v>0</v>
      </c>
      <c r="AU121" s="3" t="n">
        <f aca="false">0.11/60</f>
        <v>0.00183333333333333</v>
      </c>
      <c r="AV121" s="3" t="n">
        <f aca="false">3+57/60</f>
        <v>3.95</v>
      </c>
      <c r="AW121" s="3" t="n">
        <v>25</v>
      </c>
      <c r="AX121" s="3" t="n">
        <f aca="false">71+42/60</f>
        <v>71.7</v>
      </c>
      <c r="AY121" s="3" t="n">
        <f aca="false">32+14/60</f>
        <v>32.2333333333333</v>
      </c>
      <c r="AZ121" s="0" t="s">
        <v>58</v>
      </c>
      <c r="BA121" s="0" t="s">
        <v>59</v>
      </c>
      <c r="BB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69</v>
      </c>
      <c r="F122" s="0" t="s">
        <v>60</v>
      </c>
      <c r="G122" s="2" t="n">
        <v>88</v>
      </c>
      <c r="H122" s="2" t="n">
        <v>68</v>
      </c>
      <c r="I122" s="2" t="n">
        <v>52</v>
      </c>
      <c r="J122" s="2" t="s">
        <v>102</v>
      </c>
      <c r="K122" s="2" t="n">
        <v>16</v>
      </c>
      <c r="L122" s="2" t="n">
        <v>0</v>
      </c>
      <c r="M122" s="0" t="s">
        <v>88</v>
      </c>
      <c r="AT122" s="4" t="n">
        <f aca="false">60*U122-SUM(AU122:AY122)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60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99</v>
      </c>
      <c r="K123" s="2" t="n">
        <f aca="false">AVERAGE(9,6)</f>
        <v>7.5</v>
      </c>
      <c r="L123" s="2" t="n">
        <v>0</v>
      </c>
      <c r="M123" s="0" t="s">
        <v>89</v>
      </c>
      <c r="O123" s="0" t="s">
        <v>56</v>
      </c>
      <c r="P123" s="0" t="s">
        <v>57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Q123" s="0" t="n">
        <v>3</v>
      </c>
      <c r="AR123" s="0" t="n">
        <v>3</v>
      </c>
      <c r="AT123" s="4" t="n">
        <f aca="false">60*U123-SUM(AU123:AY123)</f>
        <v>2.33333333333334</v>
      </c>
      <c r="AU123" s="3" t="n">
        <f aca="false">35+11/60</f>
        <v>35.1833333333333</v>
      </c>
      <c r="AV123" s="3" t="n">
        <f aca="false">86+30/60</f>
        <v>86.5</v>
      </c>
      <c r="AW123" s="3" t="n">
        <f aca="false">18+2/60</f>
        <v>18.0333333333333</v>
      </c>
      <c r="AX123" s="3" t="n">
        <f aca="false">57/60</f>
        <v>0.95</v>
      </c>
      <c r="AY123" s="3" t="n">
        <v>0</v>
      </c>
      <c r="AZ123" s="0" t="s">
        <v>58</v>
      </c>
      <c r="BA123" s="0" t="s">
        <v>59</v>
      </c>
      <c r="BB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60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103</v>
      </c>
      <c r="K124" s="2" t="n">
        <v>9</v>
      </c>
      <c r="L124" s="2" t="n">
        <v>0</v>
      </c>
      <c r="M124" s="0" t="s">
        <v>88</v>
      </c>
      <c r="O124" s="0" t="s">
        <v>56</v>
      </c>
      <c r="P124" s="0" t="s">
        <v>57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Q124" s="0" t="n">
        <v>1</v>
      </c>
      <c r="AR124" s="0" t="n">
        <v>0</v>
      </c>
      <c r="AT124" s="4" t="n">
        <f aca="false">60*U124-SUM(AU124:AY124)</f>
        <v>0.0500000000000043</v>
      </c>
      <c r="AU124" s="3" t="n">
        <v>0</v>
      </c>
      <c r="AV124" s="3" t="n">
        <f aca="false">6+55/60</f>
        <v>6.91666666666667</v>
      </c>
      <c r="AW124" s="3" t="n">
        <f aca="false">10.5</f>
        <v>10.5</v>
      </c>
      <c r="AX124" s="3" t="n">
        <f aca="false">40+15/60</f>
        <v>40.25</v>
      </c>
      <c r="AY124" s="3" t="n">
        <f aca="false">5+17/60</f>
        <v>5.28333333333333</v>
      </c>
      <c r="AZ124" s="0" t="s">
        <v>58</v>
      </c>
      <c r="BA124" s="0" t="s">
        <v>59</v>
      </c>
      <c r="BB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60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99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56</v>
      </c>
      <c r="P125" s="0" t="s">
        <v>57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Q125" s="0" t="n">
        <v>2</v>
      </c>
      <c r="AR125" s="0" t="n">
        <v>1</v>
      </c>
      <c r="AT125" s="4" t="n">
        <f aca="false">60*U125-SUM(AU125:AY125)</f>
        <v>0.0166666666666515</v>
      </c>
      <c r="AU125" s="3" t="n">
        <f aca="false">39+18/60</f>
        <v>39.3</v>
      </c>
      <c r="AV125" s="3" t="n">
        <f aca="false">86+17/60</f>
        <v>86.2833333333333</v>
      </c>
      <c r="AW125" s="3" t="n">
        <f aca="false">10+39/60</f>
        <v>10.65</v>
      </c>
      <c r="AX125" s="3" t="n">
        <f aca="false">0.75</f>
        <v>0.75</v>
      </c>
      <c r="AY125" s="3" t="n">
        <v>0</v>
      </c>
      <c r="AZ125" s="0" t="s">
        <v>58</v>
      </c>
      <c r="BA125" s="0" t="s">
        <v>59</v>
      </c>
      <c r="BB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103</v>
      </c>
      <c r="K126" s="2" t="n">
        <v>5</v>
      </c>
      <c r="L126" s="2" t="n">
        <v>0</v>
      </c>
      <c r="M126" s="0" t="s">
        <v>88</v>
      </c>
      <c r="O126" s="0" t="s">
        <v>56</v>
      </c>
      <c r="P126" s="0" t="s">
        <v>96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Q126" s="0" t="n">
        <v>0</v>
      </c>
      <c r="AR126" s="0" t="n">
        <v>1</v>
      </c>
      <c r="AT126" s="4" t="n">
        <v>0</v>
      </c>
      <c r="AU126" s="3" t="n">
        <f aca="false">5+27/60</f>
        <v>5.45</v>
      </c>
      <c r="AV126" s="3" t="n">
        <f aca="false">31+9/60</f>
        <v>31.15</v>
      </c>
      <c r="AW126" s="3" t="n">
        <f aca="false">47+1/60</f>
        <v>47.0166666666667</v>
      </c>
      <c r="AX126" s="3" t="n">
        <f aca="false">24+47/60</f>
        <v>24.7833333333333</v>
      </c>
      <c r="AY126" s="3" t="n">
        <f aca="false">16/60</f>
        <v>0.266666666666667</v>
      </c>
      <c r="AZ126" s="0" t="s">
        <v>58</v>
      </c>
      <c r="BA126" s="0" t="s">
        <v>59</v>
      </c>
      <c r="BB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60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104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65</v>
      </c>
      <c r="P127" s="0" t="s">
        <v>57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Q127" s="0" t="n">
        <v>2</v>
      </c>
      <c r="AR127" s="0" t="n">
        <v>0</v>
      </c>
      <c r="AT127" s="4" t="n">
        <f aca="false">60*U127-SUM(AU127:AY127)</f>
        <v>60.1</v>
      </c>
      <c r="AU127" s="3" t="n">
        <f aca="false">41+7/60</f>
        <v>41.1166666666667</v>
      </c>
      <c r="AV127" s="3" t="n">
        <f aca="false">26+16/60</f>
        <v>26.2666666666667</v>
      </c>
      <c r="AW127" s="3" t="n">
        <f aca="false">20+31/60</f>
        <v>20.5166666666667</v>
      </c>
      <c r="AX127" s="3" t="n">
        <v>0</v>
      </c>
      <c r="AY127" s="3" t="n">
        <v>0</v>
      </c>
      <c r="AZ127" s="0" t="s">
        <v>58</v>
      </c>
      <c r="BA127" s="0" t="s">
        <v>59</v>
      </c>
      <c r="BB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60</v>
      </c>
      <c r="G128" s="2" t="n">
        <v>85</v>
      </c>
      <c r="H128" s="2" t="n">
        <v>70</v>
      </c>
      <c r="I128" s="2" t="n">
        <v>61</v>
      </c>
      <c r="J128" s="2" t="s">
        <v>105</v>
      </c>
      <c r="K128" s="2" t="n">
        <v>9</v>
      </c>
      <c r="L128" s="2" t="n">
        <v>0</v>
      </c>
      <c r="M128" s="0" t="s">
        <v>88</v>
      </c>
      <c r="O128" s="0" t="s">
        <v>56</v>
      </c>
      <c r="P128" s="0" t="s">
        <v>96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Q128" s="0" t="n">
        <v>0</v>
      </c>
      <c r="AR128" s="0" t="n">
        <v>1</v>
      </c>
      <c r="AT128" s="4" t="n">
        <v>0</v>
      </c>
      <c r="AU128" s="3" t="n">
        <v>0</v>
      </c>
      <c r="AV128" s="3" t="n">
        <f aca="false">15+31/60</f>
        <v>15.5166666666667</v>
      </c>
      <c r="AW128" s="3" t="n">
        <f aca="false">34+5/60</f>
        <v>34.0833333333333</v>
      </c>
      <c r="AX128" s="3" t="n">
        <f aca="false">55+49/60</f>
        <v>55.8166666666667</v>
      </c>
      <c r="AY128" s="3" t="n">
        <f aca="false">49/60</f>
        <v>0.816666666666667</v>
      </c>
      <c r="AZ128" s="0" t="s">
        <v>58</v>
      </c>
      <c r="BA128" s="0" t="s">
        <v>59</v>
      </c>
      <c r="BB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55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99</v>
      </c>
      <c r="K129" s="2" t="n">
        <v>15</v>
      </c>
      <c r="L129" s="2" t="n">
        <v>23</v>
      </c>
      <c r="M129" s="0" t="s">
        <v>88</v>
      </c>
      <c r="O129" s="0" t="s">
        <v>106</v>
      </c>
      <c r="P129" s="0" t="s">
        <v>107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Q129" s="0" t="n">
        <v>2</v>
      </c>
      <c r="AR129" s="0" t="n">
        <v>0</v>
      </c>
      <c r="AT129" s="4" t="n">
        <f aca="false">60*U129-SUM(AU129:AY129)</f>
        <v>40.8333333333333</v>
      </c>
      <c r="AU129" s="3" t="n">
        <f aca="false">60+3/60</f>
        <v>60.05</v>
      </c>
      <c r="AV129" s="3" t="n">
        <f aca="false">42+38/60</f>
        <v>42.6333333333333</v>
      </c>
      <c r="AW129" s="3" t="n">
        <f aca="false">3+29/60</f>
        <v>3.48333333333333</v>
      </c>
      <c r="AX129" s="3" t="n">
        <v>0</v>
      </c>
      <c r="AY129" s="3" t="n">
        <v>0</v>
      </c>
      <c r="AZ129" s="0" t="s">
        <v>58</v>
      </c>
      <c r="BA129" s="0" t="s">
        <v>59</v>
      </c>
      <c r="BB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9" t="s">
        <v>108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99</v>
      </c>
      <c r="K130" s="2" t="n">
        <v>14</v>
      </c>
      <c r="L130" s="2" t="n">
        <v>26</v>
      </c>
      <c r="M130" s="0" t="s">
        <v>88</v>
      </c>
      <c r="O130" s="0" t="s">
        <v>56</v>
      </c>
      <c r="P130" s="0" t="s">
        <v>96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Q130" s="0" t="n">
        <v>1</v>
      </c>
      <c r="AR130" s="0" t="n">
        <v>2</v>
      </c>
      <c r="AT130" s="4" t="n">
        <v>0</v>
      </c>
      <c r="AU130" s="3" t="n">
        <f aca="false">0+52/60</f>
        <v>0.866666666666667</v>
      </c>
      <c r="AV130" s="3" t="n">
        <f aca="false">36+30/60</f>
        <v>36.5</v>
      </c>
      <c r="AW130" s="3" t="n">
        <f aca="false">25+38/50</f>
        <v>25.76</v>
      </c>
      <c r="AX130" s="3" t="n">
        <f aca="false">35+22/60</f>
        <v>35.3666666666667</v>
      </c>
      <c r="AY130" s="3" t="n">
        <f aca="false">6+30/60</f>
        <v>6.5</v>
      </c>
      <c r="AZ130" s="0" t="s">
        <v>58</v>
      </c>
      <c r="BA130" s="0" t="s">
        <v>59</v>
      </c>
      <c r="BB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69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99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60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99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106</v>
      </c>
      <c r="P132" s="0" t="s">
        <v>96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Q132" s="0" t="n">
        <v>1</v>
      </c>
      <c r="AR132" s="0" t="n">
        <v>0</v>
      </c>
      <c r="AS132" s="0" t="n">
        <v>0</v>
      </c>
      <c r="AT132" s="4" t="n">
        <f aca="false">60*U132-SUM(AU132:AY132)</f>
        <v>0.75</v>
      </c>
      <c r="AU132" s="3" t="n">
        <f aca="false">42+15/60</f>
        <v>42.25</v>
      </c>
      <c r="AV132" s="3" t="n">
        <f aca="false">48+32/60</f>
        <v>48.5333333333333</v>
      </c>
      <c r="AW132" s="3" t="n">
        <f aca="false">15+22/60</f>
        <v>15.3666666666667</v>
      </c>
      <c r="AX132" s="3" t="n">
        <f aca="false">2+6/60</f>
        <v>2.1</v>
      </c>
      <c r="AY132" s="3" t="n">
        <v>0</v>
      </c>
      <c r="AZ132" s="0" t="s">
        <v>58</v>
      </c>
      <c r="BA132" s="0" t="s">
        <v>59</v>
      </c>
      <c r="BB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99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106</v>
      </c>
      <c r="P133" s="0" t="s">
        <v>96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Q133" s="0" t="n">
        <v>0</v>
      </c>
      <c r="AR133" s="0" t="n">
        <v>1</v>
      </c>
      <c r="AS133" s="0" t="n">
        <v>1</v>
      </c>
      <c r="AT133" s="4" t="n">
        <f aca="false">60*U133-SUM(AU133:AY133)</f>
        <v>32.3</v>
      </c>
      <c r="AU133" s="3" t="n">
        <f aca="false">52+17/60</f>
        <v>52.2833333333333</v>
      </c>
      <c r="AV133" s="3" t="n">
        <f aca="false">18+48/60</f>
        <v>18.8</v>
      </c>
      <c r="AW133" s="3" t="n">
        <f aca="false">8+37/60</f>
        <v>8.61666666666667</v>
      </c>
      <c r="AX133" s="3" t="n">
        <v>0</v>
      </c>
      <c r="AY133" s="3" t="n">
        <v>0</v>
      </c>
      <c r="AZ133" s="0" t="s">
        <v>58</v>
      </c>
      <c r="BA133" s="0" t="s">
        <v>59</v>
      </c>
      <c r="BB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99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56</v>
      </c>
      <c r="P134" s="0" t="s">
        <v>96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Q134" s="0" t="n">
        <v>2</v>
      </c>
      <c r="AR134" s="0" t="n">
        <v>1</v>
      </c>
      <c r="AS134" s="0" t="n">
        <v>0</v>
      </c>
      <c r="AT134" s="4" t="n">
        <f aca="false">60*U134-SUM(AU134:AY134)</f>
        <v>0.049999999999983</v>
      </c>
      <c r="AU134" s="3" t="n">
        <f aca="false">1+23/60</f>
        <v>1.38333333333333</v>
      </c>
      <c r="AV134" s="3" t="n">
        <f aca="false">22+44/60</f>
        <v>22.7333333333333</v>
      </c>
      <c r="AW134" s="3" t="n">
        <f aca="false">27+52/60</f>
        <v>27.8666666666667</v>
      </c>
      <c r="AX134" s="3" t="n">
        <f aca="false">57+46/60</f>
        <v>57.7666666666667</v>
      </c>
      <c r="AY134" s="3" t="n">
        <f aca="false">2+12/60</f>
        <v>2.2</v>
      </c>
      <c r="AZ134" s="0" t="s">
        <v>58</v>
      </c>
      <c r="BA134" s="0" t="s">
        <v>59</v>
      </c>
      <c r="BB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55</v>
      </c>
      <c r="G135" s="2" t="n">
        <v>92</v>
      </c>
      <c r="H135" s="2" t="n">
        <v>76</v>
      </c>
      <c r="I135" s="2" t="n">
        <v>59</v>
      </c>
      <c r="J135" s="2" t="s">
        <v>109</v>
      </c>
      <c r="K135" s="2" t="n">
        <v>10</v>
      </c>
      <c r="L135" s="2" t="n">
        <v>0</v>
      </c>
      <c r="M135" s="0" t="s">
        <v>88</v>
      </c>
      <c r="O135" s="0" t="s">
        <v>56</v>
      </c>
      <c r="P135" s="0" t="s">
        <v>96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Q135" s="0" t="n">
        <v>0</v>
      </c>
      <c r="AR135" s="0" t="n">
        <v>0</v>
      </c>
      <c r="AS135" s="0" t="n">
        <v>0</v>
      </c>
      <c r="AT135" s="4" t="n">
        <f aca="false">60*U135-SUM(AU135:AY135)</f>
        <v>26.7166666666667</v>
      </c>
      <c r="AU135" s="3" t="n">
        <f aca="false">13+23/60</f>
        <v>13.3833333333333</v>
      </c>
      <c r="AV135" s="3" t="n">
        <f aca="false">23+15/60</f>
        <v>23.25</v>
      </c>
      <c r="AW135" s="3" t="n">
        <f aca="false">39/60</f>
        <v>0.65</v>
      </c>
      <c r="AX135" s="3" t="n">
        <v>0</v>
      </c>
      <c r="AY135" s="3" t="n">
        <v>0</v>
      </c>
      <c r="AZ135" s="0" t="s">
        <v>58</v>
      </c>
      <c r="BA135" s="0" t="s">
        <v>59</v>
      </c>
      <c r="BB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60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101</v>
      </c>
      <c r="K136" s="2" t="n">
        <v>3</v>
      </c>
      <c r="L136" s="2" t="n">
        <v>0</v>
      </c>
      <c r="M136" s="0" t="s">
        <v>88</v>
      </c>
      <c r="O136" s="0" t="s">
        <v>106</v>
      </c>
      <c r="P136" s="0" t="s">
        <v>107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Q136" s="0" t="n">
        <v>0</v>
      </c>
      <c r="AR136" s="0" t="n">
        <v>0</v>
      </c>
      <c r="AS136" s="0" t="n">
        <v>0</v>
      </c>
      <c r="AT136" s="4" t="n">
        <f aca="false">60*U136-SUM(AU136:AY136)</f>
        <v>38.9833333333333</v>
      </c>
      <c r="AU136" s="3" t="n">
        <f aca="false">16+9/60</f>
        <v>16.15</v>
      </c>
      <c r="AV136" s="3" t="n">
        <f aca="false">39+14/60</f>
        <v>39.2333333333333</v>
      </c>
      <c r="AW136" s="3" t="n">
        <f aca="false">27+38/60</f>
        <v>27.6333333333333</v>
      </c>
      <c r="AX136" s="3" t="n">
        <v>0</v>
      </c>
      <c r="AY136" s="3" t="n">
        <v>0</v>
      </c>
      <c r="AZ136" s="0" t="s">
        <v>58</v>
      </c>
      <c r="BA136" s="0" t="s">
        <v>59</v>
      </c>
      <c r="BB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60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99</v>
      </c>
      <c r="K137" s="2" t="n">
        <f aca="false">AVERAGE(5,6)</f>
        <v>5.5</v>
      </c>
      <c r="L137" s="2" t="n">
        <v>0</v>
      </c>
      <c r="M137" s="0" t="s">
        <v>88</v>
      </c>
      <c r="O137" s="0" t="s">
        <v>56</v>
      </c>
      <c r="P137" s="0" t="s">
        <v>96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Q137" s="0" t="n">
        <v>0</v>
      </c>
      <c r="AR137" s="0" t="n">
        <v>1</v>
      </c>
      <c r="AT137" s="4" t="n">
        <f aca="false">60*U137-SUM(AU137:AY137)</f>
        <v>0.216666666666669</v>
      </c>
      <c r="AU137" s="3" t="n">
        <f aca="false">2/60</f>
        <v>0.0333333333333333</v>
      </c>
      <c r="AV137" s="3" t="n">
        <f aca="false">2</f>
        <v>2</v>
      </c>
      <c r="AW137" s="3" t="n">
        <f aca="false">8+43/60</f>
        <v>8.71666666666667</v>
      </c>
      <c r="AX137" s="3" t="n">
        <f aca="false">51+31/60</f>
        <v>51.5166666666667</v>
      </c>
      <c r="AY137" s="3" t="n">
        <f aca="false">24+31/60</f>
        <v>24.5166666666667</v>
      </c>
      <c r="AZ137" s="0" t="s">
        <v>58</v>
      </c>
      <c r="BA137" s="0" t="s">
        <v>59</v>
      </c>
      <c r="BB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60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104</v>
      </c>
      <c r="K138" s="2" t="n">
        <v>5</v>
      </c>
      <c r="L138" s="2" t="n">
        <v>0</v>
      </c>
      <c r="M138" s="0" t="s">
        <v>88</v>
      </c>
      <c r="O138" s="0" t="s">
        <v>106</v>
      </c>
      <c r="P138" s="0" t="s">
        <v>107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Q138" s="0" t="n">
        <v>0</v>
      </c>
      <c r="AR138" s="0" t="n">
        <v>0</v>
      </c>
      <c r="AS138" s="0" t="n">
        <v>0</v>
      </c>
      <c r="AT138" s="4" t="n">
        <f aca="false">60*U138-SUM(AU138:AY138)</f>
        <v>6</v>
      </c>
      <c r="AU138" s="3" t="n">
        <f aca="false">38+56/60</f>
        <v>38.9333333333333</v>
      </c>
      <c r="AV138" s="3" t="n">
        <f aca="false">46+46/60</f>
        <v>46.7666666666667</v>
      </c>
      <c r="AW138" s="3" t="n">
        <f aca="false">18+40/60</f>
        <v>18.6666666666667</v>
      </c>
      <c r="AX138" s="3" t="n">
        <f aca="false">18+38/60</f>
        <v>18.6333333333333</v>
      </c>
      <c r="AY138" s="3" t="n">
        <v>0</v>
      </c>
      <c r="AZ138" s="0" t="s">
        <v>58</v>
      </c>
      <c r="BA138" s="0" t="s">
        <v>59</v>
      </c>
      <c r="BB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102</v>
      </c>
      <c r="K139" s="2" t="n">
        <v>0</v>
      </c>
      <c r="L139" s="2" t="n">
        <v>0</v>
      </c>
      <c r="M139" s="0" t="s">
        <v>88</v>
      </c>
      <c r="O139" s="0" t="s">
        <v>56</v>
      </c>
      <c r="P139" s="0" t="s">
        <v>107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Q139" s="0" t="n">
        <v>1</v>
      </c>
      <c r="AR139" s="0" t="n">
        <v>3</v>
      </c>
      <c r="AS139" s="0" t="n">
        <v>0</v>
      </c>
      <c r="AT139" s="4" t="n">
        <f aca="false">60*U139-SUM(AU139:AY139)</f>
        <v>6.95</v>
      </c>
      <c r="AU139" s="3" t="n">
        <f aca="false">68+50/60</f>
        <v>68.8333333333333</v>
      </c>
      <c r="AV139" s="3" t="n">
        <f aca="false">29+24/60</f>
        <v>29.4</v>
      </c>
      <c r="AW139" s="3" t="n">
        <f aca="false">11</f>
        <v>11</v>
      </c>
      <c r="AX139" s="3" t="n">
        <f aca="false">4+49/60</f>
        <v>4.81666666666667</v>
      </c>
      <c r="AY139" s="3" t="n">
        <v>0</v>
      </c>
      <c r="AZ139" s="0" t="s">
        <v>58</v>
      </c>
      <c r="BA139" s="0" t="s">
        <v>59</v>
      </c>
      <c r="BB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102</v>
      </c>
      <c r="K140" s="2" t="n">
        <v>0</v>
      </c>
      <c r="L140" s="2" t="n">
        <v>0</v>
      </c>
      <c r="M140" s="0" t="s">
        <v>88</v>
      </c>
      <c r="O140" s="0" t="s">
        <v>106</v>
      </c>
      <c r="P140" s="0" t="s">
        <v>107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Q140" s="0" t="n">
        <v>1</v>
      </c>
      <c r="AR140" s="0" t="n">
        <v>3</v>
      </c>
      <c r="AS140" s="0" t="n">
        <v>1</v>
      </c>
      <c r="AT140" s="4" t="n">
        <f aca="false">60*U140-SUM(AU140:AY140)</f>
        <v>6.95</v>
      </c>
      <c r="AU140" s="3" t="n">
        <f aca="false">68+50/60</f>
        <v>68.8333333333333</v>
      </c>
      <c r="AV140" s="3" t="n">
        <f aca="false">29+24/60</f>
        <v>29.4</v>
      </c>
      <c r="AW140" s="3" t="n">
        <f aca="false">11</f>
        <v>11</v>
      </c>
      <c r="AX140" s="3" t="n">
        <f aca="false">4+49/60</f>
        <v>4.81666666666667</v>
      </c>
      <c r="AY140" s="3" t="n">
        <v>0</v>
      </c>
      <c r="AZ140" s="0" t="s">
        <v>58</v>
      </c>
      <c r="BA140" s="0" t="s">
        <v>59</v>
      </c>
      <c r="BB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110</v>
      </c>
      <c r="F141" s="0" t="s">
        <v>55</v>
      </c>
      <c r="G141" s="2" t="n">
        <v>79</v>
      </c>
      <c r="H141" s="2" t="n">
        <v>75</v>
      </c>
      <c r="I141" s="2" t="n">
        <v>88</v>
      </c>
      <c r="J141" s="2" t="s">
        <v>102</v>
      </c>
      <c r="K141" s="2" t="n">
        <v>10</v>
      </c>
      <c r="L141" s="2" t="n">
        <v>0</v>
      </c>
      <c r="M141" s="0" t="s">
        <v>88</v>
      </c>
      <c r="P141" s="0" t="s">
        <v>96</v>
      </c>
      <c r="AZ141" s="0" t="s">
        <v>58</v>
      </c>
      <c r="BA141" s="0" t="s">
        <v>59</v>
      </c>
      <c r="BB141" s="0" t="n">
        <v>1</v>
      </c>
      <c r="BC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101</v>
      </c>
      <c r="K142" s="2" t="n">
        <v>15</v>
      </c>
      <c r="L142" s="2" t="n">
        <v>0</v>
      </c>
      <c r="M142" s="0" t="s">
        <v>88</v>
      </c>
      <c r="O142" s="0" t="s">
        <v>106</v>
      </c>
      <c r="P142" s="0" t="s">
        <v>107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Q142" s="0" t="n">
        <v>0</v>
      </c>
      <c r="AR142" s="0" t="n">
        <v>0</v>
      </c>
      <c r="AS142" s="0" t="n">
        <v>0</v>
      </c>
      <c r="AT142" s="4" t="n">
        <f aca="false">60*U142-SUM(AU142:AY142)</f>
        <v>30.3333333333333</v>
      </c>
      <c r="AU142" s="3" t="n">
        <f aca="false">60+41/60</f>
        <v>60.6833333333333</v>
      </c>
      <c r="AV142" s="3" t="n">
        <f aca="false">22+43/60</f>
        <v>22.7166666666667</v>
      </c>
      <c r="AW142" s="3" t="n">
        <f aca="false">5</f>
        <v>5</v>
      </c>
      <c r="AX142" s="3" t="n">
        <v>0.266666666666667</v>
      </c>
      <c r="AY142" s="3" t="n">
        <v>0</v>
      </c>
      <c r="AZ142" s="0" t="s">
        <v>58</v>
      </c>
      <c r="BA142" s="0" t="s">
        <v>59</v>
      </c>
      <c r="BB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60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99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56</v>
      </c>
      <c r="P143" s="0" t="s">
        <v>107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Q143" s="0" t="n">
        <v>1</v>
      </c>
      <c r="AR143" s="0" t="n">
        <v>0</v>
      </c>
      <c r="AS143" s="0" t="n">
        <v>0</v>
      </c>
      <c r="AT143" s="4" t="n">
        <f aca="false">60*U143-SUM(AU143:AY143)</f>
        <v>5.06666666666666</v>
      </c>
      <c r="AU143" s="3" t="n">
        <f aca="false">60+47/60</f>
        <v>60.7833333333333</v>
      </c>
      <c r="AV143" s="3" t="n">
        <f aca="false">37+38/60</f>
        <v>37.6333333333333</v>
      </c>
      <c r="AW143" s="3" t="n">
        <f aca="false">11+6/60</f>
        <v>11.1</v>
      </c>
      <c r="AX143" s="3" t="n">
        <f aca="false">5+11/60</f>
        <v>5.18333333333333</v>
      </c>
      <c r="AY143" s="3" t="n">
        <f aca="false">14/60</f>
        <v>0.233333333333333</v>
      </c>
      <c r="AZ143" s="0" t="s">
        <v>58</v>
      </c>
      <c r="BA143" s="0" t="s">
        <v>59</v>
      </c>
      <c r="BB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10" t="s">
        <v>111</v>
      </c>
      <c r="K144" s="2" t="n">
        <v>8</v>
      </c>
      <c r="L144" s="2" t="n">
        <v>0</v>
      </c>
      <c r="M144" s="0" t="s">
        <v>88</v>
      </c>
      <c r="O144" s="0" t="s">
        <v>106</v>
      </c>
      <c r="P144" s="0" t="s">
        <v>96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Q144" s="0" t="n">
        <v>0</v>
      </c>
      <c r="AR144" s="0" t="n">
        <v>0</v>
      </c>
      <c r="AS144" s="0" t="n">
        <v>0</v>
      </c>
      <c r="AT144" s="4" t="n">
        <f aca="false">60*U144-SUM(AU144:AY144)</f>
        <v>1.86666666666667</v>
      </c>
      <c r="AU144" s="3" t="n">
        <f aca="false">23+6/60</f>
        <v>23.1</v>
      </c>
      <c r="AV144" s="3" t="n">
        <f aca="false">57+40/60</f>
        <v>57.6666666666667</v>
      </c>
      <c r="AW144" s="3" t="n">
        <f aca="false">8+22/60</f>
        <v>8.36666666666667</v>
      </c>
      <c r="AX144" s="3" t="n">
        <v>0</v>
      </c>
      <c r="AY144" s="3" t="n">
        <v>0</v>
      </c>
      <c r="AZ144" s="0" t="s">
        <v>58</v>
      </c>
      <c r="BA144" s="0" t="s">
        <v>59</v>
      </c>
      <c r="BB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60</v>
      </c>
      <c r="G145" s="2" t="n">
        <v>94</v>
      </c>
      <c r="H145" s="2" t="n">
        <v>78</v>
      </c>
      <c r="I145" s="2" t="n">
        <f aca="false">(68+72)/2</f>
        <v>70</v>
      </c>
      <c r="J145" s="2" t="s">
        <v>112</v>
      </c>
      <c r="K145" s="2" t="n">
        <f aca="false">(7+13)/2</f>
        <v>10</v>
      </c>
      <c r="L145" s="2" t="n">
        <v>0</v>
      </c>
      <c r="M145" s="0" t="s">
        <v>88</v>
      </c>
      <c r="O145" s="0" t="s">
        <v>56</v>
      </c>
      <c r="P145" s="0" t="s">
        <v>107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Q145" s="0" t="n">
        <v>1</v>
      </c>
      <c r="AR145" s="0" t="n">
        <v>0</v>
      </c>
      <c r="AS145" s="0" t="n">
        <v>0</v>
      </c>
      <c r="AT145" s="4" t="n">
        <v>0</v>
      </c>
      <c r="AU145" s="3" t="n">
        <f aca="false">2+43/60</f>
        <v>2.71666666666667</v>
      </c>
      <c r="AV145" s="3" t="n">
        <f aca="false">58+40/60</f>
        <v>58.6666666666667</v>
      </c>
      <c r="AW145" s="3" t="n">
        <f aca="false">39+58/60</f>
        <v>39.9666666666667</v>
      </c>
      <c r="AX145" s="3" t="n">
        <f aca="false">27+33/70</f>
        <v>27.4714285714286</v>
      </c>
      <c r="AY145" s="3" t="n">
        <f aca="false">28/60</f>
        <v>0.466666666666667</v>
      </c>
      <c r="AZ145" s="0" t="s">
        <v>58</v>
      </c>
      <c r="BA145" s="0" t="s">
        <v>59</v>
      </c>
      <c r="BB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113</v>
      </c>
      <c r="K146" s="2" t="n">
        <v>13</v>
      </c>
      <c r="L146" s="2" t="n">
        <v>17</v>
      </c>
      <c r="M146" s="0" t="s">
        <v>88</v>
      </c>
      <c r="O146" s="0" t="s">
        <v>106</v>
      </c>
      <c r="P146" s="0" t="s">
        <v>96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Q146" s="0" t="n">
        <v>0</v>
      </c>
      <c r="AR146" s="0" t="n">
        <v>0</v>
      </c>
      <c r="AS146" s="0" t="n">
        <v>0</v>
      </c>
      <c r="AT146" s="4" t="n">
        <v>0</v>
      </c>
      <c r="AU146" s="3" t="n">
        <v>0</v>
      </c>
      <c r="AV146" s="3" t="n">
        <f aca="false">5+42/60</f>
        <v>5.7</v>
      </c>
      <c r="AW146" s="3" t="n">
        <f aca="false">12+38/60</f>
        <v>12.6333333333333</v>
      </c>
      <c r="AX146" s="3" t="n">
        <f aca="false">76+36/60</f>
        <v>76.6</v>
      </c>
      <c r="AY146" s="3" t="n">
        <f aca="false">33/60</f>
        <v>0.55</v>
      </c>
      <c r="AZ146" s="0" t="s">
        <v>58</v>
      </c>
      <c r="BA146" s="0" t="s">
        <v>59</v>
      </c>
      <c r="BB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99</v>
      </c>
      <c r="K147" s="2" t="n">
        <v>15</v>
      </c>
      <c r="L147" s="2" t="n">
        <v>25</v>
      </c>
      <c r="M147" s="0" t="s">
        <v>88</v>
      </c>
      <c r="O147" s="0" t="s">
        <v>56</v>
      </c>
      <c r="P147" s="0" t="s">
        <v>107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Q147" s="0" t="n">
        <v>1</v>
      </c>
      <c r="AR147" s="0" t="n">
        <v>0</v>
      </c>
      <c r="AS147" s="0" t="n">
        <v>0</v>
      </c>
      <c r="AT147" s="4" t="n">
        <v>0</v>
      </c>
      <c r="AU147" s="3" t="n">
        <f aca="false">18+8/60</f>
        <v>18.1333333333333</v>
      </c>
      <c r="AV147" s="3" t="n">
        <f aca="false">25+21/60</f>
        <v>25.35</v>
      </c>
      <c r="AW147" s="3" t="n">
        <f aca="false">50+58/60</f>
        <v>50.9666666666667</v>
      </c>
      <c r="AX147" s="3" t="n">
        <f aca="false">36+49/60</f>
        <v>36.8166666666667</v>
      </c>
      <c r="AY147" s="3" t="n">
        <f aca="false">7/60</f>
        <v>0.116666666666667</v>
      </c>
      <c r="AZ147" s="0" t="s">
        <v>58</v>
      </c>
      <c r="BA147" s="0" t="s">
        <v>59</v>
      </c>
      <c r="BB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99</v>
      </c>
      <c r="K148" s="2" t="n">
        <v>16</v>
      </c>
      <c r="L148" s="2" t="n">
        <v>0</v>
      </c>
      <c r="M148" s="0" t="s">
        <v>88</v>
      </c>
      <c r="O148" s="0" t="s">
        <v>106</v>
      </c>
      <c r="P148" s="0" t="s">
        <v>107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Q148" s="0" t="n">
        <v>1</v>
      </c>
      <c r="AR148" s="0" t="n">
        <v>0</v>
      </c>
      <c r="AS148" s="0" t="n">
        <v>0</v>
      </c>
      <c r="AT148" s="4" t="n">
        <f aca="false">60*U148-SUM(AU148:AY148)</f>
        <v>4.38333333333333</v>
      </c>
      <c r="AU148" s="3" t="n">
        <f aca="false">47+44/60</f>
        <v>47.7333333333333</v>
      </c>
      <c r="AV148" s="3" t="n">
        <f aca="false">58+55/60</f>
        <v>58.9166666666667</v>
      </c>
      <c r="AW148" s="3" t="n">
        <f aca="false">20+58/60</f>
        <v>20.9666666666667</v>
      </c>
      <c r="AX148" s="3" t="n">
        <f aca="false">1+46/60</f>
        <v>1.76666666666667</v>
      </c>
      <c r="AY148" s="3" t="n">
        <f aca="false">14/60</f>
        <v>0.233333333333333</v>
      </c>
      <c r="AZ148" s="0" t="s">
        <v>58</v>
      </c>
      <c r="BA148" s="0" t="s">
        <v>59</v>
      </c>
      <c r="BB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99</v>
      </c>
      <c r="K149" s="2" t="n">
        <v>16</v>
      </c>
      <c r="L149" s="2" t="n">
        <v>0</v>
      </c>
      <c r="M149" s="0" t="s">
        <v>88</v>
      </c>
      <c r="O149" s="0" t="s">
        <v>56</v>
      </c>
      <c r="P149" s="0" t="s">
        <v>107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Q149" s="0" t="n">
        <v>1</v>
      </c>
      <c r="AR149" s="0" t="n">
        <v>0</v>
      </c>
      <c r="AS149" s="0" t="n">
        <v>0</v>
      </c>
      <c r="AT149" s="4" t="n">
        <f aca="false">60*U149-SUM(AU149:AY149)</f>
        <v>25.7</v>
      </c>
      <c r="AU149" s="3" t="n">
        <f aca="false">25+30/60</f>
        <v>25.5</v>
      </c>
      <c r="AV149" s="3" t="n">
        <f aca="false">44+51/60</f>
        <v>44.85</v>
      </c>
      <c r="AW149" s="3" t="n">
        <f aca="false">41+15/60</f>
        <v>41.25</v>
      </c>
      <c r="AX149" s="3" t="n">
        <f aca="false">42/60</f>
        <v>0.7</v>
      </c>
      <c r="AY149" s="3" t="n">
        <v>0</v>
      </c>
      <c r="AZ149" s="0" t="s">
        <v>58</v>
      </c>
      <c r="BA149" s="0" t="s">
        <v>59</v>
      </c>
      <c r="BB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60</v>
      </c>
      <c r="G150" s="2" t="n">
        <v>94</v>
      </c>
      <c r="H150" s="2" t="n">
        <v>73</v>
      </c>
      <c r="I150" s="2" t="n">
        <f aca="false">(52+49)/2</f>
        <v>50.5</v>
      </c>
      <c r="J150" s="2" t="s">
        <v>99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106</v>
      </c>
      <c r="P150" s="0" t="s">
        <v>107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4" t="n">
        <f aca="false">60*U150-SUM(AU150:AY150)</f>
        <v>20.3333333333333</v>
      </c>
      <c r="AU150" s="3" t="n">
        <f aca="false">17+55/60</f>
        <v>17.9166666666667</v>
      </c>
      <c r="AV150" s="3" t="n">
        <f aca="false">30+46/60</f>
        <v>30.7666666666667</v>
      </c>
      <c r="AW150" s="3" t="n">
        <f aca="false">37+47/60</f>
        <v>37.7833333333333</v>
      </c>
      <c r="AX150" s="3" t="n">
        <f aca="false">18+33/60</f>
        <v>18.55</v>
      </c>
      <c r="AY150" s="3" t="n">
        <f aca="false">1+39/60</f>
        <v>1.65</v>
      </c>
      <c r="AZ150" s="0" t="s">
        <v>58</v>
      </c>
      <c r="BA150" s="0" t="s">
        <v>59</v>
      </c>
      <c r="BB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105</v>
      </c>
      <c r="K151" s="2" t="n">
        <v>8</v>
      </c>
      <c r="L151" s="2" t="n">
        <v>0</v>
      </c>
      <c r="M151" s="0" t="s">
        <v>88</v>
      </c>
      <c r="O151" s="0" t="s">
        <v>56</v>
      </c>
      <c r="P151" s="0" t="s">
        <v>107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Q151" s="0" t="n">
        <v>1</v>
      </c>
      <c r="AR151" s="0" t="n">
        <v>0</v>
      </c>
      <c r="AS151" s="0" t="n">
        <v>0</v>
      </c>
      <c r="AT151" s="4" t="n">
        <f aca="false">60*U151-SUM(AU151:AY151)</f>
        <v>20.5</v>
      </c>
      <c r="AU151" s="3" t="n">
        <f aca="false">29+5/60</f>
        <v>29.0833333333333</v>
      </c>
      <c r="AV151" s="3" t="n">
        <f aca="false">53+23/60</f>
        <v>53.3833333333333</v>
      </c>
      <c r="AW151" s="3" t="n">
        <f aca="false">36+51/60</f>
        <v>36.85</v>
      </c>
      <c r="AX151" s="3" t="n">
        <f aca="false">11/60</f>
        <v>0.183333333333333</v>
      </c>
      <c r="AY151" s="3" t="n">
        <v>0</v>
      </c>
      <c r="AZ151" s="0" t="s">
        <v>58</v>
      </c>
      <c r="BA151" s="0" t="s">
        <v>59</v>
      </c>
      <c r="BB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60</v>
      </c>
      <c r="G152" s="2" t="n">
        <v>90</v>
      </c>
      <c r="H152" s="2" t="n">
        <v>53</v>
      </c>
      <c r="I152" s="2" t="n">
        <f aca="false">(59+53)/2</f>
        <v>56</v>
      </c>
      <c r="J152" s="2" t="s">
        <v>99</v>
      </c>
      <c r="K152" s="2" t="n">
        <v>9</v>
      </c>
      <c r="L152" s="2" t="n">
        <v>20</v>
      </c>
      <c r="M152" s="0" t="s">
        <v>88</v>
      </c>
      <c r="O152" s="0" t="s">
        <v>106</v>
      </c>
      <c r="P152" s="0" t="s">
        <v>96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Q152" s="0" t="n">
        <v>0</v>
      </c>
      <c r="AR152" s="0" t="n">
        <v>1</v>
      </c>
      <c r="AS152" s="0" t="n">
        <v>0</v>
      </c>
      <c r="AT152" s="4" t="n">
        <f aca="false">60*U152-SUM(AU152:AY152)</f>
        <v>46.9166666666667</v>
      </c>
      <c r="AU152" s="3" t="n">
        <f aca="false">48+35/60</f>
        <v>48.5833333333333</v>
      </c>
      <c r="AV152" s="3" t="n">
        <f aca="false">11+28/60</f>
        <v>11.4666666666667</v>
      </c>
      <c r="AW152" s="3" t="n">
        <f aca="false">2/60</f>
        <v>0.0333333333333333</v>
      </c>
      <c r="AX152" s="3" t="n">
        <v>0</v>
      </c>
      <c r="AY152" s="3" t="n">
        <v>0</v>
      </c>
      <c r="AZ152" s="0" t="s">
        <v>58</v>
      </c>
      <c r="BA152" s="0" t="s">
        <v>59</v>
      </c>
      <c r="BB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99</v>
      </c>
      <c r="K153" s="2" t="n">
        <v>9</v>
      </c>
      <c r="L153" s="2" t="n">
        <v>16</v>
      </c>
      <c r="M153" s="0" t="s">
        <v>88</v>
      </c>
      <c r="O153" s="0" t="s">
        <v>56</v>
      </c>
      <c r="P153" s="0" t="s">
        <v>96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Q153" s="0" t="n">
        <v>0</v>
      </c>
      <c r="AR153" s="0" t="n">
        <v>0</v>
      </c>
      <c r="AS153" s="0" t="n">
        <v>0</v>
      </c>
      <c r="AT153" s="4" t="n">
        <f aca="false">60*U153-SUM(AU153:AY153)</f>
        <v>26.0166666666667</v>
      </c>
      <c r="AU153" s="3" t="n">
        <f aca="false">54+54/60</f>
        <v>54.9</v>
      </c>
      <c r="AV153" s="3" t="n">
        <f aca="false">23+9/60</f>
        <v>23.15</v>
      </c>
      <c r="AW153" s="3" t="n">
        <f aca="false">56/60</f>
        <v>0.933333333333333</v>
      </c>
      <c r="AX153" s="3" t="n">
        <v>0</v>
      </c>
      <c r="AY153" s="3" t="n">
        <v>0</v>
      </c>
      <c r="AZ153" s="0" t="s">
        <v>58</v>
      </c>
      <c r="BA153" s="0" t="s">
        <v>59</v>
      </c>
      <c r="BB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99</v>
      </c>
      <c r="K154" s="2" t="n">
        <v>7</v>
      </c>
      <c r="L154" s="2" t="n">
        <v>0</v>
      </c>
      <c r="M154" s="0" t="s">
        <v>88</v>
      </c>
      <c r="O154" s="0" t="s">
        <v>106</v>
      </c>
      <c r="P154" s="0" t="s">
        <v>107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Q154" s="0" t="n">
        <v>1</v>
      </c>
      <c r="AR154" s="0" t="n">
        <v>0</v>
      </c>
      <c r="AS154" s="0" t="n">
        <v>0</v>
      </c>
      <c r="AT154" s="4" t="n">
        <f aca="false">60*U154-SUM(AU154:AY154)</f>
        <v>9.83333333333331</v>
      </c>
      <c r="AU154" s="3" t="n">
        <f aca="false">43+3/60</f>
        <v>43.05</v>
      </c>
      <c r="AV154" s="3" t="n">
        <f aca="false">78+29/60</f>
        <v>78.4833333333333</v>
      </c>
      <c r="AW154" s="3" t="n">
        <f aca="false">7++38/60</f>
        <v>7.63333333333333</v>
      </c>
      <c r="AX154" s="3" t="n">
        <v>0</v>
      </c>
      <c r="AY154" s="3" t="n">
        <v>0</v>
      </c>
      <c r="AZ154" s="0" t="s">
        <v>58</v>
      </c>
      <c r="BA154" s="0" t="s">
        <v>59</v>
      </c>
      <c r="BB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102</v>
      </c>
      <c r="K155" s="2" t="n">
        <v>7</v>
      </c>
      <c r="L155" s="2" t="n">
        <v>0</v>
      </c>
      <c r="M155" s="0" t="s">
        <v>88</v>
      </c>
      <c r="O155" s="0" t="s">
        <v>56</v>
      </c>
      <c r="P155" s="0" t="s">
        <v>107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4" t="n">
        <f aca="false">60*U155-SUM(AU155:AY155)</f>
        <v>0.650000000000006</v>
      </c>
      <c r="AU155" s="3" t="n">
        <f aca="false">15+29/60</f>
        <v>15.4833333333333</v>
      </c>
      <c r="AV155" s="3" t="n">
        <f aca="false">79+10/60</f>
        <v>79.1666666666667</v>
      </c>
      <c r="AW155" s="3" t="n">
        <f aca="false">31+52/60</f>
        <v>31.8666666666667</v>
      </c>
      <c r="AX155" s="3" t="n">
        <f aca="false">6+50/60</f>
        <v>6.83333333333333</v>
      </c>
      <c r="AY155" s="3" t="n">
        <v>0</v>
      </c>
      <c r="AZ155" s="0" t="s">
        <v>58</v>
      </c>
      <c r="BA155" s="0" t="s">
        <v>59</v>
      </c>
      <c r="BB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1" t="s">
        <v>70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10" t="s">
        <v>114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115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101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2" t="n">
        <f aca="false">A157+1</f>
        <v>690</v>
      </c>
      <c r="B158" s="1" t="n">
        <v>44036.4951388889</v>
      </c>
      <c r="C158" s="0" t="n">
        <v>0</v>
      </c>
      <c r="D158" s="0" t="s">
        <v>115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104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2" t="n">
        <f aca="false">A158+1</f>
        <v>691</v>
      </c>
      <c r="B159" s="1" t="n">
        <v>44037.4951388889</v>
      </c>
      <c r="C159" s="0" t="n">
        <v>0</v>
      </c>
      <c r="D159" s="0" t="s">
        <v>115</v>
      </c>
      <c r="F159" s="7" t="s">
        <v>116</v>
      </c>
      <c r="G159" s="2" t="n">
        <v>96</v>
      </c>
      <c r="H159" s="2" t="n">
        <v>72</v>
      </c>
      <c r="I159" s="2" t="n">
        <v>63</v>
      </c>
      <c r="J159" s="7" t="s">
        <v>117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2" t="n">
        <f aca="false">A159+1</f>
        <v>692</v>
      </c>
      <c r="B160" s="1" t="n">
        <v>44038.4951388889</v>
      </c>
      <c r="C160" s="0" t="n">
        <v>0</v>
      </c>
      <c r="D160" s="0" t="s">
        <v>115</v>
      </c>
      <c r="F160" s="7" t="s">
        <v>116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102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2" t="n">
        <f aca="false">A160+1</f>
        <v>693</v>
      </c>
      <c r="B161" s="1" t="n">
        <v>44039.4951388889</v>
      </c>
      <c r="C161" s="0" t="n">
        <v>0</v>
      </c>
      <c r="D161" s="0" t="s">
        <v>115</v>
      </c>
      <c r="F161" s="7" t="s">
        <v>116</v>
      </c>
      <c r="G161" s="2" t="n">
        <v>84</v>
      </c>
      <c r="H161" s="2" t="n">
        <v>72</v>
      </c>
      <c r="I161" s="2" t="n">
        <v>72</v>
      </c>
      <c r="J161" s="2" t="s">
        <v>101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2" t="n">
        <f aca="false">A161+1</f>
        <v>694</v>
      </c>
      <c r="B162" s="1" t="n">
        <v>44040.5034722222</v>
      </c>
      <c r="C162" s="0" t="n">
        <v>1</v>
      </c>
      <c r="F162" s="7" t="s">
        <v>118</v>
      </c>
      <c r="G162" s="2" t="n">
        <v>76</v>
      </c>
      <c r="H162" s="2" t="n">
        <v>76</v>
      </c>
      <c r="I162" s="2" t="n">
        <v>100</v>
      </c>
      <c r="J162" s="2" t="s">
        <v>101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106</v>
      </c>
      <c r="P162" s="0" t="s">
        <v>96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Q162" s="0" t="n">
        <v>0</v>
      </c>
      <c r="AR162" s="0" t="n">
        <v>0</v>
      </c>
      <c r="AS162" s="0" t="n">
        <v>0</v>
      </c>
      <c r="BA162" s="0" t="s">
        <v>59</v>
      </c>
      <c r="BB162" s="0" t="n">
        <v>0</v>
      </c>
    </row>
    <row r="163" customFormat="false" ht="12.8" hidden="false" customHeight="false" outlineLevel="0" collapsed="false">
      <c r="A163" s="12" t="n">
        <f aca="false">A162+1</f>
        <v>695</v>
      </c>
      <c r="B163" s="1" t="n">
        <v>44041.50625</v>
      </c>
      <c r="C163" s="0" t="n">
        <v>1</v>
      </c>
      <c r="F163" s="0" t="s">
        <v>55</v>
      </c>
      <c r="G163" s="2" t="n">
        <v>85</v>
      </c>
      <c r="H163" s="2" t="n">
        <v>74</v>
      </c>
      <c r="I163" s="2" t="n">
        <v>69</v>
      </c>
      <c r="J163" s="2" t="s">
        <v>99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106</v>
      </c>
      <c r="P163" s="0" t="s">
        <v>96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Q163" s="0" t="n">
        <v>1</v>
      </c>
      <c r="AR163" s="0" t="n">
        <v>1</v>
      </c>
      <c r="AS163" s="0" t="n">
        <v>0</v>
      </c>
      <c r="AT163" s="4" t="n">
        <f aca="false">60*U163-SUM(AU163:AY163)</f>
        <v>3.9</v>
      </c>
      <c r="AU163" s="3" t="n">
        <f aca="false">38+43/60</f>
        <v>38.7166666666667</v>
      </c>
      <c r="AV163" s="3" t="n">
        <f aca="false">21+45/60</f>
        <v>21.75</v>
      </c>
      <c r="AW163" s="3" t="n">
        <f aca="false">38/60</f>
        <v>0.633333333333333</v>
      </c>
      <c r="AX163" s="3" t="n">
        <v>0</v>
      </c>
      <c r="AY163" s="3" t="n">
        <v>0</v>
      </c>
      <c r="AZ163" s="0" t="s">
        <v>58</v>
      </c>
      <c r="BA163" s="0" t="s">
        <v>59</v>
      </c>
      <c r="BB163" s="0" t="n">
        <v>0</v>
      </c>
    </row>
    <row r="164" customFormat="false" ht="12.8" hidden="false" customHeight="false" outlineLevel="0" collapsed="false">
      <c r="A164" s="12" t="n">
        <f aca="false">A163+1</f>
        <v>696</v>
      </c>
      <c r="B164" s="1" t="n">
        <v>44042.5451388889</v>
      </c>
      <c r="C164" s="0" t="n">
        <v>1</v>
      </c>
      <c r="F164" s="0" t="s">
        <v>60</v>
      </c>
      <c r="G164" s="2" t="n">
        <v>90</v>
      </c>
      <c r="H164" s="2" t="n">
        <v>71</v>
      </c>
      <c r="I164" s="2" t="n">
        <v>54</v>
      </c>
      <c r="J164" s="2" t="s">
        <v>99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106</v>
      </c>
      <c r="P164" s="0" t="s">
        <v>96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Q164" s="0" t="n">
        <v>0</v>
      </c>
      <c r="AR164" s="0" t="n">
        <v>0</v>
      </c>
      <c r="AS164" s="0" t="n">
        <v>0</v>
      </c>
      <c r="AT164" s="4" t="n">
        <f aca="false">60*U164-SUM(AU164:AY164)</f>
        <v>35.6166666666667</v>
      </c>
      <c r="AU164" s="3" t="n">
        <f aca="false">52+26/60</f>
        <v>52.4333333333333</v>
      </c>
      <c r="AV164" s="3" t="n">
        <f aca="false">8+49/60</f>
        <v>8.81666666666667</v>
      </c>
      <c r="AW164" s="3" t="n">
        <f aca="false">2+8/60</f>
        <v>2.13333333333333</v>
      </c>
      <c r="AX164" s="3" t="n">
        <v>0</v>
      </c>
      <c r="AY164" s="3" t="n">
        <v>0</v>
      </c>
      <c r="AZ164" s="0" t="s">
        <v>58</v>
      </c>
      <c r="BA164" s="0" t="s">
        <v>59</v>
      </c>
      <c r="BB164" s="0" t="n">
        <v>0</v>
      </c>
    </row>
    <row r="165" customFormat="false" ht="12.8" hidden="false" customHeight="false" outlineLevel="0" collapsed="false">
      <c r="A165" s="12" t="n">
        <f aca="false">A164+1</f>
        <v>697</v>
      </c>
      <c r="B165" s="1" t="n">
        <v>44043.5208333333</v>
      </c>
      <c r="C165" s="0" t="n">
        <v>1</v>
      </c>
      <c r="F165" s="7" t="s">
        <v>119</v>
      </c>
      <c r="G165" s="2" t="n">
        <v>86</v>
      </c>
      <c r="H165" s="2" t="n">
        <v>50</v>
      </c>
      <c r="I165" s="2" t="n">
        <v>59</v>
      </c>
      <c r="J165" s="7" t="s">
        <v>120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106</v>
      </c>
      <c r="P165" s="0" t="s">
        <v>96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Q165" s="0" t="n">
        <v>0</v>
      </c>
      <c r="AR165" s="0" t="n">
        <v>1</v>
      </c>
      <c r="AS165" s="0" t="n">
        <v>0</v>
      </c>
      <c r="AT165" s="4" t="n">
        <f aca="false">60*U165-SUM(AU165:AY165)</f>
        <v>41.88</v>
      </c>
      <c r="AU165" s="3" t="n">
        <f aca="false">28+52/60</f>
        <v>28.8666666666667</v>
      </c>
      <c r="AV165" s="3" t="n">
        <f aca="false">28+46/50</f>
        <v>28.92</v>
      </c>
      <c r="AW165" s="3" t="n">
        <f aca="false">1+20/60</f>
        <v>1.33333333333333</v>
      </c>
      <c r="AX165" s="3" t="n">
        <v>0</v>
      </c>
      <c r="AY165" s="3" t="n">
        <v>0</v>
      </c>
      <c r="AZ165" s="0" t="s">
        <v>58</v>
      </c>
      <c r="BA165" s="0" t="s">
        <v>59</v>
      </c>
      <c r="BB165" s="0" t="n">
        <v>0</v>
      </c>
    </row>
    <row r="166" customFormat="false" ht="12.8" hidden="false" customHeight="false" outlineLevel="0" collapsed="false">
      <c r="A166" s="12" t="n">
        <f aca="false">A165+1</f>
        <v>698</v>
      </c>
      <c r="B166" s="1" t="n">
        <v>44044.5020833333</v>
      </c>
      <c r="C166" s="0" t="n">
        <v>1</v>
      </c>
      <c r="F166" s="7" t="s">
        <v>116</v>
      </c>
      <c r="G166" s="2" t="n">
        <v>85</v>
      </c>
      <c r="H166" s="2" t="n">
        <v>66</v>
      </c>
      <c r="I166" s="2" t="n">
        <v>53</v>
      </c>
      <c r="J166" s="2" t="s">
        <v>98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106</v>
      </c>
      <c r="P166" s="0" t="s">
        <v>96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Q166" s="0" t="n">
        <v>2</v>
      </c>
      <c r="AR166" s="0" t="n">
        <v>0</v>
      </c>
      <c r="AS166" s="0" t="n">
        <v>0</v>
      </c>
      <c r="AT166" s="4" t="n">
        <f aca="false">60*U166-SUM(AU166:AY166)</f>
        <v>8.7</v>
      </c>
      <c r="AU166" s="3" t="n">
        <f aca="false">73+17/60</f>
        <v>73.2833333333333</v>
      </c>
      <c r="AV166" s="3" t="n">
        <f aca="false">27+40/60</f>
        <v>27.6666666666667</v>
      </c>
      <c r="AW166" s="3" t="n">
        <f aca="false">1+21/60</f>
        <v>1.35</v>
      </c>
      <c r="AX166" s="3" t="n">
        <v>0</v>
      </c>
      <c r="AY166" s="3" t="n">
        <v>0</v>
      </c>
      <c r="AZ166" s="0" t="s">
        <v>58</v>
      </c>
      <c r="BA166" s="0" t="s">
        <v>59</v>
      </c>
      <c r="BB166" s="0" t="n">
        <v>0</v>
      </c>
    </row>
    <row r="167" customFormat="false" ht="12.8" hidden="false" customHeight="false" outlineLevel="0" collapsed="false">
      <c r="A167" s="12" t="n">
        <f aca="false">A166+1</f>
        <v>699</v>
      </c>
      <c r="B167" s="1" t="n">
        <v>44045.6055555556</v>
      </c>
      <c r="C167" s="0" t="n">
        <v>1</v>
      </c>
      <c r="F167" s="0" t="s">
        <v>60</v>
      </c>
      <c r="G167" s="2" t="n">
        <v>94</v>
      </c>
      <c r="H167" s="2" t="n">
        <v>60</v>
      </c>
      <c r="I167" s="2" t="n">
        <v>32</v>
      </c>
      <c r="J167" s="7" t="s">
        <v>98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106</v>
      </c>
      <c r="P167" s="0" t="s">
        <v>96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Q167" s="0" t="n">
        <v>1</v>
      </c>
      <c r="AR167" s="0" t="n">
        <v>0</v>
      </c>
      <c r="AS167" s="0" t="n">
        <v>0</v>
      </c>
      <c r="AT167" s="4" t="n">
        <v>0</v>
      </c>
      <c r="AU167" s="3" t="n">
        <f aca="false">9+6/60</f>
        <v>9.1</v>
      </c>
      <c r="AV167" s="3" t="n">
        <f aca="false">56+18/60</f>
        <v>56.3</v>
      </c>
      <c r="AW167" s="3" t="n">
        <f aca="false">42+30/60</f>
        <v>42.5</v>
      </c>
      <c r="AX167" s="3" t="n">
        <f aca="false">1+52/60</f>
        <v>1.86666666666667</v>
      </c>
      <c r="AY167" s="3" t="n">
        <f aca="false">22/60</f>
        <v>0.366666666666667</v>
      </c>
      <c r="AZ167" s="0" t="s">
        <v>58</v>
      </c>
      <c r="BA167" s="0" t="s">
        <v>59</v>
      </c>
      <c r="BB167" s="0" t="n">
        <v>0</v>
      </c>
    </row>
    <row r="168" customFormat="false" ht="12.8" hidden="false" customHeight="false" outlineLevel="0" collapsed="false">
      <c r="A168" s="12" t="n">
        <f aca="false">A167+1</f>
        <v>700</v>
      </c>
      <c r="B168" s="1" t="n">
        <v>44046.575</v>
      </c>
      <c r="C168" s="0" t="n">
        <v>1</v>
      </c>
      <c r="F168" s="0" t="s">
        <v>60</v>
      </c>
      <c r="G168" s="2" t="n">
        <v>92</v>
      </c>
      <c r="H168" s="2" t="n">
        <v>63</v>
      </c>
      <c r="I168" s="2" t="n">
        <v>39</v>
      </c>
      <c r="J168" s="2" t="s">
        <v>104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106</v>
      </c>
      <c r="P168" s="0" t="s">
        <v>107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Q168" s="0" t="n">
        <v>3</v>
      </c>
      <c r="AR168" s="0" t="n">
        <v>0</v>
      </c>
      <c r="AS168" s="0" t="n">
        <v>0</v>
      </c>
      <c r="AT168" s="4" t="n">
        <v>0</v>
      </c>
      <c r="AU168" s="3" t="n">
        <f aca="false">4+51/60</f>
        <v>4.85</v>
      </c>
      <c r="AV168" s="3" t="n">
        <f aca="false">64+1/60</f>
        <v>64.0166666666667</v>
      </c>
      <c r="AW168" s="3" t="n">
        <f aca="false">67+16/60</f>
        <v>67.2666666666667</v>
      </c>
      <c r="AX168" s="3" t="n">
        <f aca="false">7/60</f>
        <v>0.116666666666667</v>
      </c>
      <c r="AY168" s="3" t="n">
        <v>0</v>
      </c>
      <c r="AZ168" s="0" t="s">
        <v>58</v>
      </c>
      <c r="BA168" s="0" t="s">
        <v>59</v>
      </c>
      <c r="BB168" s="0" t="n">
        <v>0</v>
      </c>
    </row>
    <row r="169" customFormat="false" ht="12.8" hidden="false" customHeight="false" outlineLevel="0" collapsed="false">
      <c r="A169" s="12" t="n">
        <f aca="false">A168+1</f>
        <v>701</v>
      </c>
      <c r="B169" s="1" t="n">
        <v>44047.5284722222</v>
      </c>
      <c r="C169" s="0" t="n">
        <v>1</v>
      </c>
      <c r="F169" s="0" t="s">
        <v>60</v>
      </c>
      <c r="G169" s="2" t="n">
        <v>87</v>
      </c>
      <c r="H169" s="2" t="n">
        <v>60</v>
      </c>
      <c r="I169" s="2" t="n">
        <v>40</v>
      </c>
      <c r="J169" s="2" t="s">
        <v>105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106</v>
      </c>
      <c r="P169" s="0" t="s">
        <v>107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Q169" s="0" t="n">
        <v>2</v>
      </c>
      <c r="AR169" s="0" t="n">
        <v>1</v>
      </c>
      <c r="AS169" s="0" t="n">
        <v>1</v>
      </c>
      <c r="AT169" s="4" t="n">
        <f aca="false">60*U169-SUM(AU169:AY169)</f>
        <v>10.05</v>
      </c>
      <c r="AU169" s="3" t="n">
        <f aca="false">1+49/60</f>
        <v>1.81666666666667</v>
      </c>
      <c r="AV169" s="3" t="n">
        <f aca="false">81+43/60</f>
        <v>81.7166666666667</v>
      </c>
      <c r="AW169" s="3" t="n">
        <f aca="false">48+30/60</f>
        <v>48.5</v>
      </c>
      <c r="AX169" s="3" t="n">
        <f aca="false">2+55/60</f>
        <v>2.91666666666667</v>
      </c>
      <c r="AY169" s="3" t="n">
        <v>0</v>
      </c>
      <c r="AZ169" s="0" t="s">
        <v>58</v>
      </c>
      <c r="BA169" s="0" t="s">
        <v>59</v>
      </c>
      <c r="BB169" s="0" t="n">
        <v>0</v>
      </c>
    </row>
    <row r="170" customFormat="false" ht="12.8" hidden="false" customHeight="false" outlineLevel="0" collapsed="false">
      <c r="A170" s="12" t="n">
        <f aca="false">A169+1</f>
        <v>702</v>
      </c>
      <c r="B170" s="1" t="n">
        <v>44048.5236111111</v>
      </c>
      <c r="C170" s="0" t="n">
        <v>1</v>
      </c>
      <c r="F170" s="7" t="s">
        <v>116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102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106</v>
      </c>
      <c r="P170" s="0" t="s">
        <v>96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Q170" s="0" t="n">
        <v>1</v>
      </c>
      <c r="AR170" s="0" t="n">
        <v>0</v>
      </c>
      <c r="AS170" s="0" t="n">
        <v>0</v>
      </c>
      <c r="AT170" s="4" t="n">
        <f aca="false">60*U170-SUM(AU170:AY170)</f>
        <v>8.13333333333334</v>
      </c>
      <c r="AU170" s="3" t="n">
        <f aca="false">57+40/60</f>
        <v>57.6666666666667</v>
      </c>
      <c r="AV170" s="3" t="n">
        <f aca="false">25+35/60</f>
        <v>25.5833333333333</v>
      </c>
      <c r="AW170" s="3" t="n">
        <f aca="false">15+51/60</f>
        <v>15.85</v>
      </c>
      <c r="AX170" s="3" t="n">
        <f aca="false">46/60</f>
        <v>0.766666666666667</v>
      </c>
      <c r="AY170" s="3" t="n">
        <v>0</v>
      </c>
      <c r="AZ170" s="0" t="s">
        <v>58</v>
      </c>
      <c r="BA170" s="0" t="s">
        <v>59</v>
      </c>
      <c r="BB170" s="0" t="n">
        <v>0</v>
      </c>
    </row>
    <row r="171" customFormat="false" ht="12.8" hidden="false" customHeight="false" outlineLevel="0" collapsed="false">
      <c r="A171" s="12" t="n">
        <f aca="false">A170+1</f>
        <v>703</v>
      </c>
      <c r="B171" s="1" t="n">
        <v>44049.5125</v>
      </c>
      <c r="C171" s="0" t="n">
        <v>1</v>
      </c>
      <c r="F171" s="0" t="s">
        <v>60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101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106</v>
      </c>
      <c r="P171" s="0" t="s">
        <v>96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Q171" s="0" t="n">
        <v>0</v>
      </c>
      <c r="AR171" s="0" t="n">
        <v>0</v>
      </c>
      <c r="AS171" s="0" t="n">
        <v>0</v>
      </c>
      <c r="AT171" s="5" t="n">
        <f aca="false">60*U171-SUM(AU171:AY171)</f>
        <v>82.0333333333333</v>
      </c>
      <c r="AU171" s="3" t="n">
        <f aca="false">19+29/60</f>
        <v>19.4833333333333</v>
      </c>
      <c r="AV171" s="3" t="n">
        <f aca="false">6+46/60</f>
        <v>6.76666666666667</v>
      </c>
      <c r="AW171" s="3" t="n">
        <f aca="false">43/60</f>
        <v>0.716666666666667</v>
      </c>
      <c r="AX171" s="3" t="n">
        <v>0</v>
      </c>
      <c r="AY171" s="3" t="n">
        <v>0</v>
      </c>
      <c r="AZ171" s="0" t="s">
        <v>58</v>
      </c>
      <c r="BA171" s="0" t="s">
        <v>59</v>
      </c>
      <c r="BB171" s="0" t="n">
        <v>0</v>
      </c>
    </row>
    <row r="172" customFormat="false" ht="12.8" hidden="false" customHeight="false" outlineLevel="0" collapsed="false">
      <c r="A172" s="12" t="n">
        <f aca="false">A171+1</f>
        <v>704</v>
      </c>
      <c r="B172" s="1" t="n">
        <v>44050.4770833333</v>
      </c>
      <c r="C172" s="0" t="n">
        <v>1</v>
      </c>
      <c r="F172" s="7" t="s">
        <v>119</v>
      </c>
      <c r="G172" s="2" t="n">
        <v>91</v>
      </c>
      <c r="H172" s="2" t="n">
        <v>69</v>
      </c>
      <c r="I172" s="2" t="n">
        <v>50</v>
      </c>
      <c r="J172" s="2" t="s">
        <v>101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106</v>
      </c>
      <c r="P172" s="0" t="s">
        <v>96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Q172" s="0" t="n">
        <v>0</v>
      </c>
      <c r="AR172" s="0" t="n">
        <v>0</v>
      </c>
      <c r="AS172" s="0" t="n">
        <v>0</v>
      </c>
      <c r="AT172" s="4" t="n">
        <f aca="false">60*U172-SUM(AU172:AY172)</f>
        <v>14.55</v>
      </c>
      <c r="AU172" s="3" t="n">
        <f aca="false">18+40/60</f>
        <v>18.6666666666667</v>
      </c>
      <c r="AV172" s="3" t="n">
        <f aca="false">66+7/10</f>
        <v>66.7</v>
      </c>
      <c r="AW172" s="3" t="n">
        <f aca="false">10+5/60</f>
        <v>10.0833333333333</v>
      </c>
      <c r="AX172" s="3" t="n">
        <v>0</v>
      </c>
      <c r="AY172" s="3" t="n">
        <v>0</v>
      </c>
    </row>
    <row r="173" customFormat="false" ht="12.8" hidden="false" customHeight="false" outlineLevel="0" collapsed="false">
      <c r="A173" s="12" t="n">
        <f aca="false">A172+1</f>
        <v>705</v>
      </c>
      <c r="B173" s="1" t="n">
        <v>44051.5</v>
      </c>
      <c r="C173" s="0" t="n">
        <v>0</v>
      </c>
      <c r="D173" s="0" t="s">
        <v>94</v>
      </c>
      <c r="F173" s="7" t="s">
        <v>121</v>
      </c>
      <c r="G173" s="2" t="n">
        <v>92</v>
      </c>
      <c r="H173" s="2" t="n">
        <v>68</v>
      </c>
      <c r="I173" s="2" t="n">
        <f aca="false">(48+42)/2</f>
        <v>45</v>
      </c>
      <c r="J173" s="2" t="s">
        <v>101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2" t="n">
        <f aca="false">A173+1</f>
        <v>706</v>
      </c>
      <c r="B174" s="1" t="n">
        <v>44052.5215277778</v>
      </c>
      <c r="C174" s="0" t="n">
        <v>1</v>
      </c>
      <c r="F174" s="0" t="s">
        <v>60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113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106</v>
      </c>
      <c r="P174" s="0" t="s">
        <v>96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Q174" s="0" t="n">
        <v>0</v>
      </c>
      <c r="AR174" s="0" t="n">
        <v>0</v>
      </c>
      <c r="AS174" s="0" t="n">
        <v>0</v>
      </c>
      <c r="AT174" s="4" t="n">
        <f aca="false">60*U174-SUM(AU174:AY174)</f>
        <v>0.0333333333333314</v>
      </c>
      <c r="AU174" s="3" t="n">
        <v>4</v>
      </c>
      <c r="AV174" s="3" t="n">
        <f aca="false">60+29.5</f>
        <v>89.5</v>
      </c>
      <c r="AW174" s="3" t="n">
        <f aca="false">17+13/60</f>
        <v>17.2166666666667</v>
      </c>
      <c r="AX174" s="3" t="n">
        <f aca="false">1+15/60</f>
        <v>1.25</v>
      </c>
      <c r="AY174" s="3" t="n">
        <v>0</v>
      </c>
      <c r="AZ174" s="0" t="s">
        <v>58</v>
      </c>
      <c r="BA174" s="0" t="s">
        <v>59</v>
      </c>
      <c r="BB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60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109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106</v>
      </c>
      <c r="P175" s="0" t="s">
        <v>96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Q175" s="0" t="n">
        <v>2</v>
      </c>
      <c r="AR175" s="0" t="n">
        <v>0</v>
      </c>
      <c r="AS175" s="0" t="n">
        <v>0</v>
      </c>
      <c r="AT175" s="4" t="n">
        <f aca="false">60*U175-SUM(AU175:AY175)</f>
        <v>6.71666666666667</v>
      </c>
      <c r="AU175" s="0" t="n">
        <f aca="false">37+54/60</f>
        <v>37.9</v>
      </c>
      <c r="AV175" s="3" t="n">
        <f aca="false">24+20/60</f>
        <v>24.3333333333333</v>
      </c>
      <c r="AW175" s="3" t="n">
        <f aca="false">10+47/60</f>
        <v>10.7833333333333</v>
      </c>
      <c r="AX175" s="3" t="n">
        <f aca="false">16/60</f>
        <v>0.266666666666667</v>
      </c>
      <c r="AY175" s="3" t="n">
        <v>0</v>
      </c>
      <c r="AZ175" s="0" t="s">
        <v>58</v>
      </c>
      <c r="BA175" s="0" t="s">
        <v>59</v>
      </c>
      <c r="BB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7" t="s">
        <v>119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7" t="s">
        <v>122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106</v>
      </c>
      <c r="P176" s="0" t="s">
        <v>96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Q176" s="0" t="n">
        <v>1</v>
      </c>
      <c r="AR176" s="0" t="n">
        <v>0</v>
      </c>
      <c r="AS176" s="0" t="n">
        <v>0</v>
      </c>
      <c r="AT176" s="4" t="n">
        <f aca="false">60*U176-SUM(AU176:AY176)</f>
        <v>0.233333333333334</v>
      </c>
      <c r="AU176" s="3" t="n">
        <f aca="false">2.25</f>
        <v>2.25</v>
      </c>
      <c r="AV176" s="3" t="n">
        <f aca="false">37+26/60</f>
        <v>37.4333333333333</v>
      </c>
      <c r="AW176" s="3" t="n">
        <f aca="false">31+15/60</f>
        <v>31.25</v>
      </c>
      <c r="AX176" s="3" t="n">
        <f aca="false">12+50/60</f>
        <v>12.8333333333333</v>
      </c>
      <c r="AY176" s="3" t="n">
        <v>0</v>
      </c>
      <c r="AZ176" s="0" t="s">
        <v>58</v>
      </c>
      <c r="BA176" s="0" t="s">
        <v>59</v>
      </c>
      <c r="BB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7" t="s">
        <v>119</v>
      </c>
      <c r="G177" s="2" t="n">
        <v>97</v>
      </c>
      <c r="H177" s="2" t="n">
        <v>73</v>
      </c>
      <c r="I177" s="2" t="n">
        <v>47</v>
      </c>
      <c r="J177" s="2" t="s">
        <v>99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106</v>
      </c>
      <c r="P177" s="0" t="s">
        <v>96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Q177" s="0" t="n">
        <v>2</v>
      </c>
      <c r="AR177" s="0" t="n">
        <v>0</v>
      </c>
      <c r="AS177" s="0" t="n">
        <v>0</v>
      </c>
      <c r="AT177" s="4" t="n">
        <f aca="false">60*U177-SUM(AU177:AY177)</f>
        <v>28.8166666666667</v>
      </c>
      <c r="AU177" s="3" t="n">
        <f aca="false">46+31/60</f>
        <v>46.5166666666667</v>
      </c>
      <c r="AV177" s="3" t="n">
        <f aca="false">7+6/60</f>
        <v>7.1</v>
      </c>
      <c r="AW177" s="3" t="n">
        <f aca="false">4+34/60</f>
        <v>4.56666666666667</v>
      </c>
      <c r="AX177" s="3" t="n">
        <v>0</v>
      </c>
      <c r="AY177" s="3" t="n">
        <v>0</v>
      </c>
      <c r="AZ177" s="0" t="s">
        <v>58</v>
      </c>
      <c r="BA177" s="0" t="s">
        <v>59</v>
      </c>
      <c r="BB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60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99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106</v>
      </c>
      <c r="P178" s="0" t="s">
        <v>96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Q178" s="0" t="n">
        <v>1</v>
      </c>
      <c r="AR178" s="0" t="n">
        <v>0</v>
      </c>
      <c r="AS178" s="0" t="n">
        <v>0</v>
      </c>
      <c r="AT178" s="4" t="n">
        <f aca="false">60*U178-SUM(AU178:AY178)</f>
        <v>34.1666666666667</v>
      </c>
      <c r="AU178" s="3" t="n">
        <f aca="false">55+55/60</f>
        <v>55.9166666666667</v>
      </c>
      <c r="AV178" s="3" t="n">
        <f aca="false">18+6/60</f>
        <v>18.1</v>
      </c>
      <c r="AW178" s="3" t="n">
        <f aca="false">3+49/60</f>
        <v>3.81666666666667</v>
      </c>
      <c r="AX178" s="3" t="n">
        <v>0</v>
      </c>
      <c r="AY178" s="3" t="n">
        <v>0</v>
      </c>
      <c r="AZ178" s="0" t="s">
        <v>58</v>
      </c>
      <c r="BA178" s="0" t="s">
        <v>59</v>
      </c>
      <c r="BB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7" t="s">
        <v>119</v>
      </c>
      <c r="G179" s="2" t="n">
        <f aca="false">(95+98)/2</f>
        <v>96.5</v>
      </c>
      <c r="H179" s="2" t="n">
        <v>71</v>
      </c>
      <c r="I179" s="2" t="n">
        <v>43</v>
      </c>
      <c r="J179" s="2" t="s">
        <v>99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106</v>
      </c>
      <c r="P179" s="0" t="s">
        <v>96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Q179" s="0" t="n">
        <v>1</v>
      </c>
      <c r="AR179" s="0" t="n">
        <v>0</v>
      </c>
      <c r="AS179" s="0" t="n">
        <v>0</v>
      </c>
      <c r="AT179" s="4" t="n">
        <f aca="false">60*U179-SUM(AU179:AY179)</f>
        <v>14.3666666666667</v>
      </c>
      <c r="AU179" s="3" t="n">
        <f aca="false">78+31/60</f>
        <v>78.5166666666667</v>
      </c>
      <c r="AV179" s="3" t="n">
        <f aca="false">17+34/60</f>
        <v>17.5666666666667</v>
      </c>
      <c r="AW179" s="3" t="n">
        <f aca="false">33/60</f>
        <v>0.55</v>
      </c>
      <c r="AX179" s="3" t="n">
        <v>0</v>
      </c>
      <c r="AY179" s="3" t="n">
        <v>0</v>
      </c>
      <c r="AZ179" s="0" t="s">
        <v>58</v>
      </c>
      <c r="BA179" s="0" t="s">
        <v>59</v>
      </c>
      <c r="BB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7" t="s">
        <v>119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99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106</v>
      </c>
      <c r="P180" s="0" t="s">
        <v>96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Q180" s="0" t="n">
        <v>1</v>
      </c>
      <c r="AR180" s="0" t="n">
        <v>0</v>
      </c>
      <c r="AS180" s="0" t="n">
        <v>0</v>
      </c>
      <c r="AT180" s="4" t="n">
        <f aca="false">60*U180-SUM(AU180:AY180)</f>
        <v>18.1166666666667</v>
      </c>
      <c r="AU180" s="3" t="n">
        <f aca="false">67+58/60</f>
        <v>67.9666666666667</v>
      </c>
      <c r="AV180" s="3" t="n">
        <f aca="false">33+2/60</f>
        <v>33.0333333333333</v>
      </c>
      <c r="AW180" s="3" t="n">
        <f aca="false">3+53/60</f>
        <v>3.88333333333333</v>
      </c>
      <c r="AX180" s="3" t="n">
        <v>0</v>
      </c>
      <c r="AY180" s="3" t="n">
        <v>0</v>
      </c>
      <c r="AZ180" s="0" t="s">
        <v>58</v>
      </c>
      <c r="BA180" s="0" t="s">
        <v>59</v>
      </c>
      <c r="BB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7" t="s">
        <v>116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123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106</v>
      </c>
      <c r="P181" s="0" t="s">
        <v>96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Q181" s="0" t="n">
        <v>0</v>
      </c>
      <c r="AR181" s="0" t="n">
        <v>0</v>
      </c>
      <c r="AS181" s="0" t="n">
        <v>0</v>
      </c>
      <c r="AT181" s="4" t="n">
        <f aca="false">60*U181-SUM(AU181:AY181)</f>
        <v>0.0333333333333314</v>
      </c>
      <c r="AU181" s="3" t="n">
        <f aca="false">32/60</f>
        <v>0.533333333333333</v>
      </c>
      <c r="AV181" s="3" t="n">
        <f aca="false">55+17/60</f>
        <v>55.2833333333333</v>
      </c>
      <c r="AW181" s="3" t="n">
        <f aca="false">67+51/60</f>
        <v>67.85</v>
      </c>
      <c r="AX181" s="3" t="n">
        <f aca="false">11+18/60</f>
        <v>11.3</v>
      </c>
      <c r="AY181" s="3" t="n">
        <v>0</v>
      </c>
      <c r="AZ181" s="0" t="s">
        <v>58</v>
      </c>
      <c r="BA181" s="0" t="s">
        <v>59</v>
      </c>
      <c r="BB181" s="0" t="n">
        <v>1</v>
      </c>
      <c r="BC181" s="0" t="s">
        <v>80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7" t="s">
        <v>116</v>
      </c>
      <c r="G182" s="2" t="n">
        <v>87</v>
      </c>
      <c r="H182" s="2" t="n">
        <f aca="false">(67+70)/2</f>
        <v>68.5</v>
      </c>
      <c r="I182" s="2" t="n">
        <v>54</v>
      </c>
      <c r="J182" s="2" t="s">
        <v>124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106</v>
      </c>
      <c r="P182" s="0" t="s">
        <v>96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Q182" s="0" t="n">
        <v>0</v>
      </c>
      <c r="AR182" s="0" t="n">
        <v>0</v>
      </c>
      <c r="AS182" s="0" t="n">
        <v>0</v>
      </c>
      <c r="AT182" s="4" t="n">
        <f aca="false">60*U182-SUM(AU182:AY182)</f>
        <v>12.8104166666667</v>
      </c>
      <c r="AU182" s="3" t="n">
        <f aca="false">AVERAGE(AU174:AU181)</f>
        <v>36.7</v>
      </c>
      <c r="AV182" s="3" t="n">
        <f aca="false">AVERAGE(AV174:AV181)</f>
        <v>35.29375</v>
      </c>
      <c r="AW182" s="3" t="n">
        <f aca="false">AVERAGE(AW174:AW181)</f>
        <v>17.4895833333333</v>
      </c>
      <c r="AX182" s="3" t="n">
        <f aca="false">AVERAGE(AX174:AX181)</f>
        <v>3.20625</v>
      </c>
      <c r="AY182" s="3" t="n">
        <v>0</v>
      </c>
      <c r="AZ182" s="0" t="s">
        <v>58</v>
      </c>
      <c r="BA182" s="0" t="s">
        <v>59</v>
      </c>
      <c r="BB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70</v>
      </c>
      <c r="F183" s="0" t="s">
        <v>60</v>
      </c>
      <c r="G183" s="2" t="n">
        <v>91</v>
      </c>
      <c r="H183" s="2" t="n">
        <v>68</v>
      </c>
      <c r="I183" s="2" t="n">
        <v>41</v>
      </c>
      <c r="J183" s="2" t="s">
        <v>98</v>
      </c>
      <c r="K183" s="2" t="n">
        <v>15</v>
      </c>
      <c r="L183" s="2" t="n">
        <v>25</v>
      </c>
      <c r="M183" s="0" t="s">
        <v>88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7" t="s">
        <v>119</v>
      </c>
      <c r="G184" s="2" t="n">
        <v>87</v>
      </c>
      <c r="H184" s="2" t="n">
        <v>58</v>
      </c>
      <c r="I184" s="2" t="n">
        <v>37</v>
      </c>
      <c r="J184" s="2" t="s">
        <v>120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106</v>
      </c>
      <c r="P184" s="0" t="s">
        <v>96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Q184" s="0" t="n">
        <v>3</v>
      </c>
      <c r="AR184" s="0" t="n">
        <v>0</v>
      </c>
      <c r="AS184" s="0" t="n">
        <v>0</v>
      </c>
      <c r="AT184" s="4" t="n">
        <f aca="false">60*U184-SUM(AU184:AY184)</f>
        <v>17.1666666666667</v>
      </c>
      <c r="AU184" s="3" t="n">
        <f aca="false">70+35/60</f>
        <v>70.5833333333333</v>
      </c>
      <c r="AV184" s="3" t="n">
        <f aca="false">26+19/60</f>
        <v>26.3166666666667</v>
      </c>
      <c r="AW184" s="3" t="n">
        <f aca="false">12+7/60</f>
        <v>12.1166666666667</v>
      </c>
      <c r="AX184" s="3" t="n">
        <f aca="false">49/60</f>
        <v>0.816666666666667</v>
      </c>
      <c r="AY184" s="3" t="n">
        <v>0</v>
      </c>
      <c r="AZ184" s="0" t="s">
        <v>58</v>
      </c>
      <c r="BA184" s="0" t="s">
        <v>59</v>
      </c>
      <c r="BB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7" t="s">
        <v>121</v>
      </c>
      <c r="G185" s="2" t="n">
        <v>73</v>
      </c>
      <c r="H185" s="2" t="n">
        <v>54</v>
      </c>
      <c r="I185" s="2" t="n">
        <v>48</v>
      </c>
      <c r="J185" s="7" t="s">
        <v>125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106</v>
      </c>
      <c r="P185" s="0" t="s">
        <v>126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Q185" s="0" t="n">
        <v>0</v>
      </c>
      <c r="AR185" s="0" t="n">
        <v>0</v>
      </c>
      <c r="AS185" s="0" t="n">
        <v>0</v>
      </c>
      <c r="AT185" s="4" t="n">
        <v>0</v>
      </c>
      <c r="AU185" s="3" t="n">
        <f aca="false">4+54/60</f>
        <v>4.9</v>
      </c>
      <c r="AV185" s="3" t="n">
        <f aca="false">28+9/60</f>
        <v>28.15</v>
      </c>
      <c r="AW185" s="3" t="n">
        <f aca="false">5+51/60</f>
        <v>5.85</v>
      </c>
      <c r="AX185" s="3" t="n">
        <f aca="false">7+3/60</f>
        <v>7.05</v>
      </c>
      <c r="AY185" s="3" t="n">
        <f aca="false">19+18/60</f>
        <v>19.3</v>
      </c>
      <c r="AZ185" s="0" t="s">
        <v>58</v>
      </c>
      <c r="BA185" s="0" t="s">
        <v>59</v>
      </c>
      <c r="BB185" s="0" t="n">
        <v>1</v>
      </c>
      <c r="BC185" s="0" t="s">
        <v>80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7" t="s">
        <v>121</v>
      </c>
      <c r="G186" s="7" t="n">
        <v>93</v>
      </c>
      <c r="H186" s="2" t="n">
        <v>62</v>
      </c>
      <c r="I186" s="2" t="n">
        <v>37</v>
      </c>
      <c r="J186" s="2" t="s">
        <v>127</v>
      </c>
      <c r="K186" s="2" t="n">
        <v>3</v>
      </c>
      <c r="L186" s="2" t="n">
        <v>0</v>
      </c>
      <c r="M186" s="0" t="s">
        <v>88</v>
      </c>
      <c r="N186" s="0" t="n">
        <v>0</v>
      </c>
      <c r="O186" s="0" t="s">
        <v>106</v>
      </c>
      <c r="P186" s="0" t="s">
        <v>96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Q186" s="0" t="n">
        <v>3</v>
      </c>
      <c r="AR186" s="0" t="n">
        <v>1</v>
      </c>
      <c r="AS186" s="0" t="n">
        <v>0</v>
      </c>
      <c r="AT186" s="4" t="n">
        <v>0</v>
      </c>
      <c r="AU186" s="3" t="n">
        <f aca="false">20+59/60</f>
        <v>20.9833333333333</v>
      </c>
      <c r="AV186" s="3" t="n">
        <f aca="false">26+52/60</f>
        <v>26.8666666666667</v>
      </c>
      <c r="AW186" s="3" t="n">
        <f aca="false">20+52/60</f>
        <v>20.8666666666667</v>
      </c>
      <c r="AX186" s="3" t="n">
        <f aca="false">10+36/60</f>
        <v>10.6</v>
      </c>
      <c r="AY186" s="3" t="n">
        <v>0</v>
      </c>
      <c r="AZ186" s="0" t="s">
        <v>58</v>
      </c>
      <c r="BA186" s="0" t="s">
        <v>59</v>
      </c>
      <c r="BB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7" t="s">
        <v>119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128</v>
      </c>
      <c r="K187" s="2" t="n">
        <f aca="false">(7+12)/2</f>
        <v>9.5</v>
      </c>
      <c r="L187" s="2" t="n">
        <v>0</v>
      </c>
      <c r="M187" s="0" t="s">
        <v>88</v>
      </c>
      <c r="N187" s="0" t="n">
        <v>0</v>
      </c>
      <c r="O187" s="0" t="s">
        <v>106</v>
      </c>
      <c r="P187" s="0" t="s">
        <v>129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Q187" s="0" t="n">
        <v>1</v>
      </c>
      <c r="AR187" s="0" t="n">
        <v>1</v>
      </c>
      <c r="AS187" s="0" t="n">
        <v>0</v>
      </c>
      <c r="AT187" s="4" t="n">
        <v>0</v>
      </c>
      <c r="AU187" s="3" t="n">
        <v>0</v>
      </c>
      <c r="AV187" s="3" t="n">
        <f aca="false">6</f>
        <v>6</v>
      </c>
      <c r="AW187" s="3" t="n">
        <f aca="false">7+19/60</f>
        <v>7.31666666666667</v>
      </c>
      <c r="AX187" s="3" t="n">
        <f aca="false">21+30/60</f>
        <v>21.5</v>
      </c>
      <c r="AY187" s="3" t="n">
        <f aca="false">13+41/60</f>
        <v>13.6833333333333</v>
      </c>
      <c r="AZ187" s="0" t="s">
        <v>58</v>
      </c>
      <c r="BA187" s="0" t="s">
        <v>59</v>
      </c>
      <c r="BB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69</v>
      </c>
      <c r="F188" s="7" t="s">
        <v>121</v>
      </c>
      <c r="G188" s="2" t="n">
        <v>91</v>
      </c>
      <c r="H188" s="2" t="n">
        <v>63</v>
      </c>
      <c r="I188" s="2" t="n">
        <v>38</v>
      </c>
      <c r="J188" s="2" t="s">
        <v>101</v>
      </c>
      <c r="K188" s="2" t="n">
        <v>3</v>
      </c>
      <c r="L188" s="2" t="n">
        <v>0</v>
      </c>
      <c r="M188" s="0" t="s">
        <v>88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1" t="s">
        <v>70</v>
      </c>
      <c r="F189" s="7" t="s">
        <v>121</v>
      </c>
      <c r="G189" s="2" t="n">
        <v>94</v>
      </c>
      <c r="H189" s="2" t="n">
        <v>65</v>
      </c>
      <c r="I189" s="2" t="n">
        <v>38</v>
      </c>
      <c r="J189" s="2" t="s">
        <v>130</v>
      </c>
      <c r="K189" s="2" t="n">
        <v>9</v>
      </c>
      <c r="L189" s="2" t="n">
        <v>0</v>
      </c>
      <c r="M189" s="0" t="s">
        <v>88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7" t="s">
        <v>119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124</v>
      </c>
      <c r="K190" s="2" t="n">
        <v>0</v>
      </c>
      <c r="L190" s="2" t="n">
        <v>0</v>
      </c>
      <c r="M190" s="0" t="s">
        <v>88</v>
      </c>
      <c r="N190" s="0" t="n">
        <v>0</v>
      </c>
      <c r="O190" s="0" t="s">
        <v>106</v>
      </c>
      <c r="P190" s="0" t="s">
        <v>96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Q190" s="0" t="n">
        <v>1</v>
      </c>
      <c r="AR190" s="0" t="n">
        <v>1</v>
      </c>
      <c r="AS190" s="0" t="n">
        <v>0</v>
      </c>
      <c r="AT190" s="4" t="n">
        <f aca="false">60*U190-SUM(AU190:AY190)</f>
        <v>7.55</v>
      </c>
      <c r="AU190" s="3" t="n">
        <f aca="false">67+3/60</f>
        <v>67.05</v>
      </c>
      <c r="AV190" s="3" t="n">
        <f aca="false">44+55/60</f>
        <v>44.9166666666667</v>
      </c>
      <c r="AW190" s="3" t="n">
        <f aca="false">3+29/60</f>
        <v>3.48333333333333</v>
      </c>
      <c r="AX190" s="3" t="n">
        <v>0</v>
      </c>
      <c r="AY190" s="3" t="n">
        <v>0</v>
      </c>
      <c r="AZ190" s="0" t="s">
        <v>58</v>
      </c>
      <c r="BA190" s="0" t="s">
        <v>59</v>
      </c>
      <c r="BB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7" t="s">
        <v>116</v>
      </c>
      <c r="G191" s="2" t="n">
        <v>86</v>
      </c>
      <c r="H191" s="2" t="n">
        <v>86</v>
      </c>
      <c r="I191" s="2" t="n">
        <v>73</v>
      </c>
      <c r="J191" s="2" t="s">
        <v>127</v>
      </c>
      <c r="K191" s="2" t="n">
        <f aca="false">(5+8)/2</f>
        <v>6.5</v>
      </c>
      <c r="L191" s="2" t="n">
        <v>0</v>
      </c>
      <c r="M191" s="0" t="s">
        <v>88</v>
      </c>
      <c r="N191" s="0" t="n">
        <v>0</v>
      </c>
      <c r="O191" s="0" t="s">
        <v>106</v>
      </c>
      <c r="P191" s="0" t="s">
        <v>72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Q191" s="0" t="n">
        <v>3</v>
      </c>
      <c r="AR191" s="0" t="n">
        <v>0</v>
      </c>
      <c r="AS191" s="0" t="n">
        <v>0</v>
      </c>
      <c r="AT191" s="4" t="n">
        <f aca="false">60*U191-SUM(AU191:AY191)</f>
        <v>6.8</v>
      </c>
      <c r="AU191" s="3" t="n">
        <f aca="false">11/60</f>
        <v>0.183333333333333</v>
      </c>
      <c r="AV191" s="3" t="n">
        <f aca="false">17+29/60</f>
        <v>17.4833333333333</v>
      </c>
      <c r="AW191" s="3" t="n">
        <f aca="false">8+41/60</f>
        <v>8.68333333333333</v>
      </c>
      <c r="AX191" s="3" t="n">
        <f aca="false">5+27/60</f>
        <v>5.45</v>
      </c>
      <c r="AY191" s="3" t="n">
        <f aca="false">42+24/60</f>
        <v>42.4</v>
      </c>
      <c r="AZ191" s="0" t="s">
        <v>58</v>
      </c>
      <c r="BA191" s="0" t="s">
        <v>59</v>
      </c>
      <c r="BB191" s="0" t="n">
        <v>1</v>
      </c>
      <c r="BC191" s="0" t="s">
        <v>131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7" t="s">
        <v>119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98</v>
      </c>
      <c r="K192" s="2" t="n">
        <f aca="false">AVERAGE(6,3)</f>
        <v>4.5</v>
      </c>
      <c r="L192" s="2" t="n">
        <v>0</v>
      </c>
      <c r="M192" s="0" t="s">
        <v>88</v>
      </c>
      <c r="N192" s="0" t="n">
        <v>0</v>
      </c>
      <c r="O192" s="0" t="s">
        <v>106</v>
      </c>
      <c r="P192" s="0" t="s">
        <v>96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Q192" s="0" t="n">
        <v>0</v>
      </c>
      <c r="AR192" s="0" t="n">
        <v>0</v>
      </c>
      <c r="AS192" s="0" t="n">
        <v>0</v>
      </c>
      <c r="AT192" s="4" t="n">
        <f aca="false">38+58/60</f>
        <v>38.9666666666667</v>
      </c>
      <c r="AU192" s="3" t="n">
        <f aca="false">34+127/60</f>
        <v>36.1166666666667</v>
      </c>
      <c r="AV192" s="3" t="n">
        <f aca="false">1+51/60</f>
        <v>1.85</v>
      </c>
      <c r="AW192" s="3" t="n">
        <f aca="false">20/60</f>
        <v>0.333333333333333</v>
      </c>
      <c r="AX192" s="3" t="n">
        <v>0</v>
      </c>
      <c r="AY192" s="3" t="n">
        <v>0</v>
      </c>
      <c r="AZ192" s="0" t="s">
        <v>58</v>
      </c>
      <c r="BA192" s="0" t="s">
        <v>59</v>
      </c>
      <c r="BB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7" t="s">
        <v>121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99</v>
      </c>
      <c r="K193" s="2" t="n">
        <v>5</v>
      </c>
      <c r="L193" s="2" t="n">
        <v>0</v>
      </c>
      <c r="M193" s="0" t="s">
        <v>88</v>
      </c>
      <c r="N193" s="0" t="n">
        <v>0</v>
      </c>
      <c r="O193" s="0" t="s">
        <v>106</v>
      </c>
      <c r="P193" s="0" t="s">
        <v>57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Q193" s="0" t="n">
        <v>0</v>
      </c>
      <c r="AR193" s="0" t="n">
        <v>0</v>
      </c>
      <c r="AS193" s="0" t="n">
        <v>0</v>
      </c>
      <c r="AT193" s="4" t="n">
        <f aca="false">60*U193-SUM(AU193:AY193)</f>
        <v>29.4566666666667</v>
      </c>
      <c r="AU193" s="3" t="n">
        <f aca="false">38+51/60</f>
        <v>38.85</v>
      </c>
      <c r="AV193" s="3" t="n">
        <f aca="false">24+17/50</f>
        <v>24.34</v>
      </c>
      <c r="AW193" s="3" t="n">
        <f aca="false">1+51/50</f>
        <v>2.02</v>
      </c>
      <c r="AX193" s="3" t="n">
        <f aca="false">20/60</f>
        <v>0.333333333333333</v>
      </c>
      <c r="AY193" s="3" t="n">
        <v>0</v>
      </c>
      <c r="AZ193" s="0" t="s">
        <v>58</v>
      </c>
      <c r="BA193" s="0" t="s">
        <v>59</v>
      </c>
      <c r="BB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7" t="s">
        <v>121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7" t="s">
        <v>122</v>
      </c>
      <c r="K194" s="2" t="n">
        <f aca="false">(16+13)/2</f>
        <v>14.5</v>
      </c>
      <c r="L194" s="2" t="n">
        <v>0</v>
      </c>
      <c r="M194" s="0" t="s">
        <v>88</v>
      </c>
      <c r="N194" s="0" t="n">
        <v>0</v>
      </c>
      <c r="O194" s="0" t="s">
        <v>106</v>
      </c>
      <c r="P194" s="0" t="s">
        <v>96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Q194" s="0" t="n">
        <v>0</v>
      </c>
      <c r="AR194" s="0" t="n">
        <v>0</v>
      </c>
      <c r="AS194" s="0" t="n">
        <v>0</v>
      </c>
      <c r="AT194" s="4" t="n">
        <f aca="false">60*U194-SUM(AU194:AY194)</f>
        <v>35.4166666666667</v>
      </c>
      <c r="AU194" s="4" t="n">
        <f aca="false">26+33/60</f>
        <v>26.55</v>
      </c>
      <c r="AV194" s="3" t="n">
        <f aca="false">20+15/60</f>
        <v>20.25</v>
      </c>
      <c r="AW194" s="3" t="n">
        <f aca="false">2+47/60</f>
        <v>2.78333333333333</v>
      </c>
      <c r="AX194" s="3" t="n">
        <v>0</v>
      </c>
      <c r="AY194" s="3" t="n">
        <v>0</v>
      </c>
      <c r="AZ194" s="0" t="s">
        <v>58</v>
      </c>
      <c r="BA194" s="0" t="s">
        <v>59</v>
      </c>
      <c r="BB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7" t="s">
        <v>116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99</v>
      </c>
      <c r="K195" s="2" t="n">
        <f aca="false">(8+4)/2</f>
        <v>6</v>
      </c>
      <c r="L195" s="2" t="n">
        <v>0</v>
      </c>
      <c r="M195" s="0" t="s">
        <v>88</v>
      </c>
      <c r="N195" s="0" t="n">
        <v>0</v>
      </c>
      <c r="O195" s="0" t="s">
        <v>106</v>
      </c>
      <c r="P195" s="0" t="s">
        <v>64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Q195" s="0" t="n">
        <v>3</v>
      </c>
      <c r="AR195" s="0" t="n">
        <v>0</v>
      </c>
      <c r="AS195" s="0" t="n">
        <v>0</v>
      </c>
      <c r="AT195" s="4" t="n">
        <v>0</v>
      </c>
      <c r="AU195" s="3" t="n">
        <f aca="false">36/60</f>
        <v>0.6</v>
      </c>
      <c r="AV195" s="3" t="n">
        <f aca="false">15+21/60</f>
        <v>15.35</v>
      </c>
      <c r="AW195" s="3" t="n">
        <f aca="false">4+43/60</f>
        <v>4.71666666666667</v>
      </c>
      <c r="AX195" s="3" t="n">
        <f aca="false">7+54/60</f>
        <v>7.9</v>
      </c>
      <c r="AY195" s="3" t="n">
        <f aca="false">44+43/60</f>
        <v>44.7166666666667</v>
      </c>
      <c r="AZ195" s="0" t="s">
        <v>58</v>
      </c>
      <c r="BA195" s="0" t="s">
        <v>59</v>
      </c>
      <c r="BB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7" t="s">
        <v>116</v>
      </c>
      <c r="G196" s="2" t="n">
        <v>90</v>
      </c>
      <c r="H196" s="2" t="n">
        <v>77</v>
      </c>
      <c r="I196" s="2" t="n">
        <v>66</v>
      </c>
      <c r="J196" s="7" t="s">
        <v>122</v>
      </c>
      <c r="K196" s="2" t="n">
        <v>12</v>
      </c>
      <c r="L196" s="2" t="n">
        <v>0</v>
      </c>
      <c r="M196" s="0" t="s">
        <v>88</v>
      </c>
      <c r="N196" s="0" t="n">
        <v>0</v>
      </c>
      <c r="O196" s="0" t="s">
        <v>106</v>
      </c>
      <c r="P196" s="0" t="s">
        <v>81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Q196" s="0" t="n">
        <v>3</v>
      </c>
      <c r="AR196" s="0" t="n">
        <v>0</v>
      </c>
      <c r="AS196" s="0" t="n">
        <v>0</v>
      </c>
      <c r="AT196" s="4" t="n">
        <v>0</v>
      </c>
      <c r="AU196" s="3" t="n">
        <f aca="false">14/60</f>
        <v>0.233333333333333</v>
      </c>
      <c r="AV196" s="3" t="n">
        <f aca="false">22+10/60</f>
        <v>22.1666666666667</v>
      </c>
      <c r="AW196" s="3" t="n">
        <f aca="false">11+47/60</f>
        <v>11.7833333333333</v>
      </c>
      <c r="AX196" s="3" t="n">
        <f aca="false">6+56/60</f>
        <v>6.93333333333333</v>
      </c>
      <c r="AY196" s="3" t="n">
        <f aca="false">26+2/60</f>
        <v>26.0333333333333</v>
      </c>
      <c r="AZ196" s="0" t="s">
        <v>58</v>
      </c>
      <c r="BA196" s="0" t="s">
        <v>59</v>
      </c>
      <c r="BB196" s="0" t="n">
        <v>0</v>
      </c>
    </row>
    <row r="197" customFormat="false" ht="12.8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1" t="s">
        <v>70</v>
      </c>
      <c r="F197" s="7" t="s">
        <v>132</v>
      </c>
      <c r="G197" s="2" t="n">
        <v>78</v>
      </c>
      <c r="H197" s="2" t="n">
        <v>71</v>
      </c>
      <c r="I197" s="2" t="n">
        <v>81</v>
      </c>
      <c r="J197" s="2" t="s">
        <v>130</v>
      </c>
      <c r="K197" s="2" t="n">
        <v>24</v>
      </c>
      <c r="L197" s="2" t="n">
        <v>32</v>
      </c>
      <c r="M197" s="0" t="s">
        <v>88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7" t="s">
        <v>116</v>
      </c>
      <c r="G198" s="2" t="n">
        <v>77</v>
      </c>
      <c r="H198" s="2" t="n">
        <v>73</v>
      </c>
      <c r="I198" s="2" t="n">
        <v>84</v>
      </c>
      <c r="J198" s="7" t="s">
        <v>114</v>
      </c>
      <c r="K198" s="2" t="n">
        <v>14</v>
      </c>
      <c r="L198" s="2" t="n">
        <v>24</v>
      </c>
      <c r="M198" s="0" t="s">
        <v>89</v>
      </c>
      <c r="N198" s="0" t="n">
        <v>0</v>
      </c>
      <c r="O198" s="0" t="s">
        <v>106</v>
      </c>
      <c r="P198" s="0" t="s">
        <v>62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Q198" s="0" t="n">
        <v>1</v>
      </c>
      <c r="AR198" s="0" t="n">
        <v>0</v>
      </c>
      <c r="AS198" s="0" t="n">
        <v>0</v>
      </c>
      <c r="AT198" s="4" t="n">
        <f aca="false">60*U198-SUM(AU198:AY198)</f>
        <v>9.45000000000023</v>
      </c>
      <c r="AU198" s="3" t="n">
        <f aca="false">4+18/60</f>
        <v>4.3</v>
      </c>
      <c r="AV198" s="3" t="n">
        <f aca="false">18+29/60</f>
        <v>18.4833333333333</v>
      </c>
      <c r="AW198" s="3" t="n">
        <f aca="false">28+7/60</f>
        <v>28.1166666666667</v>
      </c>
      <c r="AX198" s="3" t="n">
        <f aca="false">21+41/60</f>
        <v>21.6833333333333</v>
      </c>
      <c r="AY198" s="3" t="n">
        <f aca="false">2+58/60</f>
        <v>2.96666666666667</v>
      </c>
      <c r="AZ198" s="0" t="s">
        <v>58</v>
      </c>
      <c r="BA198" s="0" t="s">
        <v>59</v>
      </c>
      <c r="BB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55</v>
      </c>
      <c r="G199" s="2" t="n">
        <v>77</v>
      </c>
      <c r="H199" s="2" t="n">
        <v>73</v>
      </c>
      <c r="I199" s="2" t="n">
        <f aca="false">(91+84)/2</f>
        <v>87.5</v>
      </c>
      <c r="J199" s="7" t="s">
        <v>112</v>
      </c>
      <c r="K199" s="2" t="n">
        <v>8</v>
      </c>
      <c r="L199" s="2" t="n">
        <v>0</v>
      </c>
      <c r="M199" s="0" t="s">
        <v>89</v>
      </c>
      <c r="N199" s="0" t="n">
        <v>0</v>
      </c>
      <c r="O199" s="0" t="s">
        <v>106</v>
      </c>
      <c r="P199" s="0" t="s">
        <v>61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Q199" s="0" t="n">
        <v>3</v>
      </c>
      <c r="AR199" s="0" t="n">
        <v>0</v>
      </c>
      <c r="AS199" s="0" t="n">
        <v>0</v>
      </c>
      <c r="AT199" s="4" t="n">
        <v>0</v>
      </c>
      <c r="AU199" s="3" t="n">
        <f aca="false">39+40/60</f>
        <v>39.6666666666667</v>
      </c>
      <c r="AV199" s="3" t="n">
        <f aca="false">55+10/60</f>
        <v>55.1666666666667</v>
      </c>
      <c r="AW199" s="3" t="n">
        <f aca="false">11+19/60</f>
        <v>11.3166666666667</v>
      </c>
      <c r="AX199" s="3" t="n">
        <f aca="false">7/60</f>
        <v>0.116666666666667</v>
      </c>
      <c r="AY199" s="3" t="n">
        <v>0</v>
      </c>
      <c r="AZ199" s="0" t="s">
        <v>58</v>
      </c>
      <c r="BA199" s="0" t="s">
        <v>59</v>
      </c>
      <c r="BB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7" t="s">
        <v>116</v>
      </c>
      <c r="G200" s="2" t="n">
        <v>83</v>
      </c>
      <c r="H200" s="2" t="n">
        <v>72</v>
      </c>
      <c r="I200" s="2" t="n">
        <f aca="false">(76+71)/2</f>
        <v>73.5</v>
      </c>
      <c r="J200" s="7" t="s">
        <v>133</v>
      </c>
      <c r="K200" s="2" t="n">
        <v>5</v>
      </c>
      <c r="L200" s="2" t="n">
        <v>0</v>
      </c>
      <c r="M200" s="0" t="s">
        <v>88</v>
      </c>
      <c r="N200" s="0" t="n">
        <v>0</v>
      </c>
      <c r="O200" s="0" t="s">
        <v>106</v>
      </c>
      <c r="P200" s="13" t="s">
        <v>92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Q200" s="0" t="n">
        <v>3</v>
      </c>
      <c r="AR200" s="0" t="n">
        <v>1</v>
      </c>
      <c r="AS200" s="0" t="n">
        <v>0</v>
      </c>
      <c r="AT200" s="4" t="n">
        <f aca="false">60*U200-SUM(AU200:AY200)</f>
        <v>8.38333333333313</v>
      </c>
      <c r="AU200" s="3" t="n">
        <f aca="false">0</f>
        <v>0</v>
      </c>
      <c r="AV200" s="3" t="n">
        <f aca="false">6+37/60</f>
        <v>6.61666666666667</v>
      </c>
      <c r="AW200" s="3" t="n">
        <f aca="false">9+3/60</f>
        <v>9.05</v>
      </c>
      <c r="AX200" s="3" t="n">
        <f aca="false">41/60+41</f>
        <v>41.6833333333333</v>
      </c>
      <c r="AY200" s="3" t="n">
        <f aca="false">23+16/60</f>
        <v>23.2666666666667</v>
      </c>
      <c r="AZ200" s="0" t="s">
        <v>58</v>
      </c>
      <c r="BA200" s="0" t="s">
        <v>59</v>
      </c>
      <c r="BB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7" t="s">
        <v>116</v>
      </c>
      <c r="G201" s="7" t="n">
        <v>89</v>
      </c>
      <c r="H201" s="0" t="n">
        <v>70</v>
      </c>
      <c r="I201" s="0" t="n">
        <v>53</v>
      </c>
      <c r="J201" s="0" t="s">
        <v>105</v>
      </c>
      <c r="K201" s="0" t="n">
        <v>7</v>
      </c>
      <c r="L201" s="0" t="n">
        <v>0</v>
      </c>
      <c r="M201" s="0" t="s">
        <v>89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14"/>
      <c r="AT201" s="0"/>
      <c r="AU201" s="0"/>
      <c r="AV201" s="0"/>
      <c r="AW201" s="0"/>
      <c r="AX201" s="0"/>
      <c r="AY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94</v>
      </c>
      <c r="F202" s="7" t="s">
        <v>121</v>
      </c>
      <c r="G202" s="2" t="n">
        <v>83</v>
      </c>
      <c r="H202" s="2" t="n">
        <v>75</v>
      </c>
      <c r="I202" s="2" t="n">
        <v>77</v>
      </c>
      <c r="J202" s="2" t="s">
        <v>109</v>
      </c>
      <c r="K202" s="2" t="n">
        <v>8</v>
      </c>
      <c r="L202" s="2" t="n">
        <v>0</v>
      </c>
      <c r="M202" s="0" t="s">
        <v>88</v>
      </c>
      <c r="N202" s="0" t="n">
        <v>0</v>
      </c>
      <c r="O202" s="0" t="s">
        <v>106</v>
      </c>
      <c r="P202" s="0" t="s">
        <v>77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Q202" s="0" t="n">
        <v>0</v>
      </c>
      <c r="AR202" s="0" t="n">
        <v>0</v>
      </c>
      <c r="AS202" s="0" t="n">
        <v>0</v>
      </c>
      <c r="AT202" s="4" t="n">
        <f aca="false">60*U202-SUM(AU202:AY202)</f>
        <v>0.150000000000006</v>
      </c>
      <c r="AU202" s="3" t="n">
        <f aca="false">2+2/60</f>
        <v>2.03333333333333</v>
      </c>
      <c r="AV202" s="3" t="n">
        <f aca="false">26+4/60</f>
        <v>26.0666666666667</v>
      </c>
      <c r="AW202" s="3" t="n">
        <f aca="false">6+57/60</f>
        <v>6.95</v>
      </c>
      <c r="AX202" s="3" t="n">
        <f aca="false">48/60</f>
        <v>0.8</v>
      </c>
      <c r="AY202" s="3" t="n">
        <v>0</v>
      </c>
      <c r="AZ202" s="0" t="s">
        <v>58</v>
      </c>
      <c r="BA202" s="0" t="s">
        <v>59</v>
      </c>
      <c r="BB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7" t="s">
        <v>119</v>
      </c>
      <c r="G203" s="2" t="n">
        <v>92</v>
      </c>
      <c r="H203" s="2" t="n">
        <v>70</v>
      </c>
      <c r="I203" s="7" t="n">
        <v>52</v>
      </c>
      <c r="J203" s="7" t="s">
        <v>122</v>
      </c>
      <c r="K203" s="2" t="n">
        <v>12</v>
      </c>
      <c r="L203" s="2" t="n">
        <v>0</v>
      </c>
      <c r="M203" s="0" t="s">
        <v>88</v>
      </c>
      <c r="N203" s="0" t="n">
        <v>0</v>
      </c>
      <c r="O203" s="0" t="s">
        <v>106</v>
      </c>
      <c r="P203" s="0" t="s">
        <v>90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Q203" s="0" t="n">
        <v>4</v>
      </c>
      <c r="AR203" s="0" t="n">
        <v>1</v>
      </c>
      <c r="AS203" s="0" t="n">
        <v>0</v>
      </c>
      <c r="AT203" s="4" t="n">
        <v>0</v>
      </c>
      <c r="AU203" s="3" t="n">
        <f aca="false">14/60</f>
        <v>0.233333333333333</v>
      </c>
      <c r="AV203" s="3" t="n">
        <f aca="false">26+56/60</f>
        <v>26.9333333333333</v>
      </c>
      <c r="AW203" s="3" t="n">
        <f aca="false">9+20/60</f>
        <v>9.33333333333333</v>
      </c>
      <c r="AX203" s="3" t="n">
        <f aca="false">42+27/60</f>
        <v>42.45</v>
      </c>
      <c r="AY203" s="3" t="n">
        <f aca="false">28+17/60</f>
        <v>28.2833333333333</v>
      </c>
      <c r="AZ203" s="0" t="s">
        <v>58</v>
      </c>
      <c r="BA203" s="0" t="s">
        <v>59</v>
      </c>
      <c r="BB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7" t="s">
        <v>116</v>
      </c>
      <c r="G204" s="2" t="n">
        <v>87</v>
      </c>
      <c r="H204" s="2" t="n">
        <v>73</v>
      </c>
      <c r="I204" s="2" t="n">
        <f aca="false">(67+61)/2</f>
        <v>64</v>
      </c>
      <c r="J204" s="2" t="s">
        <v>99</v>
      </c>
      <c r="K204" s="2" t="n">
        <v>16</v>
      </c>
      <c r="L204" s="2" t="n">
        <v>28</v>
      </c>
      <c r="M204" s="0" t="s">
        <v>89</v>
      </c>
      <c r="N204" s="0" t="n">
        <v>0</v>
      </c>
      <c r="O204" s="0" t="s">
        <v>106</v>
      </c>
      <c r="P204" s="0" t="s">
        <v>76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Q204" s="0" t="n">
        <v>4</v>
      </c>
      <c r="AR204" s="0" t="n">
        <v>0</v>
      </c>
      <c r="AS204" s="0" t="n">
        <v>0</v>
      </c>
      <c r="AT204" s="4" t="n">
        <f aca="false">60*U204-SUM(AU204:AY204)</f>
        <v>13.6</v>
      </c>
      <c r="AU204" s="3" t="n">
        <f aca="false">18+29/60</f>
        <v>18.4833333333333</v>
      </c>
      <c r="AV204" s="3" t="n">
        <f aca="false">3+23/60</f>
        <v>3.38333333333333</v>
      </c>
      <c r="AW204" s="3" t="n">
        <f aca="false">3+4/60</f>
        <v>3.06666666666667</v>
      </c>
      <c r="AX204" s="3" t="n">
        <f aca="false">8+27/60</f>
        <v>8.45</v>
      </c>
      <c r="AY204" s="3" t="n">
        <f aca="false">39+1/60</f>
        <v>39.0166666666667</v>
      </c>
      <c r="AZ204" s="0" t="s">
        <v>58</v>
      </c>
      <c r="BA204" s="0" t="s">
        <v>59</v>
      </c>
      <c r="BB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80</v>
      </c>
      <c r="F205" s="7" t="s">
        <v>134</v>
      </c>
      <c r="G205" s="2" t="n">
        <v>81</v>
      </c>
      <c r="H205" s="2" t="n">
        <v>74</v>
      </c>
      <c r="I205" s="2" t="n">
        <v>76</v>
      </c>
      <c r="J205" s="7" t="s">
        <v>114</v>
      </c>
      <c r="K205" s="2" t="n">
        <v>10</v>
      </c>
      <c r="L205" s="2" t="n">
        <v>0</v>
      </c>
      <c r="M205" s="0" t="s">
        <v>89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7" t="s">
        <v>116</v>
      </c>
      <c r="G206" s="2" t="n">
        <v>74</v>
      </c>
      <c r="H206" s="2" t="n">
        <v>63</v>
      </c>
      <c r="I206" s="2" t="n">
        <v>68</v>
      </c>
      <c r="J206" s="7" t="s">
        <v>135</v>
      </c>
      <c r="K206" s="2" t="n">
        <v>9</v>
      </c>
      <c r="L206" s="2" t="n">
        <v>0</v>
      </c>
      <c r="M206" s="7" t="s">
        <v>89</v>
      </c>
      <c r="N206" s="0" t="n">
        <v>0</v>
      </c>
      <c r="O206" s="0" t="s">
        <v>106</v>
      </c>
      <c r="P206" s="0" t="s">
        <v>81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Q206" s="0" t="n">
        <v>2</v>
      </c>
      <c r="AR206" s="0" t="n">
        <v>0</v>
      </c>
      <c r="AS206" s="0" t="n">
        <v>0</v>
      </c>
      <c r="AT206" s="4" t="n">
        <f aca="false">60*U206-SUM(AU206:AY206)</f>
        <v>13.1166666666667</v>
      </c>
      <c r="AU206" s="3" t="n">
        <f aca="false">21+33/60</f>
        <v>21.55</v>
      </c>
      <c r="AV206" s="3" t="n">
        <f aca="false">55+36/60</f>
        <v>55.6</v>
      </c>
      <c r="AW206" s="3" t="n">
        <f aca="false">3+44/60</f>
        <v>3.73333333333333</v>
      </c>
      <c r="AX206" s="3" t="n">
        <v>0</v>
      </c>
      <c r="AY206" s="3" t="n">
        <v>0</v>
      </c>
      <c r="AZ206" s="0" t="s">
        <v>58</v>
      </c>
      <c r="BA206" s="0" t="s">
        <v>59</v>
      </c>
      <c r="BB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7" t="s">
        <v>116</v>
      </c>
      <c r="G207" s="2" t="n">
        <v>71</v>
      </c>
      <c r="H207" s="2" t="n">
        <v>63</v>
      </c>
      <c r="I207" s="2" t="n">
        <v>68</v>
      </c>
      <c r="J207" s="7" t="s">
        <v>120</v>
      </c>
      <c r="K207" s="2" t="n">
        <v>3</v>
      </c>
      <c r="L207" s="2" t="n">
        <v>0</v>
      </c>
      <c r="M207" s="7" t="s">
        <v>89</v>
      </c>
      <c r="N207" s="0" t="n">
        <v>0</v>
      </c>
      <c r="O207" s="0" t="s">
        <v>136</v>
      </c>
      <c r="P207" s="0" t="s">
        <v>64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Q207" s="0" t="n">
        <v>2</v>
      </c>
      <c r="AR207" s="0" t="n">
        <v>0</v>
      </c>
      <c r="AS207" s="0" t="n">
        <v>0</v>
      </c>
      <c r="AT207" s="4" t="n">
        <f aca="false">60*U207-SUM(AU207:AY207)</f>
        <v>15.0833333333333</v>
      </c>
      <c r="AU207" s="3" t="n">
        <f aca="false">37+28/60</f>
        <v>37.4666666666667</v>
      </c>
      <c r="AV207" s="3" t="n">
        <f aca="false">35+56/60</f>
        <v>35.9333333333333</v>
      </c>
      <c r="AW207" s="3" t="n">
        <f aca="false">7+14/60</f>
        <v>7.23333333333333</v>
      </c>
      <c r="AX207" s="3" t="n">
        <f aca="false">3+17/60</f>
        <v>3.28333333333333</v>
      </c>
      <c r="AY207" s="3" t="n">
        <v>0</v>
      </c>
      <c r="AZ207" s="0" t="s">
        <v>58</v>
      </c>
      <c r="BA207" s="0" t="s">
        <v>59</v>
      </c>
      <c r="BB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7" t="s">
        <v>116</v>
      </c>
      <c r="G208" s="2" t="n">
        <f aca="false">79+35/60*(81-79)</f>
        <v>80.1666666666667</v>
      </c>
      <c r="H208" s="2" t="n">
        <v>68</v>
      </c>
      <c r="I208" s="2" t="n">
        <v>69</v>
      </c>
      <c r="J208" s="7" t="s">
        <v>120</v>
      </c>
      <c r="K208" s="2" t="n">
        <v>3</v>
      </c>
      <c r="L208" s="2" t="n">
        <v>0</v>
      </c>
      <c r="M208" s="7" t="s">
        <v>89</v>
      </c>
      <c r="N208" s="0" t="n">
        <v>0</v>
      </c>
      <c r="O208" s="0" t="s">
        <v>136</v>
      </c>
      <c r="P208" s="0" t="s">
        <v>129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Q208" s="0" t="n">
        <v>1</v>
      </c>
      <c r="AR208" s="0" t="n">
        <v>0</v>
      </c>
      <c r="AS208" s="0" t="n">
        <v>0</v>
      </c>
      <c r="AT208" s="4" t="n">
        <f aca="false">60*U208-SUM(AU208:AY208)</f>
        <v>1.46666666666667</v>
      </c>
      <c r="AU208" s="3" t="n">
        <f aca="false">28+36/60</f>
        <v>28.6</v>
      </c>
      <c r="AV208" s="3" t="n">
        <f aca="false">54+7/60</f>
        <v>54.1166666666667</v>
      </c>
      <c r="AW208" s="3" t="n">
        <f aca="false">10+49/60</f>
        <v>10.8166666666667</v>
      </c>
      <c r="AX208" s="3" t="n">
        <v>0</v>
      </c>
      <c r="AY208" s="3" t="n">
        <v>0</v>
      </c>
      <c r="AZ208" s="0" t="s">
        <v>58</v>
      </c>
      <c r="BA208" s="0" t="s">
        <v>59</v>
      </c>
      <c r="BB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7" t="s">
        <v>119</v>
      </c>
      <c r="G209" s="2" t="n">
        <v>69</v>
      </c>
      <c r="H209" s="2" t="n">
        <v>69</v>
      </c>
      <c r="I209" s="2" t="n">
        <f aca="false">(57+51)/2</f>
        <v>54</v>
      </c>
      <c r="J209" s="7" t="s">
        <v>120</v>
      </c>
      <c r="K209" s="2" t="n">
        <f aca="false">(14+10)/2</f>
        <v>12</v>
      </c>
      <c r="L209" s="2" t="n">
        <v>21</v>
      </c>
      <c r="M209" s="7" t="s">
        <v>89</v>
      </c>
      <c r="N209" s="0" t="n">
        <v>0</v>
      </c>
      <c r="O209" s="0" t="s">
        <v>136</v>
      </c>
      <c r="P209" s="0" t="s">
        <v>72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Q209" s="0" t="n">
        <v>1</v>
      </c>
      <c r="AR209" s="0" t="n">
        <v>1</v>
      </c>
      <c r="AS209" s="0" t="n">
        <v>0</v>
      </c>
      <c r="AT209" s="4" t="n">
        <v>0</v>
      </c>
      <c r="AU209" s="3" t="n">
        <f aca="false">1+38/60</f>
        <v>1.63333333333333</v>
      </c>
      <c r="AV209" s="3" t="n">
        <f aca="false">15+26/60</f>
        <v>15.4333333333333</v>
      </c>
      <c r="AW209" s="3" t="n">
        <f aca="false">79+58/60</f>
        <v>79.9666666666667</v>
      </c>
      <c r="AX209" s="3" t="n">
        <v>0</v>
      </c>
      <c r="AY209" s="3" t="n">
        <v>0</v>
      </c>
      <c r="AZ209" s="0" t="s">
        <v>58</v>
      </c>
      <c r="BA209" s="0" t="s">
        <v>59</v>
      </c>
      <c r="BB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7" t="s">
        <v>121</v>
      </c>
      <c r="G210" s="2" t="n">
        <v>88</v>
      </c>
      <c r="H210" s="2" t="n">
        <v>66</v>
      </c>
      <c r="I210" s="2" t="n">
        <v>52</v>
      </c>
      <c r="J210" s="2" t="s">
        <v>98</v>
      </c>
      <c r="K210" s="2" t="n">
        <v>7</v>
      </c>
      <c r="L210" s="2" t="n">
        <v>0</v>
      </c>
      <c r="M210" s="0" t="s">
        <v>89</v>
      </c>
      <c r="N210" s="0" t="n">
        <v>0</v>
      </c>
      <c r="O210" s="0" t="s">
        <v>136</v>
      </c>
      <c r="P210" s="13" t="s">
        <v>92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Q210" s="0" t="n">
        <v>4</v>
      </c>
      <c r="AR210" s="0" t="n">
        <v>0</v>
      </c>
      <c r="AS210" s="0" t="n">
        <v>0</v>
      </c>
      <c r="AT210" s="4" t="n">
        <f aca="false">60*U210-SUM(AU210:AY210)</f>
        <v>4.96666666666667</v>
      </c>
      <c r="AU210" s="3" t="n">
        <f aca="false">27+23/60</f>
        <v>27.3833333333333</v>
      </c>
      <c r="AV210" s="3" t="n">
        <f aca="false">49+26/60</f>
        <v>49.4333333333333</v>
      </c>
      <c r="AW210" s="3" t="n">
        <f aca="false">30+13/60</f>
        <v>30.2166666666667</v>
      </c>
      <c r="AX210" s="3" t="n">
        <v>0</v>
      </c>
      <c r="AY210" s="3" t="n">
        <v>0</v>
      </c>
      <c r="AZ210" s="0" t="s">
        <v>58</v>
      </c>
      <c r="BA210" s="0" t="s">
        <v>59</v>
      </c>
      <c r="BB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7" t="s">
        <v>119</v>
      </c>
      <c r="G211" s="2" t="n">
        <v>85</v>
      </c>
      <c r="H211" s="2" t="n">
        <v>70</v>
      </c>
      <c r="I211" s="2" t="n">
        <f aca="false">(63+59)/2</f>
        <v>61</v>
      </c>
      <c r="J211" s="2" t="s">
        <v>98</v>
      </c>
      <c r="K211" s="2" t="n">
        <f aca="false">(3+7)/2</f>
        <v>5</v>
      </c>
      <c r="L211" s="2" t="n">
        <v>0</v>
      </c>
      <c r="M211" s="0" t="s">
        <v>88</v>
      </c>
      <c r="N211" s="0" t="n">
        <v>0</v>
      </c>
      <c r="O211" s="0" t="s">
        <v>136</v>
      </c>
      <c r="P211" s="0" t="s">
        <v>62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Q211" s="0" t="n">
        <v>4</v>
      </c>
      <c r="AR211" s="0" t="n">
        <v>0</v>
      </c>
      <c r="AS211" s="0" t="n">
        <v>0</v>
      </c>
      <c r="AT211" s="4" t="n">
        <f aca="false">60*U211-SUM(AU211:AY211)</f>
        <v>0.36666666666666</v>
      </c>
      <c r="AU211" s="4" t="n">
        <f aca="false">32+59/60</f>
        <v>32.9833333333333</v>
      </c>
      <c r="AV211" s="3" t="n">
        <f aca="false">31+4/60</f>
        <v>31.0666666666667</v>
      </c>
      <c r="AW211" s="3" t="n">
        <f aca="false">34+11/60</f>
        <v>34.1833333333333</v>
      </c>
      <c r="AX211" s="3" t="n">
        <f aca="false">2+24/60</f>
        <v>2.4</v>
      </c>
      <c r="AY211" s="3" t="n">
        <v>0</v>
      </c>
      <c r="AZ211" s="0" t="s">
        <v>58</v>
      </c>
      <c r="BA211" s="0" t="s">
        <v>59</v>
      </c>
      <c r="BB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69</v>
      </c>
      <c r="F212" s="7" t="s">
        <v>121</v>
      </c>
      <c r="G212" s="2" t="n">
        <v>89</v>
      </c>
      <c r="H212" s="2" t="n">
        <v>70</v>
      </c>
      <c r="I212" s="2" t="n">
        <f aca="false">(57+51)/2</f>
        <v>54</v>
      </c>
      <c r="J212" s="2" t="s">
        <v>98</v>
      </c>
      <c r="K212" s="2" t="n">
        <v>9</v>
      </c>
      <c r="L212" s="2" t="n">
        <v>0</v>
      </c>
      <c r="M212" s="0" t="s">
        <v>88</v>
      </c>
      <c r="N212" s="0" t="n">
        <v>0</v>
      </c>
      <c r="O212" s="0" t="s">
        <v>136</v>
      </c>
      <c r="P212" s="0" t="s">
        <v>90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Q212" s="0" t="n">
        <v>3</v>
      </c>
      <c r="AR212" s="0" t="n">
        <v>0</v>
      </c>
      <c r="AS212" s="0" t="n">
        <v>0</v>
      </c>
      <c r="AT212" s="4" t="n">
        <f aca="false">60*U212-SUM(AU212:AY212)</f>
        <v>0.0499999999999972</v>
      </c>
      <c r="AU212" s="3" t="n">
        <f aca="false">5+10/60</f>
        <v>5.16666666666667</v>
      </c>
      <c r="AV212" s="0" t="n">
        <f aca="false">35+15/60</f>
        <v>35.25</v>
      </c>
      <c r="AW212" s="3" t="n">
        <f aca="false">52+32/60</f>
        <v>52.5333333333333</v>
      </c>
      <c r="AX212" s="3" t="n">
        <v>0</v>
      </c>
      <c r="AY212" s="3" t="n">
        <v>0</v>
      </c>
      <c r="AZ212" s="0" t="s">
        <v>58</v>
      </c>
      <c r="BA212" s="0" t="s">
        <v>59</v>
      </c>
      <c r="BB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7" t="s">
        <v>119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7" t="s">
        <v>120</v>
      </c>
      <c r="K213" s="2" t="n">
        <v>8</v>
      </c>
      <c r="L213" s="2" t="n">
        <v>0</v>
      </c>
      <c r="M213" s="0" t="s">
        <v>89</v>
      </c>
      <c r="N213" s="0" t="n">
        <v>0</v>
      </c>
      <c r="O213" s="0" t="s">
        <v>136</v>
      </c>
      <c r="P213" s="0" t="s">
        <v>76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Q213" s="0" t="n">
        <v>2</v>
      </c>
      <c r="AR213" s="0" t="n">
        <v>0</v>
      </c>
      <c r="AS213" s="0" t="n">
        <v>0</v>
      </c>
      <c r="AT213" s="4" t="n">
        <f aca="false">60*U213-SUM(AU213:AY213)</f>
        <v>24.0166666666667</v>
      </c>
      <c r="AU213" s="3" t="n">
        <f aca="false">68+32/60</f>
        <v>68.5333333333333</v>
      </c>
      <c r="AV213" s="3" t="n">
        <f aca="false">13+27/60</f>
        <v>13.45</v>
      </c>
      <c r="AW213" s="3" t="n">
        <v>0</v>
      </c>
      <c r="AX213" s="3" t="n">
        <v>0</v>
      </c>
      <c r="AY213" s="3" t="n">
        <v>0</v>
      </c>
      <c r="AZ213" s="0" t="s">
        <v>58</v>
      </c>
      <c r="BA213" s="0" t="s">
        <v>59</v>
      </c>
      <c r="BB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7" t="s">
        <v>119</v>
      </c>
      <c r="G214" s="2" t="n">
        <v>86</v>
      </c>
      <c r="H214" s="2" t="n">
        <v>64</v>
      </c>
      <c r="I214" s="2" t="n">
        <v>49</v>
      </c>
      <c r="J214" s="2" t="s">
        <v>104</v>
      </c>
      <c r="K214" s="2" t="n">
        <v>7</v>
      </c>
      <c r="L214" s="2" t="n">
        <v>0</v>
      </c>
      <c r="M214" s="0" t="s">
        <v>89</v>
      </c>
      <c r="N214" s="0" t="n">
        <v>0</v>
      </c>
      <c r="O214" s="0" t="s">
        <v>136</v>
      </c>
      <c r="P214" s="0" t="s">
        <v>81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Q214" s="0" t="n">
        <v>2</v>
      </c>
      <c r="AR214" s="0" t="n">
        <v>0</v>
      </c>
      <c r="AS214" s="0" t="n">
        <v>0</v>
      </c>
      <c r="AT214" s="4" t="n">
        <f aca="false">60*U214-SUM(AU214:AY214)</f>
        <v>25.5666666666667</v>
      </c>
      <c r="AU214" s="3" t="n">
        <f aca="false">32+29/60</f>
        <v>32.4833333333333</v>
      </c>
      <c r="AV214" s="3" t="n">
        <f aca="false">16+6/60</f>
        <v>16.1</v>
      </c>
      <c r="AW214" s="3" t="n">
        <f aca="false">26+51/60</f>
        <v>26.85</v>
      </c>
      <c r="AX214" s="3" t="n">
        <v>0</v>
      </c>
      <c r="AY214" s="3" t="n">
        <v>0</v>
      </c>
      <c r="AZ214" s="0" t="s">
        <v>58</v>
      </c>
      <c r="BA214" s="0" t="s">
        <v>59</v>
      </c>
      <c r="BB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7" t="s">
        <v>121</v>
      </c>
      <c r="G215" s="2" t="n">
        <v>75</v>
      </c>
      <c r="H215" s="2" t="n">
        <v>59</v>
      </c>
      <c r="I215" s="2" t="n">
        <v>57</v>
      </c>
      <c r="J215" s="7" t="s">
        <v>137</v>
      </c>
      <c r="K215" s="2" t="n">
        <v>10</v>
      </c>
      <c r="L215" s="2" t="n">
        <v>0</v>
      </c>
      <c r="M215" s="0" t="s">
        <v>89</v>
      </c>
      <c r="N215" s="0" t="n">
        <v>0</v>
      </c>
      <c r="O215" s="0" t="s">
        <v>136</v>
      </c>
      <c r="P215" s="0" t="s">
        <v>90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Q215" s="0" t="n">
        <v>1</v>
      </c>
      <c r="AR215" s="0" t="n">
        <v>1</v>
      </c>
      <c r="AS215" s="0" t="n">
        <v>0</v>
      </c>
      <c r="AT215" s="4" t="n">
        <f aca="false">60*U215-SUM(AU215:AY215)</f>
        <v>79.65</v>
      </c>
      <c r="AU215" s="3" t="n">
        <f aca="false">40+46/60</f>
        <v>40.7666666666667</v>
      </c>
      <c r="AV215" s="3" t="n">
        <f aca="false">35/60</f>
        <v>0.583333333333333</v>
      </c>
      <c r="AW215" s="3" t="n">
        <v>0</v>
      </c>
      <c r="AX215" s="3" t="n">
        <v>0</v>
      </c>
      <c r="AY215" s="3" t="n">
        <v>0</v>
      </c>
      <c r="AZ215" s="0" t="s">
        <v>58</v>
      </c>
      <c r="BA215" s="0" t="s">
        <v>59</v>
      </c>
      <c r="BB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60</v>
      </c>
      <c r="G216" s="2" t="n">
        <v>80</v>
      </c>
      <c r="H216" s="2" t="n">
        <v>56</v>
      </c>
      <c r="I216" s="2" t="n">
        <v>80</v>
      </c>
      <c r="J216" s="2" t="s">
        <v>130</v>
      </c>
      <c r="K216" s="2" t="n">
        <v>12</v>
      </c>
      <c r="L216" s="2" t="n">
        <v>20</v>
      </c>
      <c r="M216" s="0" t="s">
        <v>89</v>
      </c>
      <c r="N216" s="0" t="n">
        <v>0</v>
      </c>
      <c r="O216" s="0" t="s">
        <v>136</v>
      </c>
      <c r="P216" s="0" t="s">
        <v>138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Q216" s="0" t="n">
        <v>2</v>
      </c>
      <c r="AR216" s="0" t="n">
        <v>0</v>
      </c>
      <c r="AS216" s="0" t="n">
        <v>0</v>
      </c>
      <c r="AT216" s="4" t="n">
        <f aca="false">60*U216-SUM(AU216:AY216)</f>
        <v>0.556666666666672</v>
      </c>
      <c r="AU216" s="3" t="n">
        <v>76.41</v>
      </c>
      <c r="AV216" s="3" t="n">
        <f aca="false">26+36/60</f>
        <v>26.6</v>
      </c>
      <c r="AW216" s="3" t="n">
        <f aca="false">2+26/60</f>
        <v>2.43333333333333</v>
      </c>
      <c r="AX216" s="3" t="n">
        <v>0</v>
      </c>
      <c r="AY216" s="3" t="n">
        <v>0</v>
      </c>
      <c r="AZ216" s="0" t="s">
        <v>58</v>
      </c>
      <c r="BA216" s="0" t="s">
        <v>59</v>
      </c>
      <c r="BB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55</v>
      </c>
      <c r="G217" s="2" t="n">
        <v>76</v>
      </c>
      <c r="H217" s="2" t="n">
        <v>65</v>
      </c>
      <c r="I217" s="2" t="n">
        <v>71</v>
      </c>
      <c r="J217" s="2" t="s">
        <v>105</v>
      </c>
      <c r="K217" s="2" t="n">
        <v>9</v>
      </c>
      <c r="L217" s="2" t="n">
        <v>0</v>
      </c>
      <c r="M217" s="0" t="s">
        <v>89</v>
      </c>
      <c r="N217" s="0" t="n">
        <v>0</v>
      </c>
      <c r="O217" s="0" t="s">
        <v>136</v>
      </c>
      <c r="P217" s="0" t="s">
        <v>129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Q217" s="0" t="n">
        <v>1</v>
      </c>
      <c r="AR217" s="0" t="n">
        <v>0</v>
      </c>
      <c r="AS217" s="0" t="n">
        <v>0</v>
      </c>
      <c r="AT217" s="4" t="n">
        <v>0</v>
      </c>
      <c r="AU217" s="3" t="n">
        <f aca="false">11+4/60</f>
        <v>11.0666666666667</v>
      </c>
      <c r="AV217" s="3" t="n">
        <f aca="false">74+36/60</f>
        <v>74.6</v>
      </c>
      <c r="AW217" s="3" t="n">
        <f aca="false">25+34/60/60</f>
        <v>25.0094444444444</v>
      </c>
      <c r="AX217" s="3" t="n">
        <v>0</v>
      </c>
      <c r="AY217" s="3" t="n">
        <v>0</v>
      </c>
      <c r="AZ217" s="0" t="s">
        <v>58</v>
      </c>
      <c r="BA217" s="0" t="s">
        <v>59</v>
      </c>
      <c r="BB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82</v>
      </c>
      <c r="F218" s="0" t="s">
        <v>55</v>
      </c>
      <c r="G218" s="2" t="n">
        <v>69</v>
      </c>
      <c r="H218" s="2" t="n">
        <v>67</v>
      </c>
      <c r="I218" s="2" t="n">
        <v>96</v>
      </c>
      <c r="J218" s="2" t="s">
        <v>105</v>
      </c>
      <c r="K218" s="2" t="n">
        <v>8</v>
      </c>
      <c r="L218" s="2" t="n">
        <v>0</v>
      </c>
      <c r="M218" s="0" t="s">
        <v>88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7" t="s">
        <v>134</v>
      </c>
      <c r="G219" s="2" t="n">
        <v>71</v>
      </c>
      <c r="H219" s="2" t="n">
        <v>63</v>
      </c>
      <c r="I219" s="2" t="n">
        <v>75</v>
      </c>
      <c r="J219" s="2" t="s">
        <v>98</v>
      </c>
      <c r="K219" s="2" t="n">
        <v>13</v>
      </c>
      <c r="L219" s="2" t="n">
        <v>0</v>
      </c>
      <c r="M219" s="0" t="s">
        <v>89</v>
      </c>
      <c r="N219" s="0" t="n">
        <v>0</v>
      </c>
      <c r="O219" s="0" t="s">
        <v>136</v>
      </c>
      <c r="P219" s="13" t="s">
        <v>92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Q219" s="0" t="n">
        <v>1</v>
      </c>
      <c r="AR219" s="0" t="n">
        <v>0</v>
      </c>
      <c r="AS219" s="0" t="n">
        <v>0</v>
      </c>
      <c r="AT219" s="4" t="n">
        <f aca="false">60*U219-SUM(AU219:AY219)</f>
        <v>59.7000000000002</v>
      </c>
      <c r="AU219" s="3" t="n">
        <f aca="false">45+39/60</f>
        <v>45.65</v>
      </c>
      <c r="AV219" s="3" t="n">
        <f aca="false">6+39/60</f>
        <v>6.65</v>
      </c>
      <c r="AW219" s="3" t="n">
        <v>0</v>
      </c>
      <c r="AX219" s="3" t="n">
        <v>0</v>
      </c>
      <c r="AY219" s="3" t="n">
        <v>0</v>
      </c>
      <c r="AZ219" s="0" t="s">
        <v>58</v>
      </c>
      <c r="BA219" s="0" t="s">
        <v>59</v>
      </c>
      <c r="BB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7" t="s">
        <v>116</v>
      </c>
      <c r="G220" s="2" t="n">
        <v>70</v>
      </c>
      <c r="H220" s="2" t="n">
        <v>61</v>
      </c>
      <c r="I220" s="2" t="n">
        <v>73</v>
      </c>
      <c r="J220" s="7" t="s">
        <v>125</v>
      </c>
      <c r="K220" s="2" t="n">
        <v>0</v>
      </c>
      <c r="L220" s="2" t="n">
        <v>0</v>
      </c>
      <c r="M220" s="0" t="s">
        <v>89</v>
      </c>
      <c r="N220" s="0" t="n">
        <v>0</v>
      </c>
      <c r="O220" s="0" t="s">
        <v>136</v>
      </c>
      <c r="P220" s="7" t="s">
        <v>75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Q220" s="0" t="n">
        <v>0</v>
      </c>
      <c r="AR220" s="0" t="n">
        <v>0</v>
      </c>
      <c r="AS220" s="0" t="n">
        <v>0</v>
      </c>
      <c r="AT220" s="4" t="n">
        <f aca="false">60*U220-SUM(AU220:AY220)</f>
        <v>3.63333333333333</v>
      </c>
      <c r="AU220" s="3" t="n">
        <f aca="false">16+29/60</f>
        <v>16.4833333333333</v>
      </c>
      <c r="AV220" s="3" t="n">
        <f aca="false">8+44/60</f>
        <v>8.73333333333333</v>
      </c>
      <c r="AW220" s="3" t="n">
        <f aca="false">51+9/60</f>
        <v>51.15</v>
      </c>
      <c r="AX220" s="3" t="n">
        <v>0</v>
      </c>
      <c r="AY220" s="3" t="n">
        <v>0</v>
      </c>
      <c r="AZ220" s="0" t="s">
        <v>58</v>
      </c>
      <c r="BA220" s="0" t="s">
        <v>59</v>
      </c>
      <c r="BB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7" t="s">
        <v>121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99</v>
      </c>
      <c r="K221" s="2" t="n">
        <v>10</v>
      </c>
      <c r="L221" s="2" t="n">
        <v>0</v>
      </c>
      <c r="M221" s="0" t="s">
        <v>89</v>
      </c>
      <c r="O221" s="0" t="s">
        <v>136</v>
      </c>
      <c r="P221" s="0" t="s">
        <v>64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Q221" s="0" t="n">
        <v>6</v>
      </c>
      <c r="AR221" s="0" t="n">
        <v>0</v>
      </c>
      <c r="AS221" s="0" t="n">
        <v>0</v>
      </c>
      <c r="AT221" s="4" t="n">
        <f aca="false">60*U221-SUM(AU221:AY221)</f>
        <v>29.65</v>
      </c>
      <c r="AU221" s="3" t="n">
        <f aca="false">27+57/60</f>
        <v>27.95</v>
      </c>
      <c r="AV221" s="3" t="n">
        <f aca="false">37+56/60</f>
        <v>37.9333333333333</v>
      </c>
      <c r="AW221" s="3" t="n">
        <f aca="false">20+34/60</f>
        <v>20.5666666666667</v>
      </c>
      <c r="AX221" s="3" t="n">
        <f aca="false">1+54/60</f>
        <v>1.9</v>
      </c>
      <c r="AY221" s="3" t="n">
        <v>0</v>
      </c>
      <c r="AZ221" s="0" t="s">
        <v>58</v>
      </c>
      <c r="BA221" s="0" t="s">
        <v>59</v>
      </c>
      <c r="BB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60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99</v>
      </c>
      <c r="K222" s="2" t="n">
        <f aca="false">(12+16+15)/2</f>
        <v>21.5</v>
      </c>
      <c r="L222" s="2" t="n">
        <v>24</v>
      </c>
      <c r="M222" s="0" t="s">
        <v>88</v>
      </c>
      <c r="N222" s="0" t="n">
        <v>0</v>
      </c>
      <c r="O222" s="0" t="s">
        <v>136</v>
      </c>
      <c r="P222" s="0" t="s">
        <v>129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Q222" s="0" t="n">
        <v>2</v>
      </c>
      <c r="AR222" s="0" t="n">
        <v>0</v>
      </c>
      <c r="AS222" s="0" t="n">
        <v>0</v>
      </c>
      <c r="AT222" s="4" t="n">
        <f aca="false">60*U222-SUM(AU222:AY222)</f>
        <v>32.3166666666667</v>
      </c>
      <c r="AU222" s="3" t="n">
        <f aca="false">41+4/60</f>
        <v>41.0666666666667</v>
      </c>
      <c r="AV222" s="3" t="n">
        <f aca="false">56+8/60</f>
        <v>56.1333333333333</v>
      </c>
      <c r="AW222" s="3" t="n">
        <f aca="false">14+26/60</f>
        <v>14.4333333333333</v>
      </c>
      <c r="AX222" s="3" t="n">
        <f aca="false">3/60</f>
        <v>0.05</v>
      </c>
      <c r="AY222" s="3" t="n">
        <v>0</v>
      </c>
      <c r="AZ222" s="0" t="s">
        <v>58</v>
      </c>
      <c r="BA222" s="0" t="s">
        <v>59</v>
      </c>
      <c r="BB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7" t="s">
        <v>132</v>
      </c>
      <c r="G223" s="2" t="n">
        <v>86</v>
      </c>
      <c r="H223" s="2" t="n">
        <v>72</v>
      </c>
      <c r="I223" s="2" t="n">
        <v>63</v>
      </c>
      <c r="J223" s="2" t="s">
        <v>99</v>
      </c>
      <c r="K223" s="2" t="n">
        <v>26</v>
      </c>
      <c r="L223" s="2" t="n">
        <v>35</v>
      </c>
      <c r="M223" s="0" t="s">
        <v>88</v>
      </c>
      <c r="N223" s="0" t="n">
        <v>0</v>
      </c>
      <c r="O223" s="0" t="s">
        <v>136</v>
      </c>
      <c r="P223" s="0" t="s">
        <v>72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Q223" s="0" t="n">
        <v>1</v>
      </c>
      <c r="AR223" s="0" t="n">
        <v>0</v>
      </c>
      <c r="AS223" s="0" t="n">
        <v>0</v>
      </c>
      <c r="AT223" s="4" t="n">
        <v>0</v>
      </c>
      <c r="AU223" s="3" t="n">
        <f aca="false">58+56/60</f>
        <v>58.9333333333333</v>
      </c>
      <c r="AV223" s="3" t="n">
        <f aca="false">16+66/60</f>
        <v>17.1</v>
      </c>
      <c r="AW223" s="3" t="n">
        <f aca="false">4+17/60</f>
        <v>4.28333333333333</v>
      </c>
      <c r="AX223" s="3" t="n">
        <v>0</v>
      </c>
      <c r="AY223" s="3" t="n">
        <v>0</v>
      </c>
      <c r="AZ223" s="0" t="s">
        <v>58</v>
      </c>
      <c r="BA223" s="0" t="s">
        <v>59</v>
      </c>
      <c r="BB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7" t="s">
        <v>139</v>
      </c>
      <c r="G224" s="2" t="n">
        <v>76</v>
      </c>
      <c r="H224" s="2" t="n">
        <v>43</v>
      </c>
      <c r="I224" s="2" t="n">
        <f aca="false">(33+29)/2</f>
        <v>31</v>
      </c>
      <c r="J224" s="2" t="s">
        <v>98</v>
      </c>
      <c r="K224" s="2" t="n">
        <f aca="false">(18+21)/2</f>
        <v>19.5</v>
      </c>
      <c r="L224" s="2" t="n">
        <v>30</v>
      </c>
      <c r="M224" s="0" t="s">
        <v>89</v>
      </c>
      <c r="N224" s="0" t="n">
        <v>0</v>
      </c>
      <c r="O224" s="0" t="s">
        <v>136</v>
      </c>
      <c r="P224" s="0" t="s">
        <v>76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Q224" s="0" t="n">
        <v>2</v>
      </c>
      <c r="AR224" s="0" t="n">
        <v>1</v>
      </c>
      <c r="AS224" s="0" t="n">
        <v>0</v>
      </c>
      <c r="AT224" s="4" t="n">
        <f aca="false">60*U224-SUM(AU224:AY224)</f>
        <v>23.7633333333333</v>
      </c>
      <c r="AU224" s="3" t="n">
        <f aca="false">79+26/50</f>
        <v>79.52</v>
      </c>
      <c r="AV224" s="3" t="n">
        <f aca="false">6+42/60</f>
        <v>6.7</v>
      </c>
      <c r="AW224" s="3" t="n">
        <f aca="false">1/60</f>
        <v>0.0166666666666667</v>
      </c>
      <c r="AX224" s="3" t="n">
        <v>0</v>
      </c>
      <c r="AY224" s="3" t="n">
        <v>0</v>
      </c>
      <c r="AZ224" s="0" t="s">
        <v>58</v>
      </c>
      <c r="BA224" s="0" t="s">
        <v>59</v>
      </c>
      <c r="BB224" s="0" t="n">
        <v>0</v>
      </c>
    </row>
    <row r="225" customFormat="false" ht="12.8" hidden="false" customHeight="false" outlineLevel="0" collapsed="false">
      <c r="A225" s="0" t="n">
        <f aca="false">A224+1</f>
        <v>757</v>
      </c>
      <c r="B225" s="1" t="n">
        <v>44103.5375</v>
      </c>
      <c r="C225" s="0" t="n">
        <v>1</v>
      </c>
      <c r="F225" s="0" t="s">
        <v>60</v>
      </c>
      <c r="G225" s="2" t="n">
        <v>81</v>
      </c>
      <c r="H225" s="2" t="n">
        <v>32</v>
      </c>
      <c r="I225" s="2" t="n">
        <v>17</v>
      </c>
      <c r="J225" s="2" t="s">
        <v>105</v>
      </c>
      <c r="K225" s="2" t="n">
        <v>11</v>
      </c>
      <c r="L225" s="2" t="n">
        <f aca="false">(20+32)/2</f>
        <v>26</v>
      </c>
      <c r="M225" s="0" t="s">
        <v>89</v>
      </c>
      <c r="N225" s="0" t="n">
        <v>0</v>
      </c>
      <c r="O225" s="0" t="s">
        <v>136</v>
      </c>
      <c r="P225" s="0" t="s">
        <v>81</v>
      </c>
      <c r="Q225" s="3" t="n">
        <v>6.16</v>
      </c>
      <c r="R225" s="2" t="n">
        <v>1078</v>
      </c>
      <c r="S225" s="2" t="n">
        <v>13392</v>
      </c>
      <c r="T225" s="2" t="n">
        <f aca="false">S225-R225</f>
        <v>12314</v>
      </c>
      <c r="U225" s="3" t="n">
        <f aca="false">(60+37)/60</f>
        <v>1.61666666666667</v>
      </c>
      <c r="V225" s="3" t="n">
        <f aca="false">(60+42)/60</f>
        <v>1.7</v>
      </c>
      <c r="W225" s="3" t="n">
        <f aca="false">V225-U225</f>
        <v>0.0833333333333333</v>
      </c>
      <c r="X225" s="3" t="n">
        <f aca="false">Q225/U225</f>
        <v>3.81030927835052</v>
      </c>
      <c r="Y225" s="0" t="n">
        <v>1</v>
      </c>
      <c r="Z225" s="3" t="n">
        <f aca="false">Q225/Y225</f>
        <v>6.16</v>
      </c>
      <c r="AA225" s="3" t="n">
        <f aca="false">15+39/60</f>
        <v>15.65</v>
      </c>
      <c r="AB225" s="2" t="n">
        <v>308</v>
      </c>
      <c r="AC225" s="2" t="n">
        <v>565</v>
      </c>
      <c r="AD225" s="2" t="n">
        <v>84</v>
      </c>
      <c r="AE225" s="0" t="n">
        <v>125</v>
      </c>
      <c r="AF225" s="3" t="n">
        <f aca="false">15+24/60</f>
        <v>15.4</v>
      </c>
      <c r="AG225" s="3" t="n">
        <f aca="false">15+27/60</f>
        <v>15.45</v>
      </c>
      <c r="AH225" s="3" t="n">
        <f aca="false">15+27/60</f>
        <v>15.45</v>
      </c>
      <c r="AI225" s="3" t="n">
        <f aca="false">17+6/60</f>
        <v>17.1</v>
      </c>
      <c r="AJ225" s="3" t="n">
        <f aca="false">15+6/60</f>
        <v>15.1</v>
      </c>
      <c r="AK225" s="3" t="n">
        <f aca="false">15+23/60</f>
        <v>15.3833333333333</v>
      </c>
      <c r="AL225" s="3" t="n">
        <f aca="false">60/3.7</f>
        <v>16.2162162162162</v>
      </c>
      <c r="AQ225" s="0" t="n">
        <v>2</v>
      </c>
      <c r="AR225" s="0" t="n">
        <v>0</v>
      </c>
      <c r="AS225" s="0" t="n">
        <v>0</v>
      </c>
      <c r="AT225" s="4" t="n">
        <f aca="false">60*U225-SUM(AU225:AY225)</f>
        <v>68.3333333333333</v>
      </c>
      <c r="AU225" s="3" t="n">
        <f aca="false">26+1/60</f>
        <v>26.0166666666667</v>
      </c>
      <c r="AV225" s="3" t="n">
        <f aca="false">2+39/60</f>
        <v>2.65</v>
      </c>
      <c r="AW225" s="3" t="n">
        <v>0</v>
      </c>
      <c r="AX225" s="3" t="n">
        <v>0</v>
      </c>
      <c r="AY225" s="3" t="n">
        <v>0</v>
      </c>
      <c r="AZ225" s="0" t="s">
        <v>58</v>
      </c>
      <c r="BA225" s="0" t="s">
        <v>59</v>
      </c>
      <c r="BB225" s="0" t="n">
        <v>0</v>
      </c>
    </row>
    <row r="226" customFormat="false" ht="12.8" hidden="false" customHeight="false" outlineLevel="0" collapsed="false">
      <c r="A226" s="0" t="n">
        <f aca="false">A225+1</f>
        <v>758</v>
      </c>
      <c r="B226" s="1" t="n">
        <v>44104.5222222222</v>
      </c>
      <c r="C226" s="0" t="n">
        <v>1</v>
      </c>
      <c r="F226" s="0" t="s">
        <v>60</v>
      </c>
      <c r="G226" s="2" t="n">
        <v>90</v>
      </c>
      <c r="H226" s="2" t="n">
        <v>42</v>
      </c>
      <c r="I226" s="2" t="n">
        <v>19</v>
      </c>
      <c r="J226" s="0" t="s">
        <v>130</v>
      </c>
      <c r="K226" s="2" t="n">
        <v>5</v>
      </c>
      <c r="L226" s="2" t="n">
        <v>0</v>
      </c>
      <c r="M226" s="0" t="s">
        <v>89</v>
      </c>
      <c r="N226" s="0" t="n">
        <v>0</v>
      </c>
      <c r="O226" s="0" t="s">
        <v>136</v>
      </c>
      <c r="P226" s="0" t="s">
        <v>64</v>
      </c>
      <c r="Q226" s="3" t="n">
        <v>6.82</v>
      </c>
      <c r="R226" s="2" t="n">
        <v>246</v>
      </c>
      <c r="U226" s="3" t="n">
        <f aca="false">(60+57)/60</f>
        <v>1.95</v>
      </c>
      <c r="V226" s="3" t="n">
        <f aca="false">(120+15)/60</f>
        <v>2.25</v>
      </c>
      <c r="W226" s="3" t="n">
        <f aca="false">V226-U226</f>
        <v>0.3</v>
      </c>
      <c r="X226" s="3" t="n">
        <f aca="false">Q226/V226</f>
        <v>3.03111111111111</v>
      </c>
      <c r="Y226" s="0" t="n">
        <v>1</v>
      </c>
      <c r="Z226" s="3" t="n">
        <f aca="false">Q226/Y226</f>
        <v>6.82</v>
      </c>
      <c r="AA226" s="3" t="n">
        <f aca="false">17+12/60</f>
        <v>17.2</v>
      </c>
      <c r="AB226" s="2" t="n">
        <v>433</v>
      </c>
      <c r="AC226" s="2" t="n">
        <v>787</v>
      </c>
      <c r="AD226" s="2" t="n">
        <v>115</v>
      </c>
      <c r="AE226" s="0" t="n">
        <v>140</v>
      </c>
      <c r="AF226" s="3" t="n">
        <f aca="false">16+24/60</f>
        <v>16.4</v>
      </c>
      <c r="AG226" s="3" t="n">
        <f aca="false">16+18/60</f>
        <v>16.3</v>
      </c>
      <c r="AH226" s="3" t="n">
        <f aca="false">17+2/60</f>
        <v>17.0333333333333</v>
      </c>
      <c r="AI226" s="3" t="n">
        <f aca="false">18-28/60</f>
        <v>17.5333333333333</v>
      </c>
      <c r="AJ226" s="3" t="n">
        <f aca="false">17+20/60</f>
        <v>17.3333333333333</v>
      </c>
      <c r="AK226" s="3" t="n">
        <f aca="false">17+18/60</f>
        <v>17.3</v>
      </c>
      <c r="AL226" s="3" t="n">
        <f aca="false">60/3.5</f>
        <v>17.1428571428571</v>
      </c>
      <c r="AQ226" s="0" t="n">
        <v>3</v>
      </c>
      <c r="AR226" s="0" t="n">
        <v>1</v>
      </c>
      <c r="AS226" s="0" t="n">
        <v>0</v>
      </c>
      <c r="AT226" s="4" t="n">
        <f aca="false">60*U226-SUM(AU226:AY226)</f>
        <v>0.550000000000011</v>
      </c>
      <c r="AU226" s="3" t="n">
        <f aca="false">28+54/60</f>
        <v>28.9</v>
      </c>
      <c r="AV226" s="3" t="n">
        <f aca="false">61+44/60</f>
        <v>61.7333333333333</v>
      </c>
      <c r="AW226" s="3" t="n">
        <f aca="false">25+49/60</f>
        <v>25.8166666666667</v>
      </c>
      <c r="AX226" s="3" t="n">
        <v>0</v>
      </c>
      <c r="AY226" s="3" t="n">
        <v>0</v>
      </c>
      <c r="AZ226" s="0" t="s">
        <v>58</v>
      </c>
      <c r="BA226" s="0" t="s">
        <v>59</v>
      </c>
      <c r="BB226" s="0" t="n">
        <v>0</v>
      </c>
    </row>
    <row r="227" customFormat="false" ht="12.8" hidden="false" customHeight="false" outlineLevel="0" collapsed="false">
      <c r="A227" s="0" t="n">
        <f aca="false">A226+1</f>
        <v>759</v>
      </c>
      <c r="B227" s="1" t="n">
        <v>44105.4479166667</v>
      </c>
      <c r="C227" s="0" t="n">
        <v>1</v>
      </c>
      <c r="F227" s="0" t="s">
        <v>60</v>
      </c>
      <c r="G227" s="2" t="n">
        <v>80</v>
      </c>
      <c r="H227" s="2" t="n">
        <v>46</v>
      </c>
      <c r="I227" s="2" t="n">
        <v>31</v>
      </c>
      <c r="J227" s="2" t="s">
        <v>128</v>
      </c>
      <c r="K227" s="2" t="n">
        <v>14</v>
      </c>
      <c r="L227" s="2" t="n">
        <v>0</v>
      </c>
      <c r="M227" s="0" t="s">
        <v>89</v>
      </c>
      <c r="N227" s="0" t="n">
        <v>0</v>
      </c>
      <c r="O227" s="0" t="s">
        <v>136</v>
      </c>
      <c r="P227" s="0" t="s">
        <v>90</v>
      </c>
      <c r="Q227" s="3" t="n">
        <v>7.4</v>
      </c>
      <c r="R227" s="2" t="n">
        <v>958</v>
      </c>
      <c r="S227" s="2" t="n">
        <v>16670</v>
      </c>
      <c r="T227" s="2" t="n">
        <f aca="false">S227-R227</f>
        <v>15712</v>
      </c>
      <c r="U227" s="3" t="n">
        <f aca="false">(120+9)/60</f>
        <v>2.15</v>
      </c>
      <c r="V227" s="3" t="n">
        <f aca="false">(120+28)/60</f>
        <v>2.46666666666667</v>
      </c>
      <c r="W227" s="3" t="n">
        <f aca="false">V227-U227</f>
        <v>0.316666666666667</v>
      </c>
      <c r="X227" s="3" t="n">
        <f aca="false">Q227/V227</f>
        <v>3</v>
      </c>
      <c r="Y227" s="0" t="n">
        <v>1</v>
      </c>
      <c r="Z227" s="3" t="n">
        <f aca="false">Q227/Y227</f>
        <v>7.4</v>
      </c>
      <c r="AA227" s="3" t="n">
        <f aca="false">17+30/60</f>
        <v>17.5</v>
      </c>
      <c r="AB227" s="2" t="n">
        <v>164</v>
      </c>
      <c r="AC227" s="2" t="n">
        <v>799</v>
      </c>
      <c r="AD227" s="2" t="n">
        <v>109</v>
      </c>
      <c r="AE227" s="0" t="n">
        <v>137</v>
      </c>
      <c r="AF227" s="3" t="n">
        <f aca="false">16+9/60</f>
        <v>16.15</v>
      </c>
      <c r="AG227" s="3" t="n">
        <f aca="false">16+2/60</f>
        <v>16.0333333333333</v>
      </c>
      <c r="AH227" s="3" t="n">
        <f aca="false">17+29/60</f>
        <v>17.4833333333333</v>
      </c>
      <c r="AI227" s="3" t="n">
        <f aca="false">18+42/60</f>
        <v>18.7</v>
      </c>
      <c r="AJ227" s="3" t="n">
        <f aca="false">18+37/60</f>
        <v>18.6166666666667</v>
      </c>
      <c r="AK227" s="3" t="n">
        <f aca="false">17+7/60</f>
        <v>17.1166666666667</v>
      </c>
      <c r="AL227" s="3" t="n">
        <f aca="false">18+24/60</f>
        <v>18.4</v>
      </c>
      <c r="AM227" s="3" t="n">
        <f aca="false">60/3.4</f>
        <v>17.6470588235294</v>
      </c>
      <c r="AQ227" s="0" t="n">
        <v>3</v>
      </c>
      <c r="AR227" s="0" t="n">
        <v>0</v>
      </c>
      <c r="AS227" s="0" t="n">
        <v>0</v>
      </c>
      <c r="AT227" s="4" t="n">
        <v>0</v>
      </c>
      <c r="AU227" s="3" t="n">
        <f aca="false">46+39/60</f>
        <v>46.65</v>
      </c>
      <c r="AV227" s="3" t="n">
        <f aca="false">120+27/60</f>
        <v>120.45</v>
      </c>
      <c r="AW227" s="3" t="n">
        <f aca="false">1+22/60</f>
        <v>1.36666666666667</v>
      </c>
      <c r="AX227" s="3" t="n">
        <v>0</v>
      </c>
      <c r="AY227" s="3" t="n">
        <v>0</v>
      </c>
      <c r="AZ227" s="0" t="s">
        <v>58</v>
      </c>
      <c r="BA227" s="0" t="s">
        <v>59</v>
      </c>
      <c r="BB227" s="0" t="n">
        <v>0</v>
      </c>
    </row>
    <row r="228" customFormat="false" ht="13.8" hidden="false" customHeight="false" outlineLevel="0" collapsed="false">
      <c r="A228" s="0" t="n">
        <f aca="false">A227+1</f>
        <v>760</v>
      </c>
      <c r="B228" s="1" t="n">
        <v>44106.4555555556</v>
      </c>
      <c r="C228" s="0" t="n">
        <v>1</v>
      </c>
      <c r="F228" s="0" t="s">
        <v>60</v>
      </c>
      <c r="G228" s="2" t="n">
        <f aca="false">(70+73)/2</f>
        <v>71.5</v>
      </c>
      <c r="H228" s="2" t="n">
        <f aca="false">(39+36)/2</f>
        <v>37.5</v>
      </c>
      <c r="I228" s="2" t="n">
        <f aca="false">(32+26)/2</f>
        <v>29</v>
      </c>
      <c r="J228" s="2" t="s">
        <v>105</v>
      </c>
      <c r="K228" s="2" t="n">
        <v>9</v>
      </c>
      <c r="L228" s="2" t="n">
        <v>0</v>
      </c>
      <c r="M228" s="0" t="s">
        <v>89</v>
      </c>
      <c r="N228" s="0" t="n">
        <v>0</v>
      </c>
      <c r="O228" s="0" t="s">
        <v>136</v>
      </c>
      <c r="P228" s="13" t="s">
        <v>92</v>
      </c>
      <c r="Q228" s="3" t="n">
        <v>6.93</v>
      </c>
      <c r="R228" s="2" t="n">
        <v>296</v>
      </c>
      <c r="S228" s="2" t="n">
        <v>15107</v>
      </c>
      <c r="T228" s="2" t="n">
        <f aca="false">S228-R228</f>
        <v>14811</v>
      </c>
      <c r="U228" s="3" t="n">
        <f aca="false">(60+57)/60</f>
        <v>1.95</v>
      </c>
      <c r="V228" s="3" t="n">
        <f aca="false">(120+7)/60</f>
        <v>2.11666666666667</v>
      </c>
      <c r="W228" s="3" t="n">
        <f aca="false">V228-U228</f>
        <v>0.166666666666667</v>
      </c>
      <c r="X228" s="3" t="n">
        <f aca="false">Q228/V228</f>
        <v>3.2740157480315</v>
      </c>
      <c r="Y228" s="0" t="n">
        <v>1</v>
      </c>
      <c r="Z228" s="3" t="n">
        <f aca="false">Q228/Y228</f>
        <v>6.93</v>
      </c>
      <c r="AA228" s="3" t="n">
        <f aca="false">16+55/60</f>
        <v>16.9166666666667</v>
      </c>
      <c r="AB228" s="2" t="n">
        <v>659</v>
      </c>
      <c r="AC228" s="2" t="n">
        <v>756</v>
      </c>
      <c r="AD228" s="2" t="n">
        <v>95</v>
      </c>
      <c r="AE228" s="0" t="n">
        <v>125</v>
      </c>
      <c r="AF228" s="3" t="n">
        <f aca="false">16+28/60</f>
        <v>16.4666666666667</v>
      </c>
      <c r="AG228" s="3" t="n">
        <f aca="false">16+44/60</f>
        <v>16.7333333333333</v>
      </c>
      <c r="AH228" s="3" t="n">
        <f aca="false">17+6/30</f>
        <v>17.2</v>
      </c>
      <c r="AI228" s="3" t="n">
        <f aca="false">17+17/60</f>
        <v>17.2833333333333</v>
      </c>
      <c r="AJ228" s="3" t="n">
        <f aca="false">16+55/60</f>
        <v>16.9166666666667</v>
      </c>
      <c r="AK228" s="3" t="n">
        <f aca="false">16+7/60</f>
        <v>16.1166666666667</v>
      </c>
      <c r="AL228" s="3" t="n">
        <f aca="false">60/3.5</f>
        <v>17.1428571428571</v>
      </c>
      <c r="AP228" s="2" t="n">
        <v>8</v>
      </c>
      <c r="AQ228" s="0" t="n">
        <v>1</v>
      </c>
      <c r="AR228" s="0" t="n">
        <v>0</v>
      </c>
      <c r="AS228" s="0" t="n">
        <v>0</v>
      </c>
      <c r="AT228" s="4" t="n">
        <f aca="false">60*U228-SUM(AU228:AY228)</f>
        <v>40.4666666666667</v>
      </c>
      <c r="AU228" s="3" t="n">
        <f aca="false">62+55/60</f>
        <v>62.9166666666667</v>
      </c>
      <c r="AV228" s="3" t="n">
        <f aca="false">13+37/60</f>
        <v>13.6166666666667</v>
      </c>
      <c r="AW228" s="3" t="n">
        <v>0</v>
      </c>
      <c r="AX228" s="3" t="n">
        <v>0</v>
      </c>
      <c r="AY228" s="3" t="n">
        <v>0</v>
      </c>
      <c r="AZ228" s="0" t="s">
        <v>58</v>
      </c>
      <c r="BA228" s="0" t="s">
        <v>59</v>
      </c>
      <c r="BB228" s="0" t="n">
        <v>0</v>
      </c>
    </row>
    <row r="229" customFormat="false" ht="12.8" hidden="false" customHeight="false" outlineLevel="0" collapsed="false">
      <c r="A229" s="0" t="n">
        <f aca="false">A228+1</f>
        <v>761</v>
      </c>
      <c r="B229" s="1" t="n">
        <v>44107.5201388889</v>
      </c>
      <c r="C229" s="0" t="n">
        <v>1</v>
      </c>
      <c r="F229" s="0" t="s">
        <v>60</v>
      </c>
      <c r="G229" s="2" t="n">
        <f aca="false">(79+83)/2</f>
        <v>81</v>
      </c>
      <c r="H229" s="2" t="n">
        <v>52</v>
      </c>
      <c r="I229" s="2" t="n">
        <f aca="false">(46+39)/2</f>
        <v>42.5</v>
      </c>
      <c r="J229" s="2" t="s">
        <v>101</v>
      </c>
      <c r="K229" s="2" t="n">
        <v>23</v>
      </c>
      <c r="L229" s="2" t="n">
        <v>29</v>
      </c>
      <c r="M229" s="0" t="s">
        <v>89</v>
      </c>
      <c r="N229" s="0" t="n">
        <v>0</v>
      </c>
      <c r="O229" s="0" t="s">
        <v>136</v>
      </c>
      <c r="P229" s="0" t="s">
        <v>62</v>
      </c>
      <c r="Q229" s="3" t="n">
        <v>6.14</v>
      </c>
      <c r="R229" s="2" t="n">
        <v>484</v>
      </c>
      <c r="S229" s="2" t="n">
        <v>13467</v>
      </c>
      <c r="T229" s="2" t="n">
        <f aca="false">S229-R229</f>
        <v>12983</v>
      </c>
      <c r="U229" s="3" t="n">
        <f aca="false">(60+43)/60</f>
        <v>1.71666666666667</v>
      </c>
      <c r="V229" s="3" t="n">
        <f aca="false">(60+48)/60</f>
        <v>1.8</v>
      </c>
      <c r="W229" s="3" t="n">
        <f aca="false">V229-U229</f>
        <v>0.0833333333333335</v>
      </c>
      <c r="X229" s="3" t="n">
        <f aca="false">Q229/V229</f>
        <v>3.41111111111111</v>
      </c>
      <c r="Y229" s="0" t="n">
        <v>1</v>
      </c>
      <c r="Z229" s="3" t="n">
        <f aca="false">Q229/Y229</f>
        <v>6.14</v>
      </c>
      <c r="AA229" s="3" t="n">
        <f aca="false">16+44/60</f>
        <v>16.7333333333333</v>
      </c>
      <c r="AB229" s="2" t="n">
        <v>584</v>
      </c>
      <c r="AC229" s="2" t="n">
        <v>709</v>
      </c>
      <c r="AD229" s="2" t="n">
        <v>118</v>
      </c>
      <c r="AE229" s="0" t="n">
        <v>145</v>
      </c>
      <c r="AF229" s="3" t="n">
        <f aca="false">16+14/60</f>
        <v>16.2333333333333</v>
      </c>
      <c r="AG229" s="3" t="n">
        <f aca="false">16+11/60</f>
        <v>16.1833333333333</v>
      </c>
      <c r="AH229" s="3" t="n">
        <f aca="false">16+22/60</f>
        <v>16.3666666666667</v>
      </c>
      <c r="AI229" s="3" t="n">
        <f aca="false">18+11/60</f>
        <v>18.1833333333333</v>
      </c>
      <c r="AJ229" s="3" t="n">
        <f aca="false">16+42/60</f>
        <v>16.7</v>
      </c>
      <c r="AK229" s="3" t="n">
        <f aca="false">16+46/60</f>
        <v>16.7666666666667</v>
      </c>
      <c r="AL229" s="3" t="n">
        <f aca="false">60/3.6</f>
        <v>16.6666666666667</v>
      </c>
      <c r="AP229" s="2" t="n">
        <v>2</v>
      </c>
      <c r="AQ229" s="0" t="n">
        <v>2</v>
      </c>
      <c r="AR229" s="0" t="n">
        <v>0</v>
      </c>
      <c r="AS229" s="0" t="n">
        <v>0</v>
      </c>
      <c r="AT229" s="4" t="n">
        <f aca="false">60*U229-SUM(AU229:AY229)</f>
        <v>14.5333333333335</v>
      </c>
      <c r="AU229" s="3" t="n">
        <f aca="false">5+29/60</f>
        <v>5.48333333333333</v>
      </c>
      <c r="AV229" s="3" t="n">
        <f aca="false">40+27/60</f>
        <v>40.45</v>
      </c>
      <c r="AW229" s="3" t="n">
        <f aca="false">41+13/60</f>
        <v>41.2166666666667</v>
      </c>
      <c r="AX229" s="3" t="n">
        <f aca="false">1+19/60</f>
        <v>1.31666666666667</v>
      </c>
      <c r="AY229" s="3" t="n">
        <v>0</v>
      </c>
      <c r="AZ229" s="0" t="s">
        <v>58</v>
      </c>
      <c r="BA229" s="0" t="s">
        <v>59</v>
      </c>
      <c r="BB229" s="0" t="n">
        <v>0</v>
      </c>
    </row>
    <row r="230" customFormat="false" ht="12.8" hidden="false" customHeight="false" outlineLevel="0" collapsed="false">
      <c r="A230" s="0" t="n">
        <f aca="false">A229+1</f>
        <v>762</v>
      </c>
      <c r="B230" s="1" t="n">
        <v>44108.5993055556</v>
      </c>
      <c r="C230" s="0" t="n">
        <v>1</v>
      </c>
      <c r="F230" s="0" t="s">
        <v>60</v>
      </c>
      <c r="G230" s="2" t="n">
        <v>78</v>
      </c>
      <c r="H230" s="2" t="n">
        <v>45</v>
      </c>
      <c r="I230" s="2" t="n">
        <f aca="false">(32+29)/2</f>
        <v>30.5</v>
      </c>
      <c r="J230" s="2" t="s">
        <v>98</v>
      </c>
      <c r="K230" s="2" t="n">
        <v>17</v>
      </c>
      <c r="L230" s="2" t="n">
        <v>24</v>
      </c>
      <c r="M230" s="0" t="s">
        <v>89</v>
      </c>
      <c r="N230" s="0" t="n">
        <v>0</v>
      </c>
      <c r="O230" s="0" t="s">
        <v>136</v>
      </c>
      <c r="P230" s="0" t="s">
        <v>72</v>
      </c>
      <c r="Q230" s="3" t="n">
        <v>6.12</v>
      </c>
      <c r="R230" s="2" t="n">
        <v>1582</v>
      </c>
      <c r="S230" s="2" t="n">
        <v>14460</v>
      </c>
      <c r="T230" s="2" t="n">
        <v>12878</v>
      </c>
      <c r="U230" s="3" t="n">
        <f aca="false">(60+47)/60</f>
        <v>1.78333333333333</v>
      </c>
      <c r="V230" s="3" t="n">
        <f aca="false">(60+50)/60</f>
        <v>1.83333333333333</v>
      </c>
      <c r="W230" s="3" t="n">
        <f aca="false">V230-U230</f>
        <v>0.0499999999999998</v>
      </c>
      <c r="X230" s="3" t="n">
        <f aca="false">Q230/V230</f>
        <v>3.33818181818182</v>
      </c>
      <c r="Y230" s="0" t="n">
        <v>1</v>
      </c>
      <c r="Z230" s="3" t="n">
        <f aca="false">Q230/Y230</f>
        <v>6.12</v>
      </c>
      <c r="AA230" s="3" t="n">
        <f aca="false">17+27/60</f>
        <v>17.45</v>
      </c>
      <c r="AB230" s="2" t="n">
        <v>105</v>
      </c>
      <c r="AC230" s="2" t="n">
        <v>642</v>
      </c>
      <c r="AD230" s="2" t="n">
        <v>108</v>
      </c>
      <c r="AE230" s="0" t="n">
        <v>130</v>
      </c>
      <c r="AF230" s="3" t="n">
        <f aca="false">16+59/60</f>
        <v>16.9833333333333</v>
      </c>
      <c r="AG230" s="3" t="n">
        <f aca="false">16+55/60</f>
        <v>16.9166666666667</v>
      </c>
      <c r="AH230" s="3" t="n">
        <f aca="false">17+8/60</f>
        <v>17.1333333333333</v>
      </c>
      <c r="AI230" s="3" t="n">
        <f aca="false">17+523.6/60</f>
        <v>25.7266666666667</v>
      </c>
      <c r="AJ230" s="3" t="n">
        <f aca="false">18+48/60</f>
        <v>18.8</v>
      </c>
      <c r="AK230" s="3" t="n">
        <f aca="false">17+2/60</f>
        <v>17.0333333333333</v>
      </c>
      <c r="AL230" s="3" t="n">
        <f aca="false">60/3.4</f>
        <v>17.6470588235294</v>
      </c>
      <c r="AP230" s="2" t="n">
        <v>0</v>
      </c>
      <c r="AQ230" s="0" t="n">
        <v>1</v>
      </c>
      <c r="AR230" s="0" t="n">
        <v>2</v>
      </c>
      <c r="AS230" s="0" t="n">
        <v>0</v>
      </c>
      <c r="AT230" s="4" t="n">
        <f aca="false">60*U230-SUM(AU230:AY230)</f>
        <v>13.5833333333333</v>
      </c>
      <c r="AU230" s="3" t="n">
        <f aca="false">16+36/60</f>
        <v>16.6</v>
      </c>
      <c r="AV230" s="3" t="n">
        <f aca="false">74+41/60</f>
        <v>74.6833333333333</v>
      </c>
      <c r="AW230" s="3" t="n">
        <f aca="false">2+8/60</f>
        <v>2.13333333333333</v>
      </c>
      <c r="AX230" s="3" t="n">
        <v>0</v>
      </c>
      <c r="AY230" s="3" t="n">
        <v>0</v>
      </c>
      <c r="AZ230" s="0" t="s">
        <v>58</v>
      </c>
      <c r="BA230" s="0" t="s">
        <v>59</v>
      </c>
      <c r="BB230" s="0" t="n">
        <v>0</v>
      </c>
    </row>
    <row r="231" customFormat="false" ht="12.8" hidden="false" customHeight="false" outlineLevel="0" collapsed="false">
      <c r="A231" s="0" t="n">
        <f aca="false">A230+1</f>
        <v>763</v>
      </c>
      <c r="B231" s="1" t="n">
        <v>44109.5152777778</v>
      </c>
      <c r="C231" s="0" t="n">
        <v>1</v>
      </c>
      <c r="F231" s="0" t="s">
        <v>60</v>
      </c>
      <c r="G231" s="2" t="n">
        <v>73</v>
      </c>
      <c r="H231" s="2" t="n">
        <v>53</v>
      </c>
      <c r="I231" s="2" t="n">
        <f aca="false">(51+48)/2</f>
        <v>49.5</v>
      </c>
      <c r="J231" s="2" t="s">
        <v>99</v>
      </c>
      <c r="K231" s="2" t="n">
        <v>7</v>
      </c>
      <c r="L231" s="2" t="n">
        <v>0</v>
      </c>
      <c r="M231" s="0" t="s">
        <v>89</v>
      </c>
      <c r="N231" s="0" t="n">
        <v>0</v>
      </c>
      <c r="O231" s="0" t="s">
        <v>136</v>
      </c>
      <c r="P231" s="0" t="s">
        <v>76</v>
      </c>
      <c r="Q231" s="3" t="n">
        <v>7.56</v>
      </c>
      <c r="R231" s="2" t="n">
        <v>777</v>
      </c>
      <c r="S231" s="2" t="n">
        <v>16649</v>
      </c>
      <c r="T231" s="2" t="n">
        <f aca="false">S231-R231</f>
        <v>15872</v>
      </c>
      <c r="U231" s="3" t="n">
        <f aca="false">(120+2)/60</f>
        <v>2.03333333333333</v>
      </c>
      <c r="V231" s="3" t="n">
        <f aca="false">(120+10)/60</f>
        <v>2.16666666666667</v>
      </c>
      <c r="W231" s="3" t="n">
        <f aca="false">V231-U231</f>
        <v>0.133333333333333</v>
      </c>
      <c r="X231" s="3" t="n">
        <f aca="false">Q231/V231</f>
        <v>3.48923076923077</v>
      </c>
      <c r="Y231" s="0" t="n">
        <v>1</v>
      </c>
      <c r="Z231" s="3" t="n">
        <f aca="false">Q231/Y231</f>
        <v>7.56</v>
      </c>
      <c r="AA231" s="3" t="n">
        <f aca="false">16+9/60</f>
        <v>16.15</v>
      </c>
      <c r="AB231" s="2" t="n">
        <v>433</v>
      </c>
      <c r="AC231" s="2" t="n">
        <v>808</v>
      </c>
      <c r="AD231" s="2" t="n">
        <v>118</v>
      </c>
      <c r="AE231" s="0" t="n">
        <v>138</v>
      </c>
      <c r="AF231" s="3" t="n">
        <f aca="false">15+37/60</f>
        <v>15.6166666666667</v>
      </c>
      <c r="AG231" s="3" t="n">
        <f aca="false">15+38/60</f>
        <v>15.6333333333333</v>
      </c>
      <c r="AH231" s="3" t="n">
        <f aca="false">16+23/60</f>
        <v>16.3833333333333</v>
      </c>
      <c r="AI231" s="3" t="n">
        <f aca="false">16+19/60</f>
        <v>16.3166666666667</v>
      </c>
      <c r="AJ231" s="3" t="n">
        <f aca="false">16+15/60</f>
        <v>16.25</v>
      </c>
      <c r="AK231" s="3" t="n">
        <f aca="false">16+4/60</f>
        <v>16.0666666666667</v>
      </c>
      <c r="AL231" s="3" t="n">
        <f aca="false">16+44/60</f>
        <v>16.7333333333333</v>
      </c>
      <c r="AM231" s="3" t="n">
        <f aca="false">60/3.7</f>
        <v>16.2162162162162</v>
      </c>
      <c r="AP231" s="2" t="n">
        <v>0</v>
      </c>
      <c r="AQ231" s="0" t="n">
        <v>2</v>
      </c>
      <c r="AR231" s="0" t="n">
        <v>1</v>
      </c>
      <c r="AS231" s="0" t="n">
        <v>0</v>
      </c>
      <c r="AT231" s="4" t="n">
        <f aca="false">60*U231-SUM(AU231:AY231)</f>
        <v>0.816666666666663</v>
      </c>
      <c r="AU231" s="3" t="n">
        <f aca="false">19+22/60</f>
        <v>19.3666666666667</v>
      </c>
      <c r="AV231" s="3" t="n">
        <f aca="false">+(80+6/60)</f>
        <v>80.1</v>
      </c>
      <c r="AW231" s="3" t="n">
        <f aca="false">21+43/60</f>
        <v>21.7166666666667</v>
      </c>
      <c r="AX231" s="3" t="n">
        <v>0</v>
      </c>
      <c r="AY231" s="3" t="n">
        <v>0</v>
      </c>
      <c r="AZ231" s="0" t="s">
        <v>58</v>
      </c>
      <c r="BA231" s="0" t="s">
        <v>59</v>
      </c>
      <c r="BB231" s="0" t="n">
        <v>0</v>
      </c>
    </row>
    <row r="232" customFormat="false" ht="12.8" hidden="false" customHeight="false" outlineLevel="0" collapsed="false">
      <c r="A232" s="0" t="n">
        <f aca="false">A231+1</f>
        <v>764</v>
      </c>
      <c r="B232" s="1" t="n">
        <v>44110.4819444444</v>
      </c>
      <c r="C232" s="0" t="n">
        <v>1</v>
      </c>
      <c r="F232" s="0" t="s">
        <v>60</v>
      </c>
      <c r="G232" s="2" t="n">
        <f aca="false">(80+83+84)/3</f>
        <v>82.3333333333333</v>
      </c>
      <c r="H232" s="2" t="n">
        <v>65</v>
      </c>
      <c r="I232" s="2" t="n">
        <f aca="false">(60+64+63)/3</f>
        <v>62.3333333333333</v>
      </c>
      <c r="J232" s="2" t="s">
        <v>101</v>
      </c>
      <c r="K232" s="2" t="n">
        <f aca="false">(7+10+5)/3</f>
        <v>7.33333333333333</v>
      </c>
      <c r="L232" s="2" t="n">
        <v>0</v>
      </c>
      <c r="M232" s="0" t="s">
        <v>89</v>
      </c>
      <c r="N232" s="0" t="n">
        <v>0</v>
      </c>
      <c r="O232" s="0" t="s">
        <v>136</v>
      </c>
      <c r="P232" s="0" t="s">
        <v>129</v>
      </c>
      <c r="Q232" s="3" t="n">
        <v>6.93</v>
      </c>
      <c r="R232" s="2" t="n">
        <v>828</v>
      </c>
      <c r="S232" s="2" t="n">
        <v>17207</v>
      </c>
      <c r="T232" s="2" t="n">
        <f aca="false">S232-R232</f>
        <v>16379</v>
      </c>
      <c r="U232" s="3" t="n">
        <f aca="false">(120+23)/60</f>
        <v>2.38333333333333</v>
      </c>
      <c r="V232" s="3" t="n">
        <f aca="false">(120+46)/60</f>
        <v>2.76666666666667</v>
      </c>
      <c r="W232" s="3" t="n">
        <f aca="false">V232-U232</f>
        <v>0.383333333333333</v>
      </c>
      <c r="X232" s="3" t="n">
        <f aca="false">Q232/U232</f>
        <v>2.90769230769231</v>
      </c>
      <c r="Y232" s="0" t="n">
        <v>1</v>
      </c>
      <c r="Z232" s="3" t="n">
        <f aca="false">Q232/Y232</f>
        <v>6.93</v>
      </c>
      <c r="AA232" s="3" t="n">
        <f aca="false">20+19/60</f>
        <v>20.3166666666667</v>
      </c>
      <c r="AB232" s="2" t="n">
        <v>1289</v>
      </c>
      <c r="AC232" s="2" t="n">
        <v>872</v>
      </c>
      <c r="AD232" s="2" t="n">
        <v>126</v>
      </c>
      <c r="AE232" s="0" t="n">
        <v>152</v>
      </c>
      <c r="AF232" s="3" t="n">
        <f aca="false">17+8/60</f>
        <v>17.1333333333333</v>
      </c>
      <c r="AG232" s="3" t="n">
        <f aca="false">17+30/60</f>
        <v>17.5</v>
      </c>
      <c r="AH232" s="3" t="n">
        <f aca="false">18+30/60</f>
        <v>18.5</v>
      </c>
      <c r="AI232" s="3" t="n">
        <f aca="false">24+18/60</f>
        <v>24.3</v>
      </c>
      <c r="AJ232" s="3" t="n">
        <f aca="false">23+53/60</f>
        <v>23.8833333333333</v>
      </c>
      <c r="AK232" s="3" t="n">
        <f aca="false">19+60/60</f>
        <v>20</v>
      </c>
      <c r="AL232" s="3" t="n">
        <f aca="false">60/2.9</f>
        <v>20.6896551724138</v>
      </c>
      <c r="AP232" s="2" t="n">
        <v>4</v>
      </c>
      <c r="AQ232" s="0" t="n">
        <v>3</v>
      </c>
      <c r="AR232" s="0" t="n">
        <v>3</v>
      </c>
      <c r="AS232" s="0" t="n">
        <v>0</v>
      </c>
      <c r="AT232" s="4" t="n">
        <f aca="false">60*U232-SUM(AU232:AY232)</f>
        <v>2.71666666666667</v>
      </c>
      <c r="AU232" s="3" t="n">
        <f aca="false">16+18/60</f>
        <v>16.3</v>
      </c>
      <c r="AV232" s="3" t="n">
        <f aca="false">28+15/60</f>
        <v>28.25</v>
      </c>
      <c r="AW232" s="3" t="n">
        <f aca="false">87+40/60</f>
        <v>87.6666666666667</v>
      </c>
      <c r="AX232" s="3" t="n">
        <f aca="false">8+4/60</f>
        <v>8.06666666666667</v>
      </c>
      <c r="AY232" s="3" t="n">
        <v>0</v>
      </c>
      <c r="AZ232" s="0" t="s">
        <v>58</v>
      </c>
      <c r="BA232" s="0" t="s">
        <v>59</v>
      </c>
      <c r="BB232" s="0" t="n">
        <v>0</v>
      </c>
    </row>
    <row r="233" customFormat="false" ht="12.8" hidden="false" customHeight="false" outlineLevel="0" collapsed="false">
      <c r="A233" s="0" t="n">
        <f aca="false">A232+1</f>
        <v>765</v>
      </c>
      <c r="B233" s="1" t="n">
        <v>44111.4381944445</v>
      </c>
      <c r="C233" s="0" t="n">
        <v>1</v>
      </c>
      <c r="F233" s="0" t="s">
        <v>60</v>
      </c>
      <c r="G233" s="2" t="n">
        <v>88</v>
      </c>
      <c r="H233" s="2" t="n">
        <v>62</v>
      </c>
      <c r="I233" s="2" t="n">
        <f aca="false">(60+54)/2</f>
        <v>57</v>
      </c>
      <c r="J233" s="7" t="s">
        <v>114</v>
      </c>
      <c r="K233" s="2" t="n">
        <v>9</v>
      </c>
      <c r="L233" s="2" t="n">
        <v>0</v>
      </c>
      <c r="M233" s="0" t="s">
        <v>89</v>
      </c>
      <c r="N233" s="0" t="n">
        <v>0</v>
      </c>
      <c r="O233" s="0" t="s">
        <v>136</v>
      </c>
      <c r="P233" s="0" t="s">
        <v>81</v>
      </c>
      <c r="Q233" s="3" t="n">
        <v>6.3</v>
      </c>
      <c r="R233" s="2" t="n">
        <v>1101</v>
      </c>
      <c r="S233" s="2" t="n">
        <v>14636</v>
      </c>
      <c r="T233" s="2" t="n">
        <f aca="false">S233-R233</f>
        <v>13535</v>
      </c>
      <c r="U233" s="3" t="n">
        <f aca="false">(60+46)/60</f>
        <v>1.76666666666667</v>
      </c>
      <c r="V233" s="3" t="n">
        <f aca="false">(60+52)/60</f>
        <v>1.86666666666667</v>
      </c>
      <c r="W233" s="3" t="n">
        <f aca="false">V233-U233</f>
        <v>0.1</v>
      </c>
      <c r="X233" s="3" t="n">
        <f aca="false">Q233/U233</f>
        <v>3.56603773584906</v>
      </c>
      <c r="Y233" s="0" t="n">
        <v>1</v>
      </c>
      <c r="Z233" s="3" t="n">
        <f aca="false">Q233/Y233</f>
        <v>6.3</v>
      </c>
      <c r="AA233" s="3" t="n">
        <f aca="false">16+50/60</f>
        <v>16.8333333333333</v>
      </c>
      <c r="AB233" s="2" t="n">
        <v>522</v>
      </c>
      <c r="AC233" s="2" t="n">
        <v>670</v>
      </c>
      <c r="AD233" s="2" t="n">
        <v>122</v>
      </c>
      <c r="AE233" s="0" t="n">
        <v>140</v>
      </c>
      <c r="AF233" s="3" t="n">
        <f aca="false">16+28/60</f>
        <v>16.4666666666667</v>
      </c>
      <c r="AG233" s="3" t="n">
        <f aca="false">16+55/60</f>
        <v>16.9166666666667</v>
      </c>
      <c r="AH233" s="3" t="n">
        <f aca="false">16+30/60</f>
        <v>16.5</v>
      </c>
      <c r="AI233" s="3" t="n">
        <f aca="false">17+16/60</f>
        <v>17.2666666666667</v>
      </c>
      <c r="AJ233" s="3" t="n">
        <f aca="false">16+33/60</f>
        <v>16.55</v>
      </c>
      <c r="AK233" s="3" t="n">
        <f aca="false">17+8/60</f>
        <v>17.1333333333333</v>
      </c>
      <c r="AL233" s="3" t="n">
        <f aca="false">60/3.61</f>
        <v>16.6204986149585</v>
      </c>
      <c r="AP233" s="2" t="n">
        <v>0</v>
      </c>
      <c r="AQ233" s="0" t="n">
        <v>3</v>
      </c>
      <c r="AR233" s="0" t="n">
        <v>0</v>
      </c>
      <c r="AS233" s="0" t="n">
        <v>0</v>
      </c>
      <c r="AT233" s="4" t="n">
        <v>0</v>
      </c>
      <c r="AU233" s="3" t="n">
        <f aca="false">2+59/60</f>
        <v>2.98333333333333</v>
      </c>
      <c r="AV233" s="3" t="n">
        <f aca="false">67+35/60</f>
        <v>67.5833333333333</v>
      </c>
      <c r="AW233" s="3" t="n">
        <f aca="false">35+34/60</f>
        <v>35.5666666666667</v>
      </c>
      <c r="AX233" s="3" t="n">
        <v>0</v>
      </c>
      <c r="AY233" s="3" t="n">
        <v>0</v>
      </c>
      <c r="AZ233" s="0" t="s">
        <v>58</v>
      </c>
      <c r="BA233" s="0" t="s">
        <v>59</v>
      </c>
      <c r="BB233" s="0" t="n">
        <v>0</v>
      </c>
    </row>
    <row r="234" customFormat="false" ht="12.8" hidden="false" customHeight="false" outlineLevel="0" collapsed="false">
      <c r="A234" s="0" t="n">
        <f aca="false">A233+1</f>
        <v>766</v>
      </c>
      <c r="B234" s="1" t="n">
        <v>44112.50625</v>
      </c>
      <c r="C234" s="0" t="n">
        <v>1</v>
      </c>
      <c r="F234" s="0" t="s">
        <v>60</v>
      </c>
      <c r="G234" s="2" t="n">
        <f aca="false">(79+81)/2</f>
        <v>80</v>
      </c>
      <c r="H234" s="2" t="n">
        <v>61</v>
      </c>
      <c r="I234" s="2" t="n">
        <f aca="false">(54+47)/2</f>
        <v>50.5</v>
      </c>
      <c r="J234" s="2" t="s">
        <v>101</v>
      </c>
      <c r="K234" s="2" t="n">
        <v>6</v>
      </c>
      <c r="L234" s="2" t="n">
        <v>0</v>
      </c>
      <c r="M234" s="7" t="s">
        <v>89</v>
      </c>
      <c r="N234" s="0" t="n">
        <v>0</v>
      </c>
      <c r="O234" s="0" t="s">
        <v>136</v>
      </c>
      <c r="P234" s="7" t="s">
        <v>75</v>
      </c>
      <c r="Q234" s="3" t="n">
        <v>4.12</v>
      </c>
      <c r="R234" s="2" t="n">
        <v>1505</v>
      </c>
      <c r="S234" s="2" t="n">
        <v>10493</v>
      </c>
      <c r="T234" s="2" t="n">
        <f aca="false">S234-R234</f>
        <v>8988</v>
      </c>
      <c r="U234" s="3" t="n">
        <f aca="false">(60+12)/60</f>
        <v>1.2</v>
      </c>
      <c r="V234" s="3" t="n">
        <f aca="false">(60+15)/60</f>
        <v>1.25</v>
      </c>
      <c r="W234" s="3" t="n">
        <f aca="false">V234-U234</f>
        <v>0.05</v>
      </c>
      <c r="X234" s="3" t="n">
        <f aca="false">Q234/U234</f>
        <v>3.43333333333333</v>
      </c>
      <c r="Y234" s="0" t="n">
        <v>2</v>
      </c>
      <c r="Z234" s="3" t="n">
        <f aca="false">Q234/Y234</f>
        <v>2.06</v>
      </c>
      <c r="AA234" s="3" t="n">
        <f aca="false">17+29/60</f>
        <v>17.4833333333333</v>
      </c>
      <c r="AB234" s="2" t="n">
        <v>515</v>
      </c>
      <c r="AC234" s="2" t="n">
        <v>462</v>
      </c>
      <c r="AD234" s="2" t="n">
        <v>122</v>
      </c>
      <c r="AE234" s="0" t="n">
        <v>148</v>
      </c>
      <c r="AF234" s="3" t="n">
        <f aca="false">17+44/60</f>
        <v>17.7333333333333</v>
      </c>
      <c r="AG234" s="3" t="n">
        <f aca="false">16+36/60</f>
        <v>16.6</v>
      </c>
      <c r="AH234" s="3" t="n">
        <f aca="false">18+30/60</f>
        <v>18.5</v>
      </c>
      <c r="AI234" s="3" t="n">
        <f aca="false">17+8/60</f>
        <v>17.1333333333333</v>
      </c>
      <c r="AJ234" s="3" t="n">
        <f aca="false">60/3.5</f>
        <v>17.1428571428571</v>
      </c>
      <c r="AP234" s="2" t="n">
        <v>0</v>
      </c>
      <c r="AQ234" s="0" t="n">
        <v>1</v>
      </c>
      <c r="AR234" s="0" t="n">
        <v>0</v>
      </c>
      <c r="AS234" s="0" t="n">
        <v>0</v>
      </c>
      <c r="AT234" s="4" t="n">
        <f aca="false">60*U234-SUM(AU234:AY234)</f>
        <v>1.3</v>
      </c>
      <c r="AU234" s="3" t="n">
        <v>15</v>
      </c>
      <c r="AV234" s="3" t="n">
        <f aca="false">12+30/60</f>
        <v>12.5</v>
      </c>
      <c r="AW234" s="3" t="n">
        <f aca="false">41+53/60</f>
        <v>41.8833333333333</v>
      </c>
      <c r="AX234" s="3" t="n">
        <f aca="false">1+19/60</f>
        <v>1.31666666666667</v>
      </c>
      <c r="AY234" s="3" t="n">
        <v>0</v>
      </c>
      <c r="AZ234" s="0" t="s">
        <v>58</v>
      </c>
      <c r="BA234" s="0" t="s">
        <v>59</v>
      </c>
      <c r="BB234" s="0" t="n">
        <v>0</v>
      </c>
    </row>
    <row r="235" customFormat="false" ht="12.8" hidden="false" customHeight="false" outlineLevel="0" collapsed="false">
      <c r="A235" s="0" t="n">
        <f aca="false">A234+1</f>
        <v>767</v>
      </c>
      <c r="B235" s="1" t="n">
        <v>44113.49375</v>
      </c>
      <c r="C235" s="0" t="n">
        <v>1</v>
      </c>
      <c r="F235" s="7" t="s">
        <v>119</v>
      </c>
      <c r="G235" s="2" t="n">
        <v>80</v>
      </c>
      <c r="H235" s="2" t="n">
        <v>69</v>
      </c>
      <c r="I235" s="2" t="n">
        <f aca="false">(69+72)/2</f>
        <v>70.5</v>
      </c>
      <c r="J235" s="2" t="s">
        <v>105</v>
      </c>
      <c r="K235" s="2" t="n">
        <f aca="false">(5+8)/2</f>
        <v>6.5</v>
      </c>
      <c r="L235" s="2" t="n">
        <v>0</v>
      </c>
      <c r="M235" s="7" t="s">
        <v>89</v>
      </c>
      <c r="N235" s="0" t="n">
        <v>0</v>
      </c>
      <c r="O235" s="0" t="s">
        <v>136</v>
      </c>
      <c r="P235" s="0" t="s">
        <v>72</v>
      </c>
      <c r="Q235" s="3" t="n">
        <v>7.85</v>
      </c>
      <c r="R235" s="2" t="n">
        <v>1038</v>
      </c>
      <c r="S235" s="2" t="n">
        <v>17518</v>
      </c>
      <c r="T235" s="2" t="n">
        <f aca="false">S235-R235</f>
        <v>16480</v>
      </c>
      <c r="U235" s="3" t="n">
        <f aca="false">(120+12)/60</f>
        <v>2.2</v>
      </c>
      <c r="V235" s="3" t="n">
        <f aca="false">(120+36)/60</f>
        <v>2.6</v>
      </c>
      <c r="W235" s="3" t="n">
        <f aca="false">V235-U235</f>
        <v>0.4</v>
      </c>
      <c r="X235" s="3" t="n">
        <f aca="false">Q235/U235</f>
        <v>3.56818181818182</v>
      </c>
      <c r="Y235" s="0" t="n">
        <v>1</v>
      </c>
      <c r="Z235" s="3" t="n">
        <f aca="false">Q235/Y235</f>
        <v>7.85</v>
      </c>
      <c r="AA235" s="3" t="n">
        <f aca="false">16+50/60</f>
        <v>16.8333333333333</v>
      </c>
      <c r="AB235" s="2" t="n">
        <v>1135</v>
      </c>
      <c r="AC235" s="2" t="n">
        <v>839</v>
      </c>
      <c r="AD235" s="2" t="n">
        <v>124</v>
      </c>
      <c r="AE235" s="0" t="n">
        <v>146</v>
      </c>
      <c r="AF235" s="3" t="n">
        <f aca="false">16+5/60</f>
        <v>16.0833333333333</v>
      </c>
      <c r="AG235" s="3" t="n">
        <f aca="false">16+18/60</f>
        <v>16.3</v>
      </c>
      <c r="AH235" s="3" t="n">
        <f aca="false">16+36/60</f>
        <v>16.6</v>
      </c>
      <c r="AI235" s="3" t="n">
        <f aca="false">16+26/60</f>
        <v>16.4333333333333</v>
      </c>
      <c r="AJ235" s="3" t="n">
        <f aca="false">17+23/60</f>
        <v>17.3833333333333</v>
      </c>
      <c r="AK235" s="3" t="n">
        <f aca="false">17+11/60</f>
        <v>17.1833333333333</v>
      </c>
      <c r="AL235" s="3" t="n">
        <f aca="false">17+46/60</f>
        <v>17.7666666666667</v>
      </c>
      <c r="AM235" s="3" t="n">
        <f aca="false">60/3.6</f>
        <v>16.6666666666667</v>
      </c>
      <c r="AP235" s="2" t="n">
        <v>2</v>
      </c>
      <c r="AQ235" s="0" t="n">
        <v>2</v>
      </c>
      <c r="AR235" s="0" t="n">
        <v>2</v>
      </c>
      <c r="AS235" s="0" t="n">
        <v>0</v>
      </c>
      <c r="AT235" s="4" t="n">
        <v>0</v>
      </c>
      <c r="AU235" s="3" t="n">
        <f aca="false">15+46/60</f>
        <v>15.7666666666667</v>
      </c>
      <c r="AV235" s="3" t="n">
        <f aca="false">32+25/60</f>
        <v>32.4166666666667</v>
      </c>
      <c r="AW235" s="3" t="n">
        <f aca="false">83+28/60</f>
        <v>83.4666666666667</v>
      </c>
      <c r="AX235" s="3" t="n">
        <f aca="false">27/60</f>
        <v>0.45</v>
      </c>
      <c r="AY235" s="3" t="n">
        <v>0</v>
      </c>
      <c r="AZ235" s="0" t="s">
        <v>58</v>
      </c>
      <c r="BA235" s="0" t="s">
        <v>59</v>
      </c>
      <c r="BB235" s="0" t="n">
        <v>0</v>
      </c>
    </row>
    <row r="236" customFormat="false" ht="12.8" hidden="false" customHeight="false" outlineLevel="0" collapsed="false">
      <c r="A236" s="0" t="n">
        <f aca="false">A235+1</f>
        <v>768</v>
      </c>
      <c r="B236" s="1" t="n">
        <v>44114.5034722222</v>
      </c>
      <c r="C236" s="0" t="n">
        <v>1</v>
      </c>
      <c r="F236" s="7" t="s">
        <v>121</v>
      </c>
      <c r="G236" s="2" t="n">
        <f aca="false">78+23/60*(81-78)</f>
        <v>79.15</v>
      </c>
      <c r="H236" s="2" t="n">
        <f aca="false">68+23/60*(65-68)</f>
        <v>66.85</v>
      </c>
      <c r="I236" s="2" t="n">
        <f aca="false">78-23/60*(71-58)</f>
        <v>73.0166666666667</v>
      </c>
      <c r="J236" s="2" t="s">
        <v>113</v>
      </c>
      <c r="K236" s="2" t="n">
        <v>3</v>
      </c>
      <c r="L236" s="2" t="n">
        <v>0</v>
      </c>
      <c r="M236" s="7" t="s">
        <v>89</v>
      </c>
      <c r="N236" s="0" t="n">
        <v>0</v>
      </c>
      <c r="O236" s="0" t="s">
        <v>136</v>
      </c>
      <c r="P236" s="0" t="s">
        <v>61</v>
      </c>
      <c r="Q236" s="3" t="n">
        <v>4.96</v>
      </c>
      <c r="R236" s="2" t="n">
        <v>441</v>
      </c>
      <c r="S236" s="2" t="n">
        <v>11013</v>
      </c>
      <c r="T236" s="2" t="n">
        <f aca="false">S236-R236</f>
        <v>10572</v>
      </c>
      <c r="U236" s="3" t="n">
        <f aca="false">(60+24)/60</f>
        <v>1.4</v>
      </c>
      <c r="V236" s="3" t="n">
        <f aca="false">(60+27)/60</f>
        <v>1.45</v>
      </c>
      <c r="W236" s="3" t="n">
        <f aca="false">V236-U236</f>
        <v>0.05</v>
      </c>
      <c r="X236" s="0"/>
      <c r="Y236" s="0" t="n">
        <v>2</v>
      </c>
      <c r="Z236" s="3" t="n">
        <f aca="false">Q236/Y236</f>
        <v>2.48</v>
      </c>
      <c r="AA236" s="3" t="n">
        <f aca="false">16+49/60</f>
        <v>16.8166666666667</v>
      </c>
      <c r="AB236" s="2" t="n">
        <v>236</v>
      </c>
      <c r="AC236" s="2" t="n">
        <v>521</v>
      </c>
      <c r="AD236" s="2" t="n">
        <v>119</v>
      </c>
      <c r="AE236" s="0" t="n">
        <v>135</v>
      </c>
      <c r="AF236" s="3" t="n">
        <f aca="false">16+22/60</f>
        <v>16.3666666666667</v>
      </c>
      <c r="AG236" s="3" t="n">
        <f aca="false">16+23/60</f>
        <v>16.3833333333333</v>
      </c>
      <c r="AH236" s="3" t="n">
        <f aca="false">17+1/60</f>
        <v>17.0166666666667</v>
      </c>
      <c r="AI236" s="3" t="n">
        <f aca="false">17+6/60</f>
        <v>17.1</v>
      </c>
      <c r="AJ236" s="3" t="n">
        <f aca="false">60/3.6</f>
        <v>16.6666666666667</v>
      </c>
      <c r="AP236" s="2" t="n">
        <v>0</v>
      </c>
      <c r="AQ236" s="0" t="n">
        <v>1</v>
      </c>
      <c r="AR236" s="0" t="n">
        <v>0</v>
      </c>
      <c r="AS236" s="0" t="n">
        <v>0</v>
      </c>
      <c r="AT236" s="4" t="n">
        <f aca="false">60*U236-SUM(AU236:AY236)</f>
        <v>0.700000000000003</v>
      </c>
      <c r="AU236" s="3" t="n">
        <f aca="false">13/60</f>
        <v>0.216666666666667</v>
      </c>
      <c r="AV236" s="3" t="n">
        <f aca="false">76+29/60</f>
        <v>76.4833333333333</v>
      </c>
      <c r="AW236" s="3" t="n">
        <f aca="false">6+48/80</f>
        <v>6.6</v>
      </c>
      <c r="AX236" s="3" t="n">
        <v>0</v>
      </c>
      <c r="AY236" s="3" t="n">
        <v>0</v>
      </c>
      <c r="AZ236" s="0" t="s">
        <v>58</v>
      </c>
      <c r="BA236" s="0" t="s">
        <v>59</v>
      </c>
      <c r="BB236" s="0" t="n">
        <v>0</v>
      </c>
    </row>
    <row r="237" customFormat="false" ht="12.8" hidden="false" customHeight="false" outlineLevel="0" collapsed="false">
      <c r="A237" s="0" t="n">
        <f aca="false">A236+1</f>
        <v>769</v>
      </c>
      <c r="B237" s="1" t="n">
        <v>44115.4951388889</v>
      </c>
      <c r="C237" s="0" t="n">
        <v>0</v>
      </c>
      <c r="D237" s="0" t="s">
        <v>82</v>
      </c>
      <c r="F237" s="0" t="s">
        <v>60</v>
      </c>
      <c r="G237" s="2" t="n">
        <v>71</v>
      </c>
      <c r="H237" s="2" t="n">
        <v>61</v>
      </c>
      <c r="I237" s="2" t="n">
        <v>72</v>
      </c>
      <c r="J237" s="2" t="s">
        <v>120</v>
      </c>
      <c r="K237" s="2" t="n">
        <v>9</v>
      </c>
      <c r="L237" s="2" t="n">
        <v>0</v>
      </c>
      <c r="M237" s="0" t="s">
        <v>89</v>
      </c>
      <c r="N237" s="0" t="n">
        <v>0</v>
      </c>
    </row>
    <row r="238" customFormat="false" ht="13.8" hidden="false" customHeight="false" outlineLevel="0" collapsed="false">
      <c r="A238" s="0" t="n">
        <f aca="false">A237+1</f>
        <v>770</v>
      </c>
      <c r="B238" s="1" t="n">
        <v>44116.4597222222</v>
      </c>
      <c r="C238" s="0" t="n">
        <v>1</v>
      </c>
      <c r="F238" s="0" t="s">
        <v>60</v>
      </c>
      <c r="G238" s="2" t="n">
        <f aca="false">(75+79)/2</f>
        <v>77</v>
      </c>
      <c r="H238" s="2" t="n">
        <v>42</v>
      </c>
      <c r="I238" s="2" t="n">
        <v>28</v>
      </c>
      <c r="J238" s="2" t="s">
        <v>98</v>
      </c>
      <c r="K238" s="2" t="n">
        <v>22</v>
      </c>
      <c r="L238" s="2" t="n">
        <v>30</v>
      </c>
      <c r="M238" s="0" t="s">
        <v>89</v>
      </c>
      <c r="N238" s="0" t="n">
        <v>0</v>
      </c>
      <c r="O238" s="0" t="s">
        <v>136</v>
      </c>
      <c r="P238" s="13" t="s">
        <v>92</v>
      </c>
      <c r="Q238" s="3" t="n">
        <v>6.85</v>
      </c>
      <c r="R238" s="2" t="n">
        <v>860</v>
      </c>
      <c r="S238" s="2" t="n">
        <f aca="false">T238+R238</f>
        <v>15780</v>
      </c>
      <c r="T238" s="2" t="n">
        <v>14920</v>
      </c>
      <c r="U238" s="3" t="n">
        <f aca="false">(120+3)/60</f>
        <v>2.05</v>
      </c>
      <c r="V238" s="3" t="n">
        <f aca="false">(120+16)/60</f>
        <v>2.26666666666667</v>
      </c>
      <c r="W238" s="3" t="n">
        <f aca="false">V238-U238</f>
        <v>0.216666666666667</v>
      </c>
      <c r="X238" s="3" t="n">
        <f aca="false">Q236/U236</f>
        <v>3.54285714285714</v>
      </c>
      <c r="Y238" s="0" t="n">
        <v>1</v>
      </c>
      <c r="Z238" s="3" t="n">
        <f aca="false">Q238/Y238</f>
        <v>6.85</v>
      </c>
      <c r="AA238" s="3" t="n">
        <f aca="false">17+56/60</f>
        <v>17.9333333333333</v>
      </c>
      <c r="AB238" s="2" t="n">
        <v>292</v>
      </c>
      <c r="AC238" s="2" t="n">
        <v>555</v>
      </c>
      <c r="AD238" s="2" t="n">
        <v>69</v>
      </c>
      <c r="AE238" s="0" t="n">
        <v>110</v>
      </c>
      <c r="AF238" s="3" t="n">
        <f aca="false">16+52/60</f>
        <v>16.8666666666667</v>
      </c>
      <c r="AG238" s="3" t="n">
        <f aca="false">17+31/60</f>
        <v>17.5166666666667</v>
      </c>
      <c r="AH238" s="3" t="n">
        <f aca="false">17+54/60</f>
        <v>17.9</v>
      </c>
      <c r="AI238" s="3" t="n">
        <f aca="false">18+51/60</f>
        <v>18.85</v>
      </c>
      <c r="AJ238" s="3" t="n">
        <f aca="false">18+14/60</f>
        <v>18.2333333333333</v>
      </c>
      <c r="AK238" s="3" t="n">
        <f aca="false">17+54/60</f>
        <v>17.9</v>
      </c>
      <c r="AL238" s="3" t="n">
        <f aca="false">60/3.3</f>
        <v>18.1818181818182</v>
      </c>
      <c r="AM238" s="0"/>
      <c r="AP238" s="2" t="n">
        <v>8</v>
      </c>
      <c r="AQ238" s="0" t="n">
        <v>2</v>
      </c>
      <c r="AR238" s="0" t="n">
        <v>0</v>
      </c>
      <c r="AS238" s="0" t="n">
        <v>0</v>
      </c>
      <c r="AT238" s="4" t="n">
        <f aca="false">60*U238-SUM(AU238:AY238)</f>
        <v>116.433333333333</v>
      </c>
      <c r="AU238" s="3" t="n">
        <f aca="false">6+18/60</f>
        <v>6.3</v>
      </c>
      <c r="AV238" s="3" t="n">
        <f aca="false">16/60</f>
        <v>0.266666666666667</v>
      </c>
      <c r="AW238" s="3" t="n">
        <v>0</v>
      </c>
      <c r="AX238" s="3" t="n">
        <v>0</v>
      </c>
      <c r="AY238" s="3" t="n">
        <v>0</v>
      </c>
      <c r="AZ238" s="0" t="s">
        <v>58</v>
      </c>
      <c r="BA238" s="0" t="s">
        <v>59</v>
      </c>
      <c r="BB238" s="0" t="n">
        <v>0</v>
      </c>
    </row>
    <row r="239" customFormat="false" ht="12.8" hidden="false" customHeight="false" outlineLevel="0" collapsed="false">
      <c r="A239" s="0" t="n">
        <v>771</v>
      </c>
      <c r="B239" s="1" t="n">
        <v>44117.5930555556</v>
      </c>
      <c r="C239" s="0" t="n">
        <v>1</v>
      </c>
      <c r="F239" s="7" t="s">
        <v>119</v>
      </c>
      <c r="G239" s="2" t="n">
        <f aca="false">(77+81)/2</f>
        <v>79</v>
      </c>
      <c r="H239" s="2" t="n">
        <v>42</v>
      </c>
      <c r="I239" s="2" t="n">
        <v>26</v>
      </c>
      <c r="J239" s="2" t="s">
        <v>109</v>
      </c>
      <c r="K239" s="2" t="n">
        <v>6</v>
      </c>
      <c r="L239" s="2" t="n">
        <v>0</v>
      </c>
      <c r="M239" s="0" t="s">
        <v>89</v>
      </c>
      <c r="N239" s="0" t="n">
        <v>0</v>
      </c>
      <c r="O239" s="0" t="s">
        <v>136</v>
      </c>
      <c r="P239" s="0" t="s">
        <v>140</v>
      </c>
      <c r="Q239" s="3" t="n">
        <v>7.71</v>
      </c>
      <c r="R239" s="2" t="n">
        <v>500</v>
      </c>
      <c r="S239" s="2" t="n">
        <v>17039</v>
      </c>
      <c r="T239" s="2" t="n">
        <f aca="false">S239-R239</f>
        <v>16539</v>
      </c>
      <c r="U239" s="3" t="n">
        <f aca="false">(120+6)/60</f>
        <v>2.1</v>
      </c>
      <c r="V239" s="3" t="n">
        <f aca="false">(120+15)/60</f>
        <v>2.25</v>
      </c>
      <c r="W239" s="3" t="n">
        <f aca="false">V239-U239</f>
        <v>0.15</v>
      </c>
      <c r="X239" s="3" t="n">
        <f aca="false">Q239/U239</f>
        <v>3.67142857142857</v>
      </c>
      <c r="Y239" s="0" t="n">
        <v>1</v>
      </c>
      <c r="Z239" s="3" t="n">
        <f aca="false">Q239/Y239</f>
        <v>7.71</v>
      </c>
      <c r="AA239" s="3" t="n">
        <f aca="false">16+24/60</f>
        <v>16.4</v>
      </c>
      <c r="AB239" s="2" t="n">
        <v>1037</v>
      </c>
      <c r="AC239" s="2" t="n">
        <v>820</v>
      </c>
      <c r="AD239" s="2" t="n">
        <v>128</v>
      </c>
      <c r="AE239" s="0" t="n">
        <v>141</v>
      </c>
      <c r="AF239" s="3" t="n">
        <f aca="false">16+31/60</f>
        <v>16.5166666666667</v>
      </c>
      <c r="AG239" s="3" t="n">
        <f aca="false">15+58/60</f>
        <v>15.9666666666667</v>
      </c>
      <c r="AH239" s="3" t="n">
        <f aca="false">16+7/60</f>
        <v>16.1166666666667</v>
      </c>
      <c r="AI239" s="3" t="n">
        <f aca="false">16+38/60</f>
        <v>16.6333333333333</v>
      </c>
      <c r="AJ239" s="3" t="n">
        <f aca="false">16+26/60</f>
        <v>16.4333333333333</v>
      </c>
      <c r="AK239" s="3" t="n">
        <f aca="false">15+54/60</f>
        <v>15.9</v>
      </c>
      <c r="AL239" s="3" t="n">
        <f aca="false">60/3.7</f>
        <v>16.2162162162162</v>
      </c>
      <c r="AP239" s="2" t="n">
        <v>11</v>
      </c>
      <c r="AQ239" s="0" t="n">
        <v>2</v>
      </c>
      <c r="AR239" s="0" t="n">
        <v>0</v>
      </c>
      <c r="AS239" s="0" t="n">
        <v>0</v>
      </c>
      <c r="AT239" s="4" t="n">
        <v>0</v>
      </c>
      <c r="AU239" s="3" t="n">
        <f aca="false">4+41/60</f>
        <v>4.68333333333333</v>
      </c>
      <c r="AV239" s="3" t="n">
        <f aca="false">26+32/60</f>
        <v>26.5333333333333</v>
      </c>
      <c r="AW239" s="3" t="n">
        <f aca="false">(95+14/60)</f>
        <v>95.2333333333333</v>
      </c>
      <c r="AX239" s="3" t="n">
        <v>0</v>
      </c>
      <c r="AY239" s="3" t="n">
        <v>0</v>
      </c>
      <c r="AZ239" s="0" t="s">
        <v>58</v>
      </c>
      <c r="BA239" s="0" t="s">
        <v>59</v>
      </c>
      <c r="BB239" s="0" t="n">
        <v>0</v>
      </c>
    </row>
    <row r="240" customFormat="false" ht="12.8" hidden="false" customHeight="false" outlineLevel="0" collapsed="false">
      <c r="A240" s="0" t="n">
        <v>772</v>
      </c>
      <c r="B240" s="1" t="n">
        <v>44118.4534722222</v>
      </c>
      <c r="C240" s="0" t="n">
        <v>1</v>
      </c>
      <c r="F240" s="0" t="s">
        <v>60</v>
      </c>
      <c r="G240" s="2" t="n">
        <f aca="false">79+11/60*(83-79)</f>
        <v>79.7333333333333</v>
      </c>
      <c r="H240" s="2" t="n">
        <f aca="false">60+11/60*(64-60)</f>
        <v>60.7333333333333</v>
      </c>
      <c r="I240" s="2" t="n">
        <f aca="false">56+11/60+(60-63)</f>
        <v>53.1833333333333</v>
      </c>
      <c r="J240" s="2" t="s">
        <v>99</v>
      </c>
      <c r="K240" s="2" t="n">
        <v>13</v>
      </c>
      <c r="L240" s="2" t="n">
        <v>28</v>
      </c>
      <c r="M240" s="0" t="s">
        <v>89</v>
      </c>
      <c r="N240" s="0" t="n">
        <v>1</v>
      </c>
      <c r="O240" s="0" t="s">
        <v>136</v>
      </c>
      <c r="P240" s="0" t="s">
        <v>77</v>
      </c>
      <c r="Q240" s="3" t="n">
        <v>4.2</v>
      </c>
      <c r="T240" s="2" t="n">
        <v>9478</v>
      </c>
      <c r="U240" s="3" t="n">
        <v>1.11</v>
      </c>
      <c r="X240" s="3" t="n">
        <f aca="false">Q240/U240</f>
        <v>3.78378378378378</v>
      </c>
      <c r="Y240" s="0" t="n">
        <v>4</v>
      </c>
      <c r="Z240" s="3" t="n">
        <f aca="false">Q240/Y240</f>
        <v>1.05</v>
      </c>
      <c r="AA240" s="3" t="n">
        <v>15.9</v>
      </c>
      <c r="AB240" s="2" t="n">
        <v>98.5</v>
      </c>
      <c r="AC240" s="2" t="n">
        <v>552</v>
      </c>
      <c r="AP240" s="2" t="n">
        <v>0</v>
      </c>
      <c r="AQ240" s="0" t="n">
        <v>1</v>
      </c>
      <c r="AR240" s="0" t="n">
        <v>1</v>
      </c>
      <c r="AS240" s="0" t="n">
        <v>0</v>
      </c>
      <c r="AZ240" s="0" t="s">
        <v>58</v>
      </c>
      <c r="BA240" s="0" t="s">
        <v>59</v>
      </c>
      <c r="BB240" s="0" t="n">
        <v>1</v>
      </c>
      <c r="BC240" s="0" t="s">
        <v>141</v>
      </c>
    </row>
    <row r="241" customFormat="false" ht="12.8" hidden="false" customHeight="false" outlineLevel="0" collapsed="false">
      <c r="A241" s="0" t="n">
        <v>773</v>
      </c>
      <c r="B241" s="1" t="n">
        <v>44119.5958333333</v>
      </c>
      <c r="C241" s="0" t="n">
        <v>1</v>
      </c>
      <c r="F241" s="7" t="s">
        <v>134</v>
      </c>
      <c r="G241" s="2" t="n">
        <v>70</v>
      </c>
      <c r="H241" s="2" t="n">
        <v>57</v>
      </c>
      <c r="I241" s="2" t="n">
        <v>62</v>
      </c>
      <c r="J241" s="2" t="s">
        <v>130</v>
      </c>
      <c r="K241" s="2" t="n">
        <v>18</v>
      </c>
      <c r="L241" s="2" t="n">
        <v>31</v>
      </c>
      <c r="M241" s="0" t="s">
        <v>89</v>
      </c>
      <c r="N241" s="0" t="n">
        <v>0</v>
      </c>
      <c r="O241" s="0" t="s">
        <v>136</v>
      </c>
      <c r="P241" s="0" t="s">
        <v>61</v>
      </c>
      <c r="Q241" s="3" t="n">
        <v>4.9</v>
      </c>
      <c r="U241" s="3" t="n">
        <f aca="false">(60+17)/60</f>
        <v>1.28333333333333</v>
      </c>
      <c r="V241" s="3" t="n">
        <f aca="false">U241</f>
        <v>1.28333333333333</v>
      </c>
      <c r="W241" s="3" t="n">
        <f aca="false">V241-U241</f>
        <v>0</v>
      </c>
      <c r="X241" s="3" t="n">
        <f aca="false">Q241/U241</f>
        <v>3.81818181818182</v>
      </c>
      <c r="Y241" s="0" t="n">
        <v>2</v>
      </c>
      <c r="Z241" s="3" t="n">
        <f aca="false">Q241/Y241</f>
        <v>2.45</v>
      </c>
      <c r="AA241" s="3" t="n">
        <f aca="false">15+43/60</f>
        <v>15.7166666666667</v>
      </c>
      <c r="AB241" s="2" t="n">
        <v>121</v>
      </c>
      <c r="AC241" s="2" t="n">
        <v>614</v>
      </c>
      <c r="AD241" s="2" t="n">
        <v>78</v>
      </c>
      <c r="AE241" s="0" t="n">
        <v>99</v>
      </c>
      <c r="AF241" s="3" t="n">
        <f aca="false">15+31/60</f>
        <v>15.5166666666667</v>
      </c>
      <c r="AG241" s="3" t="n">
        <v>16</v>
      </c>
      <c r="AH241" s="3" t="n">
        <f aca="false">15+41/60</f>
        <v>15.6833333333333</v>
      </c>
      <c r="AI241" s="3" t="n">
        <f aca="false">15+41/60</f>
        <v>15.6833333333333</v>
      </c>
      <c r="AJ241" s="3" t="n">
        <f aca="false">60/3.8</f>
        <v>15.7894736842105</v>
      </c>
      <c r="AP241" s="2" t="n">
        <v>0</v>
      </c>
      <c r="AQ241" s="0" t="n">
        <v>0</v>
      </c>
      <c r="AR241" s="0" t="n">
        <v>0</v>
      </c>
      <c r="AS241" s="0" t="n">
        <v>0</v>
      </c>
      <c r="AT241" s="4" t="n">
        <f aca="false">60*U241-SUM(AU241:AY241)</f>
        <v>67.2833333333333</v>
      </c>
      <c r="AU241" s="3" t="n">
        <f aca="false">9+43/60</f>
        <v>9.71666666666667</v>
      </c>
      <c r="AV241" s="3" t="n">
        <v>0</v>
      </c>
      <c r="AW241" s="3" t="n">
        <v>0</v>
      </c>
      <c r="AX241" s="3" t="n">
        <v>0</v>
      </c>
      <c r="AY241" s="3" t="n">
        <v>0</v>
      </c>
      <c r="AZ241" s="0" t="s">
        <v>58</v>
      </c>
      <c r="BA241" s="0" t="s">
        <v>59</v>
      </c>
      <c r="BB241" s="0" t="n">
        <v>0</v>
      </c>
    </row>
    <row r="242" customFormat="false" ht="12.8" hidden="false" customHeight="false" outlineLevel="0" collapsed="false">
      <c r="A242" s="0" t="n">
        <v>774</v>
      </c>
      <c r="B242" s="1" t="n">
        <v>44120.6159722222</v>
      </c>
      <c r="C242" s="0" t="n">
        <v>1</v>
      </c>
      <c r="F242" s="7" t="s">
        <v>116</v>
      </c>
      <c r="G242" s="2" t="n">
        <v>71</v>
      </c>
      <c r="H242" s="2" t="n">
        <v>70</v>
      </c>
      <c r="I242" s="2" t="n">
        <v>79</v>
      </c>
      <c r="J242" s="2" t="s">
        <v>98</v>
      </c>
      <c r="K242" s="2" t="n">
        <v>6</v>
      </c>
      <c r="L242" s="2" t="n">
        <v>0</v>
      </c>
      <c r="M242" s="0" t="s">
        <v>89</v>
      </c>
      <c r="N242" s="0" t="n">
        <v>0</v>
      </c>
      <c r="O242" s="0" t="s">
        <v>136</v>
      </c>
      <c r="P242" s="0" t="s">
        <v>90</v>
      </c>
      <c r="Q242" s="3" t="n">
        <v>7.32</v>
      </c>
      <c r="R242" s="2" t="n">
        <v>500</v>
      </c>
      <c r="S242" s="2" t="n">
        <v>16244</v>
      </c>
      <c r="T242" s="2" t="n">
        <f aca="false">S242-R242</f>
        <v>15744</v>
      </c>
      <c r="U242" s="3" t="n">
        <f aca="false">(120+3)/60</f>
        <v>2.05</v>
      </c>
      <c r="V242" s="3" t="n">
        <f aca="false">(120+16)/60</f>
        <v>2.26666666666667</v>
      </c>
      <c r="W242" s="3" t="n">
        <f aca="false">V242-U242</f>
        <v>0.216666666666667</v>
      </c>
      <c r="X242" s="3" t="n">
        <f aca="false">Q242/U242</f>
        <v>3.57073170731707</v>
      </c>
      <c r="Y242" s="0" t="n">
        <v>1</v>
      </c>
      <c r="Z242" s="3" t="n">
        <f aca="false">Q242/Y242</f>
        <v>7.32</v>
      </c>
      <c r="AA242" s="3" t="n">
        <f aca="false">16+49/60</f>
        <v>16.8166666666667</v>
      </c>
      <c r="AB242" s="2" t="n">
        <v>210</v>
      </c>
      <c r="AC242" s="2" t="n">
        <v>777</v>
      </c>
      <c r="AD242" s="2" t="n">
        <v>111</v>
      </c>
      <c r="AE242" s="0" t="n">
        <v>130</v>
      </c>
      <c r="AF242" s="3" t="n">
        <f aca="false">16+11/60</f>
        <v>16.1833333333333</v>
      </c>
      <c r="AG242" s="3" t="n">
        <f aca="false">16+41/60</f>
        <v>16.6833333333333</v>
      </c>
      <c r="AH242" s="3" t="n">
        <f aca="false">17+43/60</f>
        <v>17.7166666666667</v>
      </c>
      <c r="AI242" s="3" t="n">
        <f aca="false">16+41/60</f>
        <v>16.6833333333333</v>
      </c>
      <c r="AJ242" s="3" t="n">
        <f aca="false">16+45/60</f>
        <v>16.75</v>
      </c>
      <c r="AK242" s="3" t="n">
        <f aca="false">16+21/60</f>
        <v>16.35</v>
      </c>
      <c r="AL242" s="3" t="n">
        <f aca="false">60/3.6</f>
        <v>16.6666666666667</v>
      </c>
      <c r="AP242" s="2" t="n">
        <v>0</v>
      </c>
      <c r="AQ242" s="0" t="n">
        <v>0</v>
      </c>
      <c r="AR242" s="0" t="n">
        <v>0</v>
      </c>
      <c r="AS242" s="0" t="n">
        <v>0</v>
      </c>
      <c r="AT242" s="4" t="n">
        <f aca="false">60*U242-SUM(AU242:AY242)</f>
        <v>0.633333333333326</v>
      </c>
      <c r="AU242" s="3" t="n">
        <f aca="false">29+11/60</f>
        <v>29.1833333333333</v>
      </c>
      <c r="AV242" s="3" t="n">
        <f aca="false">(60+32) +4/60</f>
        <v>92.0666666666667</v>
      </c>
      <c r="AW242" s="3" t="n">
        <f aca="false">1+7/60</f>
        <v>1.11666666666667</v>
      </c>
      <c r="AX242" s="3" t="n">
        <v>0</v>
      </c>
      <c r="AY242" s="3" t="n">
        <v>0</v>
      </c>
      <c r="AZ242" s="0" t="s">
        <v>58</v>
      </c>
      <c r="BA242" s="0" t="s">
        <v>59</v>
      </c>
      <c r="BB242" s="0" t="n">
        <v>0</v>
      </c>
    </row>
    <row r="243" customFormat="false" ht="12.8" hidden="false" customHeight="false" outlineLevel="0" collapsed="false">
      <c r="A243" s="0" t="n">
        <v>775</v>
      </c>
      <c r="B243" s="1" t="n">
        <v>44121.5291666667</v>
      </c>
      <c r="C243" s="0" t="n">
        <v>1</v>
      </c>
      <c r="F243" s="7" t="s">
        <v>134</v>
      </c>
      <c r="G243" s="2" t="n">
        <v>69</v>
      </c>
      <c r="H243" s="2" t="n">
        <v>55</v>
      </c>
      <c r="I243" s="2" t="n">
        <v>61</v>
      </c>
      <c r="J243" s="2" t="s">
        <v>99</v>
      </c>
      <c r="K243" s="2" t="n">
        <v>15</v>
      </c>
      <c r="L243" s="2" t="n">
        <v>29</v>
      </c>
      <c r="M243" s="0" t="s">
        <v>89</v>
      </c>
      <c r="N243" s="0" t="n">
        <v>0</v>
      </c>
      <c r="O243" s="0" t="s">
        <v>136</v>
      </c>
      <c r="P243" s="0" t="s">
        <v>76</v>
      </c>
      <c r="Q243" s="3" t="n">
        <v>8.35</v>
      </c>
      <c r="R243" s="2" t="n">
        <v>779</v>
      </c>
      <c r="S243" s="2" t="n">
        <v>17975</v>
      </c>
      <c r="T243" s="2" t="n">
        <f aca="false">S243-R243</f>
        <v>17196</v>
      </c>
      <c r="U243" s="3" t="n">
        <f aca="false">(120+8)/60</f>
        <v>2.13333333333333</v>
      </c>
      <c r="V243" s="3" t="n">
        <f aca="false">(120+15)/60</f>
        <v>2.25</v>
      </c>
      <c r="W243" s="3" t="n">
        <f aca="false">V243-U243</f>
        <v>0.116666666666667</v>
      </c>
      <c r="X243" s="3" t="n">
        <f aca="false">Q243/U243</f>
        <v>3.9140625</v>
      </c>
      <c r="Y243" s="0" t="n">
        <v>1</v>
      </c>
      <c r="Z243" s="3" t="n">
        <f aca="false">Q243/Y243</f>
        <v>8.35</v>
      </c>
      <c r="AA243" s="3" t="n">
        <f aca="false">15+21/50</f>
        <v>15.42</v>
      </c>
      <c r="AB243" s="2" t="n">
        <v>856</v>
      </c>
      <c r="AC243" s="2" t="n">
        <v>698</v>
      </c>
      <c r="AD243" s="2" t="n">
        <v>76</v>
      </c>
      <c r="AE243" s="0" t="n">
        <v>112</v>
      </c>
      <c r="AF243" s="3" t="n">
        <f aca="false">15+13/60</f>
        <v>15.2166666666667</v>
      </c>
      <c r="AG243" s="3" t="n">
        <f aca="false">15+11/60</f>
        <v>15.1833333333333</v>
      </c>
      <c r="AH243" s="3" t="n">
        <f aca="false">15+8/60</f>
        <v>15.1333333333333</v>
      </c>
      <c r="AI243" s="3" t="n">
        <f aca="false">16+4/60</f>
        <v>16.0666666666667</v>
      </c>
      <c r="AJ243" s="3" t="n">
        <f aca="false">15+3/60</f>
        <v>15.05</v>
      </c>
      <c r="AK243" s="3" t="n">
        <f aca="false">15+8/60</f>
        <v>15.1333333333333</v>
      </c>
      <c r="AL243" s="3" t="n">
        <f aca="false">15+24/60</f>
        <v>15.4</v>
      </c>
      <c r="AM243" s="3" t="n">
        <f aca="false">15+30/60</f>
        <v>15.5</v>
      </c>
      <c r="AN243" s="3" t="n">
        <f aca="false">60/3.8</f>
        <v>15.7894736842105</v>
      </c>
      <c r="AP243" s="2" t="n">
        <v>1</v>
      </c>
      <c r="AQ243" s="0" t="n">
        <v>2</v>
      </c>
      <c r="AR243" s="0" t="n">
        <v>0</v>
      </c>
      <c r="AS243" s="0" t="n">
        <v>0</v>
      </c>
      <c r="AT243" s="4" t="n">
        <f aca="false">60*U243-SUM(AU243:AY243)</f>
        <v>113.933333333333</v>
      </c>
      <c r="AU243" s="3" t="n">
        <f aca="false">13+20/60</f>
        <v>13.3333333333333</v>
      </c>
      <c r="AV243" s="3" t="n">
        <f aca="false">44/60</f>
        <v>0.733333333333333</v>
      </c>
      <c r="AW243" s="3" t="n">
        <v>0</v>
      </c>
      <c r="AX243" s="3" t="n">
        <v>0</v>
      </c>
      <c r="AY243" s="3" t="n">
        <v>0</v>
      </c>
      <c r="AZ243" s="0" t="s">
        <v>58</v>
      </c>
      <c r="BA243" s="0" t="s">
        <v>59</v>
      </c>
      <c r="BB243" s="0" t="n">
        <v>0</v>
      </c>
    </row>
    <row r="244" customFormat="false" ht="12.8" hidden="false" customHeight="false" outlineLevel="0" collapsed="false">
      <c r="A244" s="0" t="n">
        <v>776</v>
      </c>
      <c r="B244" s="1" t="n">
        <v>44122.5194444444</v>
      </c>
      <c r="C244" s="0" t="n">
        <v>1</v>
      </c>
      <c r="F244" s="7" t="s">
        <v>116</v>
      </c>
      <c r="G244" s="2" t="n">
        <v>82</v>
      </c>
      <c r="H244" s="2" t="n">
        <v>68</v>
      </c>
      <c r="I244" s="2" t="n">
        <f aca="false">(58+55)/2</f>
        <v>56.5</v>
      </c>
      <c r="J244" s="2" t="s">
        <v>99</v>
      </c>
      <c r="K244" s="2" t="n">
        <f aca="false">(18+21)/2</f>
        <v>19.5</v>
      </c>
      <c r="L244" s="2" t="n">
        <v>30</v>
      </c>
      <c r="M244" s="0" t="s">
        <v>89</v>
      </c>
      <c r="N244" s="0" t="n">
        <v>0</v>
      </c>
      <c r="O244" s="0" t="s">
        <v>136</v>
      </c>
      <c r="P244" s="0" t="s">
        <v>129</v>
      </c>
      <c r="Q244" s="3" t="n">
        <v>5.07</v>
      </c>
      <c r="U244" s="3" t="n">
        <f aca="false">(60+43)/60</f>
        <v>1.71666666666667</v>
      </c>
      <c r="V244" s="3" t="n">
        <f aca="false">(60+56)/60</f>
        <v>1.93333333333333</v>
      </c>
      <c r="W244" s="3" t="n">
        <f aca="false">V244-U244</f>
        <v>0.216666666666667</v>
      </c>
      <c r="X244" s="3" t="n">
        <f aca="false">Q244/U244</f>
        <v>2.95339805825243</v>
      </c>
      <c r="Y244" s="0" t="n">
        <v>1</v>
      </c>
      <c r="Z244" s="3" t="n">
        <f aca="false">Q244/Y244</f>
        <v>5.07</v>
      </c>
      <c r="AA244" s="3" t="n">
        <f aca="false">20+14/60</f>
        <v>20.2333333333333</v>
      </c>
      <c r="AB244" s="2" t="n">
        <v>715</v>
      </c>
      <c r="AC244" s="2" t="n">
        <v>563</v>
      </c>
      <c r="AD244" s="2" t="n">
        <v>122</v>
      </c>
      <c r="AE244" s="0" t="n">
        <v>150</v>
      </c>
      <c r="AF244" s="3" t="n">
        <f aca="false">17+14/60</f>
        <v>17.2333333333333</v>
      </c>
      <c r="AG244" s="3" t="n">
        <f aca="false">17+35/60</f>
        <v>17.5833333333333</v>
      </c>
      <c r="AH244" s="3" t="n">
        <f aca="false">23+3/60</f>
        <v>23.05</v>
      </c>
      <c r="AI244" s="3" t="n">
        <f aca="false">24+11/60</f>
        <v>24.1833333333333</v>
      </c>
      <c r="AJ244" s="3" t="n">
        <f aca="false">19+8/60</f>
        <v>19.1333333333333</v>
      </c>
      <c r="AK244" s="3" t="n">
        <f aca="false">60/2.9</f>
        <v>20.6896551724138</v>
      </c>
      <c r="AP244" s="2" t="n">
        <v>4</v>
      </c>
      <c r="AQ244" s="0" t="n">
        <v>2</v>
      </c>
      <c r="AR244" s="0" t="n">
        <v>0</v>
      </c>
      <c r="AS244" s="0" t="n">
        <v>0</v>
      </c>
      <c r="AT244" s="4" t="n">
        <f aca="false">60*U244-SUM(AU244:AY244)</f>
        <v>0.48333333333332</v>
      </c>
      <c r="AU244" s="3" t="n">
        <f aca="false">1+9/60</f>
        <v>1.15</v>
      </c>
      <c r="AV244" s="3" t="n">
        <f aca="false">68+46/60</f>
        <v>68.7666666666667</v>
      </c>
      <c r="AW244" s="3" t="n">
        <f aca="false">32+19/60</f>
        <v>32.3166666666667</v>
      </c>
      <c r="AX244" s="3" t="n">
        <f aca="false">17/60</f>
        <v>0.283333333333333</v>
      </c>
      <c r="AY244" s="3" t="n">
        <v>0</v>
      </c>
      <c r="AZ244" s="0" t="s">
        <v>58</v>
      </c>
      <c r="BA244" s="0" t="s">
        <v>59</v>
      </c>
      <c r="BB244" s="0" t="n">
        <v>0</v>
      </c>
    </row>
    <row r="245" customFormat="false" ht="12.8" hidden="false" customHeight="false" outlineLevel="0" collapsed="false">
      <c r="A245" s="0" t="n">
        <v>777</v>
      </c>
      <c r="B245" s="1" t="n">
        <v>44123.4583333333</v>
      </c>
      <c r="C245" s="0" t="n">
        <v>0</v>
      </c>
      <c r="D245" s="7" t="s">
        <v>82</v>
      </c>
      <c r="F245" s="7" t="s">
        <v>142</v>
      </c>
      <c r="G245" s="2" t="n">
        <v>56</v>
      </c>
      <c r="H245" s="2" t="n">
        <v>52</v>
      </c>
      <c r="I245" s="2" t="n">
        <v>87</v>
      </c>
      <c r="J245" s="7" t="s">
        <v>120</v>
      </c>
      <c r="K245" s="2" t="n">
        <v>70</v>
      </c>
      <c r="L245" s="2" t="n">
        <v>0</v>
      </c>
    </row>
    <row r="246" customFormat="false" ht="12.8" hidden="false" customHeight="false" outlineLevel="0" collapsed="false">
      <c r="A246" s="0" t="n">
        <v>778</v>
      </c>
      <c r="B246" s="1" t="n">
        <v>44124.5625</v>
      </c>
      <c r="C246" s="0" t="n">
        <v>1</v>
      </c>
      <c r="F246" s="7" t="s">
        <v>139</v>
      </c>
      <c r="G246" s="2" t="n">
        <v>77</v>
      </c>
      <c r="H246" s="2" t="n">
        <v>62</v>
      </c>
      <c r="I246" s="2" t="n">
        <v>60</v>
      </c>
      <c r="J246" s="7" t="s">
        <v>122</v>
      </c>
      <c r="K246" s="2" t="n">
        <v>20</v>
      </c>
      <c r="L246" s="2" t="n">
        <v>0</v>
      </c>
      <c r="M246" s="0" t="s">
        <v>89</v>
      </c>
      <c r="N246" s="0" t="n">
        <v>0</v>
      </c>
      <c r="O246" s="0" t="s">
        <v>136</v>
      </c>
      <c r="P246" s="0" t="s">
        <v>81</v>
      </c>
      <c r="Q246" s="3" t="n">
        <v>6.31</v>
      </c>
      <c r="R246" s="2" t="n">
        <v>643</v>
      </c>
      <c r="S246" s="2" t="n">
        <v>14684</v>
      </c>
      <c r="T246" s="2" t="n">
        <f aca="false">S246-R246</f>
        <v>14041</v>
      </c>
      <c r="U246" s="3" t="n">
        <f aca="false">(60+42)/60</f>
        <v>1.7</v>
      </c>
      <c r="V246" s="3" t="n">
        <f aca="false">(60+53)/60</f>
        <v>1.88333333333333</v>
      </c>
      <c r="W246" s="3" t="n">
        <f aca="false">V246-U246</f>
        <v>0.183333333333333</v>
      </c>
      <c r="X246" s="3" t="n">
        <f aca="false">Q246/U246</f>
        <v>3.71176470588235</v>
      </c>
      <c r="Y246" s="0" t="n">
        <v>1</v>
      </c>
      <c r="Z246" s="3" t="n">
        <f aca="false">Q246/Y246</f>
        <v>6.31</v>
      </c>
      <c r="AA246" s="3" t="n">
        <f aca="false">16+14/60</f>
        <v>16.2333333333333</v>
      </c>
      <c r="AB246" s="2" t="n">
        <v>233</v>
      </c>
      <c r="AC246" s="2" t="n">
        <v>673</v>
      </c>
      <c r="AD246" s="2" t="n">
        <v>136</v>
      </c>
      <c r="AE246" s="0" t="n">
        <v>140</v>
      </c>
      <c r="AF246" s="3" t="n">
        <f aca="false">16+8/60</f>
        <v>16.1333333333333</v>
      </c>
      <c r="AG246" s="3" t="n">
        <f aca="false">16+27/60</f>
        <v>16.45</v>
      </c>
      <c r="AH246" s="3" t="n">
        <f aca="false">15+58/60</f>
        <v>15.9666666666667</v>
      </c>
      <c r="AI246" s="3" t="n">
        <f aca="false">16+30/60</f>
        <v>16.5</v>
      </c>
      <c r="AJ246" s="3" t="n">
        <f aca="false">16</f>
        <v>16</v>
      </c>
      <c r="AK246" s="3" t="n">
        <f aca="false">16+18/60</f>
        <v>16.3</v>
      </c>
      <c r="AL246" s="3" t="n">
        <f aca="false">60/3.7</f>
        <v>16.2162162162162</v>
      </c>
      <c r="AP246" s="2" t="n">
        <v>0</v>
      </c>
      <c r="AQ246" s="0" t="n">
        <v>2</v>
      </c>
      <c r="AR246" s="0" t="n">
        <v>1</v>
      </c>
      <c r="AS246" s="0" t="n">
        <v>0</v>
      </c>
      <c r="AT246" s="4" t="n">
        <v>0</v>
      </c>
      <c r="AU246" s="3" t="n">
        <f aca="false">53/60</f>
        <v>0.883333333333333</v>
      </c>
      <c r="AV246" s="3" t="n">
        <f aca="false">6+1/60</f>
        <v>6.01666666666667</v>
      </c>
      <c r="AW246" s="3" t="n">
        <f aca="false">81+35/60</f>
        <v>81.5833333333333</v>
      </c>
      <c r="AX246" s="3" t="n">
        <f aca="false">14+2/60</f>
        <v>14.0333333333333</v>
      </c>
      <c r="AY246" s="3" t="n">
        <v>0</v>
      </c>
      <c r="AZ246" s="0" t="s">
        <v>58</v>
      </c>
      <c r="BA246" s="0" t="s">
        <v>59</v>
      </c>
      <c r="BB246" s="0" t="n">
        <v>0</v>
      </c>
    </row>
    <row r="247" customFormat="false" ht="12.8" hidden="false" customHeight="false" outlineLevel="0" collapsed="false">
      <c r="A247" s="0" t="n">
        <v>779</v>
      </c>
      <c r="B247" s="1" t="n">
        <v>44125.5173611111</v>
      </c>
      <c r="C247" s="0" t="n">
        <v>1</v>
      </c>
      <c r="F247" s="7" t="s">
        <v>116</v>
      </c>
      <c r="G247" s="2" t="n">
        <v>79</v>
      </c>
      <c r="H247" s="2" t="n">
        <v>66</v>
      </c>
      <c r="I247" s="2" t="n">
        <v>64</v>
      </c>
      <c r="J247" s="2" t="s">
        <v>99</v>
      </c>
      <c r="K247" s="2" t="n">
        <v>17</v>
      </c>
      <c r="L247" s="2" t="n">
        <v>29</v>
      </c>
      <c r="M247" s="0" t="s">
        <v>89</v>
      </c>
      <c r="N247" s="0" t="n">
        <v>0</v>
      </c>
      <c r="O247" s="0" t="s">
        <v>136</v>
      </c>
      <c r="P247" s="7" t="s">
        <v>75</v>
      </c>
      <c r="Q247" s="3" t="n">
        <v>4.14</v>
      </c>
      <c r="R247" s="2" t="n">
        <v>878</v>
      </c>
      <c r="S247" s="2" t="n">
        <v>9876</v>
      </c>
      <c r="T247" s="2" t="n">
        <f aca="false">S247-R247</f>
        <v>8998</v>
      </c>
      <c r="U247" s="3" t="n">
        <f aca="false">71/60</f>
        <v>1.18333333333333</v>
      </c>
      <c r="V247" s="3" t="n">
        <f aca="false">75/60</f>
        <v>1.25</v>
      </c>
      <c r="W247" s="3" t="n">
        <f aca="false">V247-U247</f>
        <v>0.0666666666666667</v>
      </c>
      <c r="X247" s="3" t="n">
        <f aca="false">Q247/U247</f>
        <v>3.49859154929577</v>
      </c>
      <c r="Y247" s="0" t="n">
        <v>2</v>
      </c>
      <c r="Z247" s="3" t="n">
        <f aca="false">Q247/Y247</f>
        <v>2.07</v>
      </c>
      <c r="AA247" s="3" t="n">
        <f aca="false">17+15/60</f>
        <v>17.25</v>
      </c>
      <c r="AB247" s="2" t="n">
        <v>545</v>
      </c>
      <c r="AC247" s="2" t="n">
        <v>459</v>
      </c>
      <c r="AD247" s="2" t="n">
        <v>122</v>
      </c>
      <c r="AE247" s="0" t="n">
        <v>152</v>
      </c>
      <c r="AF247" s="3" t="n">
        <f aca="false">17+17/60</f>
        <v>17.2833333333333</v>
      </c>
      <c r="AG247" s="3" t="n">
        <f aca="false">16+17/60</f>
        <v>16.2833333333333</v>
      </c>
      <c r="AH247" s="3" t="n">
        <f aca="false">18+47.6</f>
        <v>65.6</v>
      </c>
      <c r="AI247" s="3" t="n">
        <f aca="false">16+34/60</f>
        <v>16.5666666666667</v>
      </c>
      <c r="AJ247" s="3" t="n">
        <f aca="false">60/3.5</f>
        <v>17.1428571428571</v>
      </c>
      <c r="AP247" s="2" t="n">
        <v>0</v>
      </c>
      <c r="AQ247" s="0" t="n">
        <v>2</v>
      </c>
      <c r="AR247" s="0" t="n">
        <v>0</v>
      </c>
      <c r="AS247" s="0" t="n">
        <v>0</v>
      </c>
      <c r="AT247" s="4" t="n">
        <f aca="false">60*U247-SUM(AU247:AY247)</f>
        <v>0.0033333333333303</v>
      </c>
      <c r="AU247" s="3" t="n">
        <f aca="false">11+33/60</f>
        <v>11.55</v>
      </c>
      <c r="AV247" s="3" t="n">
        <f aca="false">24+27/60</f>
        <v>24.45</v>
      </c>
      <c r="AW247" s="3" t="n">
        <f aca="false">32+43/60</f>
        <v>32.7166666666667</v>
      </c>
      <c r="AX247" s="3" t="n">
        <v>2.28</v>
      </c>
      <c r="AY247" s="3" t="n">
        <v>0</v>
      </c>
      <c r="AZ247" s="0" t="s">
        <v>58</v>
      </c>
      <c r="BA247" s="0" t="s">
        <v>59</v>
      </c>
      <c r="BB247" s="0" t="n">
        <v>0</v>
      </c>
    </row>
    <row r="248" customFormat="false" ht="13.8" hidden="false" customHeight="false" outlineLevel="0" collapsed="false">
      <c r="A248" s="0" t="n">
        <v>780</v>
      </c>
      <c r="B248" s="1" t="n">
        <v>44126.4777777778</v>
      </c>
      <c r="C248" s="0" t="n">
        <v>1</v>
      </c>
      <c r="F248" s="7" t="s">
        <v>116</v>
      </c>
      <c r="G248" s="2" t="n">
        <f aca="false">AVERAGE(82,84,84,86)</f>
        <v>84</v>
      </c>
      <c r="H248" s="2" t="n">
        <f aca="false">AVERAGE(66,66,66,67)</f>
        <v>66.25</v>
      </c>
      <c r="I248" s="2" t="n">
        <f aca="false">AVERAGE(62,59,55,55)</f>
        <v>57.75</v>
      </c>
      <c r="J248" s="2" t="s">
        <v>101</v>
      </c>
      <c r="K248" s="2" t="n">
        <f aca="false">AVERAGE(14,14,16,20)</f>
        <v>16</v>
      </c>
      <c r="L248" s="2" t="n">
        <v>29</v>
      </c>
      <c r="M248" s="0" t="s">
        <v>89</v>
      </c>
      <c r="N248" s="0" t="n">
        <v>0</v>
      </c>
      <c r="O248" s="0" t="s">
        <v>136</v>
      </c>
      <c r="P248" s="13" t="s">
        <v>92</v>
      </c>
      <c r="Q248" s="3" t="n">
        <v>6.94</v>
      </c>
      <c r="R248" s="2" t="n">
        <v>667</v>
      </c>
      <c r="S248" s="2" t="n">
        <v>15896</v>
      </c>
      <c r="T248" s="2" t="n">
        <f aca="false">S248-R248</f>
        <v>15229</v>
      </c>
      <c r="U248" s="3" t="n">
        <f aca="false">(120+2)/60</f>
        <v>2.03333333333333</v>
      </c>
      <c r="V248" s="3" t="n">
        <f aca="false">(120+14)/60</f>
        <v>2.23333333333333</v>
      </c>
      <c r="W248" s="3" t="n">
        <f aca="false">V248-U248</f>
        <v>0.2</v>
      </c>
      <c r="X248" s="3" t="n">
        <f aca="false">Q248/U248</f>
        <v>3.41311475409836</v>
      </c>
      <c r="Y248" s="0" t="n">
        <v>1</v>
      </c>
      <c r="Z248" s="3" t="n">
        <f aca="false">Q248/Y248</f>
        <v>6.94</v>
      </c>
      <c r="AA248" s="3" t="n">
        <f aca="false">17+37/60</f>
        <v>17.6166666666667</v>
      </c>
      <c r="AB248" s="2" t="n">
        <v>761</v>
      </c>
      <c r="AC248" s="2" t="n">
        <v>749</v>
      </c>
      <c r="AD248" s="2" t="n">
        <v>125</v>
      </c>
      <c r="AE248" s="0" t="n">
        <v>149</v>
      </c>
      <c r="AF248" s="3" t="n">
        <f aca="false">17+1/60</f>
        <v>17.0166666666667</v>
      </c>
      <c r="AG248" s="3" t="n">
        <f aca="false">17+17/60</f>
        <v>17.2833333333333</v>
      </c>
      <c r="AH248" s="3" t="n">
        <f aca="false">17+36/60</f>
        <v>17.6</v>
      </c>
      <c r="AI248" s="3" t="n">
        <f aca="false">18+8/60</f>
        <v>18.1333333333333</v>
      </c>
      <c r="AJ248" s="3" t="n">
        <f aca="false">17+36/60</f>
        <v>17.6</v>
      </c>
      <c r="AK248" s="3" t="n">
        <f aca="false">17+17/60</f>
        <v>17.2833333333333</v>
      </c>
      <c r="AL248" s="3" t="n">
        <f aca="false">60/3.3</f>
        <v>18.1818181818182</v>
      </c>
      <c r="AP248" s="2" t="n">
        <v>7</v>
      </c>
      <c r="AQ248" s="0" t="n">
        <v>1</v>
      </c>
      <c r="AR248" s="0" t="n">
        <v>0</v>
      </c>
      <c r="AS248" s="0" t="n">
        <v>0</v>
      </c>
      <c r="AT248" s="4" t="n">
        <f aca="false">60*U248-SUM(AU248:AY248)</f>
        <v>2.78333333333333</v>
      </c>
      <c r="AU248" s="3" t="n">
        <f aca="false">9+10/60</f>
        <v>9.16666666666667</v>
      </c>
      <c r="AV248" s="3" t="n">
        <f aca="false">29+2/60</f>
        <v>29.0333333333333</v>
      </c>
      <c r="AW248" s="3" t="n">
        <f aca="false">79+59/60</f>
        <v>79.9833333333333</v>
      </c>
      <c r="AX248" s="3" t="n">
        <f aca="false">1+2/60</f>
        <v>1.03333333333333</v>
      </c>
      <c r="AY248" s="3" t="n">
        <v>0</v>
      </c>
      <c r="AZ248" s="0" t="s">
        <v>58</v>
      </c>
      <c r="BA248" s="0" t="s">
        <v>59</v>
      </c>
      <c r="BB248" s="0" t="n">
        <v>0</v>
      </c>
    </row>
    <row r="249" customFormat="false" ht="12.8" hidden="false" customHeight="false" outlineLevel="0" collapsed="false">
      <c r="A249" s="0" t="n">
        <v>781</v>
      </c>
      <c r="B249" s="1" t="n">
        <v>44127</v>
      </c>
      <c r="C249" s="0" t="n">
        <v>1</v>
      </c>
      <c r="F249" s="7" t="s">
        <v>134</v>
      </c>
      <c r="G249" s="2" t="n">
        <v>51</v>
      </c>
      <c r="H249" s="2" t="n">
        <v>45</v>
      </c>
      <c r="I249" s="2" t="n">
        <v>83</v>
      </c>
      <c r="J249" s="2" t="s">
        <v>120</v>
      </c>
      <c r="K249" s="2" t="n">
        <v>18</v>
      </c>
      <c r="L249" s="2" t="n">
        <v>0</v>
      </c>
      <c r="M249" s="0" t="s">
        <v>89</v>
      </c>
      <c r="N249" s="0" t="n">
        <v>0</v>
      </c>
      <c r="O249" s="0" t="s">
        <v>136</v>
      </c>
      <c r="P249" s="0" t="s">
        <v>77</v>
      </c>
      <c r="Q249" s="3" t="n">
        <v>4.35</v>
      </c>
      <c r="R249" s="2" t="n">
        <v>459</v>
      </c>
      <c r="S249" s="2" t="n">
        <v>10458</v>
      </c>
      <c r="T249" s="2" t="n">
        <f aca="false">S249-R249</f>
        <v>9999</v>
      </c>
      <c r="U249" s="3" t="n">
        <f aca="false">64/60</f>
        <v>1.06666666666667</v>
      </c>
      <c r="V249" s="3" t="n">
        <f aca="false">79/60</f>
        <v>1.31666666666667</v>
      </c>
      <c r="W249" s="3" t="n">
        <f aca="false">V249-U249</f>
        <v>0.25</v>
      </c>
      <c r="X249" s="3" t="n">
        <f aca="false">Q249/U249</f>
        <v>4.078125</v>
      </c>
      <c r="Y249" s="0" t="n">
        <v>4</v>
      </c>
      <c r="Z249" s="3" t="n">
        <f aca="false">Q249/Y249</f>
        <v>1.0875</v>
      </c>
      <c r="AA249" s="3" t="n">
        <f aca="false">15+37/60</f>
        <v>15.6166666666667</v>
      </c>
      <c r="AB249" s="2" t="n">
        <v>105</v>
      </c>
      <c r="AC249" s="2" t="n">
        <v>465</v>
      </c>
      <c r="AD249" s="2" t="n">
        <v>80</v>
      </c>
      <c r="AE249" s="0" t="n">
        <v>117</v>
      </c>
      <c r="AF249" s="3" t="n">
        <f aca="false">15+32/60</f>
        <v>15.5333333333333</v>
      </c>
      <c r="AG249" s="3" t="n">
        <f aca="false">15+35/60</f>
        <v>15.5833333333333</v>
      </c>
      <c r="AH249" s="3" t="n">
        <f aca="false">15+37/60</f>
        <v>15.6166666666667</v>
      </c>
      <c r="AI249" s="3" t="n">
        <f aca="false">15+39/60</f>
        <v>15.65</v>
      </c>
      <c r="AJ249" s="3" t="n">
        <f aca="false">60/3.8</f>
        <v>15.7894736842105</v>
      </c>
      <c r="AP249" s="2" t="n">
        <v>0</v>
      </c>
      <c r="AQ249" s="0" t="n">
        <v>1</v>
      </c>
      <c r="AR249" s="0" t="n">
        <v>0</v>
      </c>
      <c r="AS249" s="0" t="n">
        <v>0</v>
      </c>
      <c r="AT249" s="4" t="n">
        <f aca="false">60*U249-SUM(AU249:AY249)</f>
        <v>57</v>
      </c>
      <c r="AU249" s="3" t="n">
        <f aca="false">5+36/60</f>
        <v>5.6</v>
      </c>
      <c r="AV249" s="3" t="n">
        <f aca="false">1+24/60</f>
        <v>1.4</v>
      </c>
      <c r="AW249" s="3" t="n">
        <v>0</v>
      </c>
      <c r="AX249" s="3" t="n">
        <v>0</v>
      </c>
      <c r="AY249" s="3" t="n">
        <v>0</v>
      </c>
      <c r="AZ249" s="0" t="s">
        <v>58</v>
      </c>
      <c r="BA249" s="0" t="s">
        <v>59</v>
      </c>
      <c r="BB249" s="0" t="n">
        <v>0</v>
      </c>
    </row>
    <row r="250" customFormat="false" ht="12.8" hidden="false" customHeight="false" outlineLevel="0" collapsed="false">
      <c r="A250" s="0" t="n">
        <v>782</v>
      </c>
      <c r="B250" s="1" t="n">
        <v>44128.4951388889</v>
      </c>
      <c r="C250" s="0" t="n">
        <v>0</v>
      </c>
      <c r="D250" s="0" t="s">
        <v>143</v>
      </c>
      <c r="F250" s="7" t="s">
        <v>121</v>
      </c>
      <c r="G250" s="0" t="n">
        <v>51</v>
      </c>
      <c r="H250" s="0" t="n">
        <v>40</v>
      </c>
      <c r="I250" s="0" t="n">
        <v>61</v>
      </c>
      <c r="J250" s="0" t="s">
        <v>127</v>
      </c>
      <c r="K250" s="0" t="n">
        <v>7</v>
      </c>
      <c r="L250" s="0" t="n">
        <v>0</v>
      </c>
      <c r="M250" s="0" t="s">
        <v>89</v>
      </c>
    </row>
    <row r="251" customFormat="false" ht="12.8" hidden="false" customHeight="false" outlineLevel="0" collapsed="false">
      <c r="A251" s="0" t="n">
        <v>783</v>
      </c>
      <c r="B251" s="1" t="n">
        <v>44129.4951388889</v>
      </c>
      <c r="C251" s="0" t="n">
        <v>0</v>
      </c>
      <c r="D251" s="0" t="s">
        <v>69</v>
      </c>
      <c r="F251" s="7" t="s">
        <v>134</v>
      </c>
      <c r="G251" s="2" t="n">
        <v>59</v>
      </c>
      <c r="H251" s="2" t="n">
        <v>55</v>
      </c>
      <c r="I251" s="2" t="n">
        <v>87</v>
      </c>
      <c r="J251" s="7" t="s">
        <v>117</v>
      </c>
      <c r="K251" s="2" t="n">
        <v>12</v>
      </c>
      <c r="L251" s="2" t="n">
        <v>0</v>
      </c>
      <c r="M251" s="0" t="s">
        <v>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2238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2020-10-25T16:46:01Z</dcterms:modified>
  <cp:revision>141</cp:revision>
  <dc:subject/>
  <dc:title/>
</cp:coreProperties>
</file>