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9" i="1" l="1"/>
  <c r="AB59" i="1"/>
  <c r="AA59" i="1"/>
  <c r="Z59" i="1"/>
  <c r="Y59" i="1"/>
  <c r="X59" i="1"/>
  <c r="R59" i="1"/>
  <c r="Q59" i="1"/>
  <c r="O59" i="1"/>
  <c r="N59" i="1"/>
  <c r="M59" i="1"/>
  <c r="A59" i="1"/>
  <c r="Z58" i="1"/>
  <c r="Y58" i="1"/>
  <c r="X58" i="1"/>
  <c r="R58" i="1"/>
  <c r="Q58" i="1"/>
  <c r="O58" i="1"/>
  <c r="O57" i="1"/>
  <c r="N58" i="1"/>
  <c r="A58" i="1"/>
  <c r="AB57" i="1" l="1"/>
  <c r="AA57" i="1"/>
  <c r="Z57" i="1"/>
  <c r="Y57" i="1"/>
  <c r="X57" i="1"/>
  <c r="R57" i="1"/>
  <c r="N57" i="1"/>
  <c r="Q57" i="1"/>
  <c r="AC56" i="1" l="1"/>
  <c r="AB56" i="1"/>
  <c r="AA56" i="1"/>
  <c r="Z56" i="1"/>
  <c r="X56" i="1"/>
  <c r="Y56" i="1"/>
  <c r="R56" i="1"/>
  <c r="Q56" i="1"/>
  <c r="N56" i="1"/>
  <c r="O56" i="1" s="1"/>
  <c r="AA55" i="1" l="1"/>
  <c r="Z55" i="1"/>
  <c r="Y55" i="1"/>
  <c r="X55" i="1"/>
  <c r="R55" i="1"/>
  <c r="Q55" i="1"/>
  <c r="N55" i="1"/>
  <c r="O55" i="1" s="1"/>
  <c r="AB54" i="1" l="1"/>
  <c r="AA54" i="1"/>
  <c r="Z54" i="1"/>
  <c r="Y54" i="1"/>
  <c r="X54" i="1"/>
  <c r="R54" i="1"/>
  <c r="Q54" i="1"/>
  <c r="O54" i="1"/>
  <c r="N54" i="1"/>
  <c r="AB51" i="1" l="1"/>
  <c r="AA51" i="1"/>
  <c r="Z51" i="1"/>
  <c r="Y51" i="1"/>
  <c r="X51" i="1"/>
  <c r="V51" i="1"/>
  <c r="R51" i="1"/>
  <c r="Q51" i="1"/>
  <c r="N51" i="1"/>
  <c r="O51" i="1" s="1"/>
  <c r="M51" i="1"/>
  <c r="AB50" i="1" l="1"/>
  <c r="AA50" i="1"/>
  <c r="Z50" i="1"/>
  <c r="Y50" i="1"/>
  <c r="X50" i="1"/>
  <c r="R50" i="1"/>
  <c r="Q50" i="1"/>
  <c r="O50" i="1"/>
  <c r="N50" i="1"/>
  <c r="N49" i="1"/>
  <c r="O49" i="1"/>
  <c r="R49" i="1"/>
  <c r="X49" i="1"/>
  <c r="Y49" i="1"/>
  <c r="Z49" i="1"/>
  <c r="AA49" i="1"/>
  <c r="AB48" i="1" l="1"/>
  <c r="AA48" i="1"/>
  <c r="Z48" i="1"/>
  <c r="Y48" i="1"/>
  <c r="X48" i="1"/>
  <c r="R48" i="1"/>
  <c r="Q48" i="1"/>
  <c r="N48" i="1"/>
  <c r="O48" i="1" s="1"/>
  <c r="AC47" i="1" l="1"/>
  <c r="AB47" i="1"/>
  <c r="AA47" i="1"/>
  <c r="Z47" i="1"/>
  <c r="Y47" i="1"/>
  <c r="X47" i="1"/>
  <c r="N47" i="1"/>
  <c r="O47" i="1"/>
  <c r="R47" i="1"/>
  <c r="Q47" i="1"/>
  <c r="AB43" i="1" l="1"/>
  <c r="AA43" i="1"/>
  <c r="Z43" i="1"/>
  <c r="Y43" i="1"/>
  <c r="X43" i="1"/>
  <c r="R43" i="1"/>
  <c r="Q43" i="1"/>
  <c r="O43" i="1"/>
  <c r="N43" i="1"/>
  <c r="AC42" i="1" l="1"/>
  <c r="AD42" i="1"/>
  <c r="AB42" i="1"/>
  <c r="AA42" i="1"/>
  <c r="Z42" i="1"/>
  <c r="Y42" i="1"/>
  <c r="X42" i="1"/>
  <c r="R42" i="1"/>
  <c r="Q42" i="1"/>
  <c r="N42" i="1"/>
  <c r="O42" i="1" s="1"/>
  <c r="AD41" i="1" l="1"/>
  <c r="AC41" i="1"/>
  <c r="AB41" i="1"/>
  <c r="AA41" i="1"/>
  <c r="Z41" i="1"/>
  <c r="Y41" i="1"/>
  <c r="X41" i="1"/>
  <c r="R41" i="1"/>
  <c r="Q41" i="1"/>
  <c r="N41" i="1"/>
  <c r="O41" i="1" s="1"/>
  <c r="AD38" i="1" l="1"/>
  <c r="AC38" i="1"/>
  <c r="AB38" i="1"/>
  <c r="AA38" i="1"/>
  <c r="Z38" i="1"/>
  <c r="Y38" i="1"/>
  <c r="X38" i="1"/>
  <c r="R38" i="1"/>
  <c r="Q38" i="1"/>
  <c r="N38" i="1"/>
  <c r="O38" i="1" s="1"/>
  <c r="AB37" i="1" l="1"/>
  <c r="AA37" i="1"/>
  <c r="Z37" i="1"/>
  <c r="Y37" i="1"/>
  <c r="X37" i="1"/>
  <c r="R37" i="1"/>
  <c r="Q37" i="1"/>
  <c r="O37" i="1"/>
  <c r="N37" i="1"/>
  <c r="AB36" i="1"/>
  <c r="AA36" i="1"/>
  <c r="Z36" i="1"/>
  <c r="Y36" i="1"/>
  <c r="X36" i="1"/>
  <c r="R36" i="1"/>
  <c r="Q36" i="1"/>
  <c r="N36" i="1"/>
  <c r="O36" i="1" s="1"/>
  <c r="AB35" i="1" l="1"/>
  <c r="AA35" i="1"/>
  <c r="Z35" i="1"/>
  <c r="Y35" i="1"/>
  <c r="X35" i="1"/>
  <c r="R35" i="1"/>
  <c r="Q35" i="1"/>
  <c r="N35" i="1"/>
  <c r="O35" i="1" s="1"/>
  <c r="AB34" i="1" l="1"/>
  <c r="AA34" i="1"/>
  <c r="Z34" i="1"/>
  <c r="Y34" i="1"/>
  <c r="X34" i="1"/>
  <c r="R34" i="1"/>
  <c r="Q34" i="1"/>
  <c r="O34" i="1"/>
  <c r="N34" i="1"/>
  <c r="AB33" i="1" l="1"/>
  <c r="AA33" i="1"/>
  <c r="Z33" i="1"/>
  <c r="Y33" i="1"/>
  <c r="X33" i="1"/>
  <c r="R33" i="1"/>
  <c r="Q33" i="1"/>
  <c r="O33" i="1"/>
  <c r="N33" i="1"/>
  <c r="AB32" i="1" l="1"/>
  <c r="AA32" i="1"/>
  <c r="Z32" i="1"/>
  <c r="Y32" i="1"/>
  <c r="X32" i="1"/>
  <c r="R32" i="1"/>
  <c r="Q32" i="1"/>
  <c r="O32" i="1"/>
  <c r="N32" i="1"/>
  <c r="AB31" i="1" l="1"/>
  <c r="AA31" i="1"/>
  <c r="Z31" i="1"/>
  <c r="Y31" i="1"/>
  <c r="X31" i="1"/>
  <c r="R31" i="1"/>
  <c r="Q31" i="1"/>
  <c r="O31" i="1"/>
  <c r="N31" i="1"/>
  <c r="AB30" i="1" l="1"/>
  <c r="AA30" i="1"/>
  <c r="Z30" i="1"/>
  <c r="Y30" i="1"/>
  <c r="X30" i="1"/>
  <c r="R30" i="1"/>
  <c r="Q30" i="1"/>
  <c r="O30" i="1"/>
  <c r="N30" i="1"/>
  <c r="AB28" i="1" l="1"/>
  <c r="AA28" i="1"/>
  <c r="Z28" i="1"/>
  <c r="Y28" i="1"/>
  <c r="X28" i="1"/>
  <c r="R28" i="1"/>
  <c r="Q28" i="1"/>
  <c r="O28" i="1"/>
  <c r="N28" i="1"/>
  <c r="AC27" i="1" l="1"/>
  <c r="AB27" i="1"/>
  <c r="AA27" i="1"/>
  <c r="Z27" i="1"/>
  <c r="Y27" i="1"/>
  <c r="X27" i="1"/>
  <c r="R27" i="1"/>
  <c r="Q27" i="1"/>
  <c r="N27" i="1"/>
  <c r="O27" i="1" s="1"/>
  <c r="AB26" i="1" l="1"/>
  <c r="AA26" i="1"/>
  <c r="Z26" i="1"/>
  <c r="Y26" i="1"/>
  <c r="X26" i="1"/>
  <c r="R26" i="1"/>
  <c r="Q26" i="1"/>
  <c r="O26" i="1"/>
  <c r="N26" i="1"/>
  <c r="AC22" i="1" l="1"/>
  <c r="AA22" i="1"/>
  <c r="AB22" i="1"/>
  <c r="Z22" i="1"/>
  <c r="Y22" i="1"/>
  <c r="X22" i="1"/>
  <c r="R22" i="1"/>
  <c r="Q22" i="1"/>
  <c r="N22" i="1"/>
  <c r="O22" i="1" s="1"/>
  <c r="AA24" i="1"/>
  <c r="Z24" i="1"/>
  <c r="Y24" i="1"/>
  <c r="X24" i="1"/>
  <c r="S24" i="1"/>
  <c r="N24" i="1"/>
  <c r="O24" i="1" s="1"/>
  <c r="R24" i="1"/>
  <c r="Q24" i="1"/>
  <c r="AA21" i="1" l="1"/>
  <c r="Z21" i="1"/>
  <c r="Y21" i="1"/>
  <c r="X21" i="1"/>
  <c r="R21" i="1"/>
  <c r="Q21" i="1"/>
  <c r="N21" i="1"/>
  <c r="O21" i="1" s="1"/>
  <c r="AB2" i="1" l="1"/>
  <c r="AA2" i="1"/>
  <c r="Z2" i="1"/>
  <c r="Y2" i="1"/>
  <c r="X2" i="1"/>
  <c r="R2" i="1"/>
  <c r="AB20" i="1"/>
  <c r="AA20" i="1"/>
  <c r="Z20" i="1"/>
  <c r="Y20" i="1"/>
  <c r="X20" i="1"/>
  <c r="R20" i="1"/>
  <c r="N20" i="1"/>
  <c r="O20" i="1" s="1"/>
  <c r="Q20" i="1"/>
  <c r="Q19" i="1"/>
  <c r="M20" i="1"/>
  <c r="R19" i="1"/>
  <c r="N19" i="1"/>
  <c r="O19" i="1" s="1"/>
  <c r="Q3" i="1" l="1"/>
  <c r="A4" i="1"/>
  <c r="A3" i="1" s="1"/>
  <c r="B5" i="1" l="1"/>
  <c r="AB17" i="1"/>
  <c r="AA17" i="1"/>
  <c r="Z17" i="1"/>
  <c r="Y17" i="1"/>
  <c r="X17" i="1"/>
  <c r="R17" i="1"/>
  <c r="O17" i="1"/>
  <c r="N17" i="1"/>
  <c r="A6" i="1" l="1"/>
  <c r="AC16" i="1"/>
  <c r="AB16" i="1"/>
  <c r="AA16" i="1"/>
  <c r="Z16" i="1"/>
  <c r="Y16" i="1"/>
  <c r="X16" i="1"/>
  <c r="R16" i="1"/>
  <c r="Q16" i="1"/>
  <c r="N16" i="1"/>
  <c r="O16" i="1" s="1"/>
  <c r="AB15" i="1" l="1"/>
  <c r="AA15" i="1"/>
  <c r="Z15" i="1"/>
  <c r="Y15" i="1"/>
  <c r="X15" i="1"/>
  <c r="R15" i="1"/>
  <c r="Q15" i="1"/>
  <c r="O15" i="1"/>
  <c r="N15" i="1"/>
  <c r="M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C14" i="1" l="1"/>
  <c r="AB14" i="1"/>
  <c r="AA14" i="1"/>
  <c r="Z14" i="1"/>
  <c r="Y14" i="1"/>
  <c r="X14" i="1"/>
  <c r="R14" i="1"/>
  <c r="Q14" i="1"/>
  <c r="N14" i="1"/>
  <c r="O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R9" i="1"/>
  <c r="Q9" i="1"/>
  <c r="O9" i="1"/>
  <c r="N9" i="1"/>
  <c r="AB8" i="1"/>
  <c r="AA8" i="1"/>
  <c r="Z8" i="1"/>
  <c r="Y8" i="1"/>
  <c r="X8" i="1"/>
  <c r="R8" i="1"/>
  <c r="N8" i="1"/>
  <c r="Q8" i="1" s="1"/>
  <c r="A7" i="1"/>
  <c r="A8" i="1" s="1"/>
  <c r="A9" i="1" s="1"/>
  <c r="O8" i="1" l="1"/>
  <c r="AC6" i="1"/>
  <c r="AB6" i="1"/>
  <c r="AA6" i="1"/>
  <c r="Z6" i="1"/>
  <c r="Y6" i="1"/>
  <c r="X6" i="1"/>
  <c r="R6" i="1"/>
  <c r="Q6" i="1"/>
  <c r="N6" i="1"/>
  <c r="O6" i="1" s="1"/>
  <c r="Z7" i="1"/>
  <c r="Y7" i="1"/>
  <c r="X7" i="1"/>
  <c r="R7" i="1"/>
  <c r="P7" i="1"/>
  <c r="Q7" i="1" s="1"/>
  <c r="N7" i="1"/>
  <c r="O7" i="1" s="1"/>
  <c r="M7" i="1"/>
  <c r="B4" i="1"/>
  <c r="B3" i="1" s="1"/>
</calcChain>
</file>

<file path=xl/sharedStrings.xml><?xml version="1.0" encoding="utf-8"?>
<sst xmlns="http://schemas.openxmlformats.org/spreadsheetml/2006/main" count="278" uniqueCount="74">
  <si>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</si>
  <si>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</si>
  <si>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</si>
  <si>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</si>
  <si>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</si>
  <si>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</si>
  <si>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</si>
  <si>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</si>
  <si>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</si>
  <si>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</si>
  <si>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</si>
  <si>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</si>
  <si>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</si>
  <si>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</si>
  <si>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</si>
  <si>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</si>
  <si>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</si>
  <si>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</si>
  <si>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</si>
  <si>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</si>
  <si>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</si>
  <si>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</si>
  <si>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</si>
  <si>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</si>
  <si>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</si>
  <si>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</si>
  <si>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</si>
  <si>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</si>
  <si>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</si>
  <si>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</si>
  <si>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</si>
  <si>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</si>
  <si>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</si>
  <si>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</si>
  <si>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</si>
  <si>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</si>
  <si>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</si>
  <si>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</si>
  <si>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</si>
  <si>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</si>
  <si>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</si>
  <si>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</si>
  <si>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</si>
  <si>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</si>
  <si>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</si>
  <si>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</si>
  <si>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</si>
  <si>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</si>
  <si>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</si>
  <si>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</si>
  <si>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</si>
  <si>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</si>
  <si>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</si>
  <si>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</si>
  <si>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</si>
  <si>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</si>
  <si>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</si>
  <si>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</si>
  <si>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</si>
  <si>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</si>
  <si>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</si>
  <si>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</si>
  <si>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</si>
  <si>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</si>
  <si>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</si>
  <si>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</si>
  <si>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net_floors</t>
  </si>
  <si>
    <t>Forecast rain</t>
  </si>
  <si>
    <t>date_time</t>
  </si>
  <si>
    <t>ymd_hms(</t>
  </si>
  <si>
    <t>River Legacy North East</t>
  </si>
  <si>
    <t>start_steps</t>
  </si>
  <si>
    <t>end_steps</t>
  </si>
  <si>
    <t>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</si>
</sst>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tabSelected="1" topLeftCell="T1" zoomScale="115" zoomScaleNormal="115" workbookViewId="0">
      <pane ySplit="1" topLeftCell="A39" activePane="bottomLeft" state="frozen"/>
      <selection activeCell="B1" sqref="B1"/>
      <selection pane="bottomLeft" activeCell="AI59" sqref="AI59"/>
    </sheetView>
  </sheetViews>
  <sheetFormatPr defaultRowHeight="15" x14ac:dyDescent="0.25"/>
  <cols>
    <col min="2" max="2" width="17.42578125" style="21" customWidth="1"/>
    <col min="4" max="4" width="17.85546875" customWidth="1"/>
    <col min="5" max="5" width="20" customWidth="1"/>
    <col min="8" max="8" width="9.85546875" customWidth="1"/>
    <col min="9" max="9" width="26" customWidth="1"/>
    <col min="10" max="10" width="9.140625" style="1"/>
    <col min="11" max="11" width="10.85546875" style="20" customWidth="1"/>
    <col min="12" max="12" width="9.140625" style="20"/>
    <col min="14" max="15" width="9.140625" style="1"/>
    <col min="17" max="18" width="9.140625" style="1"/>
    <col min="19" max="22" width="9.140625" style="20"/>
    <col min="24" max="30" width="9.140625" style="1"/>
    <col min="34" max="34" width="18.57031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1" t="s">
        <v>68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t="s">
        <v>29</v>
      </c>
      <c r="I1" t="s">
        <v>5</v>
      </c>
      <c r="J1" s="1" t="s">
        <v>6</v>
      </c>
      <c r="K1" s="20" t="s">
        <v>71</v>
      </c>
      <c r="L1" s="20" t="s">
        <v>72</v>
      </c>
      <c r="M1" t="s">
        <v>7</v>
      </c>
      <c r="N1" s="1" t="s">
        <v>8</v>
      </c>
      <c r="O1" s="1" t="s">
        <v>9</v>
      </c>
      <c r="P1" t="s">
        <v>10</v>
      </c>
      <c r="Q1" s="1" t="s">
        <v>11</v>
      </c>
      <c r="R1" s="1" t="s">
        <v>12</v>
      </c>
      <c r="S1" s="20" t="s">
        <v>13</v>
      </c>
      <c r="T1" s="20" t="s">
        <v>66</v>
      </c>
      <c r="U1" s="20" t="s">
        <v>73</v>
      </c>
      <c r="V1" s="20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1">
        <v>43882</v>
      </c>
      <c r="C2" s="18">
        <v>1</v>
      </c>
      <c r="E2" s="18" t="s">
        <v>52</v>
      </c>
      <c r="F2" s="18">
        <v>54</v>
      </c>
      <c r="G2" s="18">
        <v>98</v>
      </c>
      <c r="H2" s="18" t="s">
        <v>35</v>
      </c>
      <c r="I2" s="18" t="s">
        <v>30</v>
      </c>
      <c r="J2" s="18">
        <v>5.19</v>
      </c>
      <c r="K2" s="20"/>
      <c r="L2" s="20"/>
      <c r="N2" s="1">
        <v>1.55</v>
      </c>
      <c r="O2" s="18">
        <v>3.35</v>
      </c>
      <c r="P2" s="18">
        <v>3</v>
      </c>
      <c r="Q2" s="18">
        <v>1.73</v>
      </c>
      <c r="R2" s="1">
        <f>16+46/60</f>
        <v>16.766666666666666</v>
      </c>
      <c r="S2" s="20">
        <v>220</v>
      </c>
      <c r="T2" s="20"/>
      <c r="U2" s="20">
        <v>667</v>
      </c>
      <c r="V2" s="20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47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1">
        <f>B4-1</f>
        <v>43883</v>
      </c>
      <c r="C3" s="10">
        <v>1</v>
      </c>
      <c r="E3" s="12" t="s">
        <v>45</v>
      </c>
      <c r="F3" s="13">
        <v>77</v>
      </c>
      <c r="G3" s="13">
        <v>42</v>
      </c>
      <c r="H3" s="14" t="s">
        <v>35</v>
      </c>
      <c r="I3" s="16" t="s">
        <v>51</v>
      </c>
      <c r="J3" s="16">
        <v>5.62</v>
      </c>
      <c r="K3" s="20"/>
      <c r="L3" s="20"/>
      <c r="N3" s="1">
        <v>1.53</v>
      </c>
      <c r="O3" s="1">
        <v>3.93</v>
      </c>
      <c r="P3" s="10">
        <v>2</v>
      </c>
      <c r="Q3" s="1">
        <f>J3/P3</f>
        <v>2.81</v>
      </c>
      <c r="R3" s="17">
        <v>16.350000000000001</v>
      </c>
      <c r="S3" s="20">
        <v>125</v>
      </c>
      <c r="T3" s="20"/>
      <c r="U3" s="20">
        <v>943</v>
      </c>
      <c r="V3" s="20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8"/>
      <c r="AF3" s="18">
        <v>1</v>
      </c>
      <c r="AG3" s="18">
        <v>0</v>
      </c>
      <c r="AH3" s="18" t="s">
        <v>47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1">
        <f>B5-1</f>
        <v>43884</v>
      </c>
      <c r="C4">
        <v>1</v>
      </c>
      <c r="E4" s="18" t="s">
        <v>33</v>
      </c>
      <c r="F4" s="4">
        <v>74</v>
      </c>
      <c r="G4" s="4">
        <v>64</v>
      </c>
      <c r="H4" s="15" t="s">
        <v>35</v>
      </c>
      <c r="I4" s="5" t="s">
        <v>49</v>
      </c>
      <c r="J4" s="7">
        <v>4.91</v>
      </c>
      <c r="M4" s="7"/>
      <c r="N4" s="1">
        <v>1.25</v>
      </c>
      <c r="O4" s="7">
        <v>3.93</v>
      </c>
      <c r="P4" s="7">
        <v>2</v>
      </c>
      <c r="Q4" s="7">
        <v>2.46</v>
      </c>
      <c r="R4" s="8">
        <v>17.28</v>
      </c>
      <c r="S4" s="20">
        <v>269</v>
      </c>
      <c r="U4" s="20">
        <v>648</v>
      </c>
      <c r="V4" s="20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E4" s="1"/>
      <c r="AF4" s="10">
        <v>1</v>
      </c>
      <c r="AG4" s="10">
        <v>0</v>
      </c>
      <c r="AH4" s="10" t="s">
        <v>47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1">
        <f>B6-1</f>
        <v>43885</v>
      </c>
      <c r="C5">
        <v>1</v>
      </c>
      <c r="E5" t="s">
        <v>46</v>
      </c>
      <c r="F5">
        <v>50</v>
      </c>
      <c r="G5">
        <v>60</v>
      </c>
      <c r="H5" t="s">
        <v>35</v>
      </c>
      <c r="I5" t="s">
        <v>30</v>
      </c>
      <c r="J5">
        <v>5.47</v>
      </c>
      <c r="M5">
        <v>12521</v>
      </c>
      <c r="N5" s="1">
        <v>1.58</v>
      </c>
      <c r="O5">
        <v>3.45</v>
      </c>
      <c r="P5">
        <v>4</v>
      </c>
      <c r="Q5">
        <v>1.37</v>
      </c>
      <c r="R5">
        <v>17.399999999999999</v>
      </c>
      <c r="S5" s="20">
        <v>54</v>
      </c>
      <c r="U5" s="20">
        <v>1095</v>
      </c>
      <c r="V5" s="20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>
        <v>0</v>
      </c>
      <c r="AI5" t="s">
        <v>47</v>
      </c>
      <c r="AJ5" t="s">
        <v>32</v>
      </c>
      <c r="AK5">
        <v>0</v>
      </c>
    </row>
    <row r="6" spans="1:37" x14ac:dyDescent="0.25">
      <c r="A6">
        <f>A5+1</f>
        <v>540</v>
      </c>
      <c r="B6" s="21">
        <v>43886</v>
      </c>
      <c r="C6">
        <v>1</v>
      </c>
      <c r="E6" t="s">
        <v>33</v>
      </c>
      <c r="F6">
        <v>62</v>
      </c>
      <c r="G6">
        <v>80</v>
      </c>
      <c r="H6" t="s">
        <v>35</v>
      </c>
      <c r="I6" t="s">
        <v>34</v>
      </c>
      <c r="J6" s="1">
        <v>5.49</v>
      </c>
      <c r="N6" s="1">
        <f>87/60</f>
        <v>1.45</v>
      </c>
      <c r="O6" s="1">
        <f>J6/N6</f>
        <v>3.7862068965517244</v>
      </c>
      <c r="P6">
        <v>1</v>
      </c>
      <c r="Q6" s="1">
        <f>J6/P6</f>
        <v>5.49</v>
      </c>
      <c r="R6" s="1">
        <f>15+45/60</f>
        <v>15.75</v>
      </c>
      <c r="S6" s="20">
        <v>30</v>
      </c>
      <c r="U6" s="20">
        <v>965</v>
      </c>
      <c r="V6" s="20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1">
        <v>43887</v>
      </c>
      <c r="C7">
        <v>1</v>
      </c>
      <c r="E7" t="s">
        <v>33</v>
      </c>
      <c r="F7">
        <v>44</v>
      </c>
      <c r="G7">
        <v>45</v>
      </c>
      <c r="H7" t="s">
        <v>35</v>
      </c>
      <c r="I7" s="18" t="s">
        <v>30</v>
      </c>
      <c r="J7" s="1">
        <v>2.86</v>
      </c>
      <c r="M7">
        <f>9769-843</f>
        <v>8926</v>
      </c>
      <c r="N7" s="1">
        <f>79/60</f>
        <v>1.3166666666666667</v>
      </c>
      <c r="O7" s="1">
        <f>J7/N7</f>
        <v>2.1721518987341772</v>
      </c>
      <c r="P7">
        <f>2</f>
        <v>2</v>
      </c>
      <c r="Q7" s="1">
        <f>J7/P7</f>
        <v>1.43</v>
      </c>
      <c r="R7" s="1">
        <f>27+34/60</f>
        <v>27.566666666666666</v>
      </c>
      <c r="S7" s="20">
        <v>54</v>
      </c>
      <c r="U7" s="20">
        <v>649</v>
      </c>
      <c r="V7" s="20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1">
        <v>43888</v>
      </c>
      <c r="C8">
        <v>1</v>
      </c>
      <c r="E8" t="s">
        <v>33</v>
      </c>
      <c r="F8">
        <v>54</v>
      </c>
      <c r="G8">
        <v>29</v>
      </c>
      <c r="H8" t="s">
        <v>38</v>
      </c>
      <c r="I8" t="s">
        <v>37</v>
      </c>
      <c r="J8" s="1">
        <v>4.6100000000000003</v>
      </c>
      <c r="M8">
        <v>9972</v>
      </c>
      <c r="N8" s="1">
        <f>73/60</f>
        <v>1.2166666666666666</v>
      </c>
      <c r="O8" s="1">
        <f>J8/N8</f>
        <v>3.7890410958904117</v>
      </c>
      <c r="P8">
        <v>1</v>
      </c>
      <c r="Q8" s="1">
        <f>J8/N8</f>
        <v>3.7890410958904117</v>
      </c>
      <c r="R8" s="1">
        <f>15+52/60</f>
        <v>15.866666666666667</v>
      </c>
      <c r="S8" s="20">
        <v>174</v>
      </c>
      <c r="U8" s="20">
        <v>630</v>
      </c>
      <c r="V8" s="20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1">
        <f>B8+1</f>
        <v>43889</v>
      </c>
      <c r="C9">
        <v>1</v>
      </c>
      <c r="E9" t="s">
        <v>33</v>
      </c>
      <c r="F9">
        <v>52</v>
      </c>
      <c r="G9">
        <v>45</v>
      </c>
      <c r="H9" t="s">
        <v>38</v>
      </c>
      <c r="I9" t="s">
        <v>39</v>
      </c>
      <c r="J9" s="1">
        <v>4.24</v>
      </c>
      <c r="M9">
        <v>10059</v>
      </c>
      <c r="N9" s="1">
        <f>68/60</f>
        <v>1.1333333333333333</v>
      </c>
      <c r="O9" s="1">
        <f>J9/N9</f>
        <v>3.7411764705882358</v>
      </c>
      <c r="P9">
        <v>1</v>
      </c>
      <c r="Q9" s="1">
        <f>J9/P9</f>
        <v>4.24</v>
      </c>
      <c r="R9" s="1">
        <f>15+56/60</f>
        <v>15.933333333333334</v>
      </c>
      <c r="S9" s="20">
        <v>33</v>
      </c>
      <c r="U9" s="20">
        <v>387</v>
      </c>
      <c r="V9" s="20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1">
        <f>B9+1</f>
        <v>43890</v>
      </c>
      <c r="C10">
        <v>0</v>
      </c>
      <c r="D10" t="s">
        <v>55</v>
      </c>
      <c r="E10" t="s">
        <v>33</v>
      </c>
      <c r="F10">
        <v>74</v>
      </c>
      <c r="G10">
        <v>25</v>
      </c>
      <c r="H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50</v>
      </c>
    </row>
    <row r="11" spans="1:37" x14ac:dyDescent="0.25">
      <c r="A11">
        <f>A10+1</f>
        <v>544</v>
      </c>
      <c r="B11" s="21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1">
        <f t="shared" ref="B12:B14" si="1">B11+1</f>
        <v>43892</v>
      </c>
      <c r="C12">
        <v>0</v>
      </c>
      <c r="D12" t="s">
        <v>54</v>
      </c>
    </row>
    <row r="13" spans="1:37" x14ac:dyDescent="0.25">
      <c r="A13">
        <f t="shared" si="0"/>
        <v>546</v>
      </c>
      <c r="B13" s="21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1">
        <f t="shared" si="1"/>
        <v>43894</v>
      </c>
      <c r="C14">
        <v>1</v>
      </c>
      <c r="E14" s="3" t="s">
        <v>42</v>
      </c>
      <c r="F14">
        <v>49</v>
      </c>
      <c r="G14">
        <v>72</v>
      </c>
      <c r="H14" t="s">
        <v>35</v>
      </c>
      <c r="I14" s="18" t="s">
        <v>30</v>
      </c>
      <c r="J14" s="1">
        <v>5.05</v>
      </c>
      <c r="M14">
        <v>11922</v>
      </c>
      <c r="N14" s="1">
        <f>92/60</f>
        <v>1.5333333333333334</v>
      </c>
      <c r="O14" s="1">
        <f>J14/N14</f>
        <v>3.293478260869565</v>
      </c>
      <c r="P14">
        <v>3</v>
      </c>
      <c r="Q14" s="1">
        <f>J14/P14</f>
        <v>1.6833333333333333</v>
      </c>
      <c r="R14" s="1">
        <f>18+19/60</f>
        <v>18.316666666666666</v>
      </c>
      <c r="S14" s="20">
        <v>54</v>
      </c>
      <c r="U14" s="20">
        <v>415</v>
      </c>
      <c r="V14" s="20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1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H15" t="s">
        <v>38</v>
      </c>
      <c r="I15" t="s">
        <v>44</v>
      </c>
      <c r="J15" s="1">
        <v>4.4800000000000004</v>
      </c>
      <c r="M15">
        <f>10056-560</f>
        <v>9496</v>
      </c>
      <c r="N15" s="1">
        <f>72/60</f>
        <v>1.2</v>
      </c>
      <c r="O15" s="1">
        <f>J15/N15</f>
        <v>3.7333333333333338</v>
      </c>
      <c r="P15">
        <v>1</v>
      </c>
      <c r="Q15" s="1">
        <f>J15/P15</f>
        <v>4.4800000000000004</v>
      </c>
      <c r="R15" s="1">
        <f>15+59/60</f>
        <v>15.983333333333333</v>
      </c>
      <c r="S15" s="20">
        <v>105</v>
      </c>
      <c r="U15" s="20">
        <v>515</v>
      </c>
      <c r="V15" s="20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1">
        <f t="shared" si="2"/>
        <v>43896</v>
      </c>
      <c r="C16">
        <v>1</v>
      </c>
      <c r="E16" s="18" t="s">
        <v>33</v>
      </c>
      <c r="F16">
        <v>64</v>
      </c>
      <c r="G16">
        <v>19</v>
      </c>
      <c r="H16" t="s">
        <v>38</v>
      </c>
      <c r="I16" t="s">
        <v>51</v>
      </c>
      <c r="J16" s="1">
        <v>5.8</v>
      </c>
      <c r="M16">
        <v>11898</v>
      </c>
      <c r="N16" s="1">
        <f>1+29/60</f>
        <v>1.4833333333333334</v>
      </c>
      <c r="O16" s="1">
        <f>J16/N16</f>
        <v>3.9101123595505616</v>
      </c>
      <c r="P16">
        <v>2</v>
      </c>
      <c r="Q16" s="1">
        <f>J16/P16</f>
        <v>2.9</v>
      </c>
      <c r="R16" s="1">
        <f>15+21/60</f>
        <v>15.35</v>
      </c>
      <c r="S16" s="20">
        <v>148</v>
      </c>
      <c r="U16" s="20">
        <v>697</v>
      </c>
      <c r="V16" s="20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1">
        <f t="shared" si="2"/>
        <v>43897</v>
      </c>
      <c r="C17">
        <v>1</v>
      </c>
      <c r="E17" t="s">
        <v>33</v>
      </c>
      <c r="F17">
        <v>61</v>
      </c>
      <c r="G17">
        <v>34</v>
      </c>
      <c r="H17" t="s">
        <v>38</v>
      </c>
      <c r="I17" t="s">
        <v>48</v>
      </c>
      <c r="J17" s="1">
        <v>4.47</v>
      </c>
      <c r="M17">
        <v>9834</v>
      </c>
      <c r="N17" s="1">
        <f>(60+11)/60</f>
        <v>1.1833333333333333</v>
      </c>
      <c r="O17" s="1">
        <f>J17/N17</f>
        <v>3.7774647887323942</v>
      </c>
      <c r="P17">
        <v>1</v>
      </c>
      <c r="R17" s="1">
        <f>15+52/60</f>
        <v>15.866666666666667</v>
      </c>
      <c r="S17" s="20">
        <v>226</v>
      </c>
      <c r="U17" s="20">
        <v>497</v>
      </c>
      <c r="V17" s="20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1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1">
        <f t="shared" si="2"/>
        <v>43899</v>
      </c>
      <c r="C19">
        <v>1</v>
      </c>
      <c r="E19" t="s">
        <v>52</v>
      </c>
      <c r="F19">
        <v>59</v>
      </c>
      <c r="G19">
        <v>87</v>
      </c>
      <c r="H19" s="18" t="s">
        <v>35</v>
      </c>
      <c r="I19" s="18" t="s">
        <v>30</v>
      </c>
      <c r="J19" s="1">
        <v>3.83</v>
      </c>
      <c r="N19" s="1">
        <f>(60+7)/60</f>
        <v>1.1166666666666667</v>
      </c>
      <c r="O19" s="1">
        <f>J19/N19</f>
        <v>3.4298507462686567</v>
      </c>
      <c r="P19">
        <v>2</v>
      </c>
      <c r="Q19" s="1">
        <f>J19/P19</f>
        <v>1.915</v>
      </c>
      <c r="R19" s="1">
        <f>17+33/60</f>
        <v>17.55</v>
      </c>
      <c r="S19" s="20">
        <v>54</v>
      </c>
      <c r="U19" s="20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1">
        <f t="shared" si="2"/>
        <v>43900</v>
      </c>
      <c r="C20">
        <v>1</v>
      </c>
      <c r="E20" s="18" t="s">
        <v>33</v>
      </c>
      <c r="F20">
        <v>54</v>
      </c>
      <c r="G20">
        <v>61</v>
      </c>
      <c r="H20" s="18" t="s">
        <v>38</v>
      </c>
      <c r="I20" t="s">
        <v>53</v>
      </c>
      <c r="J20" s="1">
        <v>4.5599999999999996</v>
      </c>
      <c r="M20">
        <f>10591-1210-25</f>
        <v>9356</v>
      </c>
      <c r="N20" s="1">
        <f>1+16/60+28/(60*60)</f>
        <v>1.2744444444444445</v>
      </c>
      <c r="O20" s="1">
        <f>J20/N20</f>
        <v>3.5780296425457712</v>
      </c>
      <c r="P20">
        <v>1</v>
      </c>
      <c r="Q20" s="1">
        <f>J20/P20</f>
        <v>4.5599999999999996</v>
      </c>
      <c r="R20" s="1">
        <f>16+46/60</f>
        <v>16.766666666666666</v>
      </c>
      <c r="S20" s="20">
        <v>220</v>
      </c>
      <c r="U20" s="20">
        <v>667</v>
      </c>
      <c r="V20" s="20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1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H21" s="18" t="s">
        <v>38</v>
      </c>
      <c r="I21" s="18" t="s">
        <v>49</v>
      </c>
      <c r="J21" s="1">
        <v>3.93</v>
      </c>
      <c r="M21">
        <v>9359</v>
      </c>
      <c r="N21" s="1">
        <f>67/60</f>
        <v>1.1166666666666667</v>
      </c>
      <c r="O21" s="1">
        <f>J21/N21</f>
        <v>3.5194029850746271</v>
      </c>
      <c r="P21">
        <v>1</v>
      </c>
      <c r="Q21" s="1">
        <f>J21/P21</f>
        <v>3.93</v>
      </c>
      <c r="R21" s="1">
        <f>17+6/60</f>
        <v>17.100000000000001</v>
      </c>
      <c r="S21" s="20">
        <v>194</v>
      </c>
      <c r="U21" s="20">
        <v>910</v>
      </c>
      <c r="V21" s="20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A59" si="3">A21+1</f>
        <v>555</v>
      </c>
      <c r="B22" s="21">
        <f t="shared" si="2"/>
        <v>43902</v>
      </c>
      <c r="C22">
        <v>1</v>
      </c>
      <c r="E22" s="18" t="s">
        <v>33</v>
      </c>
      <c r="F22">
        <v>64</v>
      </c>
      <c r="G22">
        <v>53</v>
      </c>
      <c r="H22" s="18" t="s">
        <v>38</v>
      </c>
      <c r="I22" t="s">
        <v>56</v>
      </c>
      <c r="J22" s="1">
        <v>5.76</v>
      </c>
      <c r="N22" s="1">
        <f>(94+44/60)/60</f>
        <v>1.578888888888889</v>
      </c>
      <c r="O22" s="1">
        <f>J22/N22</f>
        <v>3.6481351161154114</v>
      </c>
      <c r="P22">
        <v>1</v>
      </c>
      <c r="Q22" s="1">
        <f>J22/P22</f>
        <v>5.76</v>
      </c>
      <c r="R22" s="1">
        <f>16+27/60</f>
        <v>16.45</v>
      </c>
      <c r="S22" s="20">
        <v>272</v>
      </c>
      <c r="U22" s="20">
        <v>1270</v>
      </c>
      <c r="V22" s="20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1">
        <f t="shared" si="2"/>
        <v>43903</v>
      </c>
      <c r="C23">
        <v>0</v>
      </c>
      <c r="D23" t="s">
        <v>41</v>
      </c>
      <c r="H23" s="18"/>
    </row>
    <row r="24" spans="1:37" x14ac:dyDescent="0.25">
      <c r="A24">
        <f t="shared" si="3"/>
        <v>557</v>
      </c>
      <c r="B24" s="21">
        <v>43904.533333333333</v>
      </c>
      <c r="C24">
        <v>1</v>
      </c>
      <c r="E24" t="s">
        <v>42</v>
      </c>
      <c r="F24">
        <v>60</v>
      </c>
      <c r="G24">
        <v>86</v>
      </c>
      <c r="H24" s="18" t="s">
        <v>35</v>
      </c>
      <c r="I24" s="18" t="s">
        <v>30</v>
      </c>
      <c r="J24" s="1">
        <v>3.18</v>
      </c>
      <c r="N24" s="1">
        <f>(60+3+47/60)/60</f>
        <v>1.0630555555555554</v>
      </c>
      <c r="O24" s="1">
        <f>J24/N24</f>
        <v>2.9913770577475836</v>
      </c>
      <c r="P24">
        <v>2</v>
      </c>
      <c r="Q24" s="1">
        <f>J24/P24</f>
        <v>1.59</v>
      </c>
      <c r="R24" s="1">
        <f>20+3/60</f>
        <v>20.05</v>
      </c>
      <c r="S24" s="20">
        <f>2*54/3</f>
        <v>36</v>
      </c>
      <c r="U24" s="20">
        <v>351</v>
      </c>
      <c r="V24" s="20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1">
        <v>43904.536805555559</v>
      </c>
      <c r="C25">
        <v>0</v>
      </c>
      <c r="D25" t="s">
        <v>41</v>
      </c>
      <c r="E25" t="s">
        <v>52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1">
        <v>43905.609722222223</v>
      </c>
      <c r="C26" s="18">
        <v>1</v>
      </c>
      <c r="E26" t="s">
        <v>52</v>
      </c>
      <c r="F26">
        <v>70</v>
      </c>
      <c r="G26">
        <v>70</v>
      </c>
      <c r="H26" t="s">
        <v>38</v>
      </c>
      <c r="I26" t="s">
        <v>57</v>
      </c>
      <c r="J26" s="1">
        <v>4.97</v>
      </c>
      <c r="M26">
        <v>12897</v>
      </c>
      <c r="N26" s="1">
        <f>77/60</f>
        <v>1.2833333333333334</v>
      </c>
      <c r="O26" s="1">
        <f>J26/N26</f>
        <v>3.8727272727272721</v>
      </c>
      <c r="P26">
        <v>3</v>
      </c>
      <c r="Q26" s="1">
        <f>J26/P26</f>
        <v>1.6566666666666665</v>
      </c>
      <c r="R26" s="1">
        <f>15+31/60</f>
        <v>15.516666666666667</v>
      </c>
      <c r="S26" s="20">
        <v>118</v>
      </c>
      <c r="U26" s="20">
        <v>591</v>
      </c>
      <c r="V26" s="20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1">
        <v>43906.501388888886</v>
      </c>
      <c r="C27">
        <v>1</v>
      </c>
      <c r="E27" s="3" t="s">
        <v>52</v>
      </c>
      <c r="F27">
        <v>67</v>
      </c>
      <c r="G27">
        <v>84</v>
      </c>
      <c r="H27" s="18" t="s">
        <v>38</v>
      </c>
      <c r="I27" s="18" t="s">
        <v>51</v>
      </c>
      <c r="J27" s="1">
        <v>6.13</v>
      </c>
      <c r="M27">
        <v>12444</v>
      </c>
      <c r="N27" s="1">
        <f>96/60</f>
        <v>1.6</v>
      </c>
      <c r="O27" s="1">
        <f>J27/N27</f>
        <v>3.8312499999999998</v>
      </c>
      <c r="P27">
        <v>2</v>
      </c>
      <c r="Q27" s="1">
        <f>J27/P27</f>
        <v>3.0649999999999999</v>
      </c>
      <c r="R27" s="1">
        <f>15+36/60</f>
        <v>15.6</v>
      </c>
      <c r="S27" s="20">
        <v>167</v>
      </c>
      <c r="U27" s="20">
        <v>686</v>
      </c>
      <c r="V27" s="20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1">
        <v>43907.529861111114</v>
      </c>
      <c r="C28">
        <v>1</v>
      </c>
      <c r="E28" s="3" t="s">
        <v>58</v>
      </c>
      <c r="F28">
        <v>79</v>
      </c>
      <c r="G28">
        <v>66</v>
      </c>
      <c r="H28" s="18" t="s">
        <v>38</v>
      </c>
      <c r="I28" t="s">
        <v>59</v>
      </c>
      <c r="J28" s="1">
        <v>4.5599999999999996</v>
      </c>
      <c r="M28">
        <v>9920</v>
      </c>
      <c r="N28" s="1">
        <f>(60+17+36/60)/60</f>
        <v>1.2933333333333332</v>
      </c>
      <c r="O28" s="1">
        <f>J28/N28</f>
        <v>3.5257731958762886</v>
      </c>
      <c r="P28">
        <v>1</v>
      </c>
      <c r="Q28" s="1">
        <f>J28/P28</f>
        <v>4.5599999999999996</v>
      </c>
      <c r="R28" s="1">
        <f>17+1/60</f>
        <v>17.016666666666666</v>
      </c>
      <c r="S28" s="20">
        <v>325</v>
      </c>
      <c r="U28" s="20">
        <v>995</v>
      </c>
      <c r="V28" s="20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1">
        <v>43908.541666666664</v>
      </c>
      <c r="C29">
        <v>0</v>
      </c>
      <c r="D29" t="s">
        <v>55</v>
      </c>
      <c r="E29" s="3" t="s">
        <v>61</v>
      </c>
      <c r="F29">
        <v>66</v>
      </c>
      <c r="G29">
        <v>64</v>
      </c>
      <c r="AJ29">
        <v>1</v>
      </c>
      <c r="AK29" t="s">
        <v>60</v>
      </c>
    </row>
    <row r="30" spans="1:37" x14ac:dyDescent="0.25">
      <c r="A30" s="18">
        <f t="shared" si="3"/>
        <v>563</v>
      </c>
      <c r="B30" s="21">
        <v>43909.538194444445</v>
      </c>
      <c r="C30">
        <v>0</v>
      </c>
      <c r="E30" s="3" t="s">
        <v>58</v>
      </c>
      <c r="F30">
        <v>51</v>
      </c>
      <c r="G30">
        <v>68</v>
      </c>
      <c r="H30" s="18" t="s">
        <v>35</v>
      </c>
      <c r="I30" s="18" t="s">
        <v>44</v>
      </c>
      <c r="J30" s="1">
        <v>4.53</v>
      </c>
      <c r="M30">
        <v>9714</v>
      </c>
      <c r="N30" s="1">
        <f>72/60</f>
        <v>1.2</v>
      </c>
      <c r="O30" s="1">
        <f t="shared" ref="O30:O35" si="4">J30/N30</f>
        <v>3.7750000000000004</v>
      </c>
      <c r="P30">
        <v>1</v>
      </c>
      <c r="Q30" s="1">
        <f t="shared" ref="Q30:Q35" si="5">J30/P30</f>
        <v>4.53</v>
      </c>
      <c r="R30" s="1">
        <f>16+1/60</f>
        <v>16.016666666666666</v>
      </c>
      <c r="S30" s="20">
        <v>85</v>
      </c>
      <c r="U30" s="20">
        <v>595</v>
      </c>
      <c r="V30" s="20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1">
        <v>43910.618750000001</v>
      </c>
      <c r="C31">
        <v>1</v>
      </c>
      <c r="E31" s="18" t="s">
        <v>33</v>
      </c>
      <c r="F31">
        <v>58</v>
      </c>
      <c r="G31">
        <v>60</v>
      </c>
      <c r="H31" s="18" t="s">
        <v>35</v>
      </c>
      <c r="I31" s="18" t="s">
        <v>48</v>
      </c>
      <c r="J31" s="1">
        <v>5.29</v>
      </c>
      <c r="M31" s="19">
        <v>11153</v>
      </c>
      <c r="N31" s="1">
        <f>86/60</f>
        <v>1.4333333333333333</v>
      </c>
      <c r="O31" s="1">
        <f t="shared" si="4"/>
        <v>3.6906976744186046</v>
      </c>
      <c r="P31">
        <v>1</v>
      </c>
      <c r="Q31" s="1">
        <f t="shared" si="5"/>
        <v>5.29</v>
      </c>
      <c r="R31" s="1">
        <f>16+13/60</f>
        <v>16.216666666666665</v>
      </c>
      <c r="S31" s="20">
        <v>243</v>
      </c>
      <c r="T31" s="20">
        <v>24</v>
      </c>
      <c r="U31" s="20">
        <v>617</v>
      </c>
      <c r="V31" s="20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1">
        <v>43911.62777777778</v>
      </c>
      <c r="C32" s="18">
        <v>1</v>
      </c>
      <c r="D32" s="18"/>
      <c r="E32" t="s">
        <v>52</v>
      </c>
      <c r="F32">
        <v>62</v>
      </c>
      <c r="G32">
        <v>80</v>
      </c>
      <c r="H32" s="18" t="s">
        <v>35</v>
      </c>
      <c r="I32" s="18" t="s">
        <v>53</v>
      </c>
      <c r="J32" s="1">
        <v>5.13</v>
      </c>
      <c r="M32">
        <v>10892</v>
      </c>
      <c r="N32" s="1">
        <f>82/60</f>
        <v>1.3666666666666667</v>
      </c>
      <c r="O32" s="1">
        <f t="shared" si="4"/>
        <v>3.7536585365853656</v>
      </c>
      <c r="P32">
        <v>1</v>
      </c>
      <c r="Q32" s="1">
        <f t="shared" si="5"/>
        <v>5.13</v>
      </c>
      <c r="R32" s="1">
        <f>16+5/60</f>
        <v>16.083333333333332</v>
      </c>
      <c r="S32" s="20">
        <v>217</v>
      </c>
      <c r="T32" s="20">
        <v>21</v>
      </c>
      <c r="U32" s="20">
        <v>673</v>
      </c>
      <c r="V32" s="20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1">
        <v>43912.62777777778</v>
      </c>
      <c r="C33">
        <v>1</v>
      </c>
      <c r="E33" s="3" t="s">
        <v>52</v>
      </c>
      <c r="F33">
        <v>68</v>
      </c>
      <c r="G33">
        <v>81</v>
      </c>
      <c r="H33" s="18" t="s">
        <v>35</v>
      </c>
      <c r="I33" s="18" t="s">
        <v>57</v>
      </c>
      <c r="J33" s="1">
        <v>4.76</v>
      </c>
      <c r="M33">
        <v>9868</v>
      </c>
      <c r="N33" s="1">
        <f>75/60</f>
        <v>1.25</v>
      </c>
      <c r="O33" s="1">
        <f t="shared" si="4"/>
        <v>3.8079999999999998</v>
      </c>
      <c r="P33">
        <v>1</v>
      </c>
      <c r="Q33" s="1">
        <f t="shared" si="5"/>
        <v>4.76</v>
      </c>
      <c r="R33" s="1">
        <f>15+46/60</f>
        <v>15.766666666666667</v>
      </c>
      <c r="S33" s="20">
        <v>95</v>
      </c>
      <c r="T33" s="20">
        <v>9</v>
      </c>
      <c r="U33" s="20">
        <v>513</v>
      </c>
      <c r="V33" s="20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1">
        <v>43944.589583333334</v>
      </c>
      <c r="C34">
        <v>1</v>
      </c>
      <c r="E34" t="s">
        <v>33</v>
      </c>
      <c r="F34">
        <v>86</v>
      </c>
      <c r="G34">
        <v>20</v>
      </c>
      <c r="H34" s="18" t="s">
        <v>38</v>
      </c>
      <c r="I34" s="18" t="s">
        <v>51</v>
      </c>
      <c r="J34" s="1">
        <v>4.75</v>
      </c>
      <c r="N34" s="1">
        <f>(60+15)/60</f>
        <v>1.25</v>
      </c>
      <c r="O34" s="1">
        <f t="shared" si="4"/>
        <v>3.8</v>
      </c>
      <c r="P34">
        <v>2</v>
      </c>
      <c r="Q34" s="1">
        <f t="shared" si="5"/>
        <v>2.375</v>
      </c>
      <c r="R34" s="1">
        <f>15+53/60</f>
        <v>15.883333333333333</v>
      </c>
      <c r="S34" s="20">
        <v>125</v>
      </c>
      <c r="T34" s="20">
        <v>14</v>
      </c>
      <c r="U34" s="20">
        <v>706</v>
      </c>
      <c r="V34" s="20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1">
        <v>43914.607638888891</v>
      </c>
      <c r="C35" s="18">
        <v>1</v>
      </c>
      <c r="E35" t="s">
        <v>33</v>
      </c>
      <c r="F35">
        <v>87</v>
      </c>
      <c r="G35">
        <v>40</v>
      </c>
      <c r="H35" s="18" t="s">
        <v>38</v>
      </c>
      <c r="I35" s="18" t="s">
        <v>59</v>
      </c>
      <c r="J35" s="1">
        <v>4.6100000000000003</v>
      </c>
      <c r="N35" s="1">
        <f>(60+17+20/60)/60</f>
        <v>1.2888888888888888</v>
      </c>
      <c r="O35" s="1">
        <f t="shared" si="4"/>
        <v>3.5767241379310351</v>
      </c>
      <c r="P35">
        <v>1</v>
      </c>
      <c r="Q35" s="1">
        <f t="shared" si="5"/>
        <v>4.6100000000000003</v>
      </c>
      <c r="R35" s="1">
        <f>16+48/60</f>
        <v>16.8</v>
      </c>
      <c r="S35" s="20">
        <v>256</v>
      </c>
      <c r="T35" s="20">
        <v>27</v>
      </c>
      <c r="U35" s="20">
        <v>980</v>
      </c>
      <c r="V35" s="20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1">
        <v>43915.484027777777</v>
      </c>
      <c r="C36">
        <v>1</v>
      </c>
      <c r="E36" t="s">
        <v>33</v>
      </c>
      <c r="F36">
        <v>82</v>
      </c>
      <c r="G36">
        <v>50</v>
      </c>
      <c r="H36" t="s">
        <v>38</v>
      </c>
      <c r="I36" t="s">
        <v>34</v>
      </c>
      <c r="J36" s="1">
        <v>4.87</v>
      </c>
      <c r="M36">
        <v>11631</v>
      </c>
      <c r="N36" s="1">
        <f>1+25/60</f>
        <v>1.4166666666666667</v>
      </c>
      <c r="O36" s="1">
        <f t="shared" ref="O36" si="6">J36/N36</f>
        <v>3.4376470588235293</v>
      </c>
      <c r="P36">
        <v>1</v>
      </c>
      <c r="Q36" s="1">
        <f t="shared" ref="Q36" si="7">J36/P36</f>
        <v>4.87</v>
      </c>
      <c r="R36" s="1">
        <f>17+27/60</f>
        <v>17.45</v>
      </c>
      <c r="S36" s="20">
        <v>249</v>
      </c>
      <c r="T36" s="20">
        <v>25</v>
      </c>
      <c r="U36" s="20">
        <v>777</v>
      </c>
      <c r="V36" s="20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1">
        <v>43916.626388888886</v>
      </c>
      <c r="C37">
        <v>1</v>
      </c>
      <c r="E37" t="s">
        <v>58</v>
      </c>
      <c r="F37">
        <v>83</v>
      </c>
      <c r="G37">
        <v>56</v>
      </c>
      <c r="H37" s="18" t="s">
        <v>35</v>
      </c>
      <c r="I37" s="18" t="s">
        <v>44</v>
      </c>
      <c r="J37" s="1">
        <v>4.41</v>
      </c>
      <c r="M37">
        <v>9542</v>
      </c>
      <c r="N37" s="1">
        <f>75/60</f>
        <v>1.25</v>
      </c>
      <c r="O37" s="1">
        <f t="shared" ref="O37" si="8">J37/N37</f>
        <v>3.528</v>
      </c>
      <c r="P37">
        <v>1</v>
      </c>
      <c r="Q37" s="1">
        <f t="shared" ref="Q37" si="9">J37/P37</f>
        <v>4.41</v>
      </c>
      <c r="R37" s="1">
        <f>16+59/60</f>
        <v>16.983333333333334</v>
      </c>
      <c r="S37" s="20">
        <v>190</v>
      </c>
      <c r="T37" s="20">
        <v>19</v>
      </c>
      <c r="U37" s="20">
        <v>473</v>
      </c>
      <c r="V37" s="20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1">
        <v>43917.573611111111</v>
      </c>
      <c r="C38">
        <v>1</v>
      </c>
      <c r="E38" s="18" t="s">
        <v>33</v>
      </c>
      <c r="F38">
        <v>74</v>
      </c>
      <c r="G38">
        <v>19</v>
      </c>
      <c r="H38" t="s">
        <v>38</v>
      </c>
      <c r="I38" s="18" t="s">
        <v>70</v>
      </c>
      <c r="J38" s="1">
        <v>6.55</v>
      </c>
      <c r="M38">
        <v>11504</v>
      </c>
      <c r="N38" s="1">
        <f>1+46/60</f>
        <v>1.7666666666666666</v>
      </c>
      <c r="O38" s="1">
        <f t="shared" ref="O38" si="10">J38/N38</f>
        <v>3.7075471698113209</v>
      </c>
      <c r="P38">
        <v>1</v>
      </c>
      <c r="Q38" s="1">
        <f t="shared" ref="Q38" si="11">J38/P38</f>
        <v>6.55</v>
      </c>
      <c r="R38" s="1">
        <f>16+13/60</f>
        <v>16.216666666666665</v>
      </c>
      <c r="S38" s="20">
        <v>69</v>
      </c>
      <c r="T38" s="20">
        <v>9</v>
      </c>
      <c r="U38" s="20">
        <v>1364</v>
      </c>
      <c r="V38" s="20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1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1">
        <v>43919.5</v>
      </c>
      <c r="C40" s="18">
        <v>0</v>
      </c>
      <c r="D40" s="18" t="s">
        <v>46</v>
      </c>
      <c r="E40" s="3" t="s">
        <v>62</v>
      </c>
      <c r="F40">
        <v>52</v>
      </c>
      <c r="G40">
        <v>78</v>
      </c>
    </row>
    <row r="41" spans="1:37" x14ac:dyDescent="0.25">
      <c r="A41">
        <f t="shared" si="3"/>
        <v>574</v>
      </c>
      <c r="B41" s="21">
        <v>43920.65</v>
      </c>
      <c r="C41">
        <v>1</v>
      </c>
      <c r="E41" t="s">
        <v>52</v>
      </c>
      <c r="F41">
        <v>48</v>
      </c>
      <c r="G41">
        <v>55</v>
      </c>
      <c r="H41" s="18" t="s">
        <v>35</v>
      </c>
      <c r="I41" s="18" t="s">
        <v>51</v>
      </c>
      <c r="J41" s="1">
        <v>6.48</v>
      </c>
      <c r="M41">
        <v>13160</v>
      </c>
      <c r="N41" s="1">
        <f>101/60</f>
        <v>1.6833333333333333</v>
      </c>
      <c r="O41" s="1">
        <f t="shared" ref="O41" si="12">J41/N41</f>
        <v>3.8495049504950498</v>
      </c>
      <c r="P41" s="18">
        <v>1</v>
      </c>
      <c r="Q41" s="1">
        <f t="shared" ref="Q41" si="13">J41/P41</f>
        <v>6.48</v>
      </c>
      <c r="R41" s="1">
        <f>16+13/60</f>
        <v>16.216666666666665</v>
      </c>
      <c r="S41" s="20">
        <v>180</v>
      </c>
      <c r="T41" s="20">
        <v>18</v>
      </c>
      <c r="U41" s="20">
        <v>1124</v>
      </c>
      <c r="V41" s="20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1">
        <v>43921.598611111112</v>
      </c>
      <c r="C42">
        <v>1</v>
      </c>
      <c r="E42" t="s">
        <v>33</v>
      </c>
      <c r="F42">
        <v>72</v>
      </c>
      <c r="G42">
        <v>50</v>
      </c>
      <c r="H42" t="s">
        <v>38</v>
      </c>
      <c r="I42" s="18" t="s">
        <v>56</v>
      </c>
      <c r="J42" s="1">
        <v>6.14</v>
      </c>
      <c r="M42">
        <v>12629</v>
      </c>
      <c r="N42" s="1">
        <f>94/60</f>
        <v>1.5666666666666667</v>
      </c>
      <c r="O42" s="1">
        <f t="shared" ref="O42" si="14">J42/N42</f>
        <v>3.9191489361702128</v>
      </c>
      <c r="P42">
        <v>1</v>
      </c>
      <c r="Q42" s="1">
        <f t="shared" ref="Q42" si="15">J42/P42</f>
        <v>6.14</v>
      </c>
      <c r="R42" s="1">
        <f>15+15/60</f>
        <v>15.25</v>
      </c>
      <c r="S42" s="20">
        <v>72</v>
      </c>
      <c r="T42" s="20">
        <v>7</v>
      </c>
      <c r="U42" s="20">
        <v>668</v>
      </c>
      <c r="V42" s="20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1">
        <v>43922.594444444447</v>
      </c>
      <c r="C43" s="18">
        <v>1</v>
      </c>
      <c r="E43" t="s">
        <v>52</v>
      </c>
      <c r="F43">
        <v>69</v>
      </c>
      <c r="G43">
        <v>73</v>
      </c>
      <c r="H43" s="18" t="s">
        <v>38</v>
      </c>
      <c r="I43" s="18" t="s">
        <v>44</v>
      </c>
      <c r="J43" s="1">
        <v>4.5</v>
      </c>
      <c r="N43" s="1">
        <f>72/60</f>
        <v>1.2</v>
      </c>
      <c r="O43" s="1">
        <f t="shared" ref="O43" si="16">J43/N43</f>
        <v>3.75</v>
      </c>
      <c r="P43">
        <v>1</v>
      </c>
      <c r="Q43" s="1">
        <f t="shared" ref="Q43" si="17">J43/P43</f>
        <v>4.5</v>
      </c>
      <c r="R43" s="1">
        <f>15+59/60</f>
        <v>15.983333333333333</v>
      </c>
      <c r="S43" s="20">
        <v>102</v>
      </c>
      <c r="T43" s="20">
        <v>10</v>
      </c>
      <c r="U43" s="20">
        <v>570</v>
      </c>
      <c r="V43" s="20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1">
        <v>43923.685416666667</v>
      </c>
      <c r="C44">
        <v>0</v>
      </c>
      <c r="D44" t="s">
        <v>67</v>
      </c>
      <c r="E44" t="s">
        <v>52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1">
        <v>43924.495138888888</v>
      </c>
      <c r="C45" s="18">
        <v>0</v>
      </c>
      <c r="D45" s="18" t="s">
        <v>67</v>
      </c>
      <c r="E45" t="s">
        <v>52</v>
      </c>
      <c r="F45">
        <v>39</v>
      </c>
      <c r="G45">
        <v>76</v>
      </c>
    </row>
    <row r="46" spans="1:37" x14ac:dyDescent="0.25">
      <c r="A46">
        <f t="shared" si="3"/>
        <v>579</v>
      </c>
      <c r="B46" s="21">
        <v>43925.495138888888</v>
      </c>
      <c r="C46">
        <v>0</v>
      </c>
      <c r="D46" s="18" t="s">
        <v>67</v>
      </c>
      <c r="E46" t="s">
        <v>52</v>
      </c>
      <c r="F46">
        <v>53</v>
      </c>
      <c r="G46">
        <v>80</v>
      </c>
    </row>
    <row r="47" spans="1:37" x14ac:dyDescent="0.25">
      <c r="A47">
        <f t="shared" si="3"/>
        <v>580</v>
      </c>
      <c r="B47" s="21">
        <v>43926.523611111108</v>
      </c>
      <c r="C47">
        <v>1</v>
      </c>
      <c r="E47" t="s">
        <v>69</v>
      </c>
      <c r="F47">
        <v>71</v>
      </c>
      <c r="G47">
        <v>70</v>
      </c>
      <c r="H47" s="18" t="s">
        <v>38</v>
      </c>
      <c r="I47" s="18" t="s">
        <v>48</v>
      </c>
      <c r="J47" s="1">
        <v>5.12</v>
      </c>
      <c r="N47" s="1">
        <f>(60+23)/60</f>
        <v>1.3833333333333333</v>
      </c>
      <c r="O47" s="1">
        <f>J47/N47</f>
        <v>3.7012048192771085</v>
      </c>
      <c r="P47">
        <v>1</v>
      </c>
      <c r="Q47" s="1">
        <f t="shared" ref="Q47" si="18">J47/P47</f>
        <v>5.12</v>
      </c>
      <c r="R47" s="1">
        <f>16+8/60</f>
        <v>16.133333333333333</v>
      </c>
      <c r="S47" s="20">
        <v>203</v>
      </c>
      <c r="T47" s="20">
        <v>20</v>
      </c>
      <c r="U47" s="20">
        <v>842</v>
      </c>
      <c r="V47" s="20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1">
        <v>43927.62222222222</v>
      </c>
      <c r="C48">
        <v>1</v>
      </c>
      <c r="E48" s="2" t="s">
        <v>33</v>
      </c>
      <c r="F48">
        <v>86</v>
      </c>
      <c r="G48">
        <v>43</v>
      </c>
      <c r="H48" s="18" t="s">
        <v>35</v>
      </c>
      <c r="I48" s="18" t="s">
        <v>53</v>
      </c>
      <c r="J48" s="1">
        <v>4.78</v>
      </c>
      <c r="M48">
        <v>10730</v>
      </c>
      <c r="N48" s="1">
        <f>(60+23)/60</f>
        <v>1.3833333333333333</v>
      </c>
      <c r="O48" s="1">
        <f>J48/N48</f>
        <v>3.455421686746988</v>
      </c>
      <c r="P48">
        <v>1</v>
      </c>
      <c r="Q48" s="1">
        <f t="shared" ref="Q48" si="19">J48/P48</f>
        <v>4.78</v>
      </c>
      <c r="R48" s="1">
        <f>17+2/60</f>
        <v>17.033333333333335</v>
      </c>
      <c r="S48" s="20">
        <v>190</v>
      </c>
      <c r="T48" s="20">
        <v>19</v>
      </c>
      <c r="U48" s="20">
        <v>1000</v>
      </c>
      <c r="V48" s="20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6" x14ac:dyDescent="0.25">
      <c r="A49">
        <f t="shared" si="3"/>
        <v>582</v>
      </c>
      <c r="B49" s="21">
        <v>43928.486805555556</v>
      </c>
      <c r="C49">
        <v>1</v>
      </c>
      <c r="E49" t="s">
        <v>33</v>
      </c>
      <c r="F49">
        <v>85</v>
      </c>
      <c r="G49">
        <v>55</v>
      </c>
      <c r="H49" t="s">
        <v>38</v>
      </c>
      <c r="I49" t="s">
        <v>65</v>
      </c>
      <c r="J49" s="1">
        <v>3.52</v>
      </c>
      <c r="N49" s="1">
        <f>78/60</f>
        <v>1.3</v>
      </c>
      <c r="O49" s="1">
        <f>(60+23)/60</f>
        <v>1.3833333333333333</v>
      </c>
      <c r="P49">
        <v>2</v>
      </c>
      <c r="Q49" s="1">
        <v>1</v>
      </c>
      <c r="R49" s="1">
        <f>22+6/60</f>
        <v>22.1</v>
      </c>
      <c r="S49" s="20">
        <v>59</v>
      </c>
      <c r="T49" s="20">
        <v>6</v>
      </c>
      <c r="U49" s="20">
        <v>688</v>
      </c>
      <c r="V49" s="20">
        <v>115</v>
      </c>
      <c r="W49" s="20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6" x14ac:dyDescent="0.25">
      <c r="A50" s="18">
        <f t="shared" si="3"/>
        <v>583</v>
      </c>
      <c r="B50" s="21">
        <v>43929.551388888889</v>
      </c>
      <c r="C50" s="18">
        <v>1</v>
      </c>
      <c r="E50" t="s">
        <v>33</v>
      </c>
      <c r="F50">
        <v>88</v>
      </c>
      <c r="G50">
        <v>49</v>
      </c>
      <c r="H50" s="18" t="s">
        <v>35</v>
      </c>
      <c r="I50" t="s">
        <v>63</v>
      </c>
      <c r="J50" s="1">
        <v>4.8</v>
      </c>
      <c r="M50">
        <v>10730</v>
      </c>
      <c r="N50" s="1">
        <f>(60+14)/60</f>
        <v>1.2333333333333334</v>
      </c>
      <c r="O50" s="1">
        <f>J50/N50</f>
        <v>3.8918918918918917</v>
      </c>
      <c r="P50">
        <v>1</v>
      </c>
      <c r="Q50" s="1">
        <f t="shared" ref="Q50" si="20">J50/P50</f>
        <v>4.8</v>
      </c>
      <c r="R50" s="1">
        <f>15+24/60</f>
        <v>15.4</v>
      </c>
      <c r="S50" s="20">
        <v>43</v>
      </c>
      <c r="T50" s="20">
        <v>4</v>
      </c>
      <c r="U50" s="20">
        <v>555</v>
      </c>
      <c r="V50" s="20">
        <v>107</v>
      </c>
      <c r="W50" s="20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6" x14ac:dyDescent="0.25">
      <c r="A51" s="18">
        <f t="shared" si="3"/>
        <v>584</v>
      </c>
      <c r="B51" s="21">
        <v>43930.571527777778</v>
      </c>
      <c r="C51">
        <v>1</v>
      </c>
      <c r="E51" t="s">
        <v>33</v>
      </c>
      <c r="F51">
        <v>77</v>
      </c>
      <c r="G51">
        <v>71</v>
      </c>
      <c r="H51" s="18" t="s">
        <v>38</v>
      </c>
      <c r="I51" s="18" t="s">
        <v>44</v>
      </c>
      <c r="J51" s="1">
        <v>4.4800000000000004</v>
      </c>
      <c r="M51">
        <f>10135-726</f>
        <v>9409</v>
      </c>
      <c r="N51" s="1">
        <f>71/60</f>
        <v>1.1833333333333333</v>
      </c>
      <c r="O51" s="1">
        <f>J51/N51</f>
        <v>3.7859154929577468</v>
      </c>
      <c r="P51">
        <v>1</v>
      </c>
      <c r="Q51" s="1">
        <f t="shared" ref="Q51" si="21">J51/P51</f>
        <v>4.4800000000000004</v>
      </c>
      <c r="R51" s="1">
        <f>15+46/60</f>
        <v>15.766666666666667</v>
      </c>
      <c r="S51" s="20">
        <v>98</v>
      </c>
      <c r="T51" s="20">
        <v>10</v>
      </c>
      <c r="U51" s="20">
        <v>628</v>
      </c>
      <c r="V51" s="20">
        <f>111</f>
        <v>111</v>
      </c>
      <c r="W51" s="20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6" x14ac:dyDescent="0.25">
      <c r="A52">
        <f t="shared" si="3"/>
        <v>585</v>
      </c>
      <c r="B52" s="21">
        <v>43931.495138888888</v>
      </c>
      <c r="C52">
        <v>0</v>
      </c>
      <c r="D52" t="s">
        <v>41</v>
      </c>
      <c r="E52" t="s">
        <v>52</v>
      </c>
      <c r="F52">
        <v>66</v>
      </c>
      <c r="G52">
        <v>75</v>
      </c>
    </row>
    <row r="53" spans="1:36" x14ac:dyDescent="0.25">
      <c r="A53">
        <f t="shared" si="3"/>
        <v>586</v>
      </c>
      <c r="B53" s="21">
        <v>43932.495138888888</v>
      </c>
      <c r="C53">
        <v>0</v>
      </c>
      <c r="D53" t="s">
        <v>64</v>
      </c>
      <c r="E53" t="s">
        <v>58</v>
      </c>
      <c r="F53">
        <v>78</v>
      </c>
      <c r="G53">
        <v>45</v>
      </c>
    </row>
    <row r="54" spans="1:36" x14ac:dyDescent="0.25">
      <c r="A54" s="18">
        <f t="shared" si="3"/>
        <v>587</v>
      </c>
      <c r="B54" s="21">
        <v>43933.573611111111</v>
      </c>
      <c r="C54">
        <v>1</v>
      </c>
      <c r="E54" t="s">
        <v>33</v>
      </c>
      <c r="F54">
        <v>54</v>
      </c>
      <c r="G54">
        <v>45</v>
      </c>
      <c r="H54" t="s">
        <v>35</v>
      </c>
      <c r="I54" s="18" t="s">
        <v>59</v>
      </c>
      <c r="J54" s="1">
        <v>4.4800000000000004</v>
      </c>
      <c r="M54">
        <v>9655</v>
      </c>
      <c r="N54" s="1">
        <f>74/60</f>
        <v>1.2333333333333334</v>
      </c>
      <c r="O54" s="1">
        <f>J54/N54</f>
        <v>3.6324324324324326</v>
      </c>
      <c r="P54">
        <v>1</v>
      </c>
      <c r="Q54" s="1">
        <f t="shared" ref="Q54" si="22">J54/P54</f>
        <v>4.4800000000000004</v>
      </c>
      <c r="R54" s="1">
        <f>16+20/60</f>
        <v>16.333333333333332</v>
      </c>
      <c r="S54" s="20">
        <v>223</v>
      </c>
      <c r="T54" s="20">
        <v>22</v>
      </c>
      <c r="U54" s="20">
        <v>850</v>
      </c>
      <c r="V54" s="20">
        <v>132</v>
      </c>
      <c r="W54" s="20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6" x14ac:dyDescent="0.25">
      <c r="A55">
        <f t="shared" si="3"/>
        <v>588</v>
      </c>
      <c r="B55" s="21">
        <v>43934.560416666667</v>
      </c>
      <c r="C55">
        <v>1</v>
      </c>
      <c r="E55" t="s">
        <v>58</v>
      </c>
      <c r="F55">
        <v>55</v>
      </c>
      <c r="G55">
        <v>51</v>
      </c>
      <c r="H55" t="s">
        <v>38</v>
      </c>
      <c r="I55" s="18" t="s">
        <v>51</v>
      </c>
      <c r="J55" s="1">
        <v>3.48</v>
      </c>
      <c r="M55">
        <v>7199</v>
      </c>
      <c r="N55" s="1">
        <f>(52+34/60)/60</f>
        <v>0.87611111111111117</v>
      </c>
      <c r="O55" s="1">
        <f>J55/N55</f>
        <v>3.9720989220038043</v>
      </c>
      <c r="P55">
        <v>1</v>
      </c>
      <c r="Q55" s="1">
        <f t="shared" ref="Q55" si="23">J55/P55</f>
        <v>3.48</v>
      </c>
      <c r="R55" s="1">
        <f>15+7/60</f>
        <v>15.116666666666667</v>
      </c>
      <c r="S55" s="20">
        <v>92</v>
      </c>
      <c r="T55" s="20">
        <v>9</v>
      </c>
      <c r="U55" s="20">
        <v>572</v>
      </c>
      <c r="V55" s="20">
        <v>134</v>
      </c>
      <c r="W55" s="20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6" x14ac:dyDescent="0.25">
      <c r="A56">
        <f t="shared" si="3"/>
        <v>589</v>
      </c>
      <c r="B56" s="21">
        <v>43935.634722222225</v>
      </c>
      <c r="C56">
        <v>1</v>
      </c>
      <c r="E56" t="s">
        <v>33</v>
      </c>
      <c r="F56">
        <v>63</v>
      </c>
      <c r="G56">
        <v>71</v>
      </c>
      <c r="H56" s="18" t="s">
        <v>38</v>
      </c>
      <c r="I56" s="18" t="s">
        <v>34</v>
      </c>
      <c r="J56" s="1">
        <v>5.74</v>
      </c>
      <c r="M56">
        <v>12068</v>
      </c>
      <c r="N56" s="1">
        <f>91/60</f>
        <v>1.5166666666666666</v>
      </c>
      <c r="O56" s="1">
        <f>J56/N56</f>
        <v>3.7846153846153849</v>
      </c>
      <c r="P56">
        <v>1</v>
      </c>
      <c r="Q56" s="1">
        <f t="shared" ref="Q56" si="24">J56/P56</f>
        <v>5.74</v>
      </c>
      <c r="R56" s="1">
        <f>15+53/60</f>
        <v>15.883333333333333</v>
      </c>
      <c r="S56" s="20">
        <v>66</v>
      </c>
      <c r="U56" s="20">
        <v>648</v>
      </c>
      <c r="V56" s="20">
        <v>92</v>
      </c>
      <c r="W56" s="20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6" x14ac:dyDescent="0.25">
      <c r="A57">
        <f t="shared" si="3"/>
        <v>590</v>
      </c>
      <c r="B57" s="21">
        <v>43936.566666666666</v>
      </c>
      <c r="C57">
        <v>1</v>
      </c>
      <c r="E57" t="s">
        <v>33</v>
      </c>
      <c r="F57">
        <v>70</v>
      </c>
      <c r="G57">
        <v>40</v>
      </c>
      <c r="H57" s="18" t="s">
        <v>38</v>
      </c>
      <c r="I57" s="18" t="s">
        <v>37</v>
      </c>
      <c r="J57" s="1">
        <v>4.47</v>
      </c>
      <c r="M57">
        <v>9272</v>
      </c>
      <c r="N57" s="1">
        <f>(71-3)/60</f>
        <v>1.1333333333333333</v>
      </c>
      <c r="O57" s="1">
        <f>J57/N57</f>
        <v>3.9441176470588233</v>
      </c>
      <c r="P57">
        <v>1</v>
      </c>
      <c r="Q57" s="1">
        <f t="shared" ref="Q57" si="25">J57/P57</f>
        <v>4.47</v>
      </c>
      <c r="R57" s="1">
        <f>15+55/60</f>
        <v>15.916666666666666</v>
      </c>
      <c r="S57" s="20">
        <v>177</v>
      </c>
      <c r="T57" s="20">
        <v>4</v>
      </c>
      <c r="U57" s="20">
        <v>632</v>
      </c>
      <c r="V57" s="20">
        <v>100</v>
      </c>
      <c r="W57" s="20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6" x14ac:dyDescent="0.25">
      <c r="A58">
        <f t="shared" si="3"/>
        <v>591</v>
      </c>
      <c r="B58" s="21">
        <v>43936.566666666666</v>
      </c>
      <c r="C58">
        <v>1</v>
      </c>
      <c r="E58" t="s">
        <v>52</v>
      </c>
      <c r="F58">
        <v>53</v>
      </c>
      <c r="G58">
        <v>35</v>
      </c>
      <c r="H58" t="s">
        <v>35</v>
      </c>
      <c r="I58" s="18" t="s">
        <v>65</v>
      </c>
      <c r="J58" s="1">
        <v>2.56</v>
      </c>
      <c r="N58" s="1">
        <f>(45+45/60)/60</f>
        <v>0.76249999999999996</v>
      </c>
      <c r="O58" s="1">
        <f>J58/N58</f>
        <v>3.3573770491803283</v>
      </c>
      <c r="P58">
        <v>1</v>
      </c>
      <c r="Q58" s="1">
        <f t="shared" ref="Q58:Q59" si="26">J58/P58</f>
        <v>2.56</v>
      </c>
      <c r="R58" s="1">
        <f>17+54/60</f>
        <v>17.899999999999999</v>
      </c>
      <c r="S58" s="20">
        <v>26.2</v>
      </c>
      <c r="T58" s="20">
        <v>0</v>
      </c>
      <c r="U58" s="20">
        <v>427</v>
      </c>
      <c r="V58" s="20">
        <v>116</v>
      </c>
      <c r="W58" s="20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6" x14ac:dyDescent="0.25">
      <c r="A59">
        <f t="shared" si="3"/>
        <v>592</v>
      </c>
      <c r="B59" s="21">
        <v>43937.547222222223</v>
      </c>
      <c r="C59">
        <v>1</v>
      </c>
      <c r="E59" t="s">
        <v>33</v>
      </c>
      <c r="F59">
        <v>63</v>
      </c>
      <c r="G59">
        <v>48</v>
      </c>
      <c r="H59" t="s">
        <v>38</v>
      </c>
      <c r="I59" t="s">
        <v>70</v>
      </c>
      <c r="J59" s="1">
        <v>5.92</v>
      </c>
      <c r="K59" s="20">
        <v>794</v>
      </c>
      <c r="L59" s="20">
        <v>14362</v>
      </c>
      <c r="M59" s="20">
        <f>L59-K59</f>
        <v>13568</v>
      </c>
      <c r="N59" s="1">
        <f>95/60</f>
        <v>1.5833333333333333</v>
      </c>
      <c r="O59" s="1">
        <f>J59/N59</f>
        <v>3.7389473684210528</v>
      </c>
      <c r="P59">
        <v>1</v>
      </c>
      <c r="Q59" s="1">
        <f t="shared" si="26"/>
        <v>5.92</v>
      </c>
      <c r="R59" s="1">
        <f>16+5/60</f>
        <v>16.083333333333332</v>
      </c>
      <c r="S59" s="20">
        <v>62</v>
      </c>
      <c r="T59" s="20">
        <v>3</v>
      </c>
      <c r="U59" s="20">
        <v>1308</v>
      </c>
      <c r="V59" s="20">
        <v>142</v>
      </c>
      <c r="W59" s="20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2020-04-18T21:15:18Z</dcterms:modified>
</cp:coreProperties>
</file>