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19" i="1" l="1"/>
  <c r="AT119" i="1"/>
  <c r="AS119" i="1"/>
  <c r="AR119" i="1"/>
  <c r="AK119" i="1"/>
  <c r="AJ119" i="1"/>
  <c r="AI119" i="1"/>
  <c r="AH119" i="1"/>
  <c r="AG119" i="1"/>
  <c r="AF119" i="1"/>
  <c r="AE119" i="1"/>
  <c r="Z119" i="1"/>
  <c r="Y119" i="1"/>
  <c r="W119" i="1"/>
  <c r="V119" i="1"/>
  <c r="U119" i="1"/>
  <c r="T119" i="1"/>
  <c r="S119" i="1"/>
  <c r="A119" i="1"/>
  <c r="AT118" i="1" l="1"/>
  <c r="AS118" i="1"/>
  <c r="AR118" i="1"/>
  <c r="AQ118" i="1"/>
  <c r="AI118" i="1"/>
  <c r="AH118" i="1"/>
  <c r="AG118" i="1"/>
  <c r="AF118" i="1"/>
  <c r="AE118" i="1"/>
  <c r="Z118" i="1"/>
  <c r="Y118" i="1"/>
  <c r="W118" i="1"/>
  <c r="V118" i="1"/>
  <c r="U118" i="1"/>
  <c r="T118" i="1"/>
  <c r="S118" i="1"/>
  <c r="I118" i="1"/>
  <c r="A118" i="1"/>
  <c r="AT117" i="1" l="1"/>
  <c r="AS117" i="1"/>
  <c r="AR117" i="1"/>
  <c r="AQ117" i="1"/>
  <c r="AI117" i="1"/>
  <c r="AH117" i="1"/>
  <c r="AG117" i="1"/>
  <c r="AF117" i="1"/>
  <c r="AE117" i="1"/>
  <c r="Z117" i="1"/>
  <c r="Y117" i="1"/>
  <c r="W117" i="1"/>
  <c r="V117" i="1"/>
  <c r="U117" i="1"/>
  <c r="T117" i="1"/>
  <c r="S117" i="1"/>
  <c r="AT116" i="1"/>
  <c r="AS116" i="1"/>
  <c r="AR116" i="1"/>
  <c r="AQ116" i="1"/>
  <c r="AJ116" i="1"/>
  <c r="AI116" i="1"/>
  <c r="AH116" i="1"/>
  <c r="AG116" i="1"/>
  <c r="AF116" i="1"/>
  <c r="AE116" i="1"/>
  <c r="Z116" i="1"/>
  <c r="Y116" i="1"/>
  <c r="W116" i="1"/>
  <c r="V116" i="1"/>
  <c r="U116" i="1"/>
  <c r="T116" i="1"/>
  <c r="A117" i="1"/>
  <c r="A116" i="1" l="1"/>
  <c r="AT115" i="1" l="1"/>
  <c r="AS115" i="1"/>
  <c r="AR115" i="1"/>
  <c r="AQ115" i="1"/>
  <c r="AT114" i="1"/>
  <c r="AS114" i="1"/>
  <c r="AR114" i="1"/>
  <c r="AU115" i="1"/>
  <c r="AL115" i="1"/>
  <c r="AK115" i="1"/>
  <c r="AJ115" i="1"/>
  <c r="AI115" i="1"/>
  <c r="AH115" i="1"/>
  <c r="AG115" i="1"/>
  <c r="AF115" i="1"/>
  <c r="AE115" i="1"/>
  <c r="Z115" i="1"/>
  <c r="Y115" i="1"/>
  <c r="W115" i="1"/>
  <c r="V115" i="1"/>
  <c r="U115" i="1"/>
  <c r="T115" i="1"/>
  <c r="S115" i="1"/>
  <c r="I115" i="1"/>
  <c r="G115" i="1"/>
  <c r="A115" i="1"/>
  <c r="AJ114" i="1" l="1"/>
  <c r="AI114" i="1"/>
  <c r="AH114" i="1"/>
  <c r="AG114" i="1"/>
  <c r="AF114" i="1"/>
  <c r="AE114" i="1"/>
  <c r="Z114" i="1"/>
  <c r="Y114" i="1"/>
  <c r="W114" i="1"/>
  <c r="V114" i="1"/>
  <c r="U114" i="1"/>
  <c r="T114" i="1"/>
  <c r="S114" i="1"/>
  <c r="H114" i="1"/>
  <c r="A114" i="1" l="1"/>
  <c r="AU113" i="1" l="1"/>
  <c r="AT113" i="1"/>
  <c r="AS113" i="1"/>
  <c r="AR113" i="1"/>
  <c r="AQ113" i="1"/>
  <c r="AL113" i="1"/>
  <c r="AK113" i="1"/>
  <c r="AJ113" i="1"/>
  <c r="AI113" i="1"/>
  <c r="AH113" i="1"/>
  <c r="AG113" i="1"/>
  <c r="AF113" i="1"/>
  <c r="AE113" i="1"/>
  <c r="Z113" i="1"/>
  <c r="Y113" i="1"/>
  <c r="W113" i="1"/>
  <c r="V113" i="1"/>
  <c r="T113" i="1"/>
  <c r="S113" i="1"/>
  <c r="A113" i="1"/>
  <c r="AS112" i="1" l="1"/>
  <c r="AR112" i="1"/>
  <c r="AF112" i="1"/>
  <c r="AE112" i="1"/>
  <c r="Z112" i="1"/>
  <c r="Y112" i="1"/>
  <c r="W112" i="1"/>
  <c r="V112" i="1"/>
  <c r="U112" i="1"/>
  <c r="T112" i="1"/>
  <c r="AU111" i="1"/>
  <c r="AT111" i="1"/>
  <c r="AS111" i="1"/>
  <c r="AR111" i="1"/>
  <c r="AQ111" i="1"/>
  <c r="AG111" i="1"/>
  <c r="AF111" i="1"/>
  <c r="AE111" i="1"/>
  <c r="T111" i="1"/>
  <c r="Z111" i="1"/>
  <c r="W111" i="1"/>
  <c r="Y111" i="1"/>
  <c r="U111" i="1"/>
  <c r="V111" i="1" s="1"/>
  <c r="A111" i="1" l="1"/>
  <c r="A112" i="1" s="1"/>
  <c r="AU110" i="1"/>
  <c r="AT110" i="1"/>
  <c r="AS110" i="1"/>
  <c r="AQ110" i="1"/>
  <c r="AR110" i="1"/>
  <c r="AJ110" i="1"/>
  <c r="AI110" i="1"/>
  <c r="AH110" i="1"/>
  <c r="AG110" i="1"/>
  <c r="AF110" i="1"/>
  <c r="AE110" i="1"/>
  <c r="Z110" i="1"/>
  <c r="Y110" i="1"/>
  <c r="W110" i="1"/>
  <c r="V110" i="1"/>
  <c r="U110" i="1"/>
  <c r="T110" i="1"/>
  <c r="S110" i="1"/>
  <c r="A110" i="1"/>
  <c r="A109" i="1" l="1"/>
  <c r="AU108" i="1" l="1"/>
  <c r="AT108" i="1"/>
  <c r="AS108" i="1"/>
  <c r="AR108" i="1"/>
  <c r="AJ108" i="1"/>
  <c r="AI108" i="1"/>
  <c r="AH108" i="1"/>
  <c r="AG108" i="1"/>
  <c r="AF108" i="1"/>
  <c r="AE108" i="1"/>
  <c r="Z108" i="1"/>
  <c r="Y108" i="1"/>
  <c r="W108" i="1"/>
  <c r="V108" i="1"/>
  <c r="U108" i="1"/>
  <c r="T108" i="1"/>
  <c r="I108" i="1"/>
  <c r="G108" i="1"/>
  <c r="A108" i="1"/>
  <c r="A107" i="1" l="1"/>
  <c r="AT106" i="1"/>
  <c r="AS106" i="1"/>
  <c r="AR106" i="1"/>
  <c r="AQ106" i="1"/>
  <c r="AI106" i="1"/>
  <c r="AH106" i="1"/>
  <c r="AG106" i="1"/>
  <c r="AF106" i="1"/>
  <c r="AE106" i="1"/>
  <c r="Z106" i="1"/>
  <c r="Y106" i="1"/>
  <c r="W106" i="1"/>
  <c r="V106" i="1"/>
  <c r="U106" i="1"/>
  <c r="T106" i="1"/>
  <c r="S106" i="1"/>
  <c r="I106" i="1"/>
  <c r="G106" i="1"/>
  <c r="AU105" i="1"/>
  <c r="AT105" i="1"/>
  <c r="AS105" i="1"/>
  <c r="AR105" i="1"/>
  <c r="AI105" i="1"/>
  <c r="AH105" i="1"/>
  <c r="AG105" i="1"/>
  <c r="AF105" i="1"/>
  <c r="AE105" i="1"/>
  <c r="Z105" i="1"/>
  <c r="Y105" i="1"/>
  <c r="W105" i="1"/>
  <c r="V105" i="1"/>
  <c r="U105" i="1"/>
  <c r="T105" i="1"/>
  <c r="A105" i="1"/>
  <c r="A106" i="1" s="1"/>
  <c r="AU104" i="1" l="1"/>
  <c r="AT104" i="1"/>
  <c r="AS104" i="1"/>
  <c r="AR104" i="1"/>
  <c r="AQ104" i="1"/>
  <c r="AL104" i="1"/>
  <c r="AK104" i="1"/>
  <c r="AJ104" i="1"/>
  <c r="AI104" i="1"/>
  <c r="AH104" i="1"/>
  <c r="AG104" i="1"/>
  <c r="AF104" i="1"/>
  <c r="AE104" i="1"/>
  <c r="Z104" i="1"/>
  <c r="Y104" i="1"/>
  <c r="W104" i="1"/>
  <c r="V104" i="1"/>
  <c r="U104" i="1"/>
  <c r="T104" i="1"/>
  <c r="S104" i="1"/>
  <c r="A104" i="1"/>
  <c r="AT103" i="1" l="1"/>
  <c r="AS103" i="1"/>
  <c r="AR103" i="1"/>
  <c r="AQ103" i="1"/>
  <c r="AJ103" i="1"/>
  <c r="AK103" i="1"/>
  <c r="AI103" i="1"/>
  <c r="AH103" i="1"/>
  <c r="AG103" i="1"/>
  <c r="AF103" i="1"/>
  <c r="AE103" i="1"/>
  <c r="Z103" i="1"/>
  <c r="Y103" i="1"/>
  <c r="W103" i="1"/>
  <c r="V103" i="1"/>
  <c r="U103" i="1"/>
  <c r="T103" i="1"/>
  <c r="I103" i="1"/>
  <c r="A103" i="1"/>
  <c r="AL102" i="1" l="1"/>
  <c r="AK102" i="1"/>
  <c r="AJ102" i="1"/>
  <c r="AI102" i="1"/>
  <c r="AH102" i="1"/>
  <c r="AG102" i="1"/>
  <c r="AF102" i="1"/>
  <c r="AE102" i="1"/>
  <c r="Z102" i="1"/>
  <c r="Y102" i="1"/>
  <c r="W102" i="1"/>
  <c r="V102" i="1"/>
  <c r="U102" i="1"/>
  <c r="T102" i="1"/>
  <c r="S102" i="1"/>
  <c r="I102" i="1"/>
  <c r="G102" i="1"/>
  <c r="A102" i="1"/>
  <c r="AU101" i="1"/>
  <c r="AT101" i="1"/>
  <c r="AS101" i="1"/>
  <c r="AR101" i="1"/>
  <c r="AQ101" i="1"/>
  <c r="AK101" i="1"/>
  <c r="AJ101" i="1"/>
  <c r="AI101" i="1"/>
  <c r="AH101" i="1"/>
  <c r="AG101" i="1"/>
  <c r="AF101" i="1"/>
  <c r="AE101" i="1"/>
  <c r="Z101" i="1"/>
  <c r="Y101" i="1"/>
  <c r="W101" i="1"/>
  <c r="V101" i="1"/>
  <c r="U101" i="1"/>
  <c r="T101" i="1"/>
  <c r="S101" i="1"/>
  <c r="I101" i="1"/>
  <c r="G101" i="1"/>
  <c r="A101" i="1"/>
  <c r="AU100" i="1" l="1"/>
  <c r="AT100" i="1"/>
  <c r="AS100" i="1"/>
  <c r="AR100" i="1"/>
  <c r="AQ100" i="1"/>
  <c r="AK100" i="1"/>
  <c r="AJ100" i="1"/>
  <c r="AI100" i="1"/>
  <c r="AH100" i="1"/>
  <c r="AG100" i="1"/>
  <c r="AF100" i="1"/>
  <c r="AE100" i="1"/>
  <c r="Z100" i="1"/>
  <c r="Y100" i="1"/>
  <c r="W100" i="1"/>
  <c r="V100" i="1"/>
  <c r="U100" i="1"/>
  <c r="T100" i="1"/>
  <c r="S100" i="1"/>
  <c r="I100" i="1"/>
  <c r="G100" i="1"/>
  <c r="A100" i="1"/>
  <c r="A99" i="1"/>
  <c r="AU98" i="1" l="1"/>
  <c r="AT98" i="1"/>
  <c r="AS98" i="1"/>
  <c r="AR98" i="1"/>
  <c r="AQ98" i="1"/>
  <c r="AK98" i="1"/>
  <c r="AJ98" i="1"/>
  <c r="AI98" i="1"/>
  <c r="AH98" i="1"/>
  <c r="AG98" i="1"/>
  <c r="AF98" i="1"/>
  <c r="AE98" i="1"/>
  <c r="AA98" i="1"/>
  <c r="Z98" i="1"/>
  <c r="Y98" i="1"/>
  <c r="W98" i="1"/>
  <c r="V98" i="1"/>
  <c r="U98" i="1"/>
  <c r="T98" i="1"/>
  <c r="S98" i="1"/>
  <c r="I98" i="1"/>
  <c r="G98" i="1"/>
  <c r="A98" i="1"/>
  <c r="AU97" i="1" l="1"/>
  <c r="AT97" i="1"/>
  <c r="AS97" i="1"/>
  <c r="AR97" i="1"/>
  <c r="AQ97" i="1"/>
  <c r="AM97" i="1"/>
  <c r="AL97" i="1"/>
  <c r="AK97" i="1"/>
  <c r="AJ97" i="1"/>
  <c r="AI97" i="1"/>
  <c r="AH97" i="1"/>
  <c r="AG97" i="1"/>
  <c r="AF97" i="1"/>
  <c r="AE97" i="1"/>
  <c r="Z97" i="1"/>
  <c r="Y97" i="1"/>
  <c r="W97" i="1"/>
  <c r="V97" i="1"/>
  <c r="U97" i="1"/>
  <c r="T97" i="1"/>
  <c r="A97" i="1"/>
  <c r="A96" i="1" l="1"/>
  <c r="AU95" i="1" l="1"/>
  <c r="AT95" i="1"/>
  <c r="AS95" i="1"/>
  <c r="AR95" i="1"/>
  <c r="AQ95" i="1"/>
  <c r="AK95" i="1"/>
  <c r="AJ95" i="1"/>
  <c r="AI95" i="1"/>
  <c r="AH95" i="1"/>
  <c r="AG95" i="1"/>
  <c r="AF95" i="1"/>
  <c r="AE95" i="1"/>
  <c r="Z95" i="1"/>
  <c r="Y95" i="1"/>
  <c r="W95" i="1"/>
  <c r="V95" i="1"/>
  <c r="U95" i="1"/>
  <c r="T95" i="1"/>
  <c r="S95" i="1"/>
  <c r="A95" i="1"/>
  <c r="AU89" i="1"/>
  <c r="AT89" i="1"/>
  <c r="AS89" i="1"/>
  <c r="AR89" i="1"/>
  <c r="AQ89" i="1"/>
  <c r="AU90" i="1"/>
  <c r="AT90" i="1"/>
  <c r="AR90" i="1"/>
  <c r="AQ90" i="1"/>
  <c r="AU91" i="1"/>
  <c r="AT91" i="1"/>
  <c r="AS91" i="1"/>
  <c r="AR91" i="1"/>
  <c r="AQ91" i="1"/>
  <c r="AU92" i="1"/>
  <c r="AT92" i="1"/>
  <c r="AS92" i="1"/>
  <c r="AR92" i="1"/>
  <c r="AQ92" i="1"/>
  <c r="AT93" i="1"/>
  <c r="AS93" i="1"/>
  <c r="AR93" i="1"/>
  <c r="AQ93" i="1"/>
  <c r="AU94" i="1"/>
  <c r="AT94" i="1"/>
  <c r="AS94" i="1"/>
  <c r="AR94" i="1"/>
  <c r="AQ94" i="1"/>
  <c r="AN94" i="1"/>
  <c r="AM94" i="1"/>
  <c r="AL94" i="1"/>
  <c r="AK94" i="1"/>
  <c r="AJ94" i="1"/>
  <c r="AI94" i="1"/>
  <c r="AH94" i="1"/>
  <c r="AG94" i="1"/>
  <c r="AF94" i="1"/>
  <c r="AE94" i="1"/>
  <c r="Z94" i="1"/>
  <c r="Y94" i="1"/>
  <c r="W94" i="1"/>
  <c r="U94" i="1"/>
  <c r="V94" i="1" s="1"/>
  <c r="T94" i="1"/>
  <c r="S94" i="1"/>
  <c r="I94" i="1"/>
  <c r="G94" i="1"/>
  <c r="AJ93" i="1" l="1"/>
  <c r="AI93" i="1"/>
  <c r="AH93" i="1"/>
  <c r="AG93" i="1"/>
  <c r="AF93" i="1"/>
  <c r="AE93" i="1"/>
  <c r="Z93" i="1"/>
  <c r="Y93" i="1"/>
  <c r="T93" i="1"/>
  <c r="W93" i="1" s="1"/>
  <c r="S93" i="1"/>
  <c r="V93" i="1" l="1"/>
  <c r="AM92" i="1"/>
  <c r="AL92" i="1"/>
  <c r="AK92" i="1"/>
  <c r="AJ92" i="1"/>
  <c r="AI92" i="1"/>
  <c r="AH92" i="1"/>
  <c r="AG92" i="1"/>
  <c r="AF92" i="1"/>
  <c r="AE92" i="1"/>
  <c r="Z92" i="1"/>
  <c r="Y92" i="1"/>
  <c r="U92" i="1"/>
  <c r="V92" i="1" s="1"/>
  <c r="T92" i="1"/>
  <c r="W92" i="1" s="1"/>
  <c r="S92" i="1"/>
  <c r="AK91" i="1" l="1"/>
  <c r="AJ91" i="1"/>
  <c r="AI91" i="1"/>
  <c r="AH91" i="1"/>
  <c r="AG91" i="1"/>
  <c r="AF91" i="1"/>
  <c r="AE91" i="1"/>
  <c r="Z91" i="1"/>
  <c r="Y91" i="1"/>
  <c r="W91" i="1"/>
  <c r="U91" i="1"/>
  <c r="V91" i="1" s="1"/>
  <c r="T91" i="1"/>
  <c r="S91" i="1"/>
  <c r="I91" i="1"/>
  <c r="G91" i="1"/>
  <c r="AJ90" i="1" l="1"/>
  <c r="AI90" i="1"/>
  <c r="AH90" i="1"/>
  <c r="AG90" i="1"/>
  <c r="AF90" i="1"/>
  <c r="AE90" i="1"/>
  <c r="Z90" i="1"/>
  <c r="Y90" i="1"/>
  <c r="T90" i="1"/>
  <c r="W90" i="1" s="1"/>
  <c r="V90" i="1" l="1"/>
  <c r="AJ89" i="1"/>
  <c r="AI89" i="1"/>
  <c r="AH89" i="1"/>
  <c r="AG89" i="1"/>
  <c r="AF89" i="1"/>
  <c r="AE89" i="1"/>
  <c r="Z89" i="1"/>
  <c r="Y89" i="1"/>
  <c r="V89" i="1"/>
  <c r="U89" i="1"/>
  <c r="T89" i="1"/>
  <c r="W89" i="1" s="1"/>
  <c r="U86" i="1" l="1"/>
  <c r="V86" i="1" s="1"/>
  <c r="U87" i="1"/>
  <c r="AL87" i="1"/>
  <c r="AK87" i="1"/>
  <c r="AJ87" i="1"/>
  <c r="AI87" i="1"/>
  <c r="AH87" i="1"/>
  <c r="AG87" i="1"/>
  <c r="AF87" i="1"/>
  <c r="AE87" i="1"/>
  <c r="Z87" i="1"/>
  <c r="Y87" i="1"/>
  <c r="T87" i="1"/>
  <c r="W87" i="1" s="1"/>
  <c r="AK86" i="1"/>
  <c r="AJ86" i="1"/>
  <c r="AI86" i="1"/>
  <c r="AH86" i="1"/>
  <c r="AG86" i="1"/>
  <c r="AF86" i="1"/>
  <c r="AE86" i="1"/>
  <c r="Z86" i="1"/>
  <c r="Y86" i="1"/>
  <c r="T86" i="1"/>
  <c r="W86" i="1" s="1"/>
  <c r="S86" i="1"/>
  <c r="V87" i="1" l="1"/>
  <c r="AJ85" i="1"/>
  <c r="AI85" i="1"/>
  <c r="AH85" i="1"/>
  <c r="AG85" i="1"/>
  <c r="AF85" i="1"/>
  <c r="AE85" i="1"/>
  <c r="Z85" i="1"/>
  <c r="Y85" i="1"/>
  <c r="T85" i="1"/>
  <c r="W85" i="1" s="1"/>
  <c r="S85" i="1"/>
  <c r="AH83" i="1" l="1"/>
  <c r="AG83" i="1"/>
  <c r="AF83" i="1"/>
  <c r="AE83" i="1"/>
  <c r="Z83" i="1"/>
  <c r="T83" i="1"/>
  <c r="W83" i="1"/>
  <c r="Y83" i="1" s="1"/>
  <c r="S83" i="1"/>
  <c r="AM82" i="1"/>
  <c r="AL82" i="1"/>
  <c r="AK82" i="1"/>
  <c r="AJ82" i="1"/>
  <c r="AI82" i="1"/>
  <c r="AH82" i="1"/>
  <c r="AG82" i="1"/>
  <c r="AF82" i="1"/>
  <c r="AE82" i="1"/>
  <c r="Z82" i="1"/>
  <c r="Y82" i="1"/>
  <c r="T82" i="1"/>
  <c r="W82" i="1" s="1"/>
  <c r="S82" i="1"/>
  <c r="AH81" i="1"/>
  <c r="AG81" i="1"/>
  <c r="AF81" i="1"/>
  <c r="AE81" i="1"/>
  <c r="Z81" i="1"/>
  <c r="Y81" i="1"/>
  <c r="W81" i="1"/>
  <c r="T81" i="1"/>
  <c r="AJ79" i="1" l="1"/>
  <c r="AI79" i="1"/>
  <c r="AH79" i="1"/>
  <c r="AG79" i="1"/>
  <c r="AF79" i="1"/>
  <c r="AE79" i="1"/>
  <c r="AI80" i="1"/>
  <c r="AH80" i="1"/>
  <c r="AG80" i="1"/>
  <c r="AF80" i="1"/>
  <c r="AE80" i="1"/>
  <c r="Z80" i="1"/>
  <c r="Y80" i="1"/>
  <c r="T80" i="1"/>
  <c r="W80" i="1" s="1"/>
  <c r="Z79" i="1" l="1"/>
  <c r="Y79" i="1"/>
  <c r="T79" i="1"/>
  <c r="W79" i="1" s="1"/>
  <c r="S79" i="1"/>
  <c r="AK78" i="1"/>
  <c r="AJ78" i="1"/>
  <c r="AI78" i="1"/>
  <c r="AH78" i="1"/>
  <c r="AG78" i="1"/>
  <c r="AF78" i="1"/>
  <c r="AE78" i="1"/>
  <c r="Z78" i="1"/>
  <c r="Y78" i="1"/>
  <c r="W78" i="1"/>
  <c r="T78" i="1"/>
  <c r="S78" i="1"/>
  <c r="AI77" i="1"/>
  <c r="AH77" i="1"/>
  <c r="AG77" i="1"/>
  <c r="AF77" i="1"/>
  <c r="AE77" i="1"/>
  <c r="Z77" i="1"/>
  <c r="Y77" i="1"/>
  <c r="T77" i="1"/>
  <c r="W77" i="1" s="1"/>
  <c r="S77" i="1"/>
  <c r="AL76" i="1" l="1"/>
  <c r="AK76" i="1"/>
  <c r="AJ76" i="1"/>
  <c r="AI76" i="1"/>
  <c r="AH76" i="1"/>
  <c r="AG76" i="1"/>
  <c r="AF76" i="1"/>
  <c r="AE76" i="1"/>
  <c r="Z76" i="1"/>
  <c r="Y76" i="1"/>
  <c r="T76" i="1"/>
  <c r="W76" i="1" s="1"/>
  <c r="AI75" i="1" l="1"/>
  <c r="AH75" i="1"/>
  <c r="AG75" i="1"/>
  <c r="AF75" i="1"/>
  <c r="AE75" i="1"/>
  <c r="Z75" i="1"/>
  <c r="Y75" i="1"/>
  <c r="T75" i="1"/>
  <c r="W75" i="1" s="1"/>
  <c r="S75" i="1"/>
  <c r="AK74" i="1"/>
  <c r="AJ74" i="1"/>
  <c r="AI74" i="1"/>
  <c r="AH74" i="1"/>
  <c r="AG74" i="1"/>
  <c r="AF74" i="1"/>
  <c r="AE74" i="1"/>
  <c r="Z74" i="1"/>
  <c r="Y74" i="1"/>
  <c r="W74" i="1"/>
  <c r="T74" i="1"/>
  <c r="AJ73" i="1" l="1"/>
  <c r="AI73" i="1"/>
  <c r="AH73" i="1"/>
  <c r="AG73" i="1"/>
  <c r="AF73" i="1"/>
  <c r="AE73" i="1"/>
  <c r="Z73" i="1"/>
  <c r="Y73" i="1"/>
  <c r="T73" i="1"/>
  <c r="W73" i="1" s="1"/>
  <c r="S73" i="1"/>
  <c r="AJ72" i="1" l="1"/>
  <c r="AI72" i="1"/>
  <c r="AH72" i="1"/>
  <c r="AG72" i="1"/>
  <c r="AF72" i="1"/>
  <c r="AE72" i="1"/>
  <c r="Z72" i="1"/>
  <c r="Y72" i="1"/>
  <c r="T72" i="1"/>
  <c r="W72" i="1" s="1"/>
  <c r="S72" i="1"/>
  <c r="AJ71" i="1" l="1"/>
  <c r="AI71" i="1"/>
  <c r="AH71" i="1"/>
  <c r="AG71" i="1"/>
  <c r="AF71" i="1"/>
  <c r="AE71" i="1"/>
  <c r="Z71" i="1"/>
  <c r="W71" i="1"/>
  <c r="Y71" i="1"/>
  <c r="T71" i="1"/>
  <c r="AJ70" i="1"/>
  <c r="AI70" i="1"/>
  <c r="AG70" i="1"/>
  <c r="AF70" i="1"/>
  <c r="AE70" i="1"/>
  <c r="Z70" i="1"/>
  <c r="Y70" i="1"/>
  <c r="T70" i="1"/>
  <c r="W70" i="1" s="1"/>
  <c r="S70" i="1"/>
  <c r="AJ69" i="1" l="1"/>
  <c r="AI69" i="1"/>
  <c r="AH69" i="1"/>
  <c r="AG69" i="1"/>
  <c r="AF69" i="1"/>
  <c r="AE69" i="1"/>
  <c r="Z69" i="1"/>
  <c r="Y69" i="1"/>
  <c r="T69" i="1"/>
  <c r="W69" i="1" s="1"/>
  <c r="AL68" i="1" l="1"/>
  <c r="AK68" i="1"/>
  <c r="AJ68" i="1"/>
  <c r="AI68" i="1"/>
  <c r="AH68" i="1"/>
  <c r="AG68" i="1"/>
  <c r="AF68" i="1"/>
  <c r="AE68" i="1"/>
  <c r="Z68" i="1"/>
  <c r="Y68" i="1"/>
  <c r="T68" i="1"/>
  <c r="W68" i="1" s="1"/>
  <c r="S68" i="1"/>
  <c r="AL67" i="1"/>
  <c r="AK67" i="1"/>
  <c r="AJ67" i="1"/>
  <c r="AI67" i="1"/>
  <c r="AH67" i="1"/>
  <c r="AG67" i="1"/>
  <c r="AF67" i="1"/>
  <c r="AE67" i="1"/>
  <c r="Z67" i="1"/>
  <c r="Y67" i="1"/>
  <c r="T67" i="1"/>
  <c r="W67" i="1" s="1"/>
  <c r="S67" i="1"/>
  <c r="AJ66" i="1" l="1"/>
  <c r="AI66" i="1"/>
  <c r="AH66" i="1"/>
  <c r="AG66" i="1"/>
  <c r="AF66" i="1"/>
  <c r="AE66" i="1"/>
  <c r="Z66" i="1"/>
  <c r="Y66" i="1"/>
  <c r="T66" i="1"/>
  <c r="W66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5" i="1"/>
  <c r="AJ65" i="1"/>
  <c r="AK65" i="1"/>
  <c r="AI65" i="1"/>
  <c r="AH65" i="1"/>
  <c r="AG65" i="1"/>
  <c r="AF65" i="1"/>
  <c r="AE65" i="1"/>
  <c r="Z65" i="1"/>
  <c r="Y65" i="1"/>
  <c r="T65" i="1"/>
  <c r="W65" i="1" s="1"/>
  <c r="AI63" i="1" l="1"/>
  <c r="AH63" i="1"/>
  <c r="AG63" i="1"/>
  <c r="AF63" i="1"/>
  <c r="AE63" i="1"/>
  <c r="Z63" i="1"/>
  <c r="Y63" i="1"/>
  <c r="W63" i="1"/>
  <c r="T63" i="1"/>
  <c r="Q63" i="1"/>
  <c r="S63" i="1" l="1"/>
  <c r="Q65" i="1"/>
  <c r="AI61" i="1"/>
  <c r="AH61" i="1"/>
  <c r="AG61" i="1"/>
  <c r="AF61" i="1"/>
  <c r="AE61" i="1"/>
  <c r="S65" i="1" l="1"/>
  <c r="Q66" i="1"/>
  <c r="Z61" i="1"/>
  <c r="Y61" i="1"/>
  <c r="T61" i="1"/>
  <c r="W61" i="1" s="1"/>
  <c r="S61" i="1"/>
  <c r="B60" i="1"/>
  <c r="Q69" i="1" l="1"/>
  <c r="S69" i="1" s="1"/>
  <c r="Q71" i="1"/>
  <c r="S71" i="1" s="1"/>
  <c r="AI60" i="1"/>
  <c r="AH60" i="1"/>
  <c r="AG60" i="1"/>
  <c r="AF60" i="1"/>
  <c r="AE60" i="1"/>
  <c r="Z60" i="1"/>
  <c r="Y60" i="1"/>
  <c r="T60" i="1"/>
  <c r="W60" i="1" s="1"/>
  <c r="S60" i="1"/>
  <c r="Q74" i="1" l="1"/>
  <c r="S74" i="1" s="1"/>
  <c r="Q89" i="1"/>
  <c r="S89" i="1" s="1"/>
  <c r="AJ59" i="1"/>
  <c r="AI59" i="1"/>
  <c r="AH59" i="1"/>
  <c r="AG59" i="1"/>
  <c r="AF59" i="1"/>
  <c r="AE59" i="1"/>
  <c r="Z59" i="1"/>
  <c r="Y59" i="1"/>
  <c r="T59" i="1"/>
  <c r="W59" i="1" s="1"/>
  <c r="S59" i="1"/>
  <c r="AG58" i="1"/>
  <c r="AF58" i="1"/>
  <c r="AE58" i="1"/>
  <c r="Z58" i="1"/>
  <c r="Y58" i="1"/>
  <c r="T58" i="1"/>
  <c r="W58" i="1" s="1"/>
  <c r="Q90" i="1" l="1"/>
  <c r="S90" i="1" s="1"/>
  <c r="AI57" i="1"/>
  <c r="AH57" i="1"/>
  <c r="AG57" i="1"/>
  <c r="AF57" i="1"/>
  <c r="AE57" i="1"/>
  <c r="Z57" i="1"/>
  <c r="T57" i="1"/>
  <c r="W57" i="1" s="1"/>
  <c r="Y57" i="1"/>
  <c r="AJ56" i="1" l="1"/>
  <c r="AI56" i="1"/>
  <c r="AH56" i="1"/>
  <c r="AG56" i="1"/>
  <c r="AE56" i="1"/>
  <c r="AF56" i="1"/>
  <c r="Z56" i="1"/>
  <c r="Y56" i="1"/>
  <c r="T56" i="1"/>
  <c r="W56" i="1" s="1"/>
  <c r="AH55" i="1" l="1"/>
  <c r="AG55" i="1"/>
  <c r="AF55" i="1"/>
  <c r="AE55" i="1"/>
  <c r="Z55" i="1"/>
  <c r="Y55" i="1"/>
  <c r="T55" i="1"/>
  <c r="W55" i="1" s="1"/>
  <c r="AI54" i="1" l="1"/>
  <c r="AH54" i="1"/>
  <c r="AG54" i="1"/>
  <c r="AF54" i="1"/>
  <c r="AE54" i="1"/>
  <c r="Z54" i="1"/>
  <c r="Y54" i="1"/>
  <c r="W54" i="1"/>
  <c r="T54" i="1"/>
  <c r="AI51" i="1" l="1"/>
  <c r="AH51" i="1"/>
  <c r="AG51" i="1"/>
  <c r="AF51" i="1"/>
  <c r="AE51" i="1"/>
  <c r="AC51" i="1"/>
  <c r="Z51" i="1"/>
  <c r="Y51" i="1"/>
  <c r="T51" i="1"/>
  <c r="W51" i="1" s="1"/>
  <c r="S51" i="1"/>
  <c r="AI50" i="1" l="1"/>
  <c r="AH50" i="1"/>
  <c r="AG50" i="1"/>
  <c r="AF50" i="1"/>
  <c r="AE50" i="1"/>
  <c r="Z50" i="1"/>
  <c r="Y50" i="1"/>
  <c r="W50" i="1"/>
  <c r="T50" i="1"/>
  <c r="T49" i="1"/>
  <c r="W49" i="1"/>
  <c r="Z49" i="1"/>
  <c r="AE49" i="1"/>
  <c r="AF49" i="1"/>
  <c r="AG49" i="1"/>
  <c r="AH49" i="1"/>
  <c r="AI48" i="1" l="1"/>
  <c r="AH48" i="1"/>
  <c r="AG48" i="1"/>
  <c r="AF48" i="1"/>
  <c r="AE48" i="1"/>
  <c r="Z48" i="1"/>
  <c r="Y48" i="1"/>
  <c r="T48" i="1"/>
  <c r="W48" i="1" s="1"/>
  <c r="AJ47" i="1" l="1"/>
  <c r="AI47" i="1"/>
  <c r="AH47" i="1"/>
  <c r="AG47" i="1"/>
  <c r="AF47" i="1"/>
  <c r="AE47" i="1"/>
  <c r="T47" i="1"/>
  <c r="W47" i="1"/>
  <c r="Z47" i="1"/>
  <c r="Y47" i="1"/>
  <c r="AI43" i="1" l="1"/>
  <c r="AH43" i="1"/>
  <c r="AG43" i="1"/>
  <c r="AF43" i="1"/>
  <c r="AE43" i="1"/>
  <c r="Z43" i="1"/>
  <c r="Y43" i="1"/>
  <c r="W43" i="1"/>
  <c r="T43" i="1"/>
  <c r="AJ42" i="1" l="1"/>
  <c r="AK42" i="1"/>
  <c r="AI42" i="1"/>
  <c r="AH42" i="1"/>
  <c r="AG42" i="1"/>
  <c r="AF42" i="1"/>
  <c r="AE42" i="1"/>
  <c r="Z42" i="1"/>
  <c r="Y42" i="1"/>
  <c r="T42" i="1"/>
  <c r="W42" i="1" s="1"/>
  <c r="AK41" i="1" l="1"/>
  <c r="AJ41" i="1"/>
  <c r="AI41" i="1"/>
  <c r="AH41" i="1"/>
  <c r="AG41" i="1"/>
  <c r="AF41" i="1"/>
  <c r="AE41" i="1"/>
  <c r="Z41" i="1"/>
  <c r="Y41" i="1"/>
  <c r="T41" i="1"/>
  <c r="W41" i="1" s="1"/>
  <c r="AK38" i="1" l="1"/>
  <c r="AJ38" i="1"/>
  <c r="AI38" i="1"/>
  <c r="AH38" i="1"/>
  <c r="AG38" i="1"/>
  <c r="AF38" i="1"/>
  <c r="AE38" i="1"/>
  <c r="Z38" i="1"/>
  <c r="Y38" i="1"/>
  <c r="T38" i="1"/>
  <c r="W38" i="1" s="1"/>
  <c r="AI37" i="1" l="1"/>
  <c r="AH37" i="1"/>
  <c r="AG37" i="1"/>
  <c r="AF37" i="1"/>
  <c r="AE37" i="1"/>
  <c r="Z37" i="1"/>
  <c r="Y37" i="1"/>
  <c r="W37" i="1"/>
  <c r="T37" i="1"/>
  <c r="AI36" i="1"/>
  <c r="AH36" i="1"/>
  <c r="AG36" i="1"/>
  <c r="AF36" i="1"/>
  <c r="AE36" i="1"/>
  <c r="Z36" i="1"/>
  <c r="Y36" i="1"/>
  <c r="T36" i="1"/>
  <c r="W36" i="1" s="1"/>
  <c r="AI35" i="1" l="1"/>
  <c r="AH35" i="1"/>
  <c r="AG35" i="1"/>
  <c r="AF35" i="1"/>
  <c r="AE35" i="1"/>
  <c r="Z35" i="1"/>
  <c r="Y35" i="1"/>
  <c r="T35" i="1"/>
  <c r="W35" i="1" s="1"/>
  <c r="AI34" i="1" l="1"/>
  <c r="AH34" i="1"/>
  <c r="AG34" i="1"/>
  <c r="AF34" i="1"/>
  <c r="AE34" i="1"/>
  <c r="Z34" i="1"/>
  <c r="Y34" i="1"/>
  <c r="W34" i="1"/>
  <c r="T34" i="1"/>
  <c r="AI33" i="1" l="1"/>
  <c r="AH33" i="1"/>
  <c r="AG33" i="1"/>
  <c r="AF33" i="1"/>
  <c r="AE33" i="1"/>
  <c r="Z33" i="1"/>
  <c r="Y33" i="1"/>
  <c r="W33" i="1"/>
  <c r="T33" i="1"/>
  <c r="AI32" i="1" l="1"/>
  <c r="AH32" i="1"/>
  <c r="AG32" i="1"/>
  <c r="AF32" i="1"/>
  <c r="AE32" i="1"/>
  <c r="Z32" i="1"/>
  <c r="Y32" i="1"/>
  <c r="W32" i="1"/>
  <c r="T32" i="1"/>
  <c r="AI31" i="1" l="1"/>
  <c r="AH31" i="1"/>
  <c r="AG31" i="1"/>
  <c r="AF31" i="1"/>
  <c r="AE31" i="1"/>
  <c r="Z31" i="1"/>
  <c r="Y31" i="1"/>
  <c r="W31" i="1"/>
  <c r="T31" i="1"/>
  <c r="AI30" i="1" l="1"/>
  <c r="AH30" i="1"/>
  <c r="AG30" i="1"/>
  <c r="AF30" i="1"/>
  <c r="AE30" i="1"/>
  <c r="Z30" i="1"/>
  <c r="Y30" i="1"/>
  <c r="W30" i="1"/>
  <c r="T30" i="1"/>
  <c r="AI28" i="1" l="1"/>
  <c r="AH28" i="1"/>
  <c r="AG28" i="1"/>
  <c r="AF28" i="1"/>
  <c r="AE28" i="1"/>
  <c r="Z28" i="1"/>
  <c r="Y28" i="1"/>
  <c r="W28" i="1"/>
  <c r="T28" i="1"/>
  <c r="AJ27" i="1" l="1"/>
  <c r="AI27" i="1"/>
  <c r="AH27" i="1"/>
  <c r="AG27" i="1"/>
  <c r="AF27" i="1"/>
  <c r="AE27" i="1"/>
  <c r="Z27" i="1"/>
  <c r="Y27" i="1"/>
  <c r="T27" i="1"/>
  <c r="W27" i="1" s="1"/>
  <c r="AI26" i="1" l="1"/>
  <c r="AH26" i="1"/>
  <c r="AG26" i="1"/>
  <c r="AF26" i="1"/>
  <c r="AE26" i="1"/>
  <c r="Z26" i="1"/>
  <c r="Y26" i="1"/>
  <c r="W26" i="1"/>
  <c r="T26" i="1"/>
  <c r="AJ22" i="1" l="1"/>
  <c r="AH22" i="1"/>
  <c r="AI22" i="1"/>
  <c r="AG22" i="1"/>
  <c r="AF22" i="1"/>
  <c r="AE22" i="1"/>
  <c r="Z22" i="1"/>
  <c r="Y22" i="1"/>
  <c r="T22" i="1"/>
  <c r="W22" i="1" s="1"/>
  <c r="AH24" i="1"/>
  <c r="AG24" i="1"/>
  <c r="AF24" i="1"/>
  <c r="AE24" i="1"/>
  <c r="AA24" i="1"/>
  <c r="T24" i="1"/>
  <c r="W24" i="1" s="1"/>
  <c r="Z24" i="1"/>
  <c r="Y24" i="1"/>
  <c r="AH21" i="1" l="1"/>
  <c r="AG21" i="1"/>
  <c r="AF21" i="1"/>
  <c r="AE21" i="1"/>
  <c r="Z21" i="1"/>
  <c r="Y21" i="1"/>
  <c r="T21" i="1"/>
  <c r="W21" i="1" s="1"/>
  <c r="AI2" i="1" l="1"/>
  <c r="AH2" i="1"/>
  <c r="AG2" i="1"/>
  <c r="AF2" i="1"/>
  <c r="AE2" i="1"/>
  <c r="Z2" i="1"/>
  <c r="AI20" i="1"/>
  <c r="AH20" i="1"/>
  <c r="AG20" i="1"/>
  <c r="AF20" i="1"/>
  <c r="AE20" i="1"/>
  <c r="Z20" i="1"/>
  <c r="T20" i="1"/>
  <c r="W20" i="1" s="1"/>
  <c r="Y20" i="1"/>
  <c r="Y19" i="1"/>
  <c r="S20" i="1"/>
  <c r="Z19" i="1"/>
  <c r="T19" i="1"/>
  <c r="W19" i="1" s="1"/>
  <c r="Y3" i="1" l="1"/>
  <c r="A4" i="1"/>
  <c r="A3" i="1" s="1"/>
  <c r="B5" i="1" l="1"/>
  <c r="AI17" i="1"/>
  <c r="AH17" i="1"/>
  <c r="AG17" i="1"/>
  <c r="AF17" i="1"/>
  <c r="AE17" i="1"/>
  <c r="Z17" i="1"/>
  <c r="W17" i="1"/>
  <c r="T17" i="1"/>
  <c r="A6" i="1" l="1"/>
  <c r="AJ16" i="1"/>
  <c r="AI16" i="1"/>
  <c r="AH16" i="1"/>
  <c r="AG16" i="1"/>
  <c r="AF16" i="1"/>
  <c r="AE16" i="1"/>
  <c r="Z16" i="1"/>
  <c r="Y16" i="1"/>
  <c r="T16" i="1"/>
  <c r="W16" i="1" s="1"/>
  <c r="AI15" i="1" l="1"/>
  <c r="AH15" i="1"/>
  <c r="AG15" i="1"/>
  <c r="AF15" i="1"/>
  <c r="AE15" i="1"/>
  <c r="Z15" i="1"/>
  <c r="Y15" i="1"/>
  <c r="W15" i="1"/>
  <c r="T15" i="1"/>
  <c r="S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J14" i="1" l="1"/>
  <c r="AI14" i="1"/>
  <c r="AH14" i="1"/>
  <c r="AG14" i="1"/>
  <c r="AF14" i="1"/>
  <c r="AE14" i="1"/>
  <c r="Z14" i="1"/>
  <c r="Y14" i="1"/>
  <c r="T14" i="1"/>
  <c r="W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I9" i="1" l="1"/>
  <c r="AH9" i="1"/>
  <c r="AG9" i="1"/>
  <c r="AF9" i="1"/>
  <c r="AE9" i="1"/>
  <c r="Z9" i="1"/>
  <c r="Y9" i="1"/>
  <c r="W9" i="1"/>
  <c r="T9" i="1"/>
  <c r="AI8" i="1"/>
  <c r="AH8" i="1"/>
  <c r="AG8" i="1"/>
  <c r="AF8" i="1"/>
  <c r="AE8" i="1"/>
  <c r="Z8" i="1"/>
  <c r="T8" i="1"/>
  <c r="Y8" i="1" s="1"/>
  <c r="A7" i="1"/>
  <c r="A8" i="1" s="1"/>
  <c r="A9" i="1" s="1"/>
  <c r="W8" i="1" l="1"/>
  <c r="AJ6" i="1"/>
  <c r="AI6" i="1"/>
  <c r="AH6" i="1"/>
  <c r="AG6" i="1"/>
  <c r="AF6" i="1"/>
  <c r="AE6" i="1"/>
  <c r="Z6" i="1"/>
  <c r="Y6" i="1"/>
  <c r="T6" i="1"/>
  <c r="W6" i="1" s="1"/>
  <c r="AG7" i="1"/>
  <c r="AF7" i="1"/>
  <c r="AE7" i="1"/>
  <c r="Z7" i="1"/>
  <c r="X7" i="1"/>
  <c r="Y7" i="1" s="1"/>
  <c r="T7" i="1"/>
  <c r="W7" i="1" s="1"/>
  <c r="S7" i="1"/>
  <c r="B4" i="1"/>
  <c r="B3" i="1" s="1"/>
</calcChain>
</file>

<file path=xl/sharedStrings.xml><?xml version="1.0" encoding="utf-8"?>
<sst xmlns="http://schemas.openxmlformats.org/spreadsheetml/2006/main" count="622" uniqueCount="99">
  <si>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</si>
  <si>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</si>
  <si>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</si>
  <si>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</si>
  <si>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</si>
  <si>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</si>
  <si>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</si>
  <si>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</si>
  <si>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</si>
  <si>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</si>
  <si>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</si>
  <si>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</si>
  <si>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</si>
  <si>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</si>
  <si>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</si>
  <si>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</si>
  <si>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</si>
  <si>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</si>
  <si>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</si>
  <si>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</si>
  <si>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</si>
  <si>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</si>
  <si>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</si>
  <si>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</si>
  <si>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</si>
  <si>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</si>
  <si>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</si>
  <si>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</si>
  <si>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</si>
  <si>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Parks Mall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</si>
  <si>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</si>
  <si>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</si>
  <si>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</si>
  <si>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</si>
  <si>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</si>
  <si>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</si>
  <si>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</si>
  <si>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</si>
  <si>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</si>
  <si>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</si>
  <si>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</si>
  <si>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</si>
  <si>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</si>
  <si>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</si>
  <si>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</si>
  <si>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</si>
  <si>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</si>
  <si>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</si>
  <si>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Fish Creek Linear Park</t>
  </si>
  <si>
    <t>Stoval Park</t>
  </si>
  <si>
    <t>Mostly Cloudy</t>
  </si>
  <si>
    <t>Operztor error</t>
  </si>
  <si>
    <t>T-Storm / Windy</t>
  </si>
  <si>
    <t>River Legacy West</t>
  </si>
  <si>
    <t>Rosie</t>
  </si>
  <si>
    <t>date_time</t>
  </si>
  <si>
    <t>River Legacy North East</t>
  </si>
  <si>
    <t>start_steps</t>
  </si>
  <si>
    <t>end_steps</t>
  </si>
  <si>
    <t>kcal</t>
  </si>
  <si>
    <t>Operator error</t>
  </si>
  <si>
    <t>Partly Cloudy</t>
  </si>
  <si>
    <t>Three Parks</t>
  </si>
  <si>
    <t>Four Parks</t>
  </si>
  <si>
    <t>South Rush Creek Linear Park</t>
  </si>
  <si>
    <t>pace.09</t>
  </si>
  <si>
    <t>Bad</t>
  </si>
  <si>
    <t>Good</t>
  </si>
  <si>
    <t>Mostly Cloudy / Windy</t>
  </si>
  <si>
    <t>elasped</t>
  </si>
  <si>
    <t>rest</t>
  </si>
  <si>
    <t>Holiday</t>
  </si>
  <si>
    <t>Medical</t>
  </si>
  <si>
    <t>Weather</t>
  </si>
  <si>
    <t>pace.10</t>
  </si>
  <si>
    <t>zone1</t>
  </si>
  <si>
    <t>zone2</t>
  </si>
  <si>
    <t>zone3</t>
  </si>
  <si>
    <t>zone4</t>
  </si>
  <si>
    <t>zone5</t>
  </si>
  <si>
    <t>Green Oaks - Little Road</t>
  </si>
  <si>
    <t>injury</t>
  </si>
  <si>
    <t>Plantar fasciitis</t>
  </si>
  <si>
    <t>Sick</t>
  </si>
  <si>
    <t>Rain Light</t>
  </si>
  <si>
    <t>Parks Mall - All inside</t>
  </si>
  <si>
    <t>id</t>
  </si>
  <si>
    <t>walking_conditions</t>
  </si>
  <si>
    <t>sky_conditions</t>
  </si>
  <si>
    <t>dew_point</t>
  </si>
  <si>
    <t>wind_speed</t>
  </si>
  <si>
    <t>gust</t>
  </si>
  <si>
    <t>NW</t>
  </si>
  <si>
    <t>direction_wind</t>
  </si>
  <si>
    <t>N</t>
  </si>
  <si>
    <t>S</t>
  </si>
  <si>
    <t>ESE</t>
  </si>
  <si>
    <t>SSE</t>
  </si>
  <si>
    <t>Parks Mall - 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</si>
</sst>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9"/>
  <sheetViews>
    <sheetView tabSelected="1" topLeftCell="AI1" zoomScale="115" zoomScaleNormal="115" workbookViewId="0">
      <pane ySplit="1" topLeftCell="A102" activePane="bottomLeft" state="frozen"/>
      <selection activeCell="B1" sqref="B1"/>
      <selection pane="bottomLeft" activeCell="AV119" sqref="AV119:AX119"/>
    </sheetView>
  </sheetViews>
  <sheetFormatPr defaultRowHeight="15" x14ac:dyDescent="0.25"/>
  <cols>
    <col min="1" max="1" width="5.42578125" customWidth="1"/>
    <col min="2" max="2" width="14.140625" style="18" customWidth="1"/>
    <col min="4" max="4" width="14.42578125" customWidth="1"/>
    <col min="5" max="5" width="14.42578125" style="16" customWidth="1"/>
    <col min="6" max="6" width="16.42578125" customWidth="1"/>
    <col min="7" max="7" width="6.28515625" style="17" customWidth="1"/>
    <col min="8" max="8" width="5" style="17" customWidth="1"/>
    <col min="9" max="9" width="4.5703125" style="17" customWidth="1"/>
    <col min="10" max="10" width="8.5703125" style="17" customWidth="1"/>
    <col min="11" max="11" width="5" style="17" customWidth="1"/>
    <col min="12" max="12" width="5.140625" style="17" customWidth="1"/>
    <col min="13" max="13" width="9.7109375" style="16" customWidth="1"/>
    <col min="14" max="14" width="9.85546875" customWidth="1"/>
    <col min="15" max="15" width="26" customWidth="1"/>
    <col min="16" max="16" width="9.140625" style="1"/>
    <col min="17" max="17" width="11.42578125" style="17" customWidth="1"/>
    <col min="18" max="18" width="6.7109375" style="17" customWidth="1"/>
    <col min="19" max="19" width="6.42578125" style="17" customWidth="1"/>
    <col min="20" max="23" width="9.140625" style="1"/>
    <col min="25" max="26" width="9.140625" style="1"/>
    <col min="27" max="29" width="9.140625" style="17"/>
    <col min="31" max="40" width="9.140625" style="1"/>
    <col min="42" max="42" width="7.85546875" customWidth="1"/>
    <col min="43" max="43" width="6.7109375" style="1" customWidth="1"/>
    <col min="44" max="44" width="6.85546875" style="1" customWidth="1"/>
    <col min="45" max="45" width="6.5703125" style="1" customWidth="1"/>
    <col min="46" max="47" width="6.7109375" style="1" customWidth="1"/>
    <col min="48" max="48" width="20.28515625" customWidth="1"/>
    <col min="50" max="50" width="11.140625" customWidth="1"/>
    <col min="51" max="51" width="14.42578125" customWidth="1"/>
  </cols>
  <sheetData>
    <row r="1" spans="1:51" x14ac:dyDescent="0.25">
      <c r="A1" t="s">
        <v>86</v>
      </c>
      <c r="B1" s="18" t="s">
        <v>55</v>
      </c>
      <c r="C1" t="s">
        <v>0</v>
      </c>
      <c r="D1" t="s">
        <v>1</v>
      </c>
      <c r="E1" s="16" t="s">
        <v>81</v>
      </c>
      <c r="F1" t="s">
        <v>88</v>
      </c>
      <c r="G1" s="17" t="s">
        <v>2</v>
      </c>
      <c r="H1" s="17" t="s">
        <v>89</v>
      </c>
      <c r="I1" s="17" t="s">
        <v>3</v>
      </c>
      <c r="J1" s="17" t="s">
        <v>93</v>
      </c>
      <c r="K1" s="17" t="s">
        <v>90</v>
      </c>
      <c r="L1" s="17" t="s">
        <v>91</v>
      </c>
      <c r="M1" s="16" t="s">
        <v>87</v>
      </c>
      <c r="N1" t="s">
        <v>28</v>
      </c>
      <c r="O1" t="s">
        <v>4</v>
      </c>
      <c r="P1" s="1" t="s">
        <v>5</v>
      </c>
      <c r="Q1" s="17" t="s">
        <v>57</v>
      </c>
      <c r="R1" s="17" t="s">
        <v>58</v>
      </c>
      <c r="S1" s="17" t="s">
        <v>6</v>
      </c>
      <c r="T1" s="1" t="s">
        <v>7</v>
      </c>
      <c r="U1" s="1" t="s">
        <v>69</v>
      </c>
      <c r="V1" s="1" t="s">
        <v>70</v>
      </c>
      <c r="W1" s="1" t="s">
        <v>8</v>
      </c>
      <c r="X1" t="s">
        <v>9</v>
      </c>
      <c r="Y1" s="1" t="s">
        <v>10</v>
      </c>
      <c r="Z1" s="1" t="s">
        <v>11</v>
      </c>
      <c r="AA1" s="17" t="s">
        <v>12</v>
      </c>
      <c r="AB1" s="17" t="s">
        <v>59</v>
      </c>
      <c r="AC1" s="17" t="s">
        <v>13</v>
      </c>
      <c r="AD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65</v>
      </c>
      <c r="AN1" s="1" t="s">
        <v>74</v>
      </c>
      <c r="AO1" t="s">
        <v>23</v>
      </c>
      <c r="AP1" t="s">
        <v>24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  <c r="AV1" t="s">
        <v>25</v>
      </c>
      <c r="AW1" t="s">
        <v>26</v>
      </c>
      <c r="AX1" t="s">
        <v>27</v>
      </c>
      <c r="AY1" t="s">
        <v>35</v>
      </c>
    </row>
    <row r="2" spans="1:51" s="16" customFormat="1" x14ac:dyDescent="0.25">
      <c r="A2" s="16">
        <v>518</v>
      </c>
      <c r="B2" s="18">
        <v>43882</v>
      </c>
      <c r="C2" s="16">
        <v>1</v>
      </c>
      <c r="F2" s="16" t="s">
        <v>46</v>
      </c>
      <c r="G2" s="17">
        <v>54</v>
      </c>
      <c r="H2" s="17"/>
      <c r="I2" s="17">
        <v>98</v>
      </c>
      <c r="N2" s="16" t="s">
        <v>34</v>
      </c>
      <c r="O2" s="16" t="s">
        <v>98</v>
      </c>
      <c r="P2" s="1">
        <v>5.19</v>
      </c>
      <c r="Q2" s="17"/>
      <c r="R2" s="17"/>
      <c r="S2" s="17"/>
      <c r="T2" s="1">
        <v>1.55</v>
      </c>
      <c r="U2" s="1"/>
      <c r="V2" s="1"/>
      <c r="W2" s="16">
        <v>3.35</v>
      </c>
      <c r="X2" s="16">
        <v>3</v>
      </c>
      <c r="Y2" s="16">
        <v>1.73</v>
      </c>
      <c r="Z2" s="1">
        <f>16+46/60</f>
        <v>16.766666666666666</v>
      </c>
      <c r="AA2" s="17">
        <v>220</v>
      </c>
      <c r="AB2" s="17">
        <v>667</v>
      </c>
      <c r="AC2" s="17">
        <v>101</v>
      </c>
      <c r="AD2" s="16">
        <v>150</v>
      </c>
      <c r="AE2" s="1">
        <f>16+11.7/60</f>
        <v>16.195</v>
      </c>
      <c r="AF2" s="1">
        <f>16+55.8/60</f>
        <v>16.93</v>
      </c>
      <c r="AG2" s="1">
        <f>16+53.8/60</f>
        <v>16.896666666666668</v>
      </c>
      <c r="AH2" s="1">
        <f>17+8.8/60</f>
        <v>17.146666666666668</v>
      </c>
      <c r="AI2" s="1">
        <f>60/3.6</f>
        <v>16.666666666666668</v>
      </c>
      <c r="AJ2" s="1"/>
      <c r="AK2" s="1"/>
      <c r="AL2" s="1"/>
      <c r="AM2" s="1"/>
      <c r="AN2" s="1"/>
      <c r="AO2" s="16">
        <v>1</v>
      </c>
      <c r="AP2" s="16">
        <v>1</v>
      </c>
      <c r="AQ2" s="1"/>
      <c r="AR2" s="1"/>
      <c r="AS2" s="1"/>
      <c r="AT2" s="1"/>
      <c r="AU2" s="1"/>
      <c r="AV2" s="16" t="s">
        <v>30</v>
      </c>
      <c r="AW2" s="16" t="s">
        <v>31</v>
      </c>
      <c r="AX2" s="16">
        <v>0</v>
      </c>
    </row>
    <row r="3" spans="1:51" s="9" customFormat="1" x14ac:dyDescent="0.25">
      <c r="A3" s="10">
        <f>A4-1</f>
        <v>537</v>
      </c>
      <c r="B3" s="18">
        <f>B4-1</f>
        <v>43883</v>
      </c>
      <c r="C3" s="9">
        <v>1</v>
      </c>
      <c r="E3" s="16"/>
      <c r="F3" s="11" t="s">
        <v>32</v>
      </c>
      <c r="G3" s="17">
        <v>77</v>
      </c>
      <c r="H3" s="17"/>
      <c r="I3" s="17">
        <v>42</v>
      </c>
      <c r="J3" s="17"/>
      <c r="K3" s="17"/>
      <c r="L3" s="17"/>
      <c r="M3" s="16"/>
      <c r="N3" s="12" t="s">
        <v>34</v>
      </c>
      <c r="O3" s="14" t="s">
        <v>45</v>
      </c>
      <c r="P3" s="1">
        <v>5.62</v>
      </c>
      <c r="Q3" s="17"/>
      <c r="R3" s="17"/>
      <c r="S3" s="17"/>
      <c r="T3" s="1">
        <v>1.53</v>
      </c>
      <c r="U3" s="1"/>
      <c r="V3" s="1"/>
      <c r="W3" s="1">
        <v>3.93</v>
      </c>
      <c r="X3" s="9">
        <v>2</v>
      </c>
      <c r="Y3" s="1">
        <f>P3/X3</f>
        <v>2.81</v>
      </c>
      <c r="Z3" s="15">
        <v>16.350000000000001</v>
      </c>
      <c r="AA3" s="17">
        <v>125</v>
      </c>
      <c r="AB3" s="17">
        <v>943</v>
      </c>
      <c r="AC3" s="17">
        <v>124</v>
      </c>
      <c r="AD3" s="16">
        <v>140</v>
      </c>
      <c r="AE3" s="16">
        <v>15.62</v>
      </c>
      <c r="AF3" s="1">
        <v>16.3</v>
      </c>
      <c r="AG3" s="16">
        <v>16.079999999999998</v>
      </c>
      <c r="AH3" s="16">
        <v>15.83</v>
      </c>
      <c r="AI3" s="16">
        <v>16.5</v>
      </c>
      <c r="AJ3" s="16">
        <v>16.22</v>
      </c>
      <c r="AK3" s="1"/>
      <c r="AL3" s="1"/>
      <c r="AM3" s="1"/>
      <c r="AN3" s="1"/>
      <c r="AO3" s="16">
        <v>1</v>
      </c>
      <c r="AP3" s="16">
        <v>0</v>
      </c>
      <c r="AQ3" s="1"/>
      <c r="AR3" s="1"/>
      <c r="AS3" s="1"/>
      <c r="AT3" s="1"/>
      <c r="AU3" s="1"/>
      <c r="AV3" s="16" t="s">
        <v>30</v>
      </c>
      <c r="AW3" s="16" t="s">
        <v>31</v>
      </c>
      <c r="AX3" s="16">
        <v>0</v>
      </c>
      <c r="AY3" s="16"/>
    </row>
    <row r="4" spans="1:51" x14ac:dyDescent="0.25">
      <c r="A4" s="9">
        <f>A5-1</f>
        <v>538</v>
      </c>
      <c r="B4" s="18">
        <f>B5-1</f>
        <v>43884</v>
      </c>
      <c r="C4">
        <v>1</v>
      </c>
      <c r="F4" s="16" t="s">
        <v>32</v>
      </c>
      <c r="G4" s="17">
        <v>74</v>
      </c>
      <c r="I4" s="17">
        <v>64</v>
      </c>
      <c r="N4" s="13" t="s">
        <v>34</v>
      </c>
      <c r="O4" s="4" t="s">
        <v>63</v>
      </c>
      <c r="P4" s="1">
        <v>4.91</v>
      </c>
      <c r="T4" s="1">
        <v>1.25</v>
      </c>
      <c r="W4" s="6">
        <v>3.93</v>
      </c>
      <c r="X4" s="6">
        <v>2</v>
      </c>
      <c r="Y4" s="6">
        <v>2.46</v>
      </c>
      <c r="Z4" s="7">
        <v>17.28</v>
      </c>
      <c r="AA4" s="17">
        <v>269</v>
      </c>
      <c r="AB4" s="17">
        <v>648</v>
      </c>
      <c r="AC4" s="17">
        <v>96</v>
      </c>
      <c r="AD4" s="7">
        <v>146</v>
      </c>
      <c r="AE4" s="8">
        <v>17.03</v>
      </c>
      <c r="AF4" s="1">
        <v>16.62</v>
      </c>
      <c r="AG4" s="8">
        <v>17.78</v>
      </c>
      <c r="AH4" s="8">
        <v>16.75</v>
      </c>
      <c r="AI4" s="8">
        <v>17.14</v>
      </c>
      <c r="AO4" s="9">
        <v>1</v>
      </c>
      <c r="AP4" s="9">
        <v>0</v>
      </c>
      <c r="AV4" s="16" t="s">
        <v>30</v>
      </c>
      <c r="AW4" s="9" t="s">
        <v>31</v>
      </c>
      <c r="AX4" s="9">
        <v>0</v>
      </c>
      <c r="AY4" s="9"/>
    </row>
    <row r="5" spans="1:51" x14ac:dyDescent="0.25">
      <c r="A5">
        <v>539</v>
      </c>
      <c r="B5" s="18">
        <f>B6-1</f>
        <v>43885</v>
      </c>
      <c r="C5">
        <v>1</v>
      </c>
      <c r="F5" t="s">
        <v>41</v>
      </c>
      <c r="G5" s="17">
        <v>50</v>
      </c>
      <c r="I5" s="17">
        <v>60</v>
      </c>
      <c r="N5" t="s">
        <v>34</v>
      </c>
      <c r="O5" t="s">
        <v>29</v>
      </c>
      <c r="P5" s="1">
        <v>5.47</v>
      </c>
      <c r="S5" s="17">
        <v>12521</v>
      </c>
      <c r="T5" s="1">
        <v>1.58</v>
      </c>
      <c r="W5">
        <v>3.45</v>
      </c>
      <c r="X5">
        <v>4</v>
      </c>
      <c r="Y5">
        <v>1.37</v>
      </c>
      <c r="Z5">
        <v>17.399999999999999</v>
      </c>
      <c r="AA5" s="17">
        <v>54</v>
      </c>
      <c r="AB5" s="17">
        <v>1095</v>
      </c>
      <c r="AC5" s="17">
        <v>126</v>
      </c>
      <c r="AD5">
        <v>147</v>
      </c>
      <c r="AE5">
        <v>19.12</v>
      </c>
      <c r="AF5" s="1">
        <v>20.329999999999998</v>
      </c>
      <c r="AG5">
        <v>21.63</v>
      </c>
      <c r="AH5">
        <v>20.350000000000001</v>
      </c>
      <c r="AI5">
        <v>20</v>
      </c>
      <c r="AJ5"/>
      <c r="AP5">
        <v>1</v>
      </c>
      <c r="AV5" s="16" t="s">
        <v>30</v>
      </c>
      <c r="AW5" s="16" t="s">
        <v>31</v>
      </c>
      <c r="AX5">
        <v>0</v>
      </c>
      <c r="AY5" t="s">
        <v>35</v>
      </c>
    </row>
    <row r="6" spans="1:51" x14ac:dyDescent="0.25">
      <c r="A6">
        <f>A5+1</f>
        <v>540</v>
      </c>
      <c r="B6" s="18">
        <v>43886</v>
      </c>
      <c r="C6">
        <v>1</v>
      </c>
      <c r="F6" t="s">
        <v>32</v>
      </c>
      <c r="G6" s="17">
        <v>62</v>
      </c>
      <c r="I6" s="17">
        <v>80</v>
      </c>
      <c r="N6" t="s">
        <v>34</v>
      </c>
      <c r="O6" t="s">
        <v>33</v>
      </c>
      <c r="P6" s="1">
        <v>5.49</v>
      </c>
      <c r="T6" s="1">
        <f>87/60</f>
        <v>1.45</v>
      </c>
      <c r="W6" s="1">
        <f>P6/T6</f>
        <v>3.7862068965517244</v>
      </c>
      <c r="X6">
        <v>1</v>
      </c>
      <c r="Y6" s="1">
        <f>P6/X6</f>
        <v>5.49</v>
      </c>
      <c r="Z6" s="1">
        <f>15+45/60</f>
        <v>15.75</v>
      </c>
      <c r="AA6" s="17">
        <v>30</v>
      </c>
      <c r="AB6" s="17">
        <v>965</v>
      </c>
      <c r="AC6" s="17">
        <v>132</v>
      </c>
      <c r="AD6">
        <v>159</v>
      </c>
      <c r="AE6" s="1">
        <f>15+37/60</f>
        <v>15.616666666666667</v>
      </c>
      <c r="AF6" s="1">
        <f>15+50/60</f>
        <v>15.833333333333334</v>
      </c>
      <c r="AG6" s="1">
        <f>15+33/60</f>
        <v>15.55</v>
      </c>
      <c r="AH6" s="1">
        <f>15+27/60</f>
        <v>15.45</v>
      </c>
      <c r="AI6" s="1">
        <f>16+11/60</f>
        <v>16.183333333333334</v>
      </c>
      <c r="AJ6" s="1">
        <f>60/3.8</f>
        <v>15.789473684210527</v>
      </c>
      <c r="AO6">
        <v>0</v>
      </c>
      <c r="AP6">
        <v>0</v>
      </c>
      <c r="AV6" t="s">
        <v>30</v>
      </c>
      <c r="AW6" t="s">
        <v>31</v>
      </c>
      <c r="AX6">
        <v>0</v>
      </c>
    </row>
    <row r="7" spans="1:51" x14ac:dyDescent="0.25">
      <c r="A7">
        <f>A6+1</f>
        <v>541</v>
      </c>
      <c r="B7" s="18">
        <v>43887</v>
      </c>
      <c r="C7">
        <v>1</v>
      </c>
      <c r="F7" t="s">
        <v>32</v>
      </c>
      <c r="G7" s="17">
        <v>44</v>
      </c>
      <c r="I7" s="17">
        <v>45</v>
      </c>
      <c r="N7" t="s">
        <v>34</v>
      </c>
      <c r="O7" s="16" t="s">
        <v>98</v>
      </c>
      <c r="P7" s="1">
        <v>2.86</v>
      </c>
      <c r="S7" s="17">
        <f>9769-843</f>
        <v>8926</v>
      </c>
      <c r="T7" s="1">
        <f>79/60</f>
        <v>1.3166666666666667</v>
      </c>
      <c r="W7" s="1">
        <f>P7/T7</f>
        <v>2.1721518987341772</v>
      </c>
      <c r="X7">
        <f>2</f>
        <v>2</v>
      </c>
      <c r="Y7" s="1">
        <f>P7/X7</f>
        <v>1.43</v>
      </c>
      <c r="Z7" s="1">
        <f>27+34/60</f>
        <v>27.566666666666666</v>
      </c>
      <c r="AA7" s="17">
        <v>54</v>
      </c>
      <c r="AB7" s="17">
        <v>649</v>
      </c>
      <c r="AC7" s="17">
        <v>110</v>
      </c>
      <c r="AD7">
        <v>146</v>
      </c>
      <c r="AE7" s="1">
        <f>16+46/60</f>
        <v>16.766666666666666</v>
      </c>
      <c r="AF7" s="1">
        <f>24+41/60</f>
        <v>24.683333333333334</v>
      </c>
      <c r="AG7" s="1">
        <f>37+16/60</f>
        <v>37.266666666666666</v>
      </c>
      <c r="AO7">
        <v>0</v>
      </c>
      <c r="AP7">
        <v>0</v>
      </c>
      <c r="AV7" t="s">
        <v>30</v>
      </c>
      <c r="AW7" t="s">
        <v>31</v>
      </c>
      <c r="AX7">
        <v>0</v>
      </c>
    </row>
    <row r="8" spans="1:51" x14ac:dyDescent="0.25">
      <c r="A8">
        <f>A7+1</f>
        <v>542</v>
      </c>
      <c r="B8" s="18">
        <v>43888</v>
      </c>
      <c r="C8">
        <v>1</v>
      </c>
      <c r="F8" t="s">
        <v>32</v>
      </c>
      <c r="G8" s="17">
        <v>54</v>
      </c>
      <c r="I8" s="17">
        <v>29</v>
      </c>
      <c r="N8" t="s">
        <v>37</v>
      </c>
      <c r="O8" t="s">
        <v>36</v>
      </c>
      <c r="P8" s="1">
        <v>4.6100000000000003</v>
      </c>
      <c r="S8" s="17">
        <v>9972</v>
      </c>
      <c r="T8" s="1">
        <f>73/60</f>
        <v>1.2166666666666666</v>
      </c>
      <c r="W8" s="1">
        <f>P8/T8</f>
        <v>3.7890410958904117</v>
      </c>
      <c r="X8">
        <v>1</v>
      </c>
      <c r="Y8" s="1">
        <f>P8/T8</f>
        <v>3.7890410958904117</v>
      </c>
      <c r="Z8" s="1">
        <f>15+52/60</f>
        <v>15.866666666666667</v>
      </c>
      <c r="AA8" s="17">
        <v>174</v>
      </c>
      <c r="AB8" s="17">
        <v>630</v>
      </c>
      <c r="AC8" s="17">
        <v>106</v>
      </c>
      <c r="AD8">
        <v>148</v>
      </c>
      <c r="AE8" s="1">
        <f>15+26/60</f>
        <v>15.433333333333334</v>
      </c>
      <c r="AF8" s="1">
        <f>15+51/60</f>
        <v>15.85</v>
      </c>
      <c r="AG8" s="1">
        <f>16+10.1/60</f>
        <v>16.168333333333333</v>
      </c>
      <c r="AH8" s="1">
        <f>16+5/60</f>
        <v>16.083333333333332</v>
      </c>
      <c r="AI8" s="1">
        <f>60/3.8</f>
        <v>15.789473684210527</v>
      </c>
      <c r="AO8">
        <v>0</v>
      </c>
      <c r="AP8">
        <v>0</v>
      </c>
      <c r="AV8" t="s">
        <v>30</v>
      </c>
      <c r="AW8" t="s">
        <v>31</v>
      </c>
      <c r="AX8">
        <v>0</v>
      </c>
    </row>
    <row r="9" spans="1:51" x14ac:dyDescent="0.25">
      <c r="A9">
        <f>A8+1</f>
        <v>543</v>
      </c>
      <c r="B9" s="18">
        <f>B8+1</f>
        <v>43889</v>
      </c>
      <c r="C9">
        <v>1</v>
      </c>
      <c r="F9" t="s">
        <v>32</v>
      </c>
      <c r="G9" s="17">
        <v>52</v>
      </c>
      <c r="I9" s="17">
        <v>45</v>
      </c>
      <c r="N9" t="s">
        <v>37</v>
      </c>
      <c r="O9" t="s">
        <v>38</v>
      </c>
      <c r="P9" s="1">
        <v>4.24</v>
      </c>
      <c r="S9" s="17">
        <v>10059</v>
      </c>
      <c r="T9" s="1">
        <f>68/60</f>
        <v>1.1333333333333333</v>
      </c>
      <c r="W9" s="1">
        <f>P9/T9</f>
        <v>3.7411764705882358</v>
      </c>
      <c r="X9">
        <v>1</v>
      </c>
      <c r="Y9" s="1">
        <f>P9/X9</f>
        <v>4.24</v>
      </c>
      <c r="Z9" s="1">
        <f>15+56/60</f>
        <v>15.933333333333334</v>
      </c>
      <c r="AA9" s="17">
        <v>33</v>
      </c>
      <c r="AB9" s="17">
        <v>387</v>
      </c>
      <c r="AC9" s="17">
        <v>92</v>
      </c>
      <c r="AD9">
        <v>133</v>
      </c>
      <c r="AE9" s="1">
        <f>15+19/60</f>
        <v>15.316666666666666</v>
      </c>
      <c r="AF9" s="1">
        <f>15+58.5/60</f>
        <v>15.975</v>
      </c>
      <c r="AG9" s="1">
        <f>16+22.2/60</f>
        <v>16.37</v>
      </c>
      <c r="AH9" s="1">
        <f>15+56.1/60</f>
        <v>15.935</v>
      </c>
      <c r="AI9" s="1">
        <f>60/3.8</f>
        <v>15.789473684210527</v>
      </c>
      <c r="AO9">
        <v>0</v>
      </c>
      <c r="AP9">
        <v>0</v>
      </c>
      <c r="AV9" t="s">
        <v>30</v>
      </c>
      <c r="AW9" t="s">
        <v>31</v>
      </c>
      <c r="AX9">
        <v>0</v>
      </c>
    </row>
    <row r="10" spans="1:51" x14ac:dyDescent="0.25">
      <c r="A10">
        <v>543</v>
      </c>
      <c r="B10" s="18">
        <f>B9+1</f>
        <v>43890</v>
      </c>
      <c r="C10">
        <v>0</v>
      </c>
      <c r="F10" t="s">
        <v>32</v>
      </c>
      <c r="G10" s="17">
        <v>74</v>
      </c>
      <c r="I10" s="17">
        <v>25</v>
      </c>
      <c r="N10" s="5" t="s">
        <v>34</v>
      </c>
      <c r="AO10">
        <v>2</v>
      </c>
      <c r="AP10">
        <v>1</v>
      </c>
      <c r="AV10" t="s">
        <v>30</v>
      </c>
      <c r="AW10" t="s">
        <v>31</v>
      </c>
      <c r="AX10">
        <v>1</v>
      </c>
      <c r="AY10" t="s">
        <v>44</v>
      </c>
    </row>
    <row r="11" spans="1:51" x14ac:dyDescent="0.25">
      <c r="A11">
        <f>A10+1</f>
        <v>544</v>
      </c>
      <c r="B11" s="18">
        <f>B10+1</f>
        <v>43891</v>
      </c>
      <c r="C11">
        <v>0</v>
      </c>
      <c r="D11" t="s">
        <v>39</v>
      </c>
    </row>
    <row r="12" spans="1:51" x14ac:dyDescent="0.25">
      <c r="A12">
        <f t="shared" ref="A12:A17" si="0">A11+1</f>
        <v>545</v>
      </c>
      <c r="B12" s="18">
        <f t="shared" ref="B12:B14" si="1">B11+1</f>
        <v>43892</v>
      </c>
      <c r="C12">
        <v>0</v>
      </c>
    </row>
    <row r="13" spans="1:51" x14ac:dyDescent="0.25">
      <c r="A13">
        <f t="shared" si="0"/>
        <v>546</v>
      </c>
      <c r="B13" s="18">
        <f t="shared" si="1"/>
        <v>43893</v>
      </c>
      <c r="C13">
        <v>0</v>
      </c>
      <c r="D13" t="s">
        <v>72</v>
      </c>
    </row>
    <row r="14" spans="1:51" x14ac:dyDescent="0.25">
      <c r="A14">
        <f t="shared" si="0"/>
        <v>547</v>
      </c>
      <c r="B14" s="18">
        <f t="shared" si="1"/>
        <v>43894</v>
      </c>
      <c r="C14">
        <v>1</v>
      </c>
      <c r="F14" s="3" t="s">
        <v>84</v>
      </c>
      <c r="G14" s="17">
        <v>49</v>
      </c>
      <c r="I14" s="17">
        <v>72</v>
      </c>
      <c r="N14" t="s">
        <v>34</v>
      </c>
      <c r="O14" s="16" t="s">
        <v>98</v>
      </c>
      <c r="P14" s="1">
        <v>5.05</v>
      </c>
      <c r="S14" s="17">
        <v>11922</v>
      </c>
      <c r="T14" s="1">
        <f>92/60</f>
        <v>1.5333333333333334</v>
      </c>
      <c r="W14" s="1">
        <f>P14/T14</f>
        <v>3.293478260869565</v>
      </c>
      <c r="X14">
        <v>3</v>
      </c>
      <c r="Y14" s="1">
        <f>P14/X14</f>
        <v>1.6833333333333333</v>
      </c>
      <c r="Z14" s="1">
        <f>18+19/60</f>
        <v>18.316666666666666</v>
      </c>
      <c r="AA14" s="17">
        <v>54</v>
      </c>
      <c r="AB14" s="17">
        <v>415</v>
      </c>
      <c r="AC14" s="17">
        <v>84</v>
      </c>
      <c r="AD14">
        <v>107</v>
      </c>
      <c r="AE14" s="1">
        <f>18+24/60</f>
        <v>18.399999999999999</v>
      </c>
      <c r="AF14" s="1">
        <f>18+15.7/60</f>
        <v>18.261666666666667</v>
      </c>
      <c r="AG14" s="1">
        <f>18+50/60</f>
        <v>18.833333333333332</v>
      </c>
      <c r="AH14" s="1">
        <f>17+51.4/60</f>
        <v>17.856666666666666</v>
      </c>
      <c r="AI14" s="1">
        <f>17+59/60</f>
        <v>17.983333333333334</v>
      </c>
      <c r="AJ14" s="1">
        <f>60/2.6</f>
        <v>23.076923076923077</v>
      </c>
      <c r="AO14">
        <v>1</v>
      </c>
      <c r="AP14">
        <v>0</v>
      </c>
      <c r="AV14" t="s">
        <v>30</v>
      </c>
      <c r="AW14" t="s">
        <v>31</v>
      </c>
      <c r="AX14">
        <v>0</v>
      </c>
    </row>
    <row r="15" spans="1:51" x14ac:dyDescent="0.25">
      <c r="A15">
        <f t="shared" si="0"/>
        <v>548</v>
      </c>
      <c r="B15" s="18">
        <f t="shared" ref="B15:B23" si="2">B14+1</f>
        <v>43895</v>
      </c>
      <c r="C15">
        <v>1</v>
      </c>
      <c r="F15" s="16" t="s">
        <v>32</v>
      </c>
      <c r="G15" s="17">
        <v>62</v>
      </c>
      <c r="I15" s="17">
        <v>46</v>
      </c>
      <c r="N15" t="s">
        <v>37</v>
      </c>
      <c r="O15" t="s">
        <v>40</v>
      </c>
      <c r="P15" s="1">
        <v>4.4800000000000004</v>
      </c>
      <c r="S15" s="17">
        <f>10056-560</f>
        <v>9496</v>
      </c>
      <c r="T15" s="1">
        <f>72/60</f>
        <v>1.2</v>
      </c>
      <c r="W15" s="1">
        <f>P15/T15</f>
        <v>3.7333333333333338</v>
      </c>
      <c r="X15">
        <v>1</v>
      </c>
      <c r="Y15" s="1">
        <f>P15/X15</f>
        <v>4.4800000000000004</v>
      </c>
      <c r="Z15" s="1">
        <f>15+59/60</f>
        <v>15.983333333333333</v>
      </c>
      <c r="AA15" s="17">
        <v>105</v>
      </c>
      <c r="AB15" s="17">
        <v>515</v>
      </c>
      <c r="AC15" s="17">
        <v>78</v>
      </c>
      <c r="AD15">
        <v>143</v>
      </c>
      <c r="AE15" s="1">
        <f>15+21.4/60</f>
        <v>15.356666666666667</v>
      </c>
      <c r="AF15" s="1">
        <f>15+41.9/60</f>
        <v>15.698333333333334</v>
      </c>
      <c r="AG15" s="1">
        <f>16+4.8/60</f>
        <v>16.079999999999998</v>
      </c>
      <c r="AH15" s="1">
        <f>16+24.6/60</f>
        <v>16.41</v>
      </c>
      <c r="AI15" s="1">
        <f>60/3.8</f>
        <v>15.789473684210527</v>
      </c>
      <c r="AO15">
        <v>1</v>
      </c>
      <c r="AP15">
        <v>0</v>
      </c>
      <c r="AV15" t="s">
        <v>30</v>
      </c>
      <c r="AW15" t="s">
        <v>31</v>
      </c>
      <c r="AX15">
        <v>0</v>
      </c>
    </row>
    <row r="16" spans="1:51" x14ac:dyDescent="0.25">
      <c r="A16">
        <f t="shared" si="0"/>
        <v>549</v>
      </c>
      <c r="B16" s="18">
        <f t="shared" si="2"/>
        <v>43896</v>
      </c>
      <c r="C16">
        <v>1</v>
      </c>
      <c r="F16" s="16" t="s">
        <v>32</v>
      </c>
      <c r="G16" s="17">
        <v>64</v>
      </c>
      <c r="I16" s="17">
        <v>19</v>
      </c>
      <c r="N16" t="s">
        <v>37</v>
      </c>
      <c r="O16" t="s">
        <v>45</v>
      </c>
      <c r="P16" s="1">
        <v>5.8</v>
      </c>
      <c r="S16" s="17">
        <v>11898</v>
      </c>
      <c r="T16" s="1">
        <f>1+29/60</f>
        <v>1.4833333333333334</v>
      </c>
      <c r="W16" s="1">
        <f>P16/T16</f>
        <v>3.9101123595505616</v>
      </c>
      <c r="X16">
        <v>2</v>
      </c>
      <c r="Y16" s="1">
        <f>P16/X16</f>
        <v>2.9</v>
      </c>
      <c r="Z16" s="1">
        <f>15+21/60</f>
        <v>15.35</v>
      </c>
      <c r="AA16" s="17">
        <v>148</v>
      </c>
      <c r="AB16" s="17">
        <v>697</v>
      </c>
      <c r="AC16" s="17">
        <v>93</v>
      </c>
      <c r="AD16">
        <v>146</v>
      </c>
      <c r="AE16" s="1">
        <f>14+38.3/60</f>
        <v>14.638333333333334</v>
      </c>
      <c r="AF16" s="1">
        <f>15+15.3/60</f>
        <v>15.255000000000001</v>
      </c>
      <c r="AG16" s="1">
        <f>16+2/60</f>
        <v>16.033333333333335</v>
      </c>
      <c r="AH16" s="1">
        <f>14+50.8/60</f>
        <v>14.846666666666666</v>
      </c>
      <c r="AI16" s="1">
        <f>15+32.4/60</f>
        <v>15.54</v>
      </c>
      <c r="AJ16" s="1">
        <f>60/3.8</f>
        <v>15.789473684210527</v>
      </c>
      <c r="AO16">
        <v>1</v>
      </c>
      <c r="AP16">
        <v>0</v>
      </c>
      <c r="AV16" t="s">
        <v>30</v>
      </c>
      <c r="AW16" t="s">
        <v>31</v>
      </c>
      <c r="AX16">
        <v>0</v>
      </c>
    </row>
    <row r="17" spans="1:51" x14ac:dyDescent="0.25">
      <c r="A17">
        <f t="shared" si="0"/>
        <v>550</v>
      </c>
      <c r="B17" s="18">
        <f t="shared" si="2"/>
        <v>43897</v>
      </c>
      <c r="C17">
        <v>1</v>
      </c>
      <c r="F17" t="s">
        <v>32</v>
      </c>
      <c r="G17" s="17">
        <v>61</v>
      </c>
      <c r="I17" s="17">
        <v>34</v>
      </c>
      <c r="N17" t="s">
        <v>37</v>
      </c>
      <c r="O17" t="s">
        <v>42</v>
      </c>
      <c r="P17" s="1">
        <v>4.47</v>
      </c>
      <c r="S17" s="17">
        <v>9834</v>
      </c>
      <c r="T17" s="1">
        <f>(60+11)/60</f>
        <v>1.1833333333333333</v>
      </c>
      <c r="W17" s="1">
        <f>P17/T17</f>
        <v>3.7774647887323942</v>
      </c>
      <c r="X17">
        <v>1</v>
      </c>
      <c r="Z17" s="1">
        <f>15+52/60</f>
        <v>15.866666666666667</v>
      </c>
      <c r="AA17" s="17">
        <v>226</v>
      </c>
      <c r="AB17" s="17">
        <v>497</v>
      </c>
      <c r="AC17" s="17">
        <v>80</v>
      </c>
      <c r="AD17">
        <v>107</v>
      </c>
      <c r="AE17" s="1">
        <f>15+51.3/60</f>
        <v>15.855</v>
      </c>
      <c r="AF17" s="1">
        <f>16+12/4/60</f>
        <v>16.05</v>
      </c>
      <c r="AG17" s="1">
        <f>15+58.2/60</f>
        <v>15.97</v>
      </c>
      <c r="AH17" s="1">
        <f>15+31/60</f>
        <v>15.516666666666667</v>
      </c>
      <c r="AI17" s="1">
        <f>60/3.8</f>
        <v>15.789473684210527</v>
      </c>
      <c r="AO17">
        <v>0</v>
      </c>
      <c r="AP17">
        <v>0</v>
      </c>
      <c r="AV17" t="s">
        <v>30</v>
      </c>
      <c r="AW17" t="s">
        <v>31</v>
      </c>
      <c r="AX17">
        <v>0</v>
      </c>
    </row>
    <row r="18" spans="1:51" x14ac:dyDescent="0.25">
      <c r="A18">
        <f>A17+1</f>
        <v>551</v>
      </c>
      <c r="B18" s="18">
        <f t="shared" si="2"/>
        <v>43898</v>
      </c>
      <c r="C18">
        <v>0</v>
      </c>
      <c r="D18" t="s">
        <v>39</v>
      </c>
    </row>
    <row r="19" spans="1:51" x14ac:dyDescent="0.25">
      <c r="A19" s="9">
        <f>A18+1</f>
        <v>552</v>
      </c>
      <c r="B19" s="18">
        <f t="shared" si="2"/>
        <v>43899</v>
      </c>
      <c r="C19">
        <v>1</v>
      </c>
      <c r="F19" t="s">
        <v>46</v>
      </c>
      <c r="G19" s="17">
        <v>59</v>
      </c>
      <c r="I19" s="17">
        <v>87</v>
      </c>
      <c r="N19" s="16" t="s">
        <v>34</v>
      </c>
      <c r="O19" s="16" t="s">
        <v>98</v>
      </c>
      <c r="P19" s="1">
        <v>3.83</v>
      </c>
      <c r="T19" s="1">
        <f>(60+7)/60</f>
        <v>1.1166666666666667</v>
      </c>
      <c r="W19" s="1">
        <f>P19/T19</f>
        <v>3.4298507462686567</v>
      </c>
      <c r="X19">
        <v>2</v>
      </c>
      <c r="Y19" s="1">
        <f>P19/X19</f>
        <v>1.915</v>
      </c>
      <c r="Z19" s="1">
        <f>17+33/60</f>
        <v>17.55</v>
      </c>
      <c r="AA19" s="17">
        <v>54</v>
      </c>
      <c r="AB19" s="17">
        <v>290</v>
      </c>
      <c r="AO19">
        <v>1</v>
      </c>
      <c r="AP19">
        <v>0</v>
      </c>
      <c r="AV19" s="9" t="s">
        <v>30</v>
      </c>
      <c r="AW19" s="9" t="s">
        <v>31</v>
      </c>
      <c r="AX19" s="9">
        <v>0</v>
      </c>
      <c r="AY19" s="9"/>
    </row>
    <row r="20" spans="1:51" x14ac:dyDescent="0.25">
      <c r="A20">
        <f>A19+1</f>
        <v>553</v>
      </c>
      <c r="B20" s="18">
        <f t="shared" si="2"/>
        <v>43900</v>
      </c>
      <c r="C20">
        <v>1</v>
      </c>
      <c r="F20" s="16" t="s">
        <v>32</v>
      </c>
      <c r="G20" s="17">
        <v>54</v>
      </c>
      <c r="I20" s="17">
        <v>61</v>
      </c>
      <c r="N20" s="16" t="s">
        <v>37</v>
      </c>
      <c r="O20" t="s">
        <v>47</v>
      </c>
      <c r="P20" s="1">
        <v>4.5599999999999996</v>
      </c>
      <c r="S20" s="17">
        <f>10591-1210-25</f>
        <v>9356</v>
      </c>
      <c r="T20" s="1">
        <f>1+16/60+28/(60*60)</f>
        <v>1.2744444444444445</v>
      </c>
      <c r="W20" s="1">
        <f>P20/T20</f>
        <v>3.5780296425457712</v>
      </c>
      <c r="X20">
        <v>1</v>
      </c>
      <c r="Y20" s="1">
        <f>P20/X20</f>
        <v>4.5599999999999996</v>
      </c>
      <c r="Z20" s="1">
        <f>16+46/60</f>
        <v>16.766666666666666</v>
      </c>
      <c r="AA20" s="17">
        <v>220</v>
      </c>
      <c r="AB20" s="17">
        <v>667</v>
      </c>
      <c r="AC20" s="17">
        <v>101</v>
      </c>
      <c r="AD20">
        <v>150</v>
      </c>
      <c r="AE20" s="1">
        <f>16+11.7/60</f>
        <v>16.195</v>
      </c>
      <c r="AF20" s="1">
        <f>16+55.8/60</f>
        <v>16.93</v>
      </c>
      <c r="AG20" s="1">
        <f>16+53.8/60</f>
        <v>16.896666666666668</v>
      </c>
      <c r="AH20" s="1">
        <f>17+8.8/60</f>
        <v>17.146666666666668</v>
      </c>
      <c r="AI20" s="1">
        <f>60/3.6</f>
        <v>16.666666666666668</v>
      </c>
      <c r="AO20">
        <v>0</v>
      </c>
      <c r="AP20">
        <v>0</v>
      </c>
      <c r="AV20" s="16" t="s">
        <v>30</v>
      </c>
      <c r="AW20" s="16" t="s">
        <v>31</v>
      </c>
      <c r="AX20">
        <v>0</v>
      </c>
    </row>
    <row r="21" spans="1:51" x14ac:dyDescent="0.25">
      <c r="A21">
        <f>A20+1</f>
        <v>554</v>
      </c>
      <c r="B21" s="18">
        <f t="shared" si="2"/>
        <v>43901</v>
      </c>
      <c r="C21" s="16">
        <v>1</v>
      </c>
      <c r="D21" s="16"/>
      <c r="F21" t="s">
        <v>32</v>
      </c>
      <c r="G21" s="17">
        <v>81</v>
      </c>
      <c r="I21" s="17">
        <v>64</v>
      </c>
      <c r="N21" s="16" t="s">
        <v>37</v>
      </c>
      <c r="O21" s="16" t="s">
        <v>43</v>
      </c>
      <c r="P21" s="1">
        <v>3.93</v>
      </c>
      <c r="S21" s="17">
        <v>9359</v>
      </c>
      <c r="T21" s="1">
        <f>67/60</f>
        <v>1.1166666666666667</v>
      </c>
      <c r="W21" s="1">
        <f>P21/T21</f>
        <v>3.5194029850746271</v>
      </c>
      <c r="X21">
        <v>1</v>
      </c>
      <c r="Y21" s="1">
        <f>P21/X21</f>
        <v>3.93</v>
      </c>
      <c r="Z21" s="1">
        <f>17+6/60</f>
        <v>17.100000000000001</v>
      </c>
      <c r="AA21" s="17">
        <v>194</v>
      </c>
      <c r="AB21" s="17">
        <v>910</v>
      </c>
      <c r="AC21" s="17">
        <v>135</v>
      </c>
      <c r="AD21">
        <v>159</v>
      </c>
      <c r="AE21" s="1">
        <f>17+22.9/60</f>
        <v>17.381666666666668</v>
      </c>
      <c r="AF21" s="1">
        <f>17+6.5/60</f>
        <v>17.108333333333334</v>
      </c>
      <c r="AG21" s="1">
        <f>16+32.4/60</f>
        <v>16.54</v>
      </c>
      <c r="AH21" s="1">
        <f>60/3.5</f>
        <v>17.142857142857142</v>
      </c>
    </row>
    <row r="22" spans="1:51" x14ac:dyDescent="0.25">
      <c r="A22">
        <f t="shared" ref="A22:B62" si="3">A21+1</f>
        <v>555</v>
      </c>
      <c r="B22" s="18">
        <f t="shared" si="2"/>
        <v>43902</v>
      </c>
      <c r="C22">
        <v>1</v>
      </c>
      <c r="F22" s="16" t="s">
        <v>32</v>
      </c>
      <c r="G22" s="17">
        <v>64</v>
      </c>
      <c r="I22" s="17">
        <v>53</v>
      </c>
      <c r="N22" s="16" t="s">
        <v>37</v>
      </c>
      <c r="O22" t="s">
        <v>48</v>
      </c>
      <c r="P22" s="1">
        <v>5.76</v>
      </c>
      <c r="T22" s="1">
        <f>(94+44/60)/60</f>
        <v>1.578888888888889</v>
      </c>
      <c r="W22" s="1">
        <f>P22/T22</f>
        <v>3.6481351161154114</v>
      </c>
      <c r="X22">
        <v>1</v>
      </c>
      <c r="Y22" s="1">
        <f>P22/X22</f>
        <v>5.76</v>
      </c>
      <c r="Z22" s="1">
        <f>16+27/60</f>
        <v>16.45</v>
      </c>
      <c r="AA22" s="17">
        <v>272</v>
      </c>
      <c r="AB22" s="17">
        <v>1270</v>
      </c>
      <c r="AC22" s="17">
        <v>138</v>
      </c>
      <c r="AD22">
        <v>162</v>
      </c>
      <c r="AE22" s="1">
        <f>15+19.3/60</f>
        <v>15.321666666666667</v>
      </c>
      <c r="AF22" s="1">
        <f>15+35.2/60</f>
        <v>15.586666666666666</v>
      </c>
      <c r="AG22" s="1">
        <f>15+23.2/60</f>
        <v>15.386666666666667</v>
      </c>
      <c r="AH22" s="1">
        <f>16+19.5/60</f>
        <v>16.324999999999999</v>
      </c>
      <c r="AI22" s="1">
        <f>18+16.5/60</f>
        <v>18.274999999999999</v>
      </c>
      <c r="AJ22" s="1">
        <f>60/3.3</f>
        <v>18.181818181818183</v>
      </c>
      <c r="AO22">
        <v>2</v>
      </c>
      <c r="AP22">
        <v>0</v>
      </c>
      <c r="AV22" s="16" t="s">
        <v>30</v>
      </c>
      <c r="AW22" s="16" t="s">
        <v>31</v>
      </c>
      <c r="AX22" s="16">
        <v>0</v>
      </c>
    </row>
    <row r="23" spans="1:51" x14ac:dyDescent="0.25">
      <c r="A23">
        <f t="shared" si="3"/>
        <v>556</v>
      </c>
      <c r="B23" s="18">
        <f t="shared" si="2"/>
        <v>43903</v>
      </c>
      <c r="C23">
        <v>0</v>
      </c>
      <c r="D23" t="s">
        <v>39</v>
      </c>
      <c r="N23" s="16"/>
    </row>
    <row r="24" spans="1:51" x14ac:dyDescent="0.25">
      <c r="A24">
        <f t="shared" si="3"/>
        <v>557</v>
      </c>
      <c r="B24" s="18">
        <v>43904.533333333333</v>
      </c>
      <c r="C24">
        <v>1</v>
      </c>
      <c r="F24" t="s">
        <v>84</v>
      </c>
      <c r="G24" s="17">
        <v>60</v>
      </c>
      <c r="I24" s="17">
        <v>86</v>
      </c>
      <c r="N24" s="16" t="s">
        <v>34</v>
      </c>
      <c r="O24" s="16" t="s">
        <v>98</v>
      </c>
      <c r="P24" s="1">
        <v>3.18</v>
      </c>
      <c r="T24" s="1">
        <f>(60+3+47/60)/60</f>
        <v>1.0630555555555554</v>
      </c>
      <c r="W24" s="1">
        <f>P24/T24</f>
        <v>2.9913770577475836</v>
      </c>
      <c r="X24">
        <v>2</v>
      </c>
      <c r="Y24" s="1">
        <f>P24/X24</f>
        <v>1.59</v>
      </c>
      <c r="Z24" s="1">
        <f>20+3/60</f>
        <v>20.05</v>
      </c>
      <c r="AA24" s="17">
        <f>2*54/3</f>
        <v>36</v>
      </c>
      <c r="AB24" s="17">
        <v>351</v>
      </c>
      <c r="AC24" s="17">
        <v>90</v>
      </c>
      <c r="AD24">
        <v>118</v>
      </c>
      <c r="AE24" s="1">
        <f>19+41/60</f>
        <v>19.683333333333334</v>
      </c>
      <c r="AF24" s="1">
        <f>19+29.6/60</f>
        <v>19.493333333333332</v>
      </c>
      <c r="AG24" s="1">
        <f>21+7.8/60</f>
        <v>21.13</v>
      </c>
      <c r="AH24" s="1">
        <f>60/3.2</f>
        <v>18.75</v>
      </c>
      <c r="AO24">
        <v>1</v>
      </c>
      <c r="AP24">
        <v>0</v>
      </c>
    </row>
    <row r="25" spans="1:51" x14ac:dyDescent="0.25">
      <c r="A25" s="16">
        <f t="shared" si="3"/>
        <v>558</v>
      </c>
      <c r="B25" s="18">
        <v>43904.536805555559</v>
      </c>
      <c r="C25">
        <v>0</v>
      </c>
      <c r="D25" t="s">
        <v>39</v>
      </c>
      <c r="F25" t="s">
        <v>46</v>
      </c>
      <c r="G25" s="17">
        <v>57</v>
      </c>
      <c r="I25" s="17">
        <v>81</v>
      </c>
    </row>
    <row r="26" spans="1:51" x14ac:dyDescent="0.25">
      <c r="A26" s="16">
        <f t="shared" si="3"/>
        <v>559</v>
      </c>
      <c r="B26" s="18">
        <v>43905.609722222223</v>
      </c>
      <c r="C26" s="16">
        <v>1</v>
      </c>
      <c r="F26" t="s">
        <v>46</v>
      </c>
      <c r="G26" s="17">
        <v>70</v>
      </c>
      <c r="I26" s="17">
        <v>70</v>
      </c>
      <c r="N26" t="s">
        <v>37</v>
      </c>
      <c r="O26" t="s">
        <v>49</v>
      </c>
      <c r="P26" s="1">
        <v>4.97</v>
      </c>
      <c r="S26" s="17">
        <v>12897</v>
      </c>
      <c r="T26" s="1">
        <f>77/60</f>
        <v>1.2833333333333334</v>
      </c>
      <c r="W26" s="1">
        <f>P26/T26</f>
        <v>3.8727272727272721</v>
      </c>
      <c r="X26">
        <v>3</v>
      </c>
      <c r="Y26" s="1">
        <f>P26/X26</f>
        <v>1.6566666666666665</v>
      </c>
      <c r="Z26" s="1">
        <f>15+31/60</f>
        <v>15.516666666666667</v>
      </c>
      <c r="AA26" s="17">
        <v>118</v>
      </c>
      <c r="AB26" s="17">
        <v>591</v>
      </c>
      <c r="AC26" s="17">
        <v>86</v>
      </c>
      <c r="AD26">
        <v>148</v>
      </c>
      <c r="AE26" s="1">
        <f>15+31.1/60</f>
        <v>15.518333333333333</v>
      </c>
      <c r="AF26" s="1">
        <f>15+39.1/60</f>
        <v>15.651666666666667</v>
      </c>
      <c r="AG26" s="1">
        <f>15+18.3/60</f>
        <v>15.305</v>
      </c>
      <c r="AH26" s="1">
        <f>15+20.8/60</f>
        <v>15.346666666666668</v>
      </c>
      <c r="AI26" s="1">
        <f>15+19.7/60</f>
        <v>15.328333333333333</v>
      </c>
      <c r="AO26">
        <v>1</v>
      </c>
      <c r="AP26">
        <v>1</v>
      </c>
      <c r="AV26" s="16" t="s">
        <v>30</v>
      </c>
      <c r="AW26" s="16" t="s">
        <v>31</v>
      </c>
      <c r="AX26" s="16">
        <v>0</v>
      </c>
    </row>
    <row r="27" spans="1:51" x14ac:dyDescent="0.25">
      <c r="A27">
        <f t="shared" si="3"/>
        <v>560</v>
      </c>
      <c r="B27" s="18">
        <v>43906.501388888886</v>
      </c>
      <c r="C27">
        <v>1</v>
      </c>
      <c r="F27" s="3" t="s">
        <v>46</v>
      </c>
      <c r="G27" s="17">
        <v>67</v>
      </c>
      <c r="I27" s="17">
        <v>84</v>
      </c>
      <c r="N27" s="16" t="s">
        <v>37</v>
      </c>
      <c r="O27" s="16" t="s">
        <v>45</v>
      </c>
      <c r="P27" s="1">
        <v>6.13</v>
      </c>
      <c r="S27" s="17">
        <v>12444</v>
      </c>
      <c r="T27" s="1">
        <f>96/60</f>
        <v>1.6</v>
      </c>
      <c r="W27" s="1">
        <f>P27/T27</f>
        <v>3.8312499999999998</v>
      </c>
      <c r="X27">
        <v>2</v>
      </c>
      <c r="Y27" s="1">
        <f>P27/X27</f>
        <v>3.0649999999999999</v>
      </c>
      <c r="Z27" s="1">
        <f>15+36/60</f>
        <v>15.6</v>
      </c>
      <c r="AA27" s="17">
        <v>167</v>
      </c>
      <c r="AB27" s="17">
        <v>686</v>
      </c>
      <c r="AC27" s="17">
        <v>86</v>
      </c>
      <c r="AD27">
        <v>135</v>
      </c>
      <c r="AE27" s="1">
        <f>15+16.8/60</f>
        <v>15.28</v>
      </c>
      <c r="AF27" s="1">
        <f>15+28.3/60</f>
        <v>15.471666666666668</v>
      </c>
      <c r="AG27" s="1">
        <f>15+54.6/60</f>
        <v>15.91</v>
      </c>
      <c r="AH27" s="1">
        <f>16+16.3/60</f>
        <v>16.271666666666668</v>
      </c>
      <c r="AI27" s="1">
        <f>15+20.2/60</f>
        <v>15.336666666666666</v>
      </c>
      <c r="AJ27" s="1">
        <f>60/3.8</f>
        <v>15.789473684210527</v>
      </c>
      <c r="AO27">
        <v>1</v>
      </c>
      <c r="AP27">
        <v>1</v>
      </c>
      <c r="AV27" s="16" t="s">
        <v>30</v>
      </c>
      <c r="AW27" s="16" t="s">
        <v>31</v>
      </c>
      <c r="AX27" s="16">
        <v>0</v>
      </c>
    </row>
    <row r="28" spans="1:51" x14ac:dyDescent="0.25">
      <c r="A28">
        <f t="shared" si="3"/>
        <v>561</v>
      </c>
      <c r="B28" s="18">
        <v>43907.529861111114</v>
      </c>
      <c r="C28">
        <v>1</v>
      </c>
      <c r="F28" s="3" t="s">
        <v>50</v>
      </c>
      <c r="G28" s="17">
        <v>79</v>
      </c>
      <c r="I28" s="17">
        <v>66</v>
      </c>
      <c r="N28" s="16" t="s">
        <v>37</v>
      </c>
      <c r="O28" t="s">
        <v>63</v>
      </c>
      <c r="P28" s="1">
        <v>4.5599999999999996</v>
      </c>
      <c r="S28" s="17">
        <v>9920</v>
      </c>
      <c r="T28" s="1">
        <f>(60+17+36/60)/60</f>
        <v>1.2933333333333332</v>
      </c>
      <c r="W28" s="1">
        <f>P28/T28</f>
        <v>3.5257731958762886</v>
      </c>
      <c r="X28">
        <v>1</v>
      </c>
      <c r="Y28" s="1">
        <f>P28/X28</f>
        <v>4.5599999999999996</v>
      </c>
      <c r="Z28" s="1">
        <f>17+1/60</f>
        <v>17.016666666666666</v>
      </c>
      <c r="AA28" s="17">
        <v>325</v>
      </c>
      <c r="AB28" s="17">
        <v>995</v>
      </c>
      <c r="AC28" s="17">
        <v>133</v>
      </c>
      <c r="AD28">
        <v>156</v>
      </c>
      <c r="AE28" s="1">
        <f>16+13/60</f>
        <v>16.216666666666665</v>
      </c>
      <c r="AF28" s="1">
        <f>16+20.9/60</f>
        <v>16.348333333333333</v>
      </c>
      <c r="AG28" s="1">
        <f>16+36.9/60</f>
        <v>16.614999999999998</v>
      </c>
      <c r="AH28" s="1">
        <f>17+53.1/60</f>
        <v>17.885000000000002</v>
      </c>
      <c r="AI28" s="1">
        <f>60/3.2</f>
        <v>18.75</v>
      </c>
      <c r="AO28" s="16">
        <v>1</v>
      </c>
      <c r="AP28" s="16">
        <v>0</v>
      </c>
      <c r="AV28" s="16" t="s">
        <v>30</v>
      </c>
      <c r="AW28" s="16" t="s">
        <v>31</v>
      </c>
      <c r="AX28" s="16">
        <v>0</v>
      </c>
    </row>
    <row r="29" spans="1:51" x14ac:dyDescent="0.25">
      <c r="A29">
        <f t="shared" si="3"/>
        <v>562</v>
      </c>
      <c r="B29" s="18">
        <v>43908.541666666664</v>
      </c>
      <c r="C29">
        <v>0</v>
      </c>
      <c r="F29" s="3" t="s">
        <v>61</v>
      </c>
      <c r="G29" s="17">
        <v>66</v>
      </c>
      <c r="I29" s="17">
        <v>64</v>
      </c>
      <c r="AX29">
        <v>1</v>
      </c>
      <c r="AY29" t="s">
        <v>51</v>
      </c>
    </row>
    <row r="30" spans="1:51" x14ac:dyDescent="0.25">
      <c r="A30" s="16">
        <f t="shared" si="3"/>
        <v>563</v>
      </c>
      <c r="B30" s="18">
        <v>43909.538194444445</v>
      </c>
      <c r="C30">
        <v>0</v>
      </c>
      <c r="F30" s="3" t="s">
        <v>50</v>
      </c>
      <c r="G30" s="17">
        <v>51</v>
      </c>
      <c r="I30" s="17">
        <v>68</v>
      </c>
      <c r="N30" s="16" t="s">
        <v>34</v>
      </c>
      <c r="O30" s="16" t="s">
        <v>40</v>
      </c>
      <c r="P30" s="1">
        <v>4.53</v>
      </c>
      <c r="S30" s="17">
        <v>9714</v>
      </c>
      <c r="T30" s="1">
        <f>72/60</f>
        <v>1.2</v>
      </c>
      <c r="W30" s="1">
        <f t="shared" ref="W30:W35" si="4">P30/T30</f>
        <v>3.7750000000000004</v>
      </c>
      <c r="X30">
        <v>1</v>
      </c>
      <c r="Y30" s="1">
        <f t="shared" ref="Y30:Y35" si="5">P30/X30</f>
        <v>4.53</v>
      </c>
      <c r="Z30" s="1">
        <f>16+1/60</f>
        <v>16.016666666666666</v>
      </c>
      <c r="AA30" s="17">
        <v>85</v>
      </c>
      <c r="AB30" s="17">
        <v>595</v>
      </c>
      <c r="AC30" s="17">
        <v>110</v>
      </c>
      <c r="AD30">
        <v>136</v>
      </c>
      <c r="AE30" s="1">
        <f>15+39.1/60</f>
        <v>15.651666666666667</v>
      </c>
      <c r="AF30" s="1">
        <f>15+59.3/60</f>
        <v>15.988333333333333</v>
      </c>
      <c r="AG30" s="1">
        <f>15+57.9/60</f>
        <v>15.965</v>
      </c>
      <c r="AH30" s="1">
        <f>16+14.4/60</f>
        <v>16.239999999999998</v>
      </c>
      <c r="AI30" s="1">
        <f>60/3.7</f>
        <v>16.216216216216214</v>
      </c>
      <c r="AO30">
        <v>0</v>
      </c>
      <c r="AP30">
        <v>0</v>
      </c>
      <c r="AV30" s="16" t="s">
        <v>30</v>
      </c>
      <c r="AW30" s="16" t="s">
        <v>31</v>
      </c>
      <c r="AX30" s="16">
        <v>0</v>
      </c>
    </row>
    <row r="31" spans="1:51" x14ac:dyDescent="0.25">
      <c r="A31">
        <f t="shared" si="3"/>
        <v>564</v>
      </c>
      <c r="B31" s="18">
        <v>43910.618750000001</v>
      </c>
      <c r="C31">
        <v>1</v>
      </c>
      <c r="F31" s="16" t="s">
        <v>32</v>
      </c>
      <c r="G31" s="17">
        <v>58</v>
      </c>
      <c r="I31" s="17">
        <v>60</v>
      </c>
      <c r="N31" s="16" t="s">
        <v>34</v>
      </c>
      <c r="O31" s="16" t="s">
        <v>42</v>
      </c>
      <c r="P31" s="1">
        <v>5.29</v>
      </c>
      <c r="S31" s="17">
        <v>11153</v>
      </c>
      <c r="T31" s="1">
        <f>86/60</f>
        <v>1.4333333333333333</v>
      </c>
      <c r="W31" s="1">
        <f t="shared" si="4"/>
        <v>3.6906976744186046</v>
      </c>
      <c r="X31">
        <v>1</v>
      </c>
      <c r="Y31" s="1">
        <f t="shared" si="5"/>
        <v>5.29</v>
      </c>
      <c r="Z31" s="1">
        <f>16+13/60</f>
        <v>16.216666666666665</v>
      </c>
      <c r="AA31" s="17">
        <v>243</v>
      </c>
      <c r="AB31" s="17">
        <v>617</v>
      </c>
      <c r="AC31" s="17">
        <v>99</v>
      </c>
      <c r="AD31">
        <v>130</v>
      </c>
      <c r="AE31" s="1">
        <f>15+55.2/60</f>
        <v>15.92</v>
      </c>
      <c r="AF31" s="1">
        <f>16+43.7/60</f>
        <v>16.728333333333332</v>
      </c>
      <c r="AG31" s="1">
        <f>16+18.3/60</f>
        <v>16.305</v>
      </c>
      <c r="AH31" s="1">
        <f>15+49.8/60</f>
        <v>15.83</v>
      </c>
      <c r="AI31" s="1">
        <f>60/3.7</f>
        <v>16.216216216216214</v>
      </c>
      <c r="AO31">
        <v>0</v>
      </c>
      <c r="AP31">
        <v>1</v>
      </c>
      <c r="AV31" s="16" t="s">
        <v>30</v>
      </c>
      <c r="AW31" s="16" t="s">
        <v>31</v>
      </c>
      <c r="AX31" s="16">
        <v>0</v>
      </c>
    </row>
    <row r="32" spans="1:51" x14ac:dyDescent="0.25">
      <c r="A32" s="16">
        <f t="shared" si="3"/>
        <v>565</v>
      </c>
      <c r="B32" s="18">
        <v>43911.62777777778</v>
      </c>
      <c r="C32" s="16">
        <v>1</v>
      </c>
      <c r="D32" s="16"/>
      <c r="F32" t="s">
        <v>46</v>
      </c>
      <c r="G32" s="17">
        <v>62</v>
      </c>
      <c r="I32" s="17">
        <v>80</v>
      </c>
      <c r="N32" s="16" t="s">
        <v>34</v>
      </c>
      <c r="O32" s="16" t="s">
        <v>47</v>
      </c>
      <c r="P32" s="1">
        <v>5.13</v>
      </c>
      <c r="S32" s="17">
        <v>10892</v>
      </c>
      <c r="T32" s="1">
        <f>82/60</f>
        <v>1.3666666666666667</v>
      </c>
      <c r="W32" s="1">
        <f t="shared" si="4"/>
        <v>3.7536585365853656</v>
      </c>
      <c r="X32">
        <v>1</v>
      </c>
      <c r="Y32" s="1">
        <f t="shared" si="5"/>
        <v>5.13</v>
      </c>
      <c r="Z32" s="1">
        <f>16+5/60</f>
        <v>16.083333333333332</v>
      </c>
      <c r="AA32" s="17">
        <v>217</v>
      </c>
      <c r="AB32" s="17">
        <v>673</v>
      </c>
      <c r="AC32" s="17">
        <v>104</v>
      </c>
      <c r="AD32">
        <v>143</v>
      </c>
      <c r="AE32" s="1">
        <f>15+56.6/60</f>
        <v>15.943333333333333</v>
      </c>
      <c r="AF32" s="1">
        <f>15+55.7/60</f>
        <v>15.928333333333333</v>
      </c>
      <c r="AG32" s="1">
        <f>16+6.8/60</f>
        <v>16.113333333333333</v>
      </c>
      <c r="AH32" s="1">
        <f>16+28.8/60</f>
        <v>16.48</v>
      </c>
      <c r="AI32" s="1">
        <f>60/3.7</f>
        <v>16.216216216216214</v>
      </c>
      <c r="AO32">
        <v>0</v>
      </c>
      <c r="AP32">
        <v>1</v>
      </c>
      <c r="AV32" s="16" t="s">
        <v>30</v>
      </c>
      <c r="AW32" s="16" t="s">
        <v>31</v>
      </c>
      <c r="AX32" s="16">
        <v>0</v>
      </c>
    </row>
    <row r="33" spans="1:51" x14ac:dyDescent="0.25">
      <c r="A33">
        <f t="shared" si="3"/>
        <v>566</v>
      </c>
      <c r="B33" s="18">
        <v>43912.62777777778</v>
      </c>
      <c r="C33">
        <v>1</v>
      </c>
      <c r="F33" s="3" t="s">
        <v>46</v>
      </c>
      <c r="G33" s="17">
        <v>68</v>
      </c>
      <c r="I33" s="17">
        <v>81</v>
      </c>
      <c r="N33" s="16" t="s">
        <v>34</v>
      </c>
      <c r="O33" s="16" t="s">
        <v>49</v>
      </c>
      <c r="P33" s="1">
        <v>4.76</v>
      </c>
      <c r="S33" s="17">
        <v>9868</v>
      </c>
      <c r="T33" s="1">
        <f>75/60</f>
        <v>1.25</v>
      </c>
      <c r="W33" s="1">
        <f t="shared" si="4"/>
        <v>3.8079999999999998</v>
      </c>
      <c r="X33">
        <v>1</v>
      </c>
      <c r="Y33" s="1">
        <f t="shared" si="5"/>
        <v>4.76</v>
      </c>
      <c r="Z33" s="1">
        <f>15+46/60</f>
        <v>15.766666666666667</v>
      </c>
      <c r="AA33" s="17">
        <v>95</v>
      </c>
      <c r="AB33" s="17">
        <v>513</v>
      </c>
      <c r="AC33" s="17">
        <v>80</v>
      </c>
      <c r="AD33">
        <v>111</v>
      </c>
      <c r="AE33" s="1">
        <f>15+19.9/60</f>
        <v>15.331666666666667</v>
      </c>
      <c r="AF33" s="1">
        <f>15+38/60</f>
        <v>15.633333333333333</v>
      </c>
      <c r="AG33" s="1">
        <f>15+54.7/60</f>
        <v>15.911666666666667</v>
      </c>
      <c r="AH33" s="1">
        <f>15+37.4/60</f>
        <v>15.623333333333333</v>
      </c>
      <c r="AI33" s="1">
        <f>60/3.8</f>
        <v>15.789473684210527</v>
      </c>
      <c r="AO33" s="16">
        <v>0</v>
      </c>
      <c r="AP33" s="16">
        <v>0</v>
      </c>
      <c r="AV33" s="16" t="s">
        <v>30</v>
      </c>
      <c r="AW33" s="16" t="s">
        <v>31</v>
      </c>
      <c r="AX33" s="16">
        <v>0</v>
      </c>
      <c r="AY33" s="16"/>
    </row>
    <row r="34" spans="1:51" x14ac:dyDescent="0.25">
      <c r="A34">
        <f t="shared" si="3"/>
        <v>567</v>
      </c>
      <c r="B34" s="18">
        <v>43944.589583333334</v>
      </c>
      <c r="C34">
        <v>1</v>
      </c>
      <c r="F34" t="s">
        <v>32</v>
      </c>
      <c r="G34" s="17">
        <v>86</v>
      </c>
      <c r="I34" s="17">
        <v>20</v>
      </c>
      <c r="N34" s="16" t="s">
        <v>37</v>
      </c>
      <c r="O34" s="16" t="s">
        <v>45</v>
      </c>
      <c r="P34" s="1">
        <v>4.75</v>
      </c>
      <c r="T34" s="1">
        <f>(60+15)/60</f>
        <v>1.25</v>
      </c>
      <c r="W34" s="1">
        <f t="shared" si="4"/>
        <v>3.8</v>
      </c>
      <c r="X34">
        <v>2</v>
      </c>
      <c r="Y34" s="1">
        <f t="shared" si="5"/>
        <v>2.375</v>
      </c>
      <c r="Z34" s="1">
        <f>15+53/60</f>
        <v>15.883333333333333</v>
      </c>
      <c r="AA34" s="17">
        <v>125</v>
      </c>
      <c r="AB34" s="17">
        <v>706</v>
      </c>
      <c r="AC34" s="17">
        <v>106</v>
      </c>
      <c r="AD34">
        <v>150</v>
      </c>
      <c r="AE34" s="1">
        <f>15+5.2/60</f>
        <v>15.086666666666666</v>
      </c>
      <c r="AF34" s="1">
        <f>15+48/60</f>
        <v>15.8</v>
      </c>
      <c r="AG34" s="1">
        <f>16+12.7/60</f>
        <v>16.211666666666666</v>
      </c>
      <c r="AH34" s="1">
        <f>15+37.3/60</f>
        <v>15.621666666666666</v>
      </c>
      <c r="AI34" s="1">
        <f>60/3.6</f>
        <v>16.666666666666668</v>
      </c>
      <c r="AO34">
        <v>2</v>
      </c>
      <c r="AP34">
        <v>0</v>
      </c>
      <c r="AV34" s="16" t="s">
        <v>30</v>
      </c>
      <c r="AW34" s="16" t="s">
        <v>31</v>
      </c>
      <c r="AX34" s="16">
        <v>0</v>
      </c>
      <c r="AY34" s="16"/>
    </row>
    <row r="35" spans="1:51" x14ac:dyDescent="0.25">
      <c r="A35" s="16">
        <f t="shared" si="3"/>
        <v>568</v>
      </c>
      <c r="B35" s="18">
        <v>43914.607638888891</v>
      </c>
      <c r="C35" s="16">
        <v>1</v>
      </c>
      <c r="F35" t="s">
        <v>32</v>
      </c>
      <c r="G35" s="17">
        <v>87</v>
      </c>
      <c r="I35" s="17">
        <v>40</v>
      </c>
      <c r="N35" s="16" t="s">
        <v>37</v>
      </c>
      <c r="O35" s="16" t="s">
        <v>63</v>
      </c>
      <c r="P35" s="1">
        <v>4.6100000000000003</v>
      </c>
      <c r="T35" s="1">
        <f>(60+17+20/60)/60</f>
        <v>1.2888888888888888</v>
      </c>
      <c r="W35" s="1">
        <f t="shared" si="4"/>
        <v>3.5767241379310351</v>
      </c>
      <c r="X35">
        <v>1</v>
      </c>
      <c r="Y35" s="1">
        <f t="shared" si="5"/>
        <v>4.6100000000000003</v>
      </c>
      <c r="Z35" s="1">
        <f>16+48/60</f>
        <v>16.8</v>
      </c>
      <c r="AA35" s="17">
        <v>256</v>
      </c>
      <c r="AB35" s="17">
        <v>980</v>
      </c>
      <c r="AC35" s="17">
        <v>131</v>
      </c>
      <c r="AD35">
        <v>159</v>
      </c>
      <c r="AE35" s="1">
        <f>15+37.8/60</f>
        <v>15.63</v>
      </c>
      <c r="AF35" s="1">
        <f>16+18.2/60</f>
        <v>16.303333333333335</v>
      </c>
      <c r="AG35" s="1">
        <f>15+56.2/60</f>
        <v>15.936666666666667</v>
      </c>
      <c r="AH35" s="1">
        <f>17+53.6/60</f>
        <v>17.893333333333334</v>
      </c>
      <c r="AI35" s="1">
        <f>60/3.1</f>
        <v>19.35483870967742</v>
      </c>
      <c r="AO35">
        <v>5</v>
      </c>
      <c r="AP35">
        <v>0</v>
      </c>
      <c r="AV35" s="16" t="s">
        <v>30</v>
      </c>
      <c r="AW35" s="16" t="s">
        <v>31</v>
      </c>
      <c r="AX35" s="16">
        <v>0</v>
      </c>
    </row>
    <row r="36" spans="1:51" x14ac:dyDescent="0.25">
      <c r="A36">
        <f t="shared" si="3"/>
        <v>569</v>
      </c>
      <c r="B36" s="18">
        <v>43915.484027777777</v>
      </c>
      <c r="C36">
        <v>1</v>
      </c>
      <c r="F36" t="s">
        <v>32</v>
      </c>
      <c r="G36" s="17">
        <v>82</v>
      </c>
      <c r="I36" s="17">
        <v>50</v>
      </c>
      <c r="N36" t="s">
        <v>37</v>
      </c>
      <c r="O36" t="s">
        <v>33</v>
      </c>
      <c r="P36" s="1">
        <v>4.87</v>
      </c>
      <c r="S36" s="17">
        <v>11631</v>
      </c>
      <c r="T36" s="1">
        <f>1+25/60</f>
        <v>1.4166666666666667</v>
      </c>
      <c r="W36" s="1">
        <f t="shared" ref="W36" si="6">P36/T36</f>
        <v>3.4376470588235293</v>
      </c>
      <c r="X36">
        <v>1</v>
      </c>
      <c r="Y36" s="1">
        <f t="shared" ref="Y36" si="7">P36/X36</f>
        <v>4.87</v>
      </c>
      <c r="Z36" s="1">
        <f>17+27/60</f>
        <v>17.45</v>
      </c>
      <c r="AA36" s="17">
        <v>249</v>
      </c>
      <c r="AB36" s="17">
        <v>777</v>
      </c>
      <c r="AC36" s="17">
        <v>109</v>
      </c>
      <c r="AD36">
        <v>150</v>
      </c>
      <c r="AE36" s="1">
        <f>16+53.3/60</f>
        <v>16.888333333333332</v>
      </c>
      <c r="AF36" s="1">
        <f>16+27/60</f>
        <v>16.45</v>
      </c>
      <c r="AG36" s="1">
        <f>17+25.8/60</f>
        <v>17.43</v>
      </c>
      <c r="AH36" s="1">
        <f>17+1/60</f>
        <v>17.016666666666666</v>
      </c>
      <c r="AI36" s="1">
        <f>60/3</f>
        <v>20</v>
      </c>
      <c r="AO36">
        <v>5</v>
      </c>
      <c r="AP36">
        <v>0</v>
      </c>
      <c r="AV36" s="16" t="s">
        <v>30</v>
      </c>
      <c r="AW36" s="16" t="s">
        <v>31</v>
      </c>
      <c r="AX36" s="16">
        <v>0</v>
      </c>
    </row>
    <row r="37" spans="1:51" x14ac:dyDescent="0.25">
      <c r="A37">
        <f t="shared" si="3"/>
        <v>570</v>
      </c>
      <c r="B37" s="18">
        <v>43916.626388888886</v>
      </c>
      <c r="C37">
        <v>1</v>
      </c>
      <c r="F37" t="s">
        <v>50</v>
      </c>
      <c r="G37" s="17">
        <v>83</v>
      </c>
      <c r="I37" s="17">
        <v>56</v>
      </c>
      <c r="N37" s="16" t="s">
        <v>34</v>
      </c>
      <c r="O37" s="16" t="s">
        <v>40</v>
      </c>
      <c r="P37" s="1">
        <v>4.41</v>
      </c>
      <c r="S37" s="17">
        <v>9542</v>
      </c>
      <c r="T37" s="1">
        <f>75/60</f>
        <v>1.25</v>
      </c>
      <c r="W37" s="1">
        <f t="shared" ref="W37" si="8">P37/T37</f>
        <v>3.528</v>
      </c>
      <c r="X37">
        <v>1</v>
      </c>
      <c r="Y37" s="1">
        <f t="shared" ref="Y37" si="9">P37/X37</f>
        <v>4.41</v>
      </c>
      <c r="Z37" s="1">
        <f>16+59/60</f>
        <v>16.983333333333334</v>
      </c>
      <c r="AA37" s="17">
        <v>190</v>
      </c>
      <c r="AB37" s="17">
        <v>473</v>
      </c>
      <c r="AC37" s="17">
        <v>71</v>
      </c>
      <c r="AD37">
        <v>111</v>
      </c>
      <c r="AE37" s="1">
        <f>16+7.9/60</f>
        <v>16.131666666666668</v>
      </c>
      <c r="AF37" s="1">
        <f>16+28.5/60</f>
        <v>16.475000000000001</v>
      </c>
      <c r="AG37" s="1">
        <f>16+49.9/60</f>
        <v>16.831666666666667</v>
      </c>
      <c r="AH37" s="1">
        <f>18+0.7/60</f>
        <v>18.011666666666667</v>
      </c>
      <c r="AI37" s="1">
        <f>60/3.3</f>
        <v>18.181818181818183</v>
      </c>
      <c r="AO37">
        <v>3</v>
      </c>
      <c r="AP37">
        <v>0</v>
      </c>
      <c r="AV37" t="s">
        <v>30</v>
      </c>
      <c r="AW37" t="s">
        <v>31</v>
      </c>
      <c r="AX37">
        <v>0</v>
      </c>
    </row>
    <row r="38" spans="1:51" x14ac:dyDescent="0.25">
      <c r="A38">
        <f t="shared" si="3"/>
        <v>571</v>
      </c>
      <c r="B38" s="18">
        <v>43917.573611111111</v>
      </c>
      <c r="C38">
        <v>1</v>
      </c>
      <c r="F38" s="16" t="s">
        <v>32</v>
      </c>
      <c r="G38" s="17">
        <v>74</v>
      </c>
      <c r="I38" s="17">
        <v>19</v>
      </c>
      <c r="N38" t="s">
        <v>37</v>
      </c>
      <c r="O38" s="16" t="s">
        <v>56</v>
      </c>
      <c r="P38" s="1">
        <v>6.55</v>
      </c>
      <c r="S38" s="17">
        <v>11504</v>
      </c>
      <c r="T38" s="1">
        <f>1+46/60</f>
        <v>1.7666666666666666</v>
      </c>
      <c r="W38" s="1">
        <f t="shared" ref="W38" si="10">P38/T38</f>
        <v>3.7075471698113209</v>
      </c>
      <c r="X38">
        <v>1</v>
      </c>
      <c r="Y38" s="1">
        <f t="shared" ref="Y38" si="11">P38/X38</f>
        <v>6.55</v>
      </c>
      <c r="Z38" s="1">
        <f>16+13/60</f>
        <v>16.216666666666665</v>
      </c>
      <c r="AA38" s="17">
        <v>69</v>
      </c>
      <c r="AB38" s="17">
        <v>1364</v>
      </c>
      <c r="AC38" s="17">
        <v>133</v>
      </c>
      <c r="AD38">
        <v>156</v>
      </c>
      <c r="AE38" s="1">
        <f>15+17.3/60</f>
        <v>15.288333333333334</v>
      </c>
      <c r="AF38" s="1">
        <f>16+31.1/60</f>
        <v>16.518333333333334</v>
      </c>
      <c r="AG38" s="1">
        <f>16+33</f>
        <v>49</v>
      </c>
      <c r="AH38" s="1">
        <f>16+33.6/60</f>
        <v>16.559999999999999</v>
      </c>
      <c r="AI38" s="1">
        <f>17+91.3/60</f>
        <v>18.521666666666668</v>
      </c>
      <c r="AJ38" s="1">
        <f>16+3.7/60</f>
        <v>16.061666666666667</v>
      </c>
      <c r="AK38" s="1">
        <f>60/3.7</f>
        <v>16.216216216216214</v>
      </c>
      <c r="AO38">
        <v>3</v>
      </c>
      <c r="AP38" s="16">
        <v>0</v>
      </c>
      <c r="AV38" s="16" t="s">
        <v>30</v>
      </c>
      <c r="AW38" s="16" t="s">
        <v>31</v>
      </c>
      <c r="AX38" s="16">
        <v>0</v>
      </c>
    </row>
    <row r="39" spans="1:51" x14ac:dyDescent="0.25">
      <c r="A39" s="16">
        <f t="shared" si="3"/>
        <v>572</v>
      </c>
      <c r="B39" s="18">
        <v>43918.495138888888</v>
      </c>
      <c r="C39" s="16">
        <v>0</v>
      </c>
      <c r="D39" s="16" t="s">
        <v>39</v>
      </c>
      <c r="F39" s="3" t="s">
        <v>32</v>
      </c>
      <c r="G39" s="17">
        <v>64</v>
      </c>
      <c r="I39" s="17">
        <v>45</v>
      </c>
    </row>
    <row r="40" spans="1:51" x14ac:dyDescent="0.25">
      <c r="A40" s="16">
        <f t="shared" si="3"/>
        <v>573</v>
      </c>
      <c r="B40" s="18">
        <v>43919.5</v>
      </c>
      <c r="C40" s="16">
        <v>0</v>
      </c>
      <c r="D40" s="16" t="s">
        <v>73</v>
      </c>
      <c r="F40" s="3" t="s">
        <v>52</v>
      </c>
      <c r="G40" s="17">
        <v>52</v>
      </c>
      <c r="I40" s="17">
        <v>78</v>
      </c>
    </row>
    <row r="41" spans="1:51" x14ac:dyDescent="0.25">
      <c r="A41">
        <f t="shared" si="3"/>
        <v>574</v>
      </c>
      <c r="B41" s="18">
        <v>43920.65</v>
      </c>
      <c r="C41">
        <v>1</v>
      </c>
      <c r="F41" t="s">
        <v>46</v>
      </c>
      <c r="G41" s="17">
        <v>48</v>
      </c>
      <c r="I41" s="17">
        <v>55</v>
      </c>
      <c r="N41" s="16" t="s">
        <v>34</v>
      </c>
      <c r="O41" s="16" t="s">
        <v>45</v>
      </c>
      <c r="P41" s="1">
        <v>6.48</v>
      </c>
      <c r="S41" s="17">
        <v>13160</v>
      </c>
      <c r="T41" s="1">
        <f>101/60</f>
        <v>1.6833333333333333</v>
      </c>
      <c r="W41" s="1">
        <f t="shared" ref="W41" si="12">P41/T41</f>
        <v>3.8495049504950498</v>
      </c>
      <c r="X41" s="16">
        <v>1</v>
      </c>
      <c r="Y41" s="1">
        <f t="shared" ref="Y41" si="13">P41/X41</f>
        <v>6.48</v>
      </c>
      <c r="Z41" s="1">
        <f>16+13/60</f>
        <v>16.216666666666665</v>
      </c>
      <c r="AA41" s="17">
        <v>180</v>
      </c>
      <c r="AB41" s="17">
        <v>1124</v>
      </c>
      <c r="AC41" s="17">
        <v>126</v>
      </c>
      <c r="AD41">
        <v>152</v>
      </c>
      <c r="AE41" s="1">
        <f>15+44.8/60</f>
        <v>15.746666666666666</v>
      </c>
      <c r="AF41" s="1">
        <f>15+20.8/60</f>
        <v>15.346666666666668</v>
      </c>
      <c r="AG41" s="1">
        <f>15+37.9/60</f>
        <v>15.631666666666666</v>
      </c>
      <c r="AH41" s="1">
        <f>15+55.5/60</f>
        <v>15.925000000000001</v>
      </c>
      <c r="AI41" s="1">
        <f>15+19/60</f>
        <v>15.316666666666666</v>
      </c>
      <c r="AJ41" s="1">
        <f>15+29.2/60</f>
        <v>15.486666666666666</v>
      </c>
      <c r="AK41" s="1">
        <f>60/3.9</f>
        <v>15.384615384615385</v>
      </c>
      <c r="AO41">
        <v>1</v>
      </c>
      <c r="AP41">
        <v>0</v>
      </c>
      <c r="AV41" s="16" t="s">
        <v>30</v>
      </c>
      <c r="AW41" s="16" t="s">
        <v>31</v>
      </c>
      <c r="AX41" s="16">
        <v>0</v>
      </c>
    </row>
    <row r="42" spans="1:51" x14ac:dyDescent="0.25">
      <c r="A42">
        <f t="shared" si="3"/>
        <v>575</v>
      </c>
      <c r="B42" s="18">
        <v>43921.598611111112</v>
      </c>
      <c r="C42">
        <v>1</v>
      </c>
      <c r="F42" t="s">
        <v>32</v>
      </c>
      <c r="G42" s="17">
        <v>72</v>
      </c>
      <c r="I42" s="17">
        <v>50</v>
      </c>
      <c r="N42" t="s">
        <v>37</v>
      </c>
      <c r="O42" s="16" t="s">
        <v>48</v>
      </c>
      <c r="P42" s="1">
        <v>6.14</v>
      </c>
      <c r="S42" s="17">
        <v>12629</v>
      </c>
      <c r="T42" s="1">
        <f>94/60</f>
        <v>1.5666666666666667</v>
      </c>
      <c r="W42" s="1">
        <f t="shared" ref="W42" si="14">P42/T42</f>
        <v>3.9191489361702128</v>
      </c>
      <c r="X42">
        <v>1</v>
      </c>
      <c r="Y42" s="1">
        <f t="shared" ref="Y42" si="15">P42/X42</f>
        <v>6.14</v>
      </c>
      <c r="Z42" s="1">
        <f>15+15/60</f>
        <v>15.25</v>
      </c>
      <c r="AA42" s="17">
        <v>72</v>
      </c>
      <c r="AB42" s="17">
        <v>668</v>
      </c>
      <c r="AC42" s="17">
        <v>84</v>
      </c>
      <c r="AD42">
        <v>107</v>
      </c>
      <c r="AE42" s="1">
        <f>15+33.4/60</f>
        <v>15.556666666666667</v>
      </c>
      <c r="AF42" s="1">
        <f>15+6.8/60</f>
        <v>15.113333333333333</v>
      </c>
      <c r="AG42" s="1">
        <f>15+17.2/60</f>
        <v>15.286666666666667</v>
      </c>
      <c r="AH42" s="1">
        <f>15+10.1/60</f>
        <v>15.168333333333333</v>
      </c>
      <c r="AI42" s="1">
        <f>15+21.9/60</f>
        <v>15.365</v>
      </c>
      <c r="AJ42" s="1">
        <f>15+21.9/60</f>
        <v>15.365</v>
      </c>
      <c r="AK42" s="1">
        <f>60/4</f>
        <v>15</v>
      </c>
      <c r="AO42">
        <v>1</v>
      </c>
      <c r="AP42">
        <v>0</v>
      </c>
      <c r="AV42" s="16" t="s">
        <v>30</v>
      </c>
      <c r="AW42" s="16" t="s">
        <v>31</v>
      </c>
      <c r="AX42" s="16">
        <v>0</v>
      </c>
    </row>
    <row r="43" spans="1:51" x14ac:dyDescent="0.25">
      <c r="A43" s="16">
        <f t="shared" si="3"/>
        <v>576</v>
      </c>
      <c r="B43" s="18">
        <v>43922.594444444447</v>
      </c>
      <c r="C43" s="16">
        <v>1</v>
      </c>
      <c r="F43" t="s">
        <v>46</v>
      </c>
      <c r="G43" s="17">
        <v>69</v>
      </c>
      <c r="I43" s="17">
        <v>73</v>
      </c>
      <c r="N43" s="16" t="s">
        <v>37</v>
      </c>
      <c r="O43" s="16" t="s">
        <v>40</v>
      </c>
      <c r="P43" s="1">
        <v>4.5</v>
      </c>
      <c r="T43" s="1">
        <f>72/60</f>
        <v>1.2</v>
      </c>
      <c r="W43" s="1">
        <f t="shared" ref="W43" si="16">P43/T43</f>
        <v>3.75</v>
      </c>
      <c r="X43">
        <v>1</v>
      </c>
      <c r="Y43" s="1">
        <f t="shared" ref="Y43" si="17">P43/X43</f>
        <v>4.5</v>
      </c>
      <c r="Z43" s="1">
        <f>15+59/60</f>
        <v>15.983333333333333</v>
      </c>
      <c r="AA43" s="17">
        <v>102</v>
      </c>
      <c r="AB43" s="17">
        <v>570</v>
      </c>
      <c r="AC43" s="17">
        <v>101</v>
      </c>
      <c r="AD43">
        <v>136</v>
      </c>
      <c r="AE43" s="1">
        <f>15+52/60</f>
        <v>15.866666666666667</v>
      </c>
      <c r="AF43" s="1">
        <f>15+59.6/60</f>
        <v>15.993333333333334</v>
      </c>
      <c r="AG43" s="1">
        <f>16+30.4/60</f>
        <v>16.506666666666668</v>
      </c>
      <c r="AH43" s="1">
        <f>16+28/60</f>
        <v>16.466666666666665</v>
      </c>
      <c r="AI43" s="1">
        <f>60/3.7</f>
        <v>16.216216216216214</v>
      </c>
      <c r="AO43">
        <v>0</v>
      </c>
      <c r="AP43" s="16">
        <v>0</v>
      </c>
      <c r="AV43" s="16" t="s">
        <v>30</v>
      </c>
      <c r="AW43" s="16" t="s">
        <v>31</v>
      </c>
      <c r="AX43" s="16">
        <v>0</v>
      </c>
    </row>
    <row r="44" spans="1:51" x14ac:dyDescent="0.25">
      <c r="A44" s="16">
        <f t="shared" si="3"/>
        <v>577</v>
      </c>
      <c r="B44" s="18">
        <v>43923.685416666667</v>
      </c>
      <c r="C44">
        <v>0</v>
      </c>
      <c r="D44" t="s">
        <v>73</v>
      </c>
      <c r="F44" t="s">
        <v>46</v>
      </c>
      <c r="G44" s="17">
        <v>47</v>
      </c>
      <c r="I44" s="17">
        <v>40</v>
      </c>
    </row>
    <row r="45" spans="1:51" x14ac:dyDescent="0.25">
      <c r="A45" s="16">
        <f t="shared" si="3"/>
        <v>578</v>
      </c>
      <c r="B45" s="18">
        <v>43924.495138888888</v>
      </c>
      <c r="C45" s="16">
        <v>0</v>
      </c>
      <c r="D45" s="16" t="s">
        <v>73</v>
      </c>
      <c r="F45" t="s">
        <v>46</v>
      </c>
      <c r="G45" s="17">
        <v>39</v>
      </c>
      <c r="I45" s="17">
        <v>76</v>
      </c>
    </row>
    <row r="46" spans="1:51" x14ac:dyDescent="0.25">
      <c r="A46">
        <f t="shared" si="3"/>
        <v>579</v>
      </c>
      <c r="B46" s="18">
        <v>43925.495138888888</v>
      </c>
      <c r="C46">
        <v>0</v>
      </c>
      <c r="D46" s="16" t="s">
        <v>73</v>
      </c>
      <c r="F46" t="s">
        <v>46</v>
      </c>
      <c r="G46" s="17">
        <v>53</v>
      </c>
      <c r="I46" s="17">
        <v>80</v>
      </c>
    </row>
    <row r="47" spans="1:51" x14ac:dyDescent="0.25">
      <c r="A47">
        <f t="shared" si="3"/>
        <v>580</v>
      </c>
      <c r="B47" s="18">
        <v>43926.523611111108</v>
      </c>
      <c r="C47">
        <v>1</v>
      </c>
      <c r="F47" t="s">
        <v>32</v>
      </c>
      <c r="G47" s="17">
        <v>71</v>
      </c>
      <c r="I47" s="17">
        <v>70</v>
      </c>
      <c r="N47" s="16" t="s">
        <v>37</v>
      </c>
      <c r="O47" s="16" t="s">
        <v>42</v>
      </c>
      <c r="P47" s="1">
        <v>5.12</v>
      </c>
      <c r="T47" s="1">
        <f>(60+23)/60</f>
        <v>1.3833333333333333</v>
      </c>
      <c r="W47" s="1">
        <f>P47/T47</f>
        <v>3.7012048192771085</v>
      </c>
      <c r="X47">
        <v>1</v>
      </c>
      <c r="Y47" s="1">
        <f t="shared" ref="Y47" si="18">P47/X47</f>
        <v>5.12</v>
      </c>
      <c r="Z47" s="1">
        <f>16+8/60</f>
        <v>16.133333333333333</v>
      </c>
      <c r="AA47" s="17">
        <v>203</v>
      </c>
      <c r="AB47" s="17">
        <v>842</v>
      </c>
      <c r="AC47" s="17">
        <v>120</v>
      </c>
      <c r="AD47">
        <v>151</v>
      </c>
      <c r="AE47" s="1">
        <f>15+49.1/60</f>
        <v>15.818333333333333</v>
      </c>
      <c r="AF47" s="1">
        <f>16+46.2/60</f>
        <v>16.77</v>
      </c>
      <c r="AG47" s="1">
        <f>16+5/60</f>
        <v>16.083333333333332</v>
      </c>
      <c r="AH47" s="1">
        <f>16+5.4/60</f>
        <v>16.09</v>
      </c>
      <c r="AI47" s="1">
        <f>16+9/60</f>
        <v>16.149999999999999</v>
      </c>
      <c r="AJ47" s="1">
        <f>60/4.3</f>
        <v>13.953488372093023</v>
      </c>
      <c r="AO47">
        <v>0</v>
      </c>
      <c r="AP47">
        <v>0</v>
      </c>
      <c r="AV47" s="16" t="s">
        <v>30</v>
      </c>
      <c r="AW47" s="16" t="s">
        <v>31</v>
      </c>
      <c r="AX47" s="16">
        <v>0</v>
      </c>
    </row>
    <row r="48" spans="1:51" x14ac:dyDescent="0.25">
      <c r="A48">
        <f t="shared" si="3"/>
        <v>581</v>
      </c>
      <c r="B48" s="18">
        <v>43927.62222222222</v>
      </c>
      <c r="C48">
        <v>1</v>
      </c>
      <c r="F48" s="2" t="s">
        <v>32</v>
      </c>
      <c r="G48" s="17">
        <v>86</v>
      </c>
      <c r="I48" s="17">
        <v>43</v>
      </c>
      <c r="N48" s="16" t="s">
        <v>34</v>
      </c>
      <c r="O48" s="16" t="s">
        <v>47</v>
      </c>
      <c r="P48" s="1">
        <v>4.78</v>
      </c>
      <c r="S48" s="17">
        <v>10730</v>
      </c>
      <c r="T48" s="1">
        <f>(60+23)/60</f>
        <v>1.3833333333333333</v>
      </c>
      <c r="W48" s="1">
        <f>P48/T48</f>
        <v>3.455421686746988</v>
      </c>
      <c r="X48">
        <v>1</v>
      </c>
      <c r="Y48" s="1">
        <f t="shared" ref="Y48" si="19">P48/X48</f>
        <v>4.78</v>
      </c>
      <c r="Z48" s="1">
        <f>17+2/60</f>
        <v>17.033333333333335</v>
      </c>
      <c r="AA48" s="17">
        <v>190</v>
      </c>
      <c r="AB48" s="17">
        <v>1000</v>
      </c>
      <c r="AC48" s="17">
        <v>134</v>
      </c>
      <c r="AD48">
        <v>164</v>
      </c>
      <c r="AE48" s="1">
        <f>15+58.8/60</f>
        <v>15.98</v>
      </c>
      <c r="AF48" s="1">
        <f>15+59.1/60</f>
        <v>15.984999999999999</v>
      </c>
      <c r="AG48" s="1">
        <f>17+38.5/60</f>
        <v>17.641666666666666</v>
      </c>
      <c r="AH48" s="1">
        <f>17+38.5/60</f>
        <v>17.641666666666666</v>
      </c>
      <c r="AI48" s="1">
        <f>60/3.5</f>
        <v>17.142857142857142</v>
      </c>
      <c r="AO48">
        <v>5</v>
      </c>
      <c r="AP48">
        <v>1</v>
      </c>
      <c r="AV48" s="16" t="s">
        <v>30</v>
      </c>
      <c r="AW48" s="16" t="s">
        <v>31</v>
      </c>
      <c r="AX48" s="16">
        <v>0</v>
      </c>
    </row>
    <row r="49" spans="1:51" x14ac:dyDescent="0.25">
      <c r="A49">
        <f t="shared" si="3"/>
        <v>582</v>
      </c>
      <c r="B49" s="18">
        <v>43928.486805555556</v>
      </c>
      <c r="C49">
        <v>1</v>
      </c>
      <c r="F49" t="s">
        <v>32</v>
      </c>
      <c r="G49" s="17">
        <v>85</v>
      </c>
      <c r="I49" s="17">
        <v>55</v>
      </c>
      <c r="N49" t="s">
        <v>37</v>
      </c>
      <c r="O49" t="s">
        <v>54</v>
      </c>
      <c r="P49" s="1">
        <v>3.52</v>
      </c>
      <c r="T49" s="1">
        <f>78/60</f>
        <v>1.3</v>
      </c>
      <c r="W49" s="1">
        <f>(60+23)/60</f>
        <v>1.3833333333333333</v>
      </c>
      <c r="X49">
        <v>2</v>
      </c>
      <c r="Y49" s="1">
        <v>1</v>
      </c>
      <c r="Z49" s="1">
        <f>22+6/60</f>
        <v>22.1</v>
      </c>
      <c r="AA49" s="17">
        <v>59</v>
      </c>
      <c r="AB49" s="17">
        <v>688</v>
      </c>
      <c r="AC49" s="17">
        <v>115</v>
      </c>
      <c r="AD49" s="17">
        <v>142</v>
      </c>
      <c r="AE49" s="1">
        <f>20+23.6/60</f>
        <v>20.393333333333334</v>
      </c>
      <c r="AF49" s="1">
        <f>24+49.2/60</f>
        <v>24.82</v>
      </c>
      <c r="AG49" s="1">
        <f>21+18.9/60</f>
        <v>21.315000000000001</v>
      </c>
      <c r="AH49" s="1">
        <f>60/2.7</f>
        <v>22.222222222222221</v>
      </c>
      <c r="AO49">
        <v>0</v>
      </c>
      <c r="AP49">
        <v>0</v>
      </c>
      <c r="AV49" t="s">
        <v>30</v>
      </c>
      <c r="AW49" t="s">
        <v>31</v>
      </c>
      <c r="AX49">
        <v>0</v>
      </c>
    </row>
    <row r="50" spans="1:51" x14ac:dyDescent="0.25">
      <c r="A50" s="16">
        <f t="shared" si="3"/>
        <v>583</v>
      </c>
      <c r="B50" s="18">
        <v>43929.551388888889</v>
      </c>
      <c r="C50" s="16">
        <v>1</v>
      </c>
      <c r="F50" t="s">
        <v>32</v>
      </c>
      <c r="G50" s="17">
        <v>88</v>
      </c>
      <c r="I50" s="17">
        <v>49</v>
      </c>
      <c r="N50" s="16" t="s">
        <v>34</v>
      </c>
      <c r="O50" t="s">
        <v>53</v>
      </c>
      <c r="P50" s="1">
        <v>4.8</v>
      </c>
      <c r="S50" s="17">
        <v>10730</v>
      </c>
      <c r="T50" s="1">
        <f>(60+14)/60</f>
        <v>1.2333333333333334</v>
      </c>
      <c r="W50" s="1">
        <f>P50/T50</f>
        <v>3.8918918918918917</v>
      </c>
      <c r="X50">
        <v>1</v>
      </c>
      <c r="Y50" s="1">
        <f t="shared" ref="Y50" si="20">P50/X50</f>
        <v>4.8</v>
      </c>
      <c r="Z50" s="1">
        <f>15+24/60</f>
        <v>15.4</v>
      </c>
      <c r="AA50" s="17">
        <v>43</v>
      </c>
      <c r="AB50" s="17">
        <v>555</v>
      </c>
      <c r="AC50" s="17">
        <v>107</v>
      </c>
      <c r="AD50" s="17">
        <v>133</v>
      </c>
      <c r="AE50" s="1">
        <f>15+15.9/60</f>
        <v>15.265000000000001</v>
      </c>
      <c r="AF50" s="1">
        <f>15+35.7/60</f>
        <v>15.595000000000001</v>
      </c>
      <c r="AG50" s="1">
        <f>15+33.1/60</f>
        <v>15.551666666666666</v>
      </c>
      <c r="AH50" s="1">
        <f>15+15.3/60</f>
        <v>15.255000000000001</v>
      </c>
      <c r="AI50" s="1">
        <f>60/3.9</f>
        <v>15.384615384615385</v>
      </c>
      <c r="AO50">
        <v>0</v>
      </c>
      <c r="AP50">
        <v>1</v>
      </c>
      <c r="AV50" t="s">
        <v>30</v>
      </c>
      <c r="AW50" t="s">
        <v>31</v>
      </c>
      <c r="AX50">
        <v>0</v>
      </c>
    </row>
    <row r="51" spans="1:51" x14ac:dyDescent="0.25">
      <c r="A51" s="16">
        <f t="shared" si="3"/>
        <v>584</v>
      </c>
      <c r="B51" s="18">
        <v>43930.571527777778</v>
      </c>
      <c r="C51">
        <v>1</v>
      </c>
      <c r="F51" t="s">
        <v>32</v>
      </c>
      <c r="G51" s="17">
        <v>77</v>
      </c>
      <c r="I51" s="17">
        <v>71</v>
      </c>
      <c r="N51" s="16" t="s">
        <v>37</v>
      </c>
      <c r="O51" s="16" t="s">
        <v>40</v>
      </c>
      <c r="P51" s="1">
        <v>4.4800000000000004</v>
      </c>
      <c r="S51" s="17">
        <f>10135-726</f>
        <v>9409</v>
      </c>
      <c r="T51" s="1">
        <f>71/60</f>
        <v>1.1833333333333333</v>
      </c>
      <c r="W51" s="1">
        <f>P51/T51</f>
        <v>3.7859154929577468</v>
      </c>
      <c r="X51">
        <v>1</v>
      </c>
      <c r="Y51" s="1">
        <f t="shared" ref="Y51" si="21">P51/X51</f>
        <v>4.4800000000000004</v>
      </c>
      <c r="Z51" s="1">
        <f>15+46/60</f>
        <v>15.766666666666667</v>
      </c>
      <c r="AA51" s="17">
        <v>98</v>
      </c>
      <c r="AB51" s="17">
        <v>628</v>
      </c>
      <c r="AC51" s="17">
        <f>111</f>
        <v>111</v>
      </c>
      <c r="AD51" s="17">
        <v>144</v>
      </c>
      <c r="AE51" s="1">
        <f>15+42.1/60</f>
        <v>15.701666666666666</v>
      </c>
      <c r="AF51" s="1">
        <f>15+34.9/60</f>
        <v>15.581666666666667</v>
      </c>
      <c r="AG51" s="1">
        <f>15+24.4/60</f>
        <v>15.406666666666666</v>
      </c>
      <c r="AH51" s="1">
        <f>16+23.6/60</f>
        <v>16.393333333333334</v>
      </c>
      <c r="AI51" s="1">
        <f>60/3.8</f>
        <v>15.789473684210527</v>
      </c>
      <c r="AO51">
        <v>1</v>
      </c>
      <c r="AP51">
        <v>1</v>
      </c>
      <c r="AV51" t="s">
        <v>30</v>
      </c>
      <c r="AW51" t="s">
        <v>31</v>
      </c>
      <c r="AX51">
        <v>0</v>
      </c>
    </row>
    <row r="52" spans="1:51" x14ac:dyDescent="0.25">
      <c r="A52">
        <f t="shared" si="3"/>
        <v>585</v>
      </c>
      <c r="B52" s="18">
        <v>43931.495138888888</v>
      </c>
      <c r="C52">
        <v>0</v>
      </c>
      <c r="D52" t="s">
        <v>39</v>
      </c>
      <c r="F52" t="s">
        <v>46</v>
      </c>
      <c r="G52" s="17">
        <v>66</v>
      </c>
      <c r="I52" s="17">
        <v>75</v>
      </c>
    </row>
    <row r="53" spans="1:51" x14ac:dyDescent="0.25">
      <c r="A53">
        <f t="shared" si="3"/>
        <v>586</v>
      </c>
      <c r="B53" s="18">
        <v>43932.495138888888</v>
      </c>
      <c r="C53">
        <v>0</v>
      </c>
      <c r="D53" t="s">
        <v>71</v>
      </c>
      <c r="F53" t="s">
        <v>50</v>
      </c>
      <c r="G53" s="17">
        <v>78</v>
      </c>
      <c r="I53" s="17">
        <v>45</v>
      </c>
    </row>
    <row r="54" spans="1:51" x14ac:dyDescent="0.25">
      <c r="A54" s="16">
        <f t="shared" si="3"/>
        <v>587</v>
      </c>
      <c r="B54" s="18">
        <v>43933.573611111111</v>
      </c>
      <c r="C54">
        <v>1</v>
      </c>
      <c r="F54" t="s">
        <v>32</v>
      </c>
      <c r="G54" s="17">
        <v>54</v>
      </c>
      <c r="I54" s="17">
        <v>45</v>
      </c>
      <c r="N54" t="s">
        <v>34</v>
      </c>
      <c r="O54" s="16" t="s">
        <v>62</v>
      </c>
      <c r="P54" s="1">
        <v>4.4800000000000004</v>
      </c>
      <c r="S54" s="17">
        <v>9655</v>
      </c>
      <c r="T54" s="1">
        <f>74/60</f>
        <v>1.2333333333333334</v>
      </c>
      <c r="W54" s="1">
        <f t="shared" ref="W54:W59" si="22">P54/T54</f>
        <v>3.6324324324324326</v>
      </c>
      <c r="X54">
        <v>1</v>
      </c>
      <c r="Y54" s="1">
        <f t="shared" ref="Y54" si="23">P54/X54</f>
        <v>4.4800000000000004</v>
      </c>
      <c r="Z54" s="1">
        <f>16+20/60</f>
        <v>16.333333333333332</v>
      </c>
      <c r="AA54" s="17">
        <v>223</v>
      </c>
      <c r="AB54" s="17">
        <v>850</v>
      </c>
      <c r="AC54" s="17">
        <v>132</v>
      </c>
      <c r="AD54" s="17">
        <v>150</v>
      </c>
      <c r="AE54" s="1">
        <f>15+52/60</f>
        <v>15.866666666666667</v>
      </c>
      <c r="AF54" s="1">
        <f>15+53.3/60</f>
        <v>15.888333333333334</v>
      </c>
      <c r="AG54" s="1">
        <f>16+29.4/60</f>
        <v>16.489999999999998</v>
      </c>
      <c r="AH54" s="1">
        <f>16+50.6/60</f>
        <v>16.843333333333334</v>
      </c>
      <c r="AI54" s="1">
        <f>60/3.7</f>
        <v>16.216216216216214</v>
      </c>
      <c r="AO54">
        <v>0</v>
      </c>
      <c r="AP54">
        <v>0</v>
      </c>
      <c r="AV54" t="s">
        <v>30</v>
      </c>
      <c r="AW54" t="s">
        <v>31</v>
      </c>
      <c r="AX54">
        <v>0</v>
      </c>
    </row>
    <row r="55" spans="1:51" x14ac:dyDescent="0.25">
      <c r="A55">
        <f t="shared" si="3"/>
        <v>588</v>
      </c>
      <c r="B55" s="18">
        <v>43934.551388888889</v>
      </c>
      <c r="C55">
        <v>1</v>
      </c>
      <c r="F55" t="s">
        <v>50</v>
      </c>
      <c r="G55" s="17">
        <v>55</v>
      </c>
      <c r="I55" s="17">
        <v>51</v>
      </c>
      <c r="N55" t="s">
        <v>37</v>
      </c>
      <c r="O55" s="16" t="s">
        <v>45</v>
      </c>
      <c r="P55" s="1">
        <v>3.48</v>
      </c>
      <c r="S55" s="17">
        <v>7199</v>
      </c>
      <c r="T55" s="1">
        <f>(52+34/60)/60</f>
        <v>0.87611111111111117</v>
      </c>
      <c r="W55" s="1">
        <f t="shared" si="22"/>
        <v>3.9720989220038043</v>
      </c>
      <c r="X55">
        <v>1</v>
      </c>
      <c r="Y55" s="1">
        <f t="shared" ref="Y55" si="24">P55/X55</f>
        <v>3.48</v>
      </c>
      <c r="Z55" s="1">
        <f>15+7/60</f>
        <v>15.116666666666667</v>
      </c>
      <c r="AA55" s="17">
        <v>92</v>
      </c>
      <c r="AB55" s="17">
        <v>572</v>
      </c>
      <c r="AC55" s="17">
        <v>134</v>
      </c>
      <c r="AD55" s="17">
        <v>149</v>
      </c>
      <c r="AE55" s="1">
        <f>14+22.5/60</f>
        <v>14.375</v>
      </c>
      <c r="AF55" s="1">
        <f>15+3.9/60</f>
        <v>15.065</v>
      </c>
      <c r="AG55" s="1">
        <f>15+26.8/60</f>
        <v>15.446666666666667</v>
      </c>
      <c r="AH55" s="1">
        <f>60/3.7</f>
        <v>16.216216216216214</v>
      </c>
      <c r="AO55">
        <v>0</v>
      </c>
      <c r="AP55">
        <v>0</v>
      </c>
      <c r="AV55" s="16" t="s">
        <v>30</v>
      </c>
      <c r="AW55" s="16" t="s">
        <v>31</v>
      </c>
      <c r="AX55" s="16">
        <v>0</v>
      </c>
    </row>
    <row r="56" spans="1:51" x14ac:dyDescent="0.25">
      <c r="A56">
        <f t="shared" si="3"/>
        <v>589</v>
      </c>
      <c r="B56" s="18">
        <v>43935.560416666667</v>
      </c>
      <c r="C56">
        <v>1</v>
      </c>
      <c r="F56" t="s">
        <v>32</v>
      </c>
      <c r="G56" s="17">
        <v>63</v>
      </c>
      <c r="I56" s="17">
        <v>71</v>
      </c>
      <c r="N56" s="16" t="s">
        <v>37</v>
      </c>
      <c r="O56" s="16" t="s">
        <v>33</v>
      </c>
      <c r="P56" s="1">
        <v>5.74</v>
      </c>
      <c r="S56" s="17">
        <v>12068</v>
      </c>
      <c r="T56" s="1">
        <f>91/60</f>
        <v>1.5166666666666666</v>
      </c>
      <c r="W56" s="1">
        <f t="shared" si="22"/>
        <v>3.7846153846153849</v>
      </c>
      <c r="X56">
        <v>1</v>
      </c>
      <c r="Y56" s="1">
        <f t="shared" ref="Y56" si="25">P56/X56</f>
        <v>5.74</v>
      </c>
      <c r="Z56" s="1">
        <f>15+53/60</f>
        <v>15.883333333333333</v>
      </c>
      <c r="AA56" s="17">
        <v>66</v>
      </c>
      <c r="AB56" s="17">
        <v>648</v>
      </c>
      <c r="AC56" s="17">
        <v>92</v>
      </c>
      <c r="AD56" s="17">
        <v>135</v>
      </c>
      <c r="AE56" s="1">
        <f>15+48.5/60</f>
        <v>15.808333333333334</v>
      </c>
      <c r="AF56" s="1">
        <f>15+48.8/60</f>
        <v>15.813333333333333</v>
      </c>
      <c r="AG56" s="1">
        <f>15+26.9/60</f>
        <v>15.448333333333334</v>
      </c>
      <c r="AH56" s="1">
        <f>15+47</f>
        <v>62</v>
      </c>
      <c r="AI56" s="1">
        <f>15+49.2/60</f>
        <v>15.82</v>
      </c>
      <c r="AJ56" s="1">
        <f>60/3.8</f>
        <v>15.789473684210527</v>
      </c>
      <c r="AO56">
        <v>3</v>
      </c>
      <c r="AP56">
        <v>0</v>
      </c>
      <c r="AV56" t="s">
        <v>30</v>
      </c>
      <c r="AW56" t="s">
        <v>31</v>
      </c>
      <c r="AX56">
        <v>0</v>
      </c>
    </row>
    <row r="57" spans="1:51" x14ac:dyDescent="0.25">
      <c r="A57">
        <f t="shared" si="3"/>
        <v>590</v>
      </c>
      <c r="B57" s="18">
        <v>43936.634722222225</v>
      </c>
      <c r="C57">
        <v>1</v>
      </c>
      <c r="F57" t="s">
        <v>32</v>
      </c>
      <c r="G57" s="17">
        <v>70</v>
      </c>
      <c r="I57" s="17">
        <v>40</v>
      </c>
      <c r="N57" s="16" t="s">
        <v>37</v>
      </c>
      <c r="O57" s="16" t="s">
        <v>36</v>
      </c>
      <c r="P57" s="1">
        <v>4.47</v>
      </c>
      <c r="S57" s="17">
        <v>9272</v>
      </c>
      <c r="T57" s="1">
        <f>(71-3)/60</f>
        <v>1.1333333333333333</v>
      </c>
      <c r="W57" s="1">
        <f t="shared" si="22"/>
        <v>3.9441176470588233</v>
      </c>
      <c r="X57">
        <v>1</v>
      </c>
      <c r="Y57" s="1">
        <f t="shared" ref="Y57" si="26">P57/X57</f>
        <v>4.47</v>
      </c>
      <c r="Z57" s="1">
        <f>15+55/60</f>
        <v>15.916666666666666</v>
      </c>
      <c r="AA57" s="17">
        <v>177</v>
      </c>
      <c r="AB57" s="17">
        <v>632</v>
      </c>
      <c r="AC57" s="17">
        <v>100</v>
      </c>
      <c r="AD57" s="17">
        <v>152</v>
      </c>
      <c r="AE57" s="1">
        <f>15+55.2/60</f>
        <v>15.92</v>
      </c>
      <c r="AF57" s="1">
        <f>16+14.3/60</f>
        <v>16.238333333333333</v>
      </c>
      <c r="AG57" s="1">
        <f>15+48.2/60</f>
        <v>15.803333333333333</v>
      </c>
      <c r="AH57" s="1">
        <f>15+41.1/60</f>
        <v>15.685</v>
      </c>
      <c r="AI57" s="1">
        <f>60/3.8</f>
        <v>15.789473684210527</v>
      </c>
      <c r="AO57">
        <v>3</v>
      </c>
      <c r="AP57">
        <v>1</v>
      </c>
      <c r="AV57" t="s">
        <v>30</v>
      </c>
      <c r="AW57" t="s">
        <v>31</v>
      </c>
      <c r="AX57">
        <v>0</v>
      </c>
    </row>
    <row r="58" spans="1:51" x14ac:dyDescent="0.25">
      <c r="A58">
        <f t="shared" si="3"/>
        <v>591</v>
      </c>
      <c r="B58" s="18">
        <v>43937.55972222222</v>
      </c>
      <c r="C58">
        <v>1</v>
      </c>
      <c r="F58" t="s">
        <v>46</v>
      </c>
      <c r="G58" s="17">
        <v>53</v>
      </c>
      <c r="I58" s="17">
        <v>35</v>
      </c>
      <c r="N58" t="s">
        <v>34</v>
      </c>
      <c r="O58" s="16" t="s">
        <v>54</v>
      </c>
      <c r="P58" s="1">
        <v>2.56</v>
      </c>
      <c r="T58" s="1">
        <f>(45+45/60)/60</f>
        <v>0.76249999999999996</v>
      </c>
      <c r="W58" s="1">
        <f t="shared" si="22"/>
        <v>3.3573770491803283</v>
      </c>
      <c r="X58">
        <v>1</v>
      </c>
      <c r="Y58" s="1">
        <f t="shared" ref="Y58:Y59" si="27">P58/X58</f>
        <v>2.56</v>
      </c>
      <c r="Z58" s="1">
        <f>17+54/60</f>
        <v>17.899999999999999</v>
      </c>
      <c r="AA58" s="17">
        <v>26.2</v>
      </c>
      <c r="AB58" s="17">
        <v>427</v>
      </c>
      <c r="AC58" s="17">
        <v>116</v>
      </c>
      <c r="AD58" s="17">
        <v>140</v>
      </c>
      <c r="AE58" s="1">
        <f>18+5.9/10</f>
        <v>18.59</v>
      </c>
      <c r="AF58" s="1">
        <f>17+9/60</f>
        <v>17.149999999999999</v>
      </c>
      <c r="AG58" s="1">
        <f>60/3.2</f>
        <v>18.75</v>
      </c>
      <c r="AO58">
        <v>0</v>
      </c>
      <c r="AP58">
        <v>0</v>
      </c>
      <c r="AV58" s="16" t="s">
        <v>30</v>
      </c>
      <c r="AW58" s="16" t="s">
        <v>31</v>
      </c>
      <c r="AX58" s="16">
        <v>0</v>
      </c>
    </row>
    <row r="59" spans="1:51" x14ac:dyDescent="0.25">
      <c r="A59">
        <f t="shared" si="3"/>
        <v>592</v>
      </c>
      <c r="B59" s="18">
        <v>43938.547222222223</v>
      </c>
      <c r="C59">
        <v>1</v>
      </c>
      <c r="F59" t="s">
        <v>32</v>
      </c>
      <c r="G59" s="17">
        <v>63</v>
      </c>
      <c r="I59" s="17">
        <v>48</v>
      </c>
      <c r="N59" t="s">
        <v>37</v>
      </c>
      <c r="O59" t="s">
        <v>56</v>
      </c>
      <c r="P59" s="1">
        <v>5.92</v>
      </c>
      <c r="Q59" s="17">
        <v>794</v>
      </c>
      <c r="R59" s="17">
        <v>14362</v>
      </c>
      <c r="S59" s="17">
        <f>R59-Q59</f>
        <v>13568</v>
      </c>
      <c r="T59" s="1">
        <f>95/60</f>
        <v>1.5833333333333333</v>
      </c>
      <c r="W59" s="1">
        <f t="shared" si="22"/>
        <v>3.7389473684210528</v>
      </c>
      <c r="X59">
        <v>1</v>
      </c>
      <c r="Y59" s="1">
        <f t="shared" si="27"/>
        <v>5.92</v>
      </c>
      <c r="Z59" s="1">
        <f>16+5/60</f>
        <v>16.083333333333332</v>
      </c>
      <c r="AA59" s="17">
        <v>62</v>
      </c>
      <c r="AB59" s="17">
        <v>1308</v>
      </c>
      <c r="AC59" s="17">
        <v>142</v>
      </c>
      <c r="AD59" s="17">
        <v>158</v>
      </c>
      <c r="AE59" s="1">
        <f>15+5.9/60</f>
        <v>15.098333333333333</v>
      </c>
      <c r="AF59" s="1">
        <f>15+1.1/60</f>
        <v>15.018333333333333</v>
      </c>
      <c r="AG59" s="1">
        <f>15+11.2/60</f>
        <v>15.186666666666667</v>
      </c>
      <c r="AH59" s="1">
        <f>17+2.4/60</f>
        <v>17.04</v>
      </c>
      <c r="AI59" s="1">
        <f>17+5.5/60</f>
        <v>17.091666666666665</v>
      </c>
      <c r="AJ59" s="1">
        <f>60/3.5</f>
        <v>17.142857142857142</v>
      </c>
      <c r="AO59">
        <v>3</v>
      </c>
      <c r="AP59">
        <v>0</v>
      </c>
      <c r="AV59" t="s">
        <v>30</v>
      </c>
      <c r="AW59" t="s">
        <v>31</v>
      </c>
      <c r="AX59">
        <v>0</v>
      </c>
    </row>
    <row r="60" spans="1:51" x14ac:dyDescent="0.25">
      <c r="A60">
        <f t="shared" si="3"/>
        <v>593</v>
      </c>
      <c r="B60" s="18">
        <f t="shared" si="3"/>
        <v>43939.547222222223</v>
      </c>
      <c r="C60">
        <v>1</v>
      </c>
      <c r="F60" t="s">
        <v>50</v>
      </c>
      <c r="G60" s="17">
        <v>78</v>
      </c>
      <c r="I60" s="17">
        <v>61</v>
      </c>
      <c r="N60" s="16" t="s">
        <v>34</v>
      </c>
      <c r="O60" s="16" t="s">
        <v>49</v>
      </c>
      <c r="P60" s="1">
        <v>4.84</v>
      </c>
      <c r="Q60" s="17">
        <v>800</v>
      </c>
      <c r="R60" s="17">
        <v>11138</v>
      </c>
      <c r="S60" s="17">
        <f>R60-Q60</f>
        <v>10338</v>
      </c>
      <c r="T60" s="1">
        <f>78/60</f>
        <v>1.3</v>
      </c>
      <c r="W60" s="1">
        <f>P60/T60</f>
        <v>3.7230769230769227</v>
      </c>
      <c r="X60">
        <v>1</v>
      </c>
      <c r="Y60" s="1">
        <f>P60/X60</f>
        <v>4.84</v>
      </c>
      <c r="Z60" s="1">
        <f>16+9/60</f>
        <v>16.149999999999999</v>
      </c>
      <c r="AA60" s="17">
        <v>138</v>
      </c>
      <c r="AB60" s="17">
        <v>871</v>
      </c>
      <c r="AC60" s="17">
        <v>127</v>
      </c>
      <c r="AD60" s="17">
        <v>144</v>
      </c>
      <c r="AE60" s="1">
        <f>15+25.7/60</f>
        <v>15.428333333333333</v>
      </c>
      <c r="AF60" s="1">
        <f>15+41.1/60</f>
        <v>15.685</v>
      </c>
      <c r="AG60" s="1">
        <f>15+50.5/60</f>
        <v>15.841666666666667</v>
      </c>
      <c r="AH60" s="1">
        <f>16+41.1/60</f>
        <v>16.684999999999999</v>
      </c>
      <c r="AI60" s="1">
        <f>14+35.9/60</f>
        <v>14.598333333333333</v>
      </c>
      <c r="AO60">
        <v>2</v>
      </c>
      <c r="AP60">
        <v>0</v>
      </c>
      <c r="AV60" t="s">
        <v>30</v>
      </c>
      <c r="AW60" t="s">
        <v>31</v>
      </c>
      <c r="AX60">
        <v>0</v>
      </c>
    </row>
    <row r="61" spans="1:51" x14ac:dyDescent="0.25">
      <c r="A61">
        <f t="shared" si="3"/>
        <v>594</v>
      </c>
      <c r="B61" s="18">
        <v>43940.5625</v>
      </c>
      <c r="C61">
        <v>1</v>
      </c>
      <c r="F61" s="16" t="s">
        <v>50</v>
      </c>
      <c r="G61" s="17">
        <v>79</v>
      </c>
      <c r="I61" s="17">
        <v>61</v>
      </c>
      <c r="N61" s="16" t="s">
        <v>37</v>
      </c>
      <c r="O61" t="s">
        <v>45</v>
      </c>
      <c r="P61" s="1">
        <v>4.46</v>
      </c>
      <c r="Q61" s="17">
        <v>934</v>
      </c>
      <c r="R61" s="17">
        <v>10304</v>
      </c>
      <c r="S61" s="17">
        <f>R61-Q61</f>
        <v>9370</v>
      </c>
      <c r="T61" s="1">
        <f>71/60</f>
        <v>1.1833333333333333</v>
      </c>
      <c r="W61" s="1">
        <f>P61/T61</f>
        <v>3.7690140845070421</v>
      </c>
      <c r="X61">
        <v>1</v>
      </c>
      <c r="Y61" s="1">
        <f>P61/X61</f>
        <v>4.46</v>
      </c>
      <c r="Z61" s="1">
        <f>15+55/60</f>
        <v>15.916666666666666</v>
      </c>
      <c r="AA61" s="17">
        <v>125</v>
      </c>
      <c r="AB61" s="17">
        <v>839</v>
      </c>
      <c r="AC61" s="17">
        <v>132</v>
      </c>
      <c r="AD61" s="17">
        <v>145</v>
      </c>
      <c r="AE61" s="1">
        <f>14+56.6/60</f>
        <v>14.943333333333333</v>
      </c>
      <c r="AF61" s="1">
        <f>16+18.7/60</f>
        <v>16.311666666666667</v>
      </c>
      <c r="AG61" s="1">
        <f>16+3.4/60</f>
        <v>16.056666666666668</v>
      </c>
      <c r="AH61" s="1">
        <f>16+0.082/60</f>
        <v>16.001366666666666</v>
      </c>
      <c r="AI61" s="1">
        <f>60/3.7</f>
        <v>16.216216216216214</v>
      </c>
      <c r="AO61">
        <v>0</v>
      </c>
      <c r="AP61">
        <v>0</v>
      </c>
      <c r="AV61" s="16" t="s">
        <v>30</v>
      </c>
      <c r="AW61" s="16" t="s">
        <v>31</v>
      </c>
      <c r="AX61" s="16">
        <v>0</v>
      </c>
    </row>
    <row r="62" spans="1:51" x14ac:dyDescent="0.25">
      <c r="A62">
        <f t="shared" si="3"/>
        <v>595</v>
      </c>
      <c r="B62" s="18">
        <v>43941.612500000003</v>
      </c>
      <c r="C62">
        <v>1</v>
      </c>
      <c r="D62" s="16"/>
      <c r="F62" t="s">
        <v>32</v>
      </c>
      <c r="G62" s="17">
        <v>83</v>
      </c>
      <c r="I62" s="17">
        <v>64</v>
      </c>
      <c r="N62" s="16" t="s">
        <v>37</v>
      </c>
      <c r="AD62" s="17"/>
      <c r="AV62" s="16"/>
      <c r="AW62" s="16"/>
      <c r="AX62" s="16">
        <v>1</v>
      </c>
      <c r="AY62" s="16" t="s">
        <v>60</v>
      </c>
    </row>
    <row r="63" spans="1:51" x14ac:dyDescent="0.25">
      <c r="A63">
        <v>595</v>
      </c>
      <c r="B63" s="18">
        <v>43942.506944444445</v>
      </c>
      <c r="C63">
        <v>1</v>
      </c>
      <c r="F63" t="s">
        <v>32</v>
      </c>
      <c r="G63" s="17">
        <v>64</v>
      </c>
      <c r="I63" s="17">
        <v>62</v>
      </c>
      <c r="M63" s="16" t="s">
        <v>66</v>
      </c>
      <c r="N63" t="s">
        <v>34</v>
      </c>
      <c r="O63" s="16" t="s">
        <v>63</v>
      </c>
      <c r="P63" s="1">
        <v>4.6100000000000003</v>
      </c>
      <c r="Q63" s="17">
        <f>AVERAGE(Q59:Q61)</f>
        <v>842.66666666666663</v>
      </c>
      <c r="R63" s="17">
        <v>11299</v>
      </c>
      <c r="S63" s="17">
        <f>R63-Q63</f>
        <v>10456.333333333334</v>
      </c>
      <c r="T63" s="1">
        <f>78/60</f>
        <v>1.3</v>
      </c>
      <c r="W63" s="1">
        <f>P63/T63</f>
        <v>3.5461538461538464</v>
      </c>
      <c r="X63">
        <v>1</v>
      </c>
      <c r="Y63" s="1">
        <f>P63/X63</f>
        <v>4.6100000000000003</v>
      </c>
      <c r="Z63" s="1">
        <f>17+1/60</f>
        <v>17.016666666666666</v>
      </c>
      <c r="AA63" s="17">
        <v>118</v>
      </c>
      <c r="AB63" s="17">
        <v>506</v>
      </c>
      <c r="AC63" s="17">
        <v>73</v>
      </c>
      <c r="AD63" s="17">
        <v>103</v>
      </c>
      <c r="AE63" s="1">
        <f>15.5</f>
        <v>15.5</v>
      </c>
      <c r="AF63" s="1">
        <f>16+18/60</f>
        <v>16.3</v>
      </c>
      <c r="AG63" s="1">
        <f>17+1/60</f>
        <v>17.016666666666666</v>
      </c>
      <c r="AH63" s="1">
        <f>17+46/60</f>
        <v>17.766666666666666</v>
      </c>
      <c r="AI63" s="1">
        <f>60/3.1</f>
        <v>19.35483870967742</v>
      </c>
      <c r="AO63">
        <v>5</v>
      </c>
      <c r="AP63">
        <v>0</v>
      </c>
      <c r="AV63" s="16" t="s">
        <v>30</v>
      </c>
      <c r="AW63" s="16" t="s">
        <v>31</v>
      </c>
      <c r="AX63" s="16">
        <v>0</v>
      </c>
    </row>
    <row r="64" spans="1:51" x14ac:dyDescent="0.25">
      <c r="A64">
        <v>596</v>
      </c>
      <c r="B64" s="18">
        <v>43943.4375</v>
      </c>
      <c r="C64">
        <v>0</v>
      </c>
      <c r="D64" t="s">
        <v>73</v>
      </c>
      <c r="F64" t="s">
        <v>46</v>
      </c>
      <c r="G64" s="17">
        <v>69</v>
      </c>
      <c r="I64" s="17">
        <v>65</v>
      </c>
    </row>
    <row r="65" spans="1:50" x14ac:dyDescent="0.25">
      <c r="A65">
        <f t="shared" ref="A65:A100" si="28">A64+1</f>
        <v>597</v>
      </c>
      <c r="B65" s="18">
        <v>43944.481249999997</v>
      </c>
      <c r="C65">
        <v>1</v>
      </c>
      <c r="F65" t="s">
        <v>32</v>
      </c>
      <c r="G65" s="17">
        <v>76</v>
      </c>
      <c r="I65" s="17">
        <v>43</v>
      </c>
      <c r="M65" s="16" t="s">
        <v>67</v>
      </c>
      <c r="N65" t="s">
        <v>34</v>
      </c>
      <c r="O65" s="16" t="s">
        <v>56</v>
      </c>
      <c r="P65" s="1">
        <v>6.01</v>
      </c>
      <c r="Q65" s="17">
        <f>AVERAGE(Q59:Q63)</f>
        <v>842.66666666666663</v>
      </c>
      <c r="R65" s="17">
        <v>13876</v>
      </c>
      <c r="S65" s="17">
        <f>R65-Q65</f>
        <v>13033.333333333334</v>
      </c>
      <c r="T65" s="1">
        <f>93/60</f>
        <v>1.55</v>
      </c>
      <c r="W65" s="1">
        <f t="shared" ref="W65:W71" si="29">P65/T65</f>
        <v>3.8774193548387093</v>
      </c>
      <c r="X65">
        <v>1</v>
      </c>
      <c r="Y65" s="1">
        <f t="shared" ref="Y65:Y71" si="30">P65/X65</f>
        <v>6.01</v>
      </c>
      <c r="Z65" s="1">
        <f>15+28/60</f>
        <v>15.466666666666667</v>
      </c>
      <c r="AA65" s="17">
        <v>49</v>
      </c>
      <c r="AB65" s="17">
        <v>802</v>
      </c>
      <c r="AC65" s="17">
        <v>94</v>
      </c>
      <c r="AD65" s="17">
        <v>156</v>
      </c>
      <c r="AE65" s="1">
        <f>15+30.2/60</f>
        <v>15.503333333333334</v>
      </c>
      <c r="AF65" s="1">
        <f>15+34.4/60</f>
        <v>15.573333333333334</v>
      </c>
      <c r="AG65" s="1">
        <f>15+36.1/60</f>
        <v>15.601666666666667</v>
      </c>
      <c r="AH65" s="1">
        <f>15+40.6/60</f>
        <v>15.676666666666666</v>
      </c>
      <c r="AI65" s="1">
        <f>15+18.1/60</f>
        <v>15.301666666666666</v>
      </c>
      <c r="AJ65" s="1">
        <f>15+7.9/60</f>
        <v>15.131666666666666</v>
      </c>
      <c r="AK65" s="1">
        <f>60/3.9</f>
        <v>15.384615384615385</v>
      </c>
      <c r="AO65">
        <v>1</v>
      </c>
      <c r="AP65">
        <v>1</v>
      </c>
      <c r="AV65" t="s">
        <v>30</v>
      </c>
      <c r="AW65" t="s">
        <v>31</v>
      </c>
      <c r="AX65">
        <v>0</v>
      </c>
    </row>
    <row r="66" spans="1:50" x14ac:dyDescent="0.25">
      <c r="A66">
        <f t="shared" si="28"/>
        <v>598</v>
      </c>
      <c r="B66" s="18">
        <v>43945.474305555559</v>
      </c>
      <c r="C66">
        <v>1</v>
      </c>
      <c r="F66" t="s">
        <v>32</v>
      </c>
      <c r="G66" s="17">
        <v>81</v>
      </c>
      <c r="I66" s="17">
        <v>37</v>
      </c>
      <c r="M66" s="16" t="s">
        <v>67</v>
      </c>
      <c r="N66" s="16" t="s">
        <v>37</v>
      </c>
      <c r="O66" t="s">
        <v>62</v>
      </c>
      <c r="P66" s="1">
        <v>5.36</v>
      </c>
      <c r="Q66" s="17">
        <f>Q65</f>
        <v>842.66666666666663</v>
      </c>
      <c r="T66" s="1">
        <f>88/60</f>
        <v>1.4666666666666666</v>
      </c>
      <c r="W66" s="1">
        <f t="shared" si="29"/>
        <v>3.6545454545454552</v>
      </c>
      <c r="X66">
        <v>1</v>
      </c>
      <c r="Y66" s="1">
        <f t="shared" si="30"/>
        <v>5.36</v>
      </c>
      <c r="Z66" s="1">
        <f>16+21/60</f>
        <v>16.350000000000001</v>
      </c>
      <c r="AA66" s="17">
        <v>184</v>
      </c>
      <c r="AB66" s="17">
        <v>802</v>
      </c>
      <c r="AC66" s="17">
        <v>104</v>
      </c>
      <c r="AD66" s="17">
        <v>156</v>
      </c>
      <c r="AE66" s="1">
        <f>16+23.8/60</f>
        <v>16.396666666666668</v>
      </c>
      <c r="AF66" s="1">
        <f>15+43.3/60</f>
        <v>15.721666666666666</v>
      </c>
      <c r="AG66" s="1">
        <f>16+9.8/60</f>
        <v>16.163333333333334</v>
      </c>
      <c r="AH66" s="1">
        <f>15+51.5/60</f>
        <v>15.858333333333333</v>
      </c>
      <c r="AI66" s="1">
        <f>17+17.3/60</f>
        <v>17.288333333333334</v>
      </c>
      <c r="AJ66" s="1">
        <f>60/3.7</f>
        <v>16.216216216216214</v>
      </c>
      <c r="AO66">
        <v>0</v>
      </c>
      <c r="AP66">
        <v>0</v>
      </c>
      <c r="AV66" s="16" t="s">
        <v>30</v>
      </c>
      <c r="AW66" s="16" t="s">
        <v>31</v>
      </c>
      <c r="AX66">
        <v>0</v>
      </c>
    </row>
    <row r="67" spans="1:50" x14ac:dyDescent="0.25">
      <c r="A67">
        <f t="shared" si="28"/>
        <v>599</v>
      </c>
      <c r="B67" s="18">
        <v>43946.51666666667</v>
      </c>
      <c r="C67">
        <v>1</v>
      </c>
      <c r="F67" t="s">
        <v>32</v>
      </c>
      <c r="G67" s="17">
        <v>76</v>
      </c>
      <c r="I67" s="17">
        <v>37</v>
      </c>
      <c r="M67" s="16" t="s">
        <v>67</v>
      </c>
      <c r="N67" t="s">
        <v>34</v>
      </c>
      <c r="O67" t="s">
        <v>48</v>
      </c>
      <c r="P67" s="1">
        <v>7.82</v>
      </c>
      <c r="Q67" s="17">
        <v>749</v>
      </c>
      <c r="R67" s="17">
        <v>17135</v>
      </c>
      <c r="S67" s="17">
        <f t="shared" ref="S67:S79" si="31">R67-Q67</f>
        <v>16386</v>
      </c>
      <c r="T67" s="1">
        <f>120/60</f>
        <v>2</v>
      </c>
      <c r="W67" s="1">
        <f t="shared" si="29"/>
        <v>3.91</v>
      </c>
      <c r="X67">
        <v>1</v>
      </c>
      <c r="Y67" s="1">
        <f t="shared" si="30"/>
        <v>7.82</v>
      </c>
      <c r="Z67" s="1">
        <f>15+23/60</f>
        <v>15.383333333333333</v>
      </c>
      <c r="AA67" s="17">
        <v>92</v>
      </c>
      <c r="AB67" s="17">
        <v>1585</v>
      </c>
      <c r="AC67" s="17">
        <v>135</v>
      </c>
      <c r="AD67" s="17">
        <v>156</v>
      </c>
      <c r="AE67" s="1">
        <f>15+24/60</f>
        <v>15.4</v>
      </c>
      <c r="AF67" s="1">
        <f>14+41.8/60</f>
        <v>14.696666666666667</v>
      </c>
      <c r="AG67" s="1">
        <f>14+39.5/60</f>
        <v>14.658333333333333</v>
      </c>
      <c r="AH67" s="1">
        <f>15+5.8/60</f>
        <v>15.096666666666666</v>
      </c>
      <c r="AI67" s="1">
        <f>15+48.2/60</f>
        <v>15.803333333333333</v>
      </c>
      <c r="AJ67" s="1">
        <f>15+6.5/60</f>
        <v>15.108333333333333</v>
      </c>
      <c r="AK67" s="1">
        <f>15+59.2/60</f>
        <v>15.986666666666666</v>
      </c>
      <c r="AL67" s="1">
        <f>60/3.9</f>
        <v>15.384615384615385</v>
      </c>
      <c r="AO67">
        <v>4</v>
      </c>
      <c r="AP67">
        <v>0</v>
      </c>
      <c r="AV67" s="16" t="s">
        <v>30</v>
      </c>
      <c r="AW67" s="16" t="s">
        <v>31</v>
      </c>
      <c r="AX67" s="16">
        <v>0</v>
      </c>
    </row>
    <row r="68" spans="1:50" x14ac:dyDescent="0.25">
      <c r="A68">
        <f t="shared" si="28"/>
        <v>600</v>
      </c>
      <c r="B68" s="18">
        <v>43947.518055555556</v>
      </c>
      <c r="C68">
        <v>1</v>
      </c>
      <c r="F68" t="s">
        <v>32</v>
      </c>
      <c r="G68" s="17">
        <v>81</v>
      </c>
      <c r="I68" s="17">
        <v>23</v>
      </c>
      <c r="M68" s="16" t="s">
        <v>67</v>
      </c>
      <c r="N68" t="s">
        <v>37</v>
      </c>
      <c r="O68" t="s">
        <v>33</v>
      </c>
      <c r="P68" s="1">
        <v>7.11</v>
      </c>
      <c r="Q68" s="17">
        <v>1025</v>
      </c>
      <c r="R68" s="17">
        <v>16621</v>
      </c>
      <c r="S68" s="17">
        <f t="shared" si="31"/>
        <v>15596</v>
      </c>
      <c r="T68" s="1">
        <f>(60+56)/60</f>
        <v>1.9333333333333333</v>
      </c>
      <c r="W68" s="1">
        <f t="shared" si="29"/>
        <v>3.6775862068965517</v>
      </c>
      <c r="X68">
        <v>1</v>
      </c>
      <c r="Y68" s="1">
        <f t="shared" si="30"/>
        <v>7.11</v>
      </c>
      <c r="Z68" s="1">
        <f>16+15/60</f>
        <v>16.25</v>
      </c>
      <c r="AA68" s="17">
        <v>62</v>
      </c>
      <c r="AB68" s="17">
        <v>1131</v>
      </c>
      <c r="AC68" s="17">
        <v>112</v>
      </c>
      <c r="AD68" s="17">
        <v>147</v>
      </c>
      <c r="AE68" s="1">
        <f>15+29.1/60</f>
        <v>15.484999999999999</v>
      </c>
      <c r="AF68" s="1">
        <f>15+46.1/60</f>
        <v>15.768333333333333</v>
      </c>
      <c r="AG68" s="1">
        <f>16+8.2/60</f>
        <v>16.136666666666667</v>
      </c>
      <c r="AH68" s="1">
        <f>16+20/60</f>
        <v>16.333333333333332</v>
      </c>
      <c r="AI68" s="1">
        <f>16+22.4/60</f>
        <v>16.373333333333335</v>
      </c>
      <c r="AJ68" s="1">
        <f>17+8.8/60</f>
        <v>17.146666666666668</v>
      </c>
      <c r="AK68" s="1">
        <f>16+32.7/60</f>
        <v>16.545000000000002</v>
      </c>
      <c r="AL68" s="1">
        <f>60/3.8</f>
        <v>15.789473684210527</v>
      </c>
      <c r="AO68">
        <v>3</v>
      </c>
      <c r="AP68">
        <v>1</v>
      </c>
      <c r="AV68" t="s">
        <v>30</v>
      </c>
      <c r="AW68" t="s">
        <v>31</v>
      </c>
      <c r="AX68">
        <v>0</v>
      </c>
    </row>
    <row r="69" spans="1:50" x14ac:dyDescent="0.25">
      <c r="A69">
        <f t="shared" si="28"/>
        <v>601</v>
      </c>
      <c r="B69" s="18">
        <v>43948.544444444444</v>
      </c>
      <c r="C69">
        <v>1</v>
      </c>
      <c r="F69" t="s">
        <v>32</v>
      </c>
      <c r="G69" s="17">
        <v>83</v>
      </c>
      <c r="I69" s="17">
        <v>37</v>
      </c>
      <c r="M69" s="16" t="s">
        <v>67</v>
      </c>
      <c r="O69" s="16" t="s">
        <v>47</v>
      </c>
      <c r="P69" s="1">
        <v>5.41</v>
      </c>
      <c r="Q69" s="17">
        <f>AVERAGE(Q59:Q68)</f>
        <v>853.75</v>
      </c>
      <c r="R69" s="17">
        <v>12500</v>
      </c>
      <c r="S69" s="17">
        <f t="shared" si="31"/>
        <v>11646.25</v>
      </c>
      <c r="T69" s="1">
        <f>92/60</f>
        <v>1.5333333333333334</v>
      </c>
      <c r="W69" s="1">
        <f t="shared" si="29"/>
        <v>3.5282608695652171</v>
      </c>
      <c r="X69">
        <v>1</v>
      </c>
      <c r="Y69" s="1">
        <f t="shared" si="30"/>
        <v>5.41</v>
      </c>
      <c r="Z69" s="1">
        <f>16+59/60</f>
        <v>16.983333333333334</v>
      </c>
      <c r="AA69" s="17">
        <v>243</v>
      </c>
      <c r="AB69" s="17">
        <v>1092</v>
      </c>
      <c r="AC69" s="17">
        <v>126</v>
      </c>
      <c r="AD69" s="17">
        <v>149</v>
      </c>
      <c r="AE69" s="1">
        <f>15+51.6/60</f>
        <v>15.86</v>
      </c>
      <c r="AF69" s="1">
        <f>16+23.2/60</f>
        <v>16.386666666666667</v>
      </c>
      <c r="AG69" s="1">
        <f>16+31.3/60</f>
        <v>16.521666666666668</v>
      </c>
      <c r="AH69" s="1">
        <f>17+48.3/60</f>
        <v>17.805</v>
      </c>
      <c r="AI69" s="1">
        <f>17+48.3/60</f>
        <v>17.805</v>
      </c>
      <c r="AJ69" s="1">
        <f>60/3.5</f>
        <v>17.142857142857142</v>
      </c>
      <c r="AO69">
        <v>3</v>
      </c>
      <c r="AP69">
        <v>2</v>
      </c>
      <c r="AV69" s="16" t="s">
        <v>30</v>
      </c>
      <c r="AW69" s="16" t="s">
        <v>31</v>
      </c>
      <c r="AX69" s="16">
        <v>0</v>
      </c>
    </row>
    <row r="70" spans="1:50" x14ac:dyDescent="0.25">
      <c r="A70">
        <f t="shared" si="28"/>
        <v>602</v>
      </c>
      <c r="B70" s="18">
        <v>43949.481944444444</v>
      </c>
      <c r="C70">
        <v>1</v>
      </c>
      <c r="F70" t="s">
        <v>61</v>
      </c>
      <c r="G70" s="17">
        <v>84</v>
      </c>
      <c r="I70" s="17">
        <v>61</v>
      </c>
      <c r="M70" s="16" t="s">
        <v>67</v>
      </c>
      <c r="N70" t="s">
        <v>37</v>
      </c>
      <c r="O70" t="s">
        <v>42</v>
      </c>
      <c r="P70" s="1">
        <v>5.18</v>
      </c>
      <c r="Q70" s="17">
        <v>918</v>
      </c>
      <c r="R70" s="17">
        <v>12208</v>
      </c>
      <c r="S70" s="17">
        <f t="shared" si="31"/>
        <v>11290</v>
      </c>
      <c r="T70" s="1">
        <f>90/60</f>
        <v>1.5</v>
      </c>
      <c r="W70" s="1">
        <f t="shared" si="29"/>
        <v>3.4533333333333331</v>
      </c>
      <c r="X70">
        <v>1</v>
      </c>
      <c r="Y70" s="1">
        <f t="shared" si="30"/>
        <v>5.18</v>
      </c>
      <c r="Z70" s="1">
        <f>17+20/60</f>
        <v>17.333333333333332</v>
      </c>
      <c r="AA70" s="17">
        <v>200</v>
      </c>
      <c r="AB70" s="17">
        <v>1154</v>
      </c>
      <c r="AC70" s="17">
        <v>133</v>
      </c>
      <c r="AD70" s="17">
        <v>153</v>
      </c>
      <c r="AE70" s="1">
        <f>16+4.6/60</f>
        <v>16.076666666666668</v>
      </c>
      <c r="AF70" s="1">
        <f>16+49.2/60</f>
        <v>16.82</v>
      </c>
      <c r="AG70" s="1">
        <f>16+55.5/60</f>
        <v>16.925000000000001</v>
      </c>
      <c r="AH70" s="1">
        <v>17</v>
      </c>
      <c r="AI70" s="1">
        <f>19+35/60</f>
        <v>19.583333333333332</v>
      </c>
      <c r="AJ70" s="1">
        <f>60/3.5</f>
        <v>17.142857142857142</v>
      </c>
      <c r="AO70">
        <v>5</v>
      </c>
      <c r="AP70">
        <v>1</v>
      </c>
      <c r="AV70" t="s">
        <v>30</v>
      </c>
      <c r="AW70" t="s">
        <v>31</v>
      </c>
      <c r="AX70">
        <v>0</v>
      </c>
    </row>
    <row r="71" spans="1:50" x14ac:dyDescent="0.25">
      <c r="A71">
        <f t="shared" si="28"/>
        <v>603</v>
      </c>
      <c r="B71" s="18">
        <v>43950.460416666669</v>
      </c>
      <c r="C71">
        <v>1</v>
      </c>
      <c r="F71" s="16" t="s">
        <v>32</v>
      </c>
      <c r="G71" s="17">
        <v>75</v>
      </c>
      <c r="I71" s="17">
        <v>77</v>
      </c>
      <c r="M71" s="16" t="s">
        <v>67</v>
      </c>
      <c r="N71" t="s">
        <v>34</v>
      </c>
      <c r="O71" t="s">
        <v>40</v>
      </c>
      <c r="P71" s="1">
        <v>5.24</v>
      </c>
      <c r="Q71" s="17">
        <f>AVERAGE(Q65:Q70)</f>
        <v>871.84722222222217</v>
      </c>
      <c r="R71" s="17">
        <v>12034</v>
      </c>
      <c r="S71" s="17">
        <f t="shared" si="31"/>
        <v>11162.152777777777</v>
      </c>
      <c r="T71" s="1">
        <f>85/60</f>
        <v>1.4166666666666667</v>
      </c>
      <c r="W71" s="1">
        <f t="shared" si="29"/>
        <v>3.6988235294117646</v>
      </c>
      <c r="X71">
        <v>1</v>
      </c>
      <c r="Y71" s="1">
        <f t="shared" si="30"/>
        <v>5.24</v>
      </c>
      <c r="Z71" s="1">
        <f>16+9/60</f>
        <v>16.149999999999999</v>
      </c>
      <c r="AA71" s="17">
        <v>112</v>
      </c>
      <c r="AB71" s="17">
        <v>663</v>
      </c>
      <c r="AC71" s="17">
        <v>93</v>
      </c>
      <c r="AD71" s="17">
        <v>134</v>
      </c>
      <c r="AE71" s="1">
        <f>15+54/60</f>
        <v>15.9</v>
      </c>
      <c r="AF71" s="1">
        <f>15+46.2/60</f>
        <v>15.77</v>
      </c>
      <c r="AG71" s="1">
        <f>15+50.9/60</f>
        <v>15.848333333333333</v>
      </c>
      <c r="AH71" s="1">
        <f>16+27.2/60</f>
        <v>16.453333333333333</v>
      </c>
      <c r="AI71" s="1">
        <f>16+51/60</f>
        <v>16.850000000000001</v>
      </c>
      <c r="AJ71" s="1">
        <f>60/3.8</f>
        <v>15.789473684210527</v>
      </c>
      <c r="AO71">
        <v>0</v>
      </c>
      <c r="AP71">
        <v>0</v>
      </c>
      <c r="AV71" s="16" t="s">
        <v>30</v>
      </c>
      <c r="AW71" s="16" t="s">
        <v>31</v>
      </c>
      <c r="AX71" s="16">
        <v>0</v>
      </c>
    </row>
    <row r="72" spans="1:50" x14ac:dyDescent="0.25">
      <c r="A72">
        <f t="shared" si="28"/>
        <v>604</v>
      </c>
      <c r="B72" s="18">
        <v>43951.493750000001</v>
      </c>
      <c r="C72">
        <v>1</v>
      </c>
      <c r="F72" t="s">
        <v>32</v>
      </c>
      <c r="G72" s="17">
        <v>77</v>
      </c>
      <c r="I72" s="17">
        <v>32</v>
      </c>
      <c r="M72" s="16" t="s">
        <v>67</v>
      </c>
      <c r="N72" t="s">
        <v>37</v>
      </c>
      <c r="O72" t="s">
        <v>63</v>
      </c>
      <c r="P72" s="1">
        <v>5.64</v>
      </c>
      <c r="Q72" s="17">
        <v>1124</v>
      </c>
      <c r="R72" s="17">
        <v>13003</v>
      </c>
      <c r="S72" s="17">
        <f t="shared" si="31"/>
        <v>11879</v>
      </c>
      <c r="T72" s="1">
        <f>92/60</f>
        <v>1.5333333333333334</v>
      </c>
      <c r="W72" s="1">
        <f t="shared" ref="W72" si="32">P72/T72</f>
        <v>3.678260869565217</v>
      </c>
      <c r="X72" s="16">
        <v>1</v>
      </c>
      <c r="Y72" s="1">
        <f t="shared" ref="Y72" si="33">P72/X72</f>
        <v>5.64</v>
      </c>
      <c r="Z72" s="1">
        <f>16+19/60</f>
        <v>16.316666666666666</v>
      </c>
      <c r="AA72" s="17">
        <v>220</v>
      </c>
      <c r="AB72" s="17">
        <v>1024</v>
      </c>
      <c r="AC72" s="17">
        <v>122</v>
      </c>
      <c r="AD72" s="17">
        <v>147</v>
      </c>
      <c r="AE72" s="1">
        <f>16+23.8/60</f>
        <v>16.396666666666668</v>
      </c>
      <c r="AF72" s="1">
        <f>15+29.7/60</f>
        <v>15.494999999999999</v>
      </c>
      <c r="AG72" s="1">
        <f>16+4.6/60</f>
        <v>16.076666666666668</v>
      </c>
      <c r="AH72" s="1">
        <f>16+41.7/60</f>
        <v>16.695</v>
      </c>
      <c r="AI72" s="1">
        <f>16+16.9/60</f>
        <v>16.281666666666666</v>
      </c>
      <c r="AJ72" s="1">
        <f>60/3.5</f>
        <v>17.142857142857142</v>
      </c>
      <c r="AO72">
        <v>0</v>
      </c>
      <c r="AP72">
        <v>1</v>
      </c>
      <c r="AV72" s="16" t="s">
        <v>30</v>
      </c>
      <c r="AW72" s="16" t="s">
        <v>31</v>
      </c>
      <c r="AX72">
        <v>0</v>
      </c>
    </row>
    <row r="73" spans="1:50" x14ac:dyDescent="0.25">
      <c r="A73">
        <f t="shared" si="28"/>
        <v>605</v>
      </c>
      <c r="B73" s="18">
        <v>43952.365277777775</v>
      </c>
      <c r="C73">
        <v>1</v>
      </c>
      <c r="F73" t="s">
        <v>32</v>
      </c>
      <c r="G73" s="17">
        <v>71</v>
      </c>
      <c r="I73" s="17">
        <v>53</v>
      </c>
      <c r="M73" s="16" t="s">
        <v>67</v>
      </c>
      <c r="N73" t="s">
        <v>37</v>
      </c>
      <c r="O73" t="s">
        <v>56</v>
      </c>
      <c r="P73" s="1">
        <v>6</v>
      </c>
      <c r="Q73" s="17">
        <v>867</v>
      </c>
      <c r="R73" s="17">
        <v>13450</v>
      </c>
      <c r="S73" s="17">
        <f t="shared" si="31"/>
        <v>12583</v>
      </c>
      <c r="T73" s="1">
        <f>93/60</f>
        <v>1.55</v>
      </c>
      <c r="W73" s="1">
        <f t="shared" ref="W73" si="34">P73/T73</f>
        <v>3.8709677419354835</v>
      </c>
      <c r="X73">
        <v>1</v>
      </c>
      <c r="Y73" s="1">
        <f t="shared" ref="Y73" si="35">P73/X73</f>
        <v>6</v>
      </c>
      <c r="Z73" s="1">
        <f>15+30/60</f>
        <v>15.5</v>
      </c>
      <c r="AA73" s="17">
        <v>46</v>
      </c>
      <c r="AB73" s="17">
        <v>602</v>
      </c>
      <c r="AC73" s="17">
        <v>76</v>
      </c>
      <c r="AD73" s="17">
        <v>119</v>
      </c>
      <c r="AE73" s="1">
        <f>15+35.8/60</f>
        <v>15.596666666666666</v>
      </c>
      <c r="AF73" s="1">
        <f>15+17.4/60</f>
        <v>15.29</v>
      </c>
      <c r="AG73" s="1">
        <f>15+48.2/60</f>
        <v>15.803333333333333</v>
      </c>
      <c r="AH73" s="1">
        <f>15+12/60</f>
        <v>15.2</v>
      </c>
      <c r="AI73" s="1">
        <f>15+57.9/60</f>
        <v>15.965</v>
      </c>
      <c r="AJ73" s="1">
        <f>15+57.9/60</f>
        <v>15.965</v>
      </c>
      <c r="AO73">
        <v>1</v>
      </c>
      <c r="AP73">
        <v>0</v>
      </c>
      <c r="AV73" s="16" t="s">
        <v>30</v>
      </c>
      <c r="AW73" s="16" t="s">
        <v>31</v>
      </c>
      <c r="AX73" s="16">
        <v>0</v>
      </c>
    </row>
    <row r="74" spans="1:50" x14ac:dyDescent="0.25">
      <c r="A74">
        <f t="shared" si="28"/>
        <v>606</v>
      </c>
      <c r="B74" s="18">
        <v>43953.371527777781</v>
      </c>
      <c r="C74">
        <v>1</v>
      </c>
      <c r="F74" t="s">
        <v>61</v>
      </c>
      <c r="G74" s="17">
        <v>72</v>
      </c>
      <c r="I74" s="17">
        <v>71</v>
      </c>
      <c r="M74" s="16" t="s">
        <v>67</v>
      </c>
      <c r="N74" t="s">
        <v>34</v>
      </c>
      <c r="O74" t="s">
        <v>33</v>
      </c>
      <c r="P74" s="1">
        <v>6.52</v>
      </c>
      <c r="Q74" s="17">
        <f>AVERAGE(Q63:Q73)</f>
        <v>893.65972222222229</v>
      </c>
      <c r="R74" s="17">
        <v>14258</v>
      </c>
      <c r="S74" s="17">
        <f t="shared" si="31"/>
        <v>13364.340277777777</v>
      </c>
      <c r="T74" s="1">
        <f>100/60</f>
        <v>1.6666666666666667</v>
      </c>
      <c r="W74" s="1">
        <f t="shared" ref="W74" si="36">P74/T74</f>
        <v>3.9119999999999995</v>
      </c>
      <c r="X74">
        <v>1</v>
      </c>
      <c r="Y74" s="1">
        <f t="shared" ref="Y74:Y76" si="37">P74/X74</f>
        <v>6.52</v>
      </c>
      <c r="Z74" s="1">
        <f>15+20/30</f>
        <v>15.666666666666666</v>
      </c>
      <c r="AA74" s="17">
        <v>89</v>
      </c>
      <c r="AB74" s="17">
        <v>708</v>
      </c>
      <c r="AC74" s="17">
        <v>80</v>
      </c>
      <c r="AD74" s="17">
        <v>117</v>
      </c>
      <c r="AE74" s="1">
        <f>15+23.6/60</f>
        <v>15.393333333333333</v>
      </c>
      <c r="AF74" s="1">
        <f>15+7.1/60</f>
        <v>15.118333333333334</v>
      </c>
      <c r="AG74" s="1">
        <f>14+58.5/60</f>
        <v>14.975</v>
      </c>
      <c r="AH74" s="1">
        <f>15+21.2/60</f>
        <v>15.353333333333333</v>
      </c>
      <c r="AI74" s="1">
        <f>15+14.3/60</f>
        <v>15.238333333333333</v>
      </c>
      <c r="AJ74" s="1">
        <f>15+34/60</f>
        <v>15.566666666666666</v>
      </c>
      <c r="AK74" s="1">
        <f>60/3.9</f>
        <v>15.384615384615385</v>
      </c>
      <c r="AO74">
        <v>0</v>
      </c>
      <c r="AP74">
        <v>0</v>
      </c>
      <c r="AV74" t="s">
        <v>30</v>
      </c>
      <c r="AW74" t="s">
        <v>31</v>
      </c>
      <c r="AX74">
        <v>0</v>
      </c>
    </row>
    <row r="75" spans="1:50" x14ac:dyDescent="0.25">
      <c r="A75">
        <f t="shared" si="28"/>
        <v>607</v>
      </c>
      <c r="B75" s="18">
        <v>43954.496527777781</v>
      </c>
      <c r="C75">
        <v>1</v>
      </c>
      <c r="F75" s="16" t="s">
        <v>32</v>
      </c>
      <c r="G75" s="17">
        <v>84</v>
      </c>
      <c r="I75" s="17">
        <v>55</v>
      </c>
      <c r="M75" s="16" t="s">
        <v>67</v>
      </c>
      <c r="N75" s="16" t="s">
        <v>34</v>
      </c>
      <c r="O75" t="s">
        <v>45</v>
      </c>
      <c r="P75" s="1">
        <v>5.38</v>
      </c>
      <c r="Q75" s="17">
        <v>1074</v>
      </c>
      <c r="R75" s="17">
        <v>12286</v>
      </c>
      <c r="S75" s="17">
        <f t="shared" si="31"/>
        <v>11212</v>
      </c>
      <c r="T75" s="1">
        <f>87/60</f>
        <v>1.45</v>
      </c>
      <c r="W75" s="1">
        <f t="shared" ref="W75:W78" si="38">P75/T75</f>
        <v>3.7103448275862068</v>
      </c>
      <c r="X75">
        <v>4</v>
      </c>
      <c r="Y75" s="1">
        <f t="shared" si="37"/>
        <v>1.345</v>
      </c>
      <c r="Z75" s="1">
        <f>16+14/60</f>
        <v>16.233333333333334</v>
      </c>
      <c r="AA75" s="17">
        <v>112</v>
      </c>
      <c r="AB75" s="17">
        <v>1081</v>
      </c>
      <c r="AC75" s="17">
        <v>125</v>
      </c>
      <c r="AD75" s="17">
        <v>143</v>
      </c>
      <c r="AE75" s="1">
        <f>15+25.3/60</f>
        <v>15.421666666666667</v>
      </c>
      <c r="AF75" s="1">
        <f>16+16.4/60</f>
        <v>16.273333333333333</v>
      </c>
      <c r="AG75" s="1">
        <f>16+17.7/60</f>
        <v>16.295000000000002</v>
      </c>
      <c r="AH75" s="1">
        <f>16+12/7/60</f>
        <v>16.028571428571428</v>
      </c>
      <c r="AI75" s="1">
        <f>60/3.7</f>
        <v>16.216216216216214</v>
      </c>
      <c r="AO75">
        <v>0</v>
      </c>
      <c r="AP75">
        <v>0</v>
      </c>
      <c r="AV75" s="16" t="s">
        <v>30</v>
      </c>
      <c r="AW75" s="16" t="s">
        <v>31</v>
      </c>
      <c r="AX75">
        <v>0</v>
      </c>
    </row>
    <row r="76" spans="1:50" x14ac:dyDescent="0.25">
      <c r="A76">
        <f t="shared" si="28"/>
        <v>608</v>
      </c>
      <c r="B76" s="18">
        <v>43955.393055555556</v>
      </c>
      <c r="C76">
        <v>1</v>
      </c>
      <c r="F76" t="s">
        <v>32</v>
      </c>
      <c r="G76" s="17">
        <v>55</v>
      </c>
      <c r="I76" s="17">
        <v>60</v>
      </c>
      <c r="M76" s="16" t="s">
        <v>67</v>
      </c>
      <c r="N76" t="s">
        <v>37</v>
      </c>
      <c r="O76" t="s">
        <v>48</v>
      </c>
      <c r="P76" s="1">
        <v>7.91</v>
      </c>
      <c r="Q76" s="17">
        <v>444</v>
      </c>
      <c r="T76" s="1">
        <f>(120+12)/60</f>
        <v>2.2000000000000002</v>
      </c>
      <c r="W76" s="1">
        <f t="shared" si="38"/>
        <v>3.5954545454545452</v>
      </c>
      <c r="X76">
        <v>1</v>
      </c>
      <c r="Y76" s="1">
        <f t="shared" si="37"/>
        <v>7.91</v>
      </c>
      <c r="Z76" s="1">
        <f>16+38/60</f>
        <v>16.633333333333333</v>
      </c>
      <c r="AA76" s="17">
        <v>76</v>
      </c>
      <c r="AB76" s="17">
        <v>847</v>
      </c>
      <c r="AC76" s="17">
        <v>72</v>
      </c>
      <c r="AD76" s="17">
        <v>117</v>
      </c>
      <c r="AE76" s="1">
        <f>16+23.1/60</f>
        <v>16.385000000000002</v>
      </c>
      <c r="AF76" s="1">
        <f>16+53.7/60</f>
        <v>16.895</v>
      </c>
      <c r="AG76" s="1">
        <f>16+36.3/60</f>
        <v>16.605</v>
      </c>
      <c r="AH76" s="1">
        <f>16+26/60</f>
        <v>16.433333333333334</v>
      </c>
      <c r="AI76" s="1">
        <f>16+14.5/60</f>
        <v>16.241666666666667</v>
      </c>
      <c r="AJ76" s="1">
        <f>16+13.7/60</f>
        <v>16.228333333333332</v>
      </c>
      <c r="AK76" s="1">
        <f>17+3/60</f>
        <v>17.05</v>
      </c>
      <c r="AL76" s="1">
        <f>60/3.5</f>
        <v>17.142857142857142</v>
      </c>
      <c r="AO76">
        <v>1</v>
      </c>
      <c r="AP76">
        <v>1</v>
      </c>
      <c r="AV76" t="s">
        <v>30</v>
      </c>
      <c r="AW76" t="s">
        <v>31</v>
      </c>
      <c r="AX76">
        <v>0</v>
      </c>
    </row>
    <row r="77" spans="1:50" x14ac:dyDescent="0.25">
      <c r="A77">
        <f t="shared" si="28"/>
        <v>609</v>
      </c>
      <c r="B77" s="18">
        <v>43956.505555555559</v>
      </c>
      <c r="C77">
        <v>1</v>
      </c>
      <c r="F77" t="s">
        <v>50</v>
      </c>
      <c r="G77" s="17">
        <v>76</v>
      </c>
      <c r="I77" s="17">
        <v>53</v>
      </c>
      <c r="M77" s="16" t="s">
        <v>67</v>
      </c>
      <c r="N77" s="16" t="s">
        <v>34</v>
      </c>
      <c r="O77" s="16" t="s">
        <v>45</v>
      </c>
      <c r="P77" s="1">
        <v>4.6100000000000003</v>
      </c>
      <c r="Q77" s="17">
        <v>1419</v>
      </c>
      <c r="R77" s="17">
        <v>11400</v>
      </c>
      <c r="S77" s="17">
        <f t="shared" si="31"/>
        <v>9981</v>
      </c>
      <c r="T77" s="1">
        <f>95/60</f>
        <v>1.5833333333333333</v>
      </c>
      <c r="W77" s="1">
        <f t="shared" si="38"/>
        <v>2.9115789473684215</v>
      </c>
      <c r="X77" s="16">
        <v>1</v>
      </c>
      <c r="Y77" s="1">
        <f t="shared" ref="Y77:Y78" si="39">P77/X77</f>
        <v>4.6100000000000003</v>
      </c>
      <c r="Z77" s="1">
        <f>16+18/60</f>
        <v>16.3</v>
      </c>
      <c r="AA77" s="17">
        <v>164</v>
      </c>
      <c r="AB77" s="17">
        <v>526</v>
      </c>
      <c r="AC77" s="17">
        <v>87</v>
      </c>
      <c r="AD77" s="17">
        <v>139</v>
      </c>
      <c r="AE77" s="1">
        <f>15+58.4/60</f>
        <v>15.973333333333333</v>
      </c>
      <c r="AF77" s="1">
        <f>16+20.7/60</f>
        <v>16.344999999999999</v>
      </c>
      <c r="AG77" s="1">
        <f>16+49.5/60</f>
        <v>16.824999999999999</v>
      </c>
      <c r="AH77" s="1">
        <f>15+59/60</f>
        <v>15.983333333333333</v>
      </c>
      <c r="AI77" s="1">
        <f>60/3.7</f>
        <v>16.216216216216214</v>
      </c>
      <c r="AO77">
        <v>0</v>
      </c>
      <c r="AP77">
        <v>0</v>
      </c>
      <c r="AV77" t="s">
        <v>30</v>
      </c>
      <c r="AW77" t="s">
        <v>31</v>
      </c>
      <c r="AX77">
        <v>0</v>
      </c>
    </row>
    <row r="78" spans="1:50" x14ac:dyDescent="0.25">
      <c r="A78">
        <f t="shared" si="28"/>
        <v>610</v>
      </c>
      <c r="B78" s="18">
        <v>43957.414583333331</v>
      </c>
      <c r="C78">
        <v>1</v>
      </c>
      <c r="F78" t="s">
        <v>32</v>
      </c>
      <c r="G78" s="17">
        <v>77</v>
      </c>
      <c r="I78" s="17">
        <v>31</v>
      </c>
      <c r="M78" s="16" t="s">
        <v>67</v>
      </c>
      <c r="N78" s="16" t="s">
        <v>37</v>
      </c>
      <c r="O78" t="s">
        <v>53</v>
      </c>
      <c r="P78" s="1">
        <v>6.65</v>
      </c>
      <c r="Q78" s="17">
        <v>1581</v>
      </c>
      <c r="R78" s="17">
        <v>15491</v>
      </c>
      <c r="S78" s="17">
        <f t="shared" si="31"/>
        <v>13910</v>
      </c>
      <c r="T78" s="1">
        <f>106/60</f>
        <v>1.7666666666666666</v>
      </c>
      <c r="W78" s="1">
        <f t="shared" si="38"/>
        <v>3.7641509433962268</v>
      </c>
      <c r="X78">
        <v>1</v>
      </c>
      <c r="Y78" s="1">
        <f t="shared" si="39"/>
        <v>6.65</v>
      </c>
      <c r="Z78" s="1">
        <f>15+54/60</f>
        <v>15.9</v>
      </c>
      <c r="AA78" s="17">
        <v>26</v>
      </c>
      <c r="AB78" s="17">
        <v>708</v>
      </c>
      <c r="AC78" s="17">
        <v>72</v>
      </c>
      <c r="AD78" s="17">
        <v>115</v>
      </c>
      <c r="AE78" s="1">
        <f>15+16.5/60</f>
        <v>15.275</v>
      </c>
      <c r="AF78" s="1">
        <f>16+18.2/60</f>
        <v>16.303333333333335</v>
      </c>
      <c r="AG78" s="1">
        <f>16+7.8/60</f>
        <v>16.13</v>
      </c>
      <c r="AH78" s="1">
        <f>16+6.6/60</f>
        <v>16.11</v>
      </c>
      <c r="AI78" s="1">
        <f>16+14/60</f>
        <v>16.233333333333334</v>
      </c>
      <c r="AJ78" s="1">
        <f>15+22.6/60</f>
        <v>15.376666666666667</v>
      </c>
      <c r="AK78" s="1">
        <f>60/3.8</f>
        <v>15.789473684210527</v>
      </c>
      <c r="AO78">
        <v>0</v>
      </c>
      <c r="AP78">
        <v>0</v>
      </c>
      <c r="AV78" t="s">
        <v>30</v>
      </c>
      <c r="AW78" t="s">
        <v>31</v>
      </c>
      <c r="AX78">
        <v>0</v>
      </c>
    </row>
    <row r="79" spans="1:50" x14ac:dyDescent="0.25">
      <c r="A79">
        <f t="shared" si="28"/>
        <v>611</v>
      </c>
      <c r="B79" s="18">
        <v>43958.468055555553</v>
      </c>
      <c r="C79">
        <v>1</v>
      </c>
      <c r="F79" t="s">
        <v>50</v>
      </c>
      <c r="G79" s="17">
        <v>81</v>
      </c>
      <c r="I79" s="17">
        <v>38</v>
      </c>
      <c r="M79" s="16" t="s">
        <v>67</v>
      </c>
      <c r="N79" t="s">
        <v>34</v>
      </c>
      <c r="O79" t="s">
        <v>63</v>
      </c>
      <c r="P79" s="1">
        <v>5.65</v>
      </c>
      <c r="Q79" s="17">
        <v>774</v>
      </c>
      <c r="R79" s="17">
        <v>12767</v>
      </c>
      <c r="S79" s="17">
        <f t="shared" si="31"/>
        <v>11993</v>
      </c>
      <c r="T79" s="1">
        <f>91/60</f>
        <v>1.5166666666666666</v>
      </c>
      <c r="W79" s="1">
        <f t="shared" ref="W79" si="40">P79/T79</f>
        <v>3.7252747252747258</v>
      </c>
      <c r="X79">
        <v>1</v>
      </c>
      <c r="Y79" s="1">
        <f t="shared" ref="Y79" si="41">P79/X79</f>
        <v>5.65</v>
      </c>
      <c r="Z79" s="1">
        <f>16+5/60</f>
        <v>16.083333333333332</v>
      </c>
      <c r="AA79" s="17">
        <v>253</v>
      </c>
      <c r="AB79" s="17">
        <v>1265</v>
      </c>
      <c r="AC79" s="17">
        <v>131</v>
      </c>
      <c r="AD79" s="17">
        <v>152</v>
      </c>
      <c r="AE79" s="1">
        <f>15+36.8/60</f>
        <v>15.613333333333333</v>
      </c>
      <c r="AF79" s="1">
        <f>16+32.2/60</f>
        <v>16.536666666666665</v>
      </c>
      <c r="AG79" s="1">
        <f>15+55/60</f>
        <v>15.916666666666666</v>
      </c>
      <c r="AH79" s="1">
        <f>17+3.3/60</f>
        <v>17.055</v>
      </c>
      <c r="AI79" s="1">
        <f>15+37.6/60</f>
        <v>15.626666666666667</v>
      </c>
      <c r="AJ79" s="1">
        <f>60/3.7</f>
        <v>16.216216216216214</v>
      </c>
      <c r="AO79">
        <v>0</v>
      </c>
      <c r="AP79">
        <v>0</v>
      </c>
      <c r="AV79" t="s">
        <v>30</v>
      </c>
      <c r="AW79" t="s">
        <v>31</v>
      </c>
      <c r="AX79">
        <v>0</v>
      </c>
    </row>
    <row r="80" spans="1:50" x14ac:dyDescent="0.25">
      <c r="A80">
        <f t="shared" si="28"/>
        <v>612</v>
      </c>
      <c r="B80" s="18">
        <v>43959.568055555559</v>
      </c>
      <c r="C80">
        <v>1</v>
      </c>
      <c r="F80" t="s">
        <v>46</v>
      </c>
      <c r="G80" s="17">
        <v>68</v>
      </c>
      <c r="I80" s="17">
        <v>56</v>
      </c>
      <c r="M80" s="16" t="s">
        <v>67</v>
      </c>
      <c r="N80" t="s">
        <v>34</v>
      </c>
      <c r="O80" t="s">
        <v>40</v>
      </c>
      <c r="P80" s="1">
        <v>5.58</v>
      </c>
      <c r="Q80" s="17">
        <v>1020</v>
      </c>
      <c r="T80" s="1">
        <f>92/60</f>
        <v>1.5333333333333334</v>
      </c>
      <c r="W80" s="1">
        <f t="shared" ref="W80" si="42">P80/T80</f>
        <v>3.6391304347826083</v>
      </c>
      <c r="X80">
        <v>1</v>
      </c>
      <c r="Y80" s="1">
        <f t="shared" ref="Y80" si="43">P80/X80</f>
        <v>5.58</v>
      </c>
      <c r="Z80" s="1">
        <f>16+32/60</f>
        <v>16.533333333333335</v>
      </c>
      <c r="AA80" s="17">
        <v>144</v>
      </c>
      <c r="AB80" s="17">
        <v>630</v>
      </c>
      <c r="AC80" s="17">
        <v>85</v>
      </c>
      <c r="AD80" s="17">
        <v>117</v>
      </c>
      <c r="AE80" s="1">
        <f>16+17.6/60</f>
        <v>16.293333333333333</v>
      </c>
      <c r="AF80" s="1">
        <f>16+41.8/60</f>
        <v>16.696666666666665</v>
      </c>
      <c r="AG80" s="1">
        <f>16+21.4/60</f>
        <v>16.356666666666666</v>
      </c>
      <c r="AH80" s="1">
        <f>16+46.3/60</f>
        <v>16.771666666666668</v>
      </c>
      <c r="AI80" s="1">
        <f>16+49.8/60</f>
        <v>16.829999999999998</v>
      </c>
      <c r="AJ80" s="1">
        <v>8</v>
      </c>
      <c r="AO80">
        <v>0</v>
      </c>
      <c r="AP80">
        <v>0</v>
      </c>
      <c r="AV80" t="s">
        <v>30</v>
      </c>
      <c r="AW80" t="s">
        <v>31</v>
      </c>
      <c r="AX80">
        <v>0</v>
      </c>
    </row>
    <row r="81" spans="1:51" x14ac:dyDescent="0.25">
      <c r="A81">
        <f t="shared" si="28"/>
        <v>613</v>
      </c>
      <c r="B81" s="18">
        <v>43960.664583333331</v>
      </c>
      <c r="C81">
        <v>1</v>
      </c>
      <c r="F81" t="s">
        <v>32</v>
      </c>
      <c r="G81" s="17">
        <v>70</v>
      </c>
      <c r="M81" s="16" t="s">
        <v>67</v>
      </c>
      <c r="N81" s="16" t="s">
        <v>37</v>
      </c>
      <c r="O81" t="s">
        <v>64</v>
      </c>
      <c r="P81" s="1">
        <v>4.58</v>
      </c>
      <c r="T81" s="1">
        <f>74/60</f>
        <v>1.2333333333333334</v>
      </c>
      <c r="W81" s="1">
        <f t="shared" ref="W81" si="44">P81/T81</f>
        <v>3.7135135135135133</v>
      </c>
      <c r="X81" s="16">
        <v>1</v>
      </c>
      <c r="Y81" s="1">
        <f t="shared" ref="Y81" si="45">P81/X81</f>
        <v>4.58</v>
      </c>
      <c r="Z81" s="1">
        <f>19+1/60</f>
        <v>19.016666666666666</v>
      </c>
      <c r="AA81" s="17">
        <v>7</v>
      </c>
      <c r="AB81" s="17">
        <v>810</v>
      </c>
      <c r="AC81" s="17">
        <v>118</v>
      </c>
      <c r="AD81" s="17">
        <v>136</v>
      </c>
      <c r="AE81" s="1">
        <f>16+1.8/60</f>
        <v>16.03</v>
      </c>
      <c r="AF81" s="1">
        <f>16+26/60</f>
        <v>16.433333333333334</v>
      </c>
      <c r="AG81" s="1">
        <f>16+9.8/60</f>
        <v>16.163333333333334</v>
      </c>
      <c r="AH81" s="1">
        <f>60/3.7</f>
        <v>16.216216216216214</v>
      </c>
    </row>
    <row r="82" spans="1:51" x14ac:dyDescent="0.25">
      <c r="A82" s="16">
        <f t="shared" si="28"/>
        <v>614</v>
      </c>
      <c r="B82" s="18">
        <v>43961.599999999999</v>
      </c>
      <c r="C82">
        <v>1</v>
      </c>
      <c r="F82" t="s">
        <v>32</v>
      </c>
      <c r="G82" s="17">
        <v>75</v>
      </c>
      <c r="I82" s="17">
        <v>36</v>
      </c>
      <c r="M82" s="16" t="s">
        <v>67</v>
      </c>
      <c r="N82" s="16" t="s">
        <v>37</v>
      </c>
      <c r="O82" s="16" t="s">
        <v>48</v>
      </c>
      <c r="P82" s="1">
        <v>8.9</v>
      </c>
      <c r="Q82" s="17">
        <v>1203</v>
      </c>
      <c r="R82" s="17">
        <v>19953</v>
      </c>
      <c r="S82" s="17">
        <f t="shared" ref="S82" si="46">R82-Q82</f>
        <v>18750</v>
      </c>
      <c r="T82" s="1">
        <f>(120+24)/60</f>
        <v>2.4</v>
      </c>
      <c r="W82" s="1">
        <f t="shared" ref="W82" si="47">P82/T82</f>
        <v>3.7083333333333335</v>
      </c>
      <c r="X82" s="16">
        <v>1</v>
      </c>
      <c r="Y82" s="1">
        <f t="shared" ref="Y82" si="48">P82/X82</f>
        <v>8.9</v>
      </c>
      <c r="Z82" s="1">
        <f>16+12/60</f>
        <v>16.2</v>
      </c>
      <c r="AA82" s="17">
        <v>108</v>
      </c>
      <c r="AB82" s="17">
        <v>973</v>
      </c>
      <c r="AC82" s="17">
        <v>84</v>
      </c>
      <c r="AD82" s="17">
        <v>112</v>
      </c>
      <c r="AE82" s="1">
        <f>16+20.4/60</f>
        <v>16.34</v>
      </c>
      <c r="AF82" s="1">
        <f>15+38.5/60</f>
        <v>15.641666666666667</v>
      </c>
      <c r="AG82" s="1">
        <f>15+29.4/60</f>
        <v>15.49</v>
      </c>
      <c r="AH82" s="1">
        <f>15+53.7/60</f>
        <v>15.895</v>
      </c>
      <c r="AI82" s="1">
        <f>16+54.6/60</f>
        <v>16.91</v>
      </c>
      <c r="AJ82" s="1">
        <f>15+49.8/60</f>
        <v>15.83</v>
      </c>
      <c r="AK82" s="1">
        <f>15+58.2/60</f>
        <v>15.97</v>
      </c>
      <c r="AL82" s="1">
        <f>16+26.7/60</f>
        <v>16.445</v>
      </c>
      <c r="AM82" s="1">
        <f>60/3.4</f>
        <v>17.647058823529413</v>
      </c>
      <c r="AO82">
        <v>3</v>
      </c>
      <c r="AV82" s="16" t="s">
        <v>30</v>
      </c>
      <c r="AW82" s="16" t="s">
        <v>31</v>
      </c>
      <c r="AX82" s="16">
        <v>0</v>
      </c>
      <c r="AY82" s="16"/>
    </row>
    <row r="83" spans="1:51" x14ac:dyDescent="0.25">
      <c r="A83">
        <f t="shared" si="28"/>
        <v>615</v>
      </c>
      <c r="B83" s="18">
        <v>43962.381944444445</v>
      </c>
      <c r="C83">
        <v>1</v>
      </c>
      <c r="F83" s="16" t="s">
        <v>32</v>
      </c>
      <c r="G83" s="17">
        <v>64</v>
      </c>
      <c r="I83" s="17">
        <v>56</v>
      </c>
      <c r="M83" s="16" t="s">
        <v>67</v>
      </c>
      <c r="N83" t="s">
        <v>34</v>
      </c>
      <c r="O83" t="s">
        <v>45</v>
      </c>
      <c r="P83" s="1">
        <v>3.37</v>
      </c>
      <c r="Q83" s="17">
        <v>1529</v>
      </c>
      <c r="R83" s="17">
        <v>14380</v>
      </c>
      <c r="S83" s="17">
        <f t="shared" ref="S83:S86" si="49">R83-Q83</f>
        <v>12851</v>
      </c>
      <c r="T83" s="1">
        <f>54/60</f>
        <v>0.9</v>
      </c>
      <c r="W83" s="1">
        <f t="shared" ref="W83:W85" si="50">P83/T83</f>
        <v>3.7444444444444445</v>
      </c>
      <c r="X83">
        <v>1</v>
      </c>
      <c r="Y83" s="1">
        <f>W83/T83</f>
        <v>4.1604938271604937</v>
      </c>
      <c r="Z83" s="1">
        <f>16+0/60</f>
        <v>16</v>
      </c>
      <c r="AA83" s="17">
        <v>103</v>
      </c>
      <c r="AB83" s="17">
        <v>516</v>
      </c>
      <c r="AC83" s="17">
        <v>108</v>
      </c>
      <c r="AD83" s="17">
        <v>134</v>
      </c>
      <c r="AE83" s="1">
        <f>16+15.8/60</f>
        <v>16.263333333333332</v>
      </c>
      <c r="AF83" s="1">
        <f>15+36.2/60</f>
        <v>15.603333333333333</v>
      </c>
      <c r="AG83" s="1">
        <f>15+52.7/60</f>
        <v>15.878333333333334</v>
      </c>
      <c r="AH83" s="1">
        <f>60/3.6</f>
        <v>16.666666666666668</v>
      </c>
      <c r="AO83">
        <v>0</v>
      </c>
      <c r="AP83">
        <v>0</v>
      </c>
      <c r="AV83" s="16" t="s">
        <v>30</v>
      </c>
      <c r="AW83" s="16" t="s">
        <v>31</v>
      </c>
      <c r="AX83" s="16">
        <v>0</v>
      </c>
      <c r="AY83" s="16"/>
    </row>
    <row r="84" spans="1:51" x14ac:dyDescent="0.25">
      <c r="A84" s="16">
        <f t="shared" si="28"/>
        <v>616</v>
      </c>
      <c r="B84" s="18">
        <v>43963.995138888888</v>
      </c>
      <c r="C84">
        <v>0</v>
      </c>
      <c r="D84" t="s">
        <v>73</v>
      </c>
      <c r="F84" t="s">
        <v>84</v>
      </c>
      <c r="G84" s="17">
        <v>70</v>
      </c>
      <c r="I84" s="17">
        <v>100</v>
      </c>
      <c r="M84" s="16" t="s">
        <v>66</v>
      </c>
      <c r="X84">
        <v>1</v>
      </c>
    </row>
    <row r="85" spans="1:51" x14ac:dyDescent="0.25">
      <c r="A85">
        <f t="shared" si="28"/>
        <v>617</v>
      </c>
      <c r="B85" s="18">
        <v>43964.495138888888</v>
      </c>
      <c r="C85">
        <v>1</v>
      </c>
      <c r="F85" t="s">
        <v>46</v>
      </c>
      <c r="G85" s="17">
        <v>73</v>
      </c>
      <c r="I85" s="17">
        <v>76</v>
      </c>
      <c r="M85" s="16" t="s">
        <v>66</v>
      </c>
      <c r="N85" t="s">
        <v>34</v>
      </c>
      <c r="O85" s="16" t="s">
        <v>63</v>
      </c>
      <c r="P85" s="1">
        <v>5.64</v>
      </c>
      <c r="Q85" s="17">
        <v>313</v>
      </c>
      <c r="R85" s="17">
        <v>12562</v>
      </c>
      <c r="S85" s="17">
        <f t="shared" si="49"/>
        <v>12249</v>
      </c>
      <c r="T85" s="1">
        <f>94/60</f>
        <v>1.5666666666666667</v>
      </c>
      <c r="W85" s="1">
        <f t="shared" si="50"/>
        <v>3.5999999999999996</v>
      </c>
      <c r="X85">
        <v>1</v>
      </c>
      <c r="Y85" s="1">
        <f>P85/X85</f>
        <v>5.64</v>
      </c>
      <c r="Z85" s="1">
        <f>16+39/60</f>
        <v>16.649999999999999</v>
      </c>
      <c r="AA85" s="17">
        <v>217</v>
      </c>
      <c r="AB85" s="17">
        <v>624</v>
      </c>
      <c r="AC85" s="17">
        <v>78</v>
      </c>
      <c r="AD85" s="17">
        <v>109</v>
      </c>
      <c r="AE85" s="1">
        <f>16+11.1/60</f>
        <v>16.184999999999999</v>
      </c>
      <c r="AF85" s="1">
        <f>16+6.2/60</f>
        <v>16.103333333333332</v>
      </c>
      <c r="AG85" s="1">
        <f>16+27.2/60</f>
        <v>16.453333333333333</v>
      </c>
      <c r="AH85" s="1">
        <f>18+3/0.5/60</f>
        <v>18.100000000000001</v>
      </c>
      <c r="AI85" s="1">
        <f>16+41.5/60</f>
        <v>16.691666666666666</v>
      </c>
      <c r="AJ85" s="1">
        <f>60/3.7</f>
        <v>16.216216216216214</v>
      </c>
      <c r="AO85">
        <v>5</v>
      </c>
      <c r="AP85">
        <v>0</v>
      </c>
      <c r="AV85" t="s">
        <v>30</v>
      </c>
      <c r="AW85" t="s">
        <v>31</v>
      </c>
      <c r="AX85">
        <v>0</v>
      </c>
    </row>
    <row r="86" spans="1:51" x14ac:dyDescent="0.25">
      <c r="A86">
        <f t="shared" si="28"/>
        <v>618</v>
      </c>
      <c r="B86" s="18">
        <v>43965.501388888886</v>
      </c>
      <c r="C86">
        <v>1</v>
      </c>
      <c r="F86" t="s">
        <v>68</v>
      </c>
      <c r="G86" s="17">
        <v>85</v>
      </c>
      <c r="I86" s="17">
        <v>55</v>
      </c>
      <c r="M86" s="16" t="s">
        <v>67</v>
      </c>
      <c r="N86" t="s">
        <v>37</v>
      </c>
      <c r="O86" t="s">
        <v>56</v>
      </c>
      <c r="P86" s="1">
        <v>6.01</v>
      </c>
      <c r="Q86" s="17">
        <v>1116</v>
      </c>
      <c r="R86" s="17">
        <v>14151</v>
      </c>
      <c r="S86" s="17">
        <f t="shared" si="49"/>
        <v>13035</v>
      </c>
      <c r="T86" s="1">
        <f>95/60</f>
        <v>1.5833333333333333</v>
      </c>
      <c r="U86" s="1">
        <f>1+51/60</f>
        <v>1.85</v>
      </c>
      <c r="V86" s="1">
        <f>U86-T86</f>
        <v>0.26666666666666683</v>
      </c>
      <c r="W86" s="1">
        <f t="shared" ref="W86" si="51">P86/T86</f>
        <v>3.7957894736842106</v>
      </c>
      <c r="X86">
        <v>1</v>
      </c>
      <c r="Y86" s="1">
        <f>P86/X86</f>
        <v>6.01</v>
      </c>
      <c r="Z86" s="1">
        <f>15+43/60</f>
        <v>15.716666666666667</v>
      </c>
      <c r="AA86" s="17">
        <v>92</v>
      </c>
      <c r="AB86" s="17">
        <v>1206</v>
      </c>
      <c r="AC86" s="17">
        <v>133</v>
      </c>
      <c r="AD86" s="17">
        <v>169</v>
      </c>
      <c r="AE86" s="1">
        <f>15+8.1/60</f>
        <v>15.135</v>
      </c>
      <c r="AF86" s="1">
        <f>15+8.2/60</f>
        <v>15.136666666666667</v>
      </c>
      <c r="AG86" s="1">
        <f>15+27.2/60</f>
        <v>15.453333333333333</v>
      </c>
      <c r="AH86" s="1">
        <f>16+17.7/60</f>
        <v>16.295000000000002</v>
      </c>
      <c r="AI86" s="1">
        <f>16+7.7/60</f>
        <v>16.128333333333334</v>
      </c>
      <c r="AJ86" s="1">
        <f>16+5.6/60</f>
        <v>16.093333333333334</v>
      </c>
      <c r="AK86" s="1">
        <f>60/3.8</f>
        <v>15.789473684210527</v>
      </c>
      <c r="AO86">
        <v>6</v>
      </c>
      <c r="AP86">
        <v>0</v>
      </c>
    </row>
    <row r="87" spans="1:51" x14ac:dyDescent="0.25">
      <c r="A87">
        <f t="shared" si="28"/>
        <v>619</v>
      </c>
      <c r="B87" s="18">
        <v>43966.484722222223</v>
      </c>
      <c r="C87">
        <v>1</v>
      </c>
      <c r="F87" t="s">
        <v>46</v>
      </c>
      <c r="G87" s="17">
        <v>81</v>
      </c>
      <c r="I87" s="17">
        <v>62</v>
      </c>
      <c r="M87" s="16" t="s">
        <v>66</v>
      </c>
      <c r="N87" s="16" t="s">
        <v>34</v>
      </c>
      <c r="O87" t="s">
        <v>48</v>
      </c>
      <c r="P87" s="1">
        <v>7.53</v>
      </c>
      <c r="Q87" s="17">
        <v>1129</v>
      </c>
      <c r="R87" s="17">
        <v>17488</v>
      </c>
      <c r="S87" s="17">
        <v>16539</v>
      </c>
      <c r="T87" s="1">
        <f>120/60</f>
        <v>2</v>
      </c>
      <c r="U87" s="1">
        <f>2+22/60</f>
        <v>2.3666666666666667</v>
      </c>
      <c r="V87" s="1">
        <f>U87-T87</f>
        <v>0.3666666666666667</v>
      </c>
      <c r="W87" s="1">
        <f t="shared" ref="W87" si="52">P87/T87</f>
        <v>3.7650000000000001</v>
      </c>
      <c r="X87">
        <v>1</v>
      </c>
      <c r="Y87" s="1">
        <f>P87/X87</f>
        <v>7.53</v>
      </c>
      <c r="Z87" s="1">
        <f>15+55/60</f>
        <v>15.916666666666666</v>
      </c>
      <c r="AA87" s="17">
        <v>371</v>
      </c>
      <c r="AB87" s="17">
        <v>983</v>
      </c>
      <c r="AC87" s="17">
        <v>107</v>
      </c>
      <c r="AD87" s="17">
        <v>139</v>
      </c>
      <c r="AE87" s="1">
        <f>15+24/60</f>
        <v>15.4</v>
      </c>
      <c r="AF87" s="1">
        <f>15+18.6/60</f>
        <v>15.31</v>
      </c>
      <c r="AG87" s="1">
        <f>15+12.2/60</f>
        <v>15.203333333333333</v>
      </c>
      <c r="AH87" s="1">
        <f>16+4.6/60</f>
        <v>16.076666666666668</v>
      </c>
      <c r="AI87" s="1">
        <f>15+56.6</f>
        <v>71.599999999999994</v>
      </c>
      <c r="AJ87" s="1">
        <f>16+19.8/60</f>
        <v>16.329999999999998</v>
      </c>
      <c r="AK87" s="1">
        <f>16+42.6/60</f>
        <v>16.71</v>
      </c>
      <c r="AL87" s="1">
        <f>60/3.8</f>
        <v>15.789473684210527</v>
      </c>
      <c r="AO87">
        <v>7</v>
      </c>
      <c r="AP87">
        <v>0</v>
      </c>
      <c r="AV87" s="16" t="s">
        <v>30</v>
      </c>
      <c r="AW87" s="16" t="s">
        <v>31</v>
      </c>
      <c r="AX87" s="16">
        <v>0</v>
      </c>
    </row>
    <row r="88" spans="1:51" x14ac:dyDescent="0.25">
      <c r="A88">
        <f t="shared" si="28"/>
        <v>620</v>
      </c>
      <c r="B88" s="18">
        <v>43967.495138888888</v>
      </c>
      <c r="C88">
        <v>0</v>
      </c>
      <c r="D88" t="s">
        <v>73</v>
      </c>
      <c r="F88" t="s">
        <v>46</v>
      </c>
      <c r="G88" s="17">
        <v>68</v>
      </c>
      <c r="I88" s="17">
        <v>87</v>
      </c>
      <c r="M88" s="16" t="s">
        <v>66</v>
      </c>
    </row>
    <row r="89" spans="1:51" x14ac:dyDescent="0.25">
      <c r="A89">
        <f t="shared" si="28"/>
        <v>621</v>
      </c>
      <c r="B89" s="18">
        <v>43968.504861111112</v>
      </c>
      <c r="C89">
        <v>1</v>
      </c>
      <c r="F89" t="s">
        <v>32</v>
      </c>
      <c r="G89" s="17">
        <v>80</v>
      </c>
      <c r="I89" s="17">
        <v>54</v>
      </c>
      <c r="M89" s="16" t="s">
        <v>67</v>
      </c>
      <c r="N89" s="16" t="s">
        <v>37</v>
      </c>
      <c r="O89" t="s">
        <v>45</v>
      </c>
      <c r="P89" s="1">
        <v>5.18</v>
      </c>
      <c r="Q89" s="17">
        <f>AVERAGE(Q65:Q80)</f>
        <v>956.22439236111109</v>
      </c>
      <c r="R89" s="17">
        <v>11451</v>
      </c>
      <c r="S89" s="17">
        <f t="shared" ref="S89:S95" si="53">R89-Q89</f>
        <v>10494.775607638889</v>
      </c>
      <c r="T89" s="1">
        <f>83/60</f>
        <v>1.3833333333333333</v>
      </c>
      <c r="U89" s="1">
        <f>88/60</f>
        <v>1.4666666666666666</v>
      </c>
      <c r="V89" s="1">
        <f t="shared" ref="V89:V97" si="54">U89-T89</f>
        <v>8.3333333333333259E-2</v>
      </c>
      <c r="W89" s="1">
        <f t="shared" ref="W89" si="55">P89/T89</f>
        <v>3.7445783132530117</v>
      </c>
      <c r="X89">
        <v>1</v>
      </c>
      <c r="Y89" s="1">
        <f t="shared" ref="Y89:Y95" si="56">P89/X89</f>
        <v>5.18</v>
      </c>
      <c r="Z89" s="1">
        <f>16+1/60</f>
        <v>16.016666666666666</v>
      </c>
      <c r="AA89" s="17">
        <v>562</v>
      </c>
      <c r="AB89" s="17">
        <v>859</v>
      </c>
      <c r="AC89" s="17">
        <v>117</v>
      </c>
      <c r="AD89" s="17">
        <v>154</v>
      </c>
      <c r="AE89" s="1">
        <f>15+24.8/60</f>
        <v>15.413333333333334</v>
      </c>
      <c r="AF89" s="1">
        <f>15+55.7/60</f>
        <v>15.928333333333333</v>
      </c>
      <c r="AG89" s="1">
        <f>15+40.5/60</f>
        <v>15.675000000000001</v>
      </c>
      <c r="AH89" s="1">
        <f>16+35.5/60</f>
        <v>16.591666666666665</v>
      </c>
      <c r="AI89" s="1">
        <f>16+31.8/60</f>
        <v>16.53</v>
      </c>
      <c r="AJ89" s="1">
        <f>80/3.8</f>
        <v>21.05263157894737</v>
      </c>
      <c r="AO89">
        <v>1</v>
      </c>
      <c r="AP89">
        <v>0</v>
      </c>
      <c r="AQ89" s="1">
        <f>4+50/60</f>
        <v>4.833333333333333</v>
      </c>
      <c r="AR89" s="1">
        <f>13+36/60</f>
        <v>13.6</v>
      </c>
      <c r="AS89" s="1">
        <f>20+25/60</f>
        <v>20.416666666666668</v>
      </c>
      <c r="AT89" s="1">
        <f>30+52/60</f>
        <v>30.866666666666667</v>
      </c>
      <c r="AU89" s="1">
        <f>13+18/60</f>
        <v>13.3</v>
      </c>
      <c r="AV89" s="16" t="s">
        <v>30</v>
      </c>
      <c r="AW89" s="16" t="s">
        <v>31</v>
      </c>
      <c r="AX89" s="16">
        <v>0</v>
      </c>
    </row>
    <row r="90" spans="1:51" x14ac:dyDescent="0.25">
      <c r="A90">
        <f t="shared" si="28"/>
        <v>622</v>
      </c>
      <c r="B90" s="18">
        <v>43969.629166666666</v>
      </c>
      <c r="C90">
        <v>1</v>
      </c>
      <c r="F90" s="16" t="s">
        <v>32</v>
      </c>
      <c r="G90" s="17">
        <v>89</v>
      </c>
      <c r="I90" s="17">
        <v>43</v>
      </c>
      <c r="M90" s="16" t="s">
        <v>67</v>
      </c>
      <c r="N90" s="16" t="s">
        <v>34</v>
      </c>
      <c r="O90" t="s">
        <v>64</v>
      </c>
      <c r="P90" s="1">
        <v>5.38</v>
      </c>
      <c r="Q90" s="17">
        <f>AVERAGE(Q59:Q89)</f>
        <v>958.32620526175208</v>
      </c>
      <c r="R90" s="17">
        <v>13259</v>
      </c>
      <c r="S90" s="17">
        <f t="shared" si="53"/>
        <v>12300.673794738248</v>
      </c>
      <c r="T90" s="1">
        <f>91/60</f>
        <v>1.5166666666666666</v>
      </c>
      <c r="U90" s="1">
        <v>1.6666666666666667</v>
      </c>
      <c r="V90" s="1">
        <f t="shared" si="54"/>
        <v>0.15000000000000013</v>
      </c>
      <c r="W90" s="1">
        <f t="shared" ref="W90" si="57">P90/T90</f>
        <v>3.5472527472527475</v>
      </c>
      <c r="X90">
        <v>1</v>
      </c>
      <c r="Y90" s="1">
        <f t="shared" si="56"/>
        <v>5.38</v>
      </c>
      <c r="Z90" s="1">
        <f>16+51/60</f>
        <v>16.850000000000001</v>
      </c>
      <c r="AA90" s="17">
        <v>354</v>
      </c>
      <c r="AB90" s="17">
        <v>1038</v>
      </c>
      <c r="AC90" s="17">
        <v>122</v>
      </c>
      <c r="AD90" s="17">
        <v>144</v>
      </c>
      <c r="AE90" s="1">
        <f>15+39.2/60</f>
        <v>15.653333333333334</v>
      </c>
      <c r="AF90" s="1">
        <f>16+40.2/60</f>
        <v>16.670000000000002</v>
      </c>
      <c r="AG90" s="1">
        <f>17+1.7/60</f>
        <v>17.028333333333332</v>
      </c>
      <c r="AH90" s="1">
        <f>17+20/60</f>
        <v>17.333333333333332</v>
      </c>
      <c r="AI90" s="1">
        <f>17+0.9/60</f>
        <v>17.015000000000001</v>
      </c>
      <c r="AJ90" s="1">
        <f>60/3.6</f>
        <v>16.666666666666668</v>
      </c>
      <c r="AO90">
        <v>4</v>
      </c>
      <c r="AP90">
        <v>0</v>
      </c>
      <c r="AQ90" s="1">
        <f>7+18/60</f>
        <v>7.3</v>
      </c>
      <c r="AR90" s="1">
        <f>8+18/60</f>
        <v>8.3000000000000007</v>
      </c>
      <c r="AS90" s="1">
        <v>1</v>
      </c>
      <c r="AT90" s="1">
        <f>54+50/60</f>
        <v>54.833333333333336</v>
      </c>
      <c r="AU90" s="1">
        <f>19+6/60</f>
        <v>19.100000000000001</v>
      </c>
      <c r="AV90" t="s">
        <v>30</v>
      </c>
      <c r="AW90" t="s">
        <v>31</v>
      </c>
      <c r="AX90">
        <v>0</v>
      </c>
    </row>
    <row r="91" spans="1:51" x14ac:dyDescent="0.25">
      <c r="A91">
        <f t="shared" si="28"/>
        <v>623</v>
      </c>
      <c r="B91" s="18">
        <v>43970.363888888889</v>
      </c>
      <c r="C91">
        <v>1</v>
      </c>
      <c r="F91" t="s">
        <v>32</v>
      </c>
      <c r="G91" s="17">
        <f>AVERAGE(77,81,85)</f>
        <v>81</v>
      </c>
      <c r="I91" s="17">
        <f>AVERAGE(69,72,57)</f>
        <v>66</v>
      </c>
      <c r="M91" s="16" t="s">
        <v>67</v>
      </c>
      <c r="N91" t="s">
        <v>37</v>
      </c>
      <c r="O91" t="s">
        <v>56</v>
      </c>
      <c r="P91" s="1">
        <v>6.41</v>
      </c>
      <c r="Q91" s="17">
        <v>991</v>
      </c>
      <c r="R91" s="17">
        <v>14461</v>
      </c>
      <c r="S91" s="17">
        <f t="shared" si="53"/>
        <v>13470</v>
      </c>
      <c r="T91" s="1">
        <f>(99+29/60)/60</f>
        <v>1.6580555555555556</v>
      </c>
      <c r="U91" s="1">
        <f>(60+44+9/60)/60</f>
        <v>1.7358333333333333</v>
      </c>
      <c r="V91" s="1">
        <f t="shared" si="54"/>
        <v>7.7777777777777724E-2</v>
      </c>
      <c r="W91" s="1">
        <f t="shared" ref="W91" si="58">P91/T91</f>
        <v>3.8659742000335062</v>
      </c>
      <c r="X91">
        <v>1</v>
      </c>
      <c r="Y91" s="1">
        <f t="shared" si="56"/>
        <v>6.41</v>
      </c>
      <c r="Z91" s="1">
        <f>15+31/60</f>
        <v>15.516666666666667</v>
      </c>
      <c r="AA91" s="17">
        <v>213</v>
      </c>
      <c r="AB91" s="17">
        <v>1071</v>
      </c>
      <c r="AC91" s="17">
        <v>121</v>
      </c>
      <c r="AD91" s="17">
        <v>143</v>
      </c>
      <c r="AE91" s="1">
        <f>16+11/60</f>
        <v>16.183333333333334</v>
      </c>
      <c r="AF91" s="1">
        <f>15+23.9/60</f>
        <v>15.398333333333333</v>
      </c>
      <c r="AG91" s="1">
        <f>15+44.7/60</f>
        <v>15.744999999999999</v>
      </c>
      <c r="AH91" s="1">
        <f>15+44.7/60</f>
        <v>15.744999999999999</v>
      </c>
      <c r="AI91" s="1">
        <f>15+5.3/70</f>
        <v>15.075714285714286</v>
      </c>
      <c r="AJ91" s="1">
        <f>15+4.3/60</f>
        <v>15.071666666666667</v>
      </c>
      <c r="AK91" s="1">
        <f>60/3.9</f>
        <v>15.384615384615385</v>
      </c>
      <c r="AO91">
        <v>1</v>
      </c>
      <c r="AP91" s="16">
        <v>0</v>
      </c>
      <c r="AQ91" s="1">
        <f>1+16/60</f>
        <v>1.2666666666666666</v>
      </c>
      <c r="AR91" s="1">
        <f>14+28/60</f>
        <v>14.466666666666667</v>
      </c>
      <c r="AS91" s="1">
        <f>16+20/60</f>
        <v>16.333333333333332</v>
      </c>
      <c r="AT91" s="1">
        <f>58+46/60</f>
        <v>58.766666666666666</v>
      </c>
      <c r="AU91" s="1">
        <f>8+40/60</f>
        <v>8.6666666666666661</v>
      </c>
      <c r="AV91" s="16" t="s">
        <v>30</v>
      </c>
      <c r="AW91" s="16" t="s">
        <v>31</v>
      </c>
      <c r="AX91" s="16">
        <v>0</v>
      </c>
    </row>
    <row r="92" spans="1:51" x14ac:dyDescent="0.25">
      <c r="A92">
        <f t="shared" si="28"/>
        <v>624</v>
      </c>
      <c r="B92" s="18">
        <v>43971.353472222225</v>
      </c>
      <c r="C92">
        <v>1</v>
      </c>
      <c r="F92" t="s">
        <v>46</v>
      </c>
      <c r="G92" s="17">
        <v>74</v>
      </c>
      <c r="I92" s="17">
        <v>71</v>
      </c>
      <c r="M92" s="16" t="s">
        <v>67</v>
      </c>
      <c r="N92" t="s">
        <v>37</v>
      </c>
      <c r="O92" t="s">
        <v>33</v>
      </c>
      <c r="P92" s="1">
        <v>8.06</v>
      </c>
      <c r="Q92" s="17">
        <v>1526</v>
      </c>
      <c r="R92" s="17">
        <v>18458</v>
      </c>
      <c r="S92" s="17">
        <f t="shared" si="53"/>
        <v>16932</v>
      </c>
      <c r="T92" s="1">
        <f>(123+3/60)/60</f>
        <v>2.0508333333333333</v>
      </c>
      <c r="U92" s="1">
        <f>(133+31/60)/60</f>
        <v>2.2252777777777779</v>
      </c>
      <c r="V92" s="1">
        <f t="shared" si="54"/>
        <v>0.17444444444444462</v>
      </c>
      <c r="W92" s="1">
        <f t="shared" ref="W92" si="59">P92/T92</f>
        <v>3.9301097114993908</v>
      </c>
      <c r="X92">
        <v>1</v>
      </c>
      <c r="Y92" s="1">
        <f t="shared" si="56"/>
        <v>8.06</v>
      </c>
      <c r="Z92" s="1">
        <f>15+18/60</f>
        <v>15.3</v>
      </c>
      <c r="AA92" s="17">
        <v>830</v>
      </c>
      <c r="AB92" s="17">
        <v>1021</v>
      </c>
      <c r="AC92" s="17">
        <v>102</v>
      </c>
      <c r="AD92" s="17">
        <v>154</v>
      </c>
      <c r="AE92" s="1">
        <f>15+46/60</f>
        <v>15.766666666666667</v>
      </c>
      <c r="AF92" s="1">
        <f>16+2.7/60</f>
        <v>16.045000000000002</v>
      </c>
      <c r="AG92" s="1">
        <f>15+10.5/60</f>
        <v>15.175000000000001</v>
      </c>
      <c r="AH92" s="1">
        <f>15+16.2/60</f>
        <v>15.27</v>
      </c>
      <c r="AI92" s="1">
        <f>14+46.9/60</f>
        <v>14.781666666666666</v>
      </c>
      <c r="AJ92" s="1">
        <f>15+12.3/60</f>
        <v>15.205</v>
      </c>
      <c r="AK92" s="1">
        <f>15+33.9/60</f>
        <v>15.565</v>
      </c>
      <c r="AL92" s="1">
        <f>15+26.9/60</f>
        <v>15.448333333333334</v>
      </c>
      <c r="AM92" s="1">
        <f>60/3.9</f>
        <v>15.384615384615385</v>
      </c>
      <c r="AO92">
        <v>3</v>
      </c>
      <c r="AP92">
        <v>0</v>
      </c>
      <c r="AQ92" s="1">
        <f>27+50/60</f>
        <v>27.833333333333332</v>
      </c>
      <c r="AR92" s="1">
        <f>36+21/60</f>
        <v>36.35</v>
      </c>
      <c r="AS92" s="1">
        <f>20+56/60</f>
        <v>20.933333333333334</v>
      </c>
      <c r="AT92" s="1">
        <f>17+21/60</f>
        <v>17.350000000000001</v>
      </c>
      <c r="AU92" s="1">
        <f>8+12/60</f>
        <v>8.1999999999999993</v>
      </c>
      <c r="AV92" s="16" t="s">
        <v>30</v>
      </c>
      <c r="AW92" s="16" t="s">
        <v>31</v>
      </c>
      <c r="AX92" s="16">
        <v>0</v>
      </c>
      <c r="AY92" s="16"/>
    </row>
    <row r="93" spans="1:51" x14ac:dyDescent="0.25">
      <c r="A93">
        <f t="shared" si="28"/>
        <v>625</v>
      </c>
      <c r="B93" s="18">
        <v>43972.351388888892</v>
      </c>
      <c r="C93">
        <v>1</v>
      </c>
      <c r="F93" s="16" t="s">
        <v>46</v>
      </c>
      <c r="G93" s="17">
        <v>76</v>
      </c>
      <c r="I93" s="17">
        <v>74</v>
      </c>
      <c r="M93" s="16" t="s">
        <v>67</v>
      </c>
      <c r="N93" t="s">
        <v>34</v>
      </c>
      <c r="O93" t="s">
        <v>63</v>
      </c>
      <c r="P93" s="1">
        <v>5.96</v>
      </c>
      <c r="Q93" s="17">
        <v>1075</v>
      </c>
      <c r="R93" s="17">
        <v>13081</v>
      </c>
      <c r="S93" s="17">
        <f t="shared" si="53"/>
        <v>12006</v>
      </c>
      <c r="T93" s="1">
        <f>100/60</f>
        <v>1.6666666666666667</v>
      </c>
      <c r="U93" s="1">
        <v>1.7666666666666666</v>
      </c>
      <c r="V93" s="1">
        <f t="shared" si="54"/>
        <v>9.9999999999999867E-2</v>
      </c>
      <c r="W93" s="1">
        <f t="shared" ref="W93" si="60">P93/T93</f>
        <v>3.5759999999999996</v>
      </c>
      <c r="X93">
        <v>1</v>
      </c>
      <c r="Y93" s="1">
        <f t="shared" si="56"/>
        <v>5.96</v>
      </c>
      <c r="Z93" s="1">
        <f>16+47/60</f>
        <v>16.783333333333335</v>
      </c>
      <c r="AA93" s="17">
        <v>671</v>
      </c>
      <c r="AB93" s="17">
        <v>671</v>
      </c>
      <c r="AC93" s="17">
        <v>90</v>
      </c>
      <c r="AD93" s="17">
        <v>123</v>
      </c>
      <c r="AE93" s="1">
        <f>16+12.5/60</f>
        <v>16.208333333333332</v>
      </c>
      <c r="AF93" s="1">
        <f>16+6.1/60</f>
        <v>16.101666666666667</v>
      </c>
      <c r="AG93" s="1">
        <f>16+19.4/60</f>
        <v>16.323333333333334</v>
      </c>
      <c r="AH93" s="1">
        <f>16+44.3/60</f>
        <v>16.738333333333333</v>
      </c>
      <c r="AI93" s="1">
        <f>17+0.3/60</f>
        <v>17.004999999999999</v>
      </c>
      <c r="AJ93" s="1">
        <f>60/3.6</f>
        <v>16.666666666666668</v>
      </c>
      <c r="AO93">
        <v>2</v>
      </c>
      <c r="AP93">
        <v>0</v>
      </c>
      <c r="AQ93" s="1">
        <f>41+4/60</f>
        <v>41.06666666666667</v>
      </c>
      <c r="AR93" s="1">
        <f>54+30/60</f>
        <v>54.5</v>
      </c>
      <c r="AS93" s="1">
        <f>3+58/60</f>
        <v>3.9666666666666668</v>
      </c>
      <c r="AT93" s="1">
        <f>30/60</f>
        <v>0.5</v>
      </c>
      <c r="AU93" s="1">
        <v>0</v>
      </c>
      <c r="AV93" t="s">
        <v>30</v>
      </c>
      <c r="AW93" t="s">
        <v>31</v>
      </c>
      <c r="AX93">
        <v>0</v>
      </c>
    </row>
    <row r="94" spans="1:51" x14ac:dyDescent="0.25">
      <c r="A94">
        <f t="shared" si="28"/>
        <v>626</v>
      </c>
      <c r="B94" s="18">
        <v>43973.323611111111</v>
      </c>
      <c r="C94">
        <v>1</v>
      </c>
      <c r="F94" t="s">
        <v>32</v>
      </c>
      <c r="G94" s="17">
        <f>AVERAGE(54,66,57)</f>
        <v>59</v>
      </c>
      <c r="I94" s="17">
        <f>AVERAGE(80,78,68)</f>
        <v>75.333333333333329</v>
      </c>
      <c r="M94" s="16" t="s">
        <v>67</v>
      </c>
      <c r="N94" s="16" t="s">
        <v>37</v>
      </c>
      <c r="O94" t="s">
        <v>48</v>
      </c>
      <c r="P94" s="1">
        <v>9.77</v>
      </c>
      <c r="Q94" s="17">
        <v>646</v>
      </c>
      <c r="R94" s="17">
        <v>21466</v>
      </c>
      <c r="S94" s="17">
        <f t="shared" si="53"/>
        <v>20820</v>
      </c>
      <c r="T94" s="1">
        <f>(120+37+14/60)/60</f>
        <v>2.6205555555555553</v>
      </c>
      <c r="U94" s="1">
        <f>(120+43+37/60)/60</f>
        <v>2.7269444444444444</v>
      </c>
      <c r="V94" s="1">
        <f t="shared" si="54"/>
        <v>0.10638888888888909</v>
      </c>
      <c r="W94" s="1">
        <f t="shared" ref="W94" si="61">P94/T94</f>
        <v>3.7282170871316516</v>
      </c>
      <c r="X94">
        <v>1</v>
      </c>
      <c r="Y94" s="1">
        <f t="shared" si="56"/>
        <v>9.77</v>
      </c>
      <c r="Z94" s="1">
        <f>16+5/60</f>
        <v>16.083333333333332</v>
      </c>
      <c r="AA94" s="17">
        <v>335</v>
      </c>
      <c r="AB94" s="17">
        <v>1565</v>
      </c>
      <c r="AC94" s="17">
        <v>110</v>
      </c>
      <c r="AD94" s="17">
        <v>147</v>
      </c>
      <c r="AE94" s="1">
        <f>15+42.6/60</f>
        <v>15.71</v>
      </c>
      <c r="AF94" s="1">
        <f>15+36.9/60</f>
        <v>15.615</v>
      </c>
      <c r="AG94" s="1">
        <f>15+37.1/60</f>
        <v>15.618333333333334</v>
      </c>
      <c r="AH94" s="1">
        <f>15+54.3/60</f>
        <v>15.904999999999999</v>
      </c>
      <c r="AI94" s="1">
        <f>16+17.5/60</f>
        <v>16.291666666666668</v>
      </c>
      <c r="AJ94" s="1">
        <f>16+35.4/60</f>
        <v>16.59</v>
      </c>
      <c r="AK94" s="1">
        <f>16+25.5/60</f>
        <v>16.425000000000001</v>
      </c>
      <c r="AL94" s="1">
        <f>15+43.4/60</f>
        <v>15.723333333333333</v>
      </c>
      <c r="AM94" s="1">
        <f>16+7.7/60</f>
        <v>16.128333333333334</v>
      </c>
      <c r="AN94" s="1">
        <f>60/3.5</f>
        <v>17.142857142857142</v>
      </c>
      <c r="AO94">
        <v>4</v>
      </c>
      <c r="AP94">
        <v>1</v>
      </c>
      <c r="AQ94" s="1">
        <f>17+9/60</f>
        <v>17.149999999999999</v>
      </c>
      <c r="AR94" s="1">
        <f>25</f>
        <v>25</v>
      </c>
      <c r="AS94" s="1">
        <f>14+8/60</f>
        <v>14.133333333333333</v>
      </c>
      <c r="AT94" s="1">
        <f>27+43/60</f>
        <v>27.716666666666665</v>
      </c>
      <c r="AU94" s="1">
        <f>48+56/60</f>
        <v>48.93333333333333</v>
      </c>
      <c r="AV94" s="16" t="s">
        <v>30</v>
      </c>
      <c r="AW94" s="16" t="s">
        <v>31</v>
      </c>
      <c r="AX94" s="16">
        <v>0</v>
      </c>
    </row>
    <row r="95" spans="1:51" x14ac:dyDescent="0.25">
      <c r="A95">
        <f t="shared" si="28"/>
        <v>627</v>
      </c>
      <c r="B95" s="18">
        <v>43974.518750000003</v>
      </c>
      <c r="C95">
        <v>1</v>
      </c>
      <c r="F95" t="s">
        <v>32</v>
      </c>
      <c r="G95" s="17">
        <v>87</v>
      </c>
      <c r="I95" s="17">
        <v>0.56000000000000005</v>
      </c>
      <c r="M95" s="16" t="s">
        <v>67</v>
      </c>
      <c r="N95" t="s">
        <v>34</v>
      </c>
      <c r="O95" t="s">
        <v>80</v>
      </c>
      <c r="P95" s="1">
        <v>6.75</v>
      </c>
      <c r="Q95" s="17">
        <v>1268</v>
      </c>
      <c r="R95" s="17">
        <v>15181</v>
      </c>
      <c r="S95" s="17">
        <f t="shared" si="53"/>
        <v>13913</v>
      </c>
      <c r="T95" s="1">
        <f>(55+60)/60</f>
        <v>1.9166666666666667</v>
      </c>
      <c r="U95" s="1">
        <f>(60+58)/60</f>
        <v>1.9666666666666666</v>
      </c>
      <c r="V95" s="1">
        <f t="shared" si="54"/>
        <v>4.9999999999999822E-2</v>
      </c>
      <c r="W95" s="1">
        <f t="shared" ref="W95" si="62">P95/T95</f>
        <v>3.5217391304347823</v>
      </c>
      <c r="X95">
        <v>1</v>
      </c>
      <c r="Y95" s="1">
        <f t="shared" si="56"/>
        <v>6.75</v>
      </c>
      <c r="Z95" s="1">
        <f>16+54/60</f>
        <v>16.899999999999999</v>
      </c>
      <c r="AA95" s="17">
        <v>558</v>
      </c>
      <c r="AB95" s="17">
        <v>1227</v>
      </c>
      <c r="AC95" s="17">
        <v>119</v>
      </c>
      <c r="AD95" s="17">
        <v>149</v>
      </c>
      <c r="AE95" s="1">
        <f>16+32.5/60</f>
        <v>16.541666666666668</v>
      </c>
      <c r="AF95" s="1">
        <f>17+6.2/60</f>
        <v>17.103333333333332</v>
      </c>
      <c r="AG95" s="1">
        <f>17+33.8/60</f>
        <v>17.563333333333333</v>
      </c>
      <c r="AH95" s="1">
        <f>16+21.2/60</f>
        <v>16.353333333333332</v>
      </c>
      <c r="AI95" s="1">
        <f>16+43.8/60</f>
        <v>16.73</v>
      </c>
      <c r="AJ95" s="1">
        <f>16+56.1/60</f>
        <v>16.934999999999999</v>
      </c>
      <c r="AK95" s="1">
        <f>60/3.5</f>
        <v>17.142857142857142</v>
      </c>
      <c r="AO95">
        <v>1</v>
      </c>
      <c r="AP95">
        <v>2</v>
      </c>
      <c r="AQ95" s="1">
        <f>6+4/60</f>
        <v>6.0666666666666664</v>
      </c>
      <c r="AR95" s="1">
        <f>26+21/60</f>
        <v>26.35</v>
      </c>
      <c r="AS95" s="1">
        <f>13+33/60</f>
        <v>13.55</v>
      </c>
      <c r="AT95" s="1">
        <f>32+14/60</f>
        <v>32.233333333333334</v>
      </c>
      <c r="AU95" s="1">
        <f>35+52/60</f>
        <v>35.866666666666667</v>
      </c>
      <c r="AV95" t="s">
        <v>30</v>
      </c>
      <c r="AW95" t="s">
        <v>31</v>
      </c>
      <c r="AX95">
        <v>0</v>
      </c>
    </row>
    <row r="96" spans="1:51" x14ac:dyDescent="0.25">
      <c r="A96">
        <f t="shared" si="28"/>
        <v>628</v>
      </c>
      <c r="B96" s="18">
        <v>43976.328472222223</v>
      </c>
      <c r="C96">
        <v>0</v>
      </c>
      <c r="D96" t="s">
        <v>39</v>
      </c>
      <c r="F96" t="s">
        <v>46</v>
      </c>
      <c r="G96" s="17">
        <v>77</v>
      </c>
      <c r="I96" s="17">
        <v>79</v>
      </c>
    </row>
    <row r="97" spans="1:50" x14ac:dyDescent="0.25">
      <c r="A97">
        <f t="shared" si="28"/>
        <v>629</v>
      </c>
      <c r="B97" s="18">
        <v>43977.470833333333</v>
      </c>
      <c r="C97">
        <v>1</v>
      </c>
      <c r="F97" t="s">
        <v>46</v>
      </c>
      <c r="G97" s="17">
        <v>71</v>
      </c>
      <c r="I97" s="17">
        <v>59</v>
      </c>
      <c r="M97" s="16" t="s">
        <v>67</v>
      </c>
      <c r="N97" t="s">
        <v>34</v>
      </c>
      <c r="O97" t="s">
        <v>33</v>
      </c>
      <c r="P97" s="1">
        <v>8.93</v>
      </c>
      <c r="Q97" s="17">
        <v>1026</v>
      </c>
      <c r="R97" s="17">
        <v>19808</v>
      </c>
      <c r="S97" s="17">
        <v>18782</v>
      </c>
      <c r="T97" s="1">
        <f>( 120+18+34/60)/60</f>
        <v>2.3094444444444444</v>
      </c>
      <c r="U97" s="1">
        <f>(120+31)/60</f>
        <v>2.5166666666666666</v>
      </c>
      <c r="V97" s="1">
        <f t="shared" si="54"/>
        <v>0.2072222222222222</v>
      </c>
      <c r="W97" s="1">
        <f t="shared" ref="W97" si="63">P97/T97</f>
        <v>3.8667308154919411</v>
      </c>
      <c r="X97">
        <v>1</v>
      </c>
      <c r="Y97" s="1">
        <f t="shared" ref="Y97" si="64">P97/X97</f>
        <v>8.93</v>
      </c>
      <c r="Z97" s="1">
        <f>15+27/60</f>
        <v>15.45</v>
      </c>
      <c r="AA97" s="17">
        <v>220</v>
      </c>
      <c r="AB97" s="17">
        <v>1258</v>
      </c>
      <c r="AC97" s="17">
        <v>109</v>
      </c>
      <c r="AD97" s="17">
        <v>163</v>
      </c>
      <c r="AE97" s="1">
        <f>15+27.2/60</f>
        <v>15.453333333333333</v>
      </c>
      <c r="AF97" s="1">
        <f>15+21.9/60</f>
        <v>15.365</v>
      </c>
      <c r="AG97" s="1">
        <f>16+16.1/60</f>
        <v>16.268333333333334</v>
      </c>
      <c r="AH97" s="1">
        <f>15+27.1/60</f>
        <v>15.451666666666666</v>
      </c>
      <c r="AI97" s="1">
        <f>17+3/60</f>
        <v>17.05</v>
      </c>
      <c r="AJ97" s="1">
        <f>15+34.8/60</f>
        <v>15.58</v>
      </c>
      <c r="AK97" s="1">
        <f>15+24.3/60</f>
        <v>15.404999999999999</v>
      </c>
      <c r="AL97" s="1">
        <f>14+45.6/60</f>
        <v>14.76</v>
      </c>
      <c r="AM97" s="1">
        <f>14+3.4/60</f>
        <v>14.056666666666667</v>
      </c>
      <c r="AN97" s="1">
        <v>15</v>
      </c>
      <c r="AO97">
        <v>2</v>
      </c>
      <c r="AP97">
        <v>1</v>
      </c>
      <c r="AQ97" s="1">
        <f>27+11/60</f>
        <v>27.183333333333334</v>
      </c>
      <c r="AR97" s="1">
        <f>44+1/6</f>
        <v>44.166666666666664</v>
      </c>
      <c r="AS97" s="1">
        <f>25+24/60</f>
        <v>25.4</v>
      </c>
      <c r="AT97" s="1">
        <f>11+32/60</f>
        <v>11.533333333333333</v>
      </c>
      <c r="AU97" s="1">
        <f>28+9/60</f>
        <v>28.15</v>
      </c>
      <c r="AV97" t="s">
        <v>30</v>
      </c>
      <c r="AW97" t="s">
        <v>31</v>
      </c>
      <c r="AX97">
        <v>0</v>
      </c>
    </row>
    <row r="98" spans="1:50" x14ac:dyDescent="0.25">
      <c r="A98">
        <f t="shared" si="28"/>
        <v>630</v>
      </c>
      <c r="B98" s="18">
        <v>43978.51666666667</v>
      </c>
      <c r="C98">
        <v>1</v>
      </c>
      <c r="F98" t="s">
        <v>32</v>
      </c>
      <c r="G98" s="17">
        <f>AVERAGE(79,82)</f>
        <v>80.5</v>
      </c>
      <c r="I98" s="17">
        <f>AVERAGE(47+37)</f>
        <v>84</v>
      </c>
      <c r="M98" s="16" t="s">
        <v>67</v>
      </c>
      <c r="N98" t="s">
        <v>34</v>
      </c>
      <c r="O98" t="s">
        <v>45</v>
      </c>
      <c r="P98" s="1">
        <v>6.98</v>
      </c>
      <c r="Q98" s="17">
        <v>925</v>
      </c>
      <c r="R98" s="17">
        <v>16250</v>
      </c>
      <c r="S98" s="17">
        <f>R98-Q98</f>
        <v>15325</v>
      </c>
      <c r="T98" s="1">
        <f>(60+51+29/60)/60</f>
        <v>1.8580555555555556</v>
      </c>
      <c r="U98" s="1">
        <f>(60+57)/60</f>
        <v>1.95</v>
      </c>
      <c r="V98" s="1">
        <f>U98-T98</f>
        <v>9.1944444444444384E-2</v>
      </c>
      <c r="W98" s="1">
        <f t="shared" ref="W98" si="65">P98/T98</f>
        <v>3.7566153386156378</v>
      </c>
      <c r="X98">
        <v>1</v>
      </c>
      <c r="Y98" s="1">
        <f t="shared" ref="Y98" si="66">P98/X98</f>
        <v>6.98</v>
      </c>
      <c r="Z98" s="1">
        <f>15+59/60</f>
        <v>15.983333333333333</v>
      </c>
      <c r="AA98" s="17">
        <f>282</f>
        <v>282</v>
      </c>
      <c r="AB98" s="17">
        <v>1053</v>
      </c>
      <c r="AC98" s="17">
        <v>119</v>
      </c>
      <c r="AD98" s="17">
        <v>141</v>
      </c>
      <c r="AE98" s="1">
        <f>15+38.1/60</f>
        <v>15.635</v>
      </c>
      <c r="AF98" s="1">
        <f>15+33.1/60</f>
        <v>15.551666666666666</v>
      </c>
      <c r="AG98" s="1">
        <f>16+11.2/60</f>
        <v>16.186666666666667</v>
      </c>
      <c r="AH98" s="1">
        <f>15+28.2/60</f>
        <v>15.47</v>
      </c>
      <c r="AI98" s="1">
        <f>16+13/60</f>
        <v>16.216666666666665</v>
      </c>
      <c r="AJ98" s="1">
        <f>16+21.6/60</f>
        <v>16.36</v>
      </c>
      <c r="AK98" s="1">
        <f>60/3.7</f>
        <v>16.216216216216214</v>
      </c>
      <c r="AO98">
        <v>1</v>
      </c>
      <c r="AP98">
        <v>1</v>
      </c>
      <c r="AQ98" s="1">
        <f>22/60</f>
        <v>0.36666666666666664</v>
      </c>
      <c r="AR98" s="1">
        <f>5+2/60</f>
        <v>5.0333333333333332</v>
      </c>
      <c r="AS98" s="1">
        <f>36+57/60</f>
        <v>36.950000000000003</v>
      </c>
      <c r="AT98" s="1">
        <f>60+6/60</f>
        <v>60.1</v>
      </c>
      <c r="AU98" s="1">
        <f>3.08/60</f>
        <v>5.1333333333333335E-2</v>
      </c>
      <c r="AV98" t="s">
        <v>30</v>
      </c>
      <c r="AW98" t="s">
        <v>31</v>
      </c>
      <c r="AX98">
        <v>0</v>
      </c>
    </row>
    <row r="99" spans="1:50" x14ac:dyDescent="0.25">
      <c r="A99">
        <f t="shared" si="28"/>
        <v>631</v>
      </c>
      <c r="B99" s="18">
        <v>43979.5</v>
      </c>
      <c r="C99">
        <v>0</v>
      </c>
      <c r="D99" s="16" t="s">
        <v>39</v>
      </c>
      <c r="F99" t="s">
        <v>32</v>
      </c>
      <c r="G99" s="17">
        <v>95</v>
      </c>
      <c r="I99" s="17">
        <v>44</v>
      </c>
    </row>
    <row r="100" spans="1:50" x14ac:dyDescent="0.25">
      <c r="A100">
        <f t="shared" si="28"/>
        <v>632</v>
      </c>
      <c r="B100" s="18">
        <v>43980.501388888886</v>
      </c>
      <c r="C100">
        <v>1</v>
      </c>
      <c r="E100" s="16" t="s">
        <v>82</v>
      </c>
      <c r="F100" t="s">
        <v>32</v>
      </c>
      <c r="G100" s="17">
        <f>AVERAGE(84,87)</f>
        <v>85.5</v>
      </c>
      <c r="I100" s="17">
        <f>AVERAGE(40,32)</f>
        <v>36</v>
      </c>
      <c r="M100" s="16" t="s">
        <v>67</v>
      </c>
      <c r="N100" t="s">
        <v>37</v>
      </c>
      <c r="O100" t="s">
        <v>64</v>
      </c>
      <c r="P100" s="1">
        <v>6.46</v>
      </c>
      <c r="Q100" s="17">
        <v>898</v>
      </c>
      <c r="R100" s="17">
        <v>14956</v>
      </c>
      <c r="S100" s="17">
        <f>R100-Q100</f>
        <v>14058</v>
      </c>
      <c r="T100" s="1">
        <f>(60+51)/60</f>
        <v>1.85</v>
      </c>
      <c r="U100" s="1">
        <f>(60+53)/60</f>
        <v>1.8833333333333333</v>
      </c>
      <c r="V100" s="1">
        <f t="shared" ref="V100:V106" si="67">U100-T100</f>
        <v>3.3333333333333215E-2</v>
      </c>
      <c r="W100" s="1">
        <f t="shared" ref="W100" si="68">P100/T100</f>
        <v>3.4918918918918918</v>
      </c>
      <c r="X100">
        <v>1</v>
      </c>
      <c r="Y100" s="1">
        <f t="shared" ref="Y100" si="69">P100/X100</f>
        <v>6.46</v>
      </c>
      <c r="Z100" s="1">
        <f>17+17/60</f>
        <v>17.283333333333335</v>
      </c>
      <c r="AA100" s="17">
        <v>177</v>
      </c>
      <c r="AB100" s="17">
        <v>905</v>
      </c>
      <c r="AC100" s="17">
        <v>112</v>
      </c>
      <c r="AD100" s="17">
        <v>139</v>
      </c>
      <c r="AE100" s="1">
        <f>16+5.3/60</f>
        <v>16.088333333333335</v>
      </c>
      <c r="AF100" s="1">
        <f>16+6.9/70</f>
        <v>16.098571428571429</v>
      </c>
      <c r="AG100" s="1">
        <f>16+57.4/60</f>
        <v>16.956666666666667</v>
      </c>
      <c r="AH100" s="1">
        <f>19+16.7/60</f>
        <v>19.278333333333332</v>
      </c>
      <c r="AI100" s="1">
        <f>17+29.2/60</f>
        <v>17.486666666666668</v>
      </c>
      <c r="AJ100" s="1">
        <f>17+26.3/60</f>
        <v>17.438333333333333</v>
      </c>
      <c r="AK100" s="1">
        <f>60/3.5</f>
        <v>17.142857142857142</v>
      </c>
      <c r="AO100">
        <v>1</v>
      </c>
      <c r="AP100">
        <v>1</v>
      </c>
      <c r="AQ100" s="1">
        <f>13/60</f>
        <v>0.21666666666666667</v>
      </c>
      <c r="AR100" s="1">
        <f>28*37/60</f>
        <v>17.266666666666666</v>
      </c>
      <c r="AS100" s="1">
        <f>47+14/60</f>
        <v>47.233333333333334</v>
      </c>
      <c r="AT100" s="1">
        <f>34+46/60</f>
        <v>34.766666666666666</v>
      </c>
      <c r="AU100" s="1">
        <f>0.53/60</f>
        <v>8.8333333333333337E-3</v>
      </c>
      <c r="AV100" s="16" t="s">
        <v>30</v>
      </c>
      <c r="AW100" s="16" t="s">
        <v>31</v>
      </c>
      <c r="AX100" s="16">
        <v>0</v>
      </c>
    </row>
    <row r="101" spans="1:50" x14ac:dyDescent="0.25">
      <c r="A101">
        <f>A100+1</f>
        <v>633</v>
      </c>
      <c r="B101" s="18">
        <v>43981.527777777781</v>
      </c>
      <c r="C101">
        <v>1</v>
      </c>
      <c r="E101" s="16" t="s">
        <v>82</v>
      </c>
      <c r="F101" t="s">
        <v>32</v>
      </c>
      <c r="G101" s="17">
        <f>AVERAGE(86,87)</f>
        <v>86.5</v>
      </c>
      <c r="I101" s="17">
        <f>AVERAGE(36,35)</f>
        <v>35.5</v>
      </c>
      <c r="M101" s="16" t="s">
        <v>67</v>
      </c>
      <c r="N101" t="s">
        <v>37</v>
      </c>
      <c r="O101" t="s">
        <v>63</v>
      </c>
      <c r="P101" s="1">
        <v>6.45</v>
      </c>
      <c r="Q101" s="17">
        <v>287</v>
      </c>
      <c r="R101" s="17">
        <v>15039</v>
      </c>
      <c r="S101" s="17">
        <f>R101-Q101</f>
        <v>14752</v>
      </c>
      <c r="T101" s="1">
        <f>(60+55 + 19/60)/60</f>
        <v>1.9219444444444445</v>
      </c>
      <c r="U101" s="1">
        <f>(60+59+35/60)/60</f>
        <v>1.9930555555555556</v>
      </c>
      <c r="V101" s="1">
        <f t="shared" si="67"/>
        <v>7.1111111111111125E-2</v>
      </c>
      <c r="W101" s="1">
        <f t="shared" ref="W101" si="70">P101/T101</f>
        <v>3.3559762971527678</v>
      </c>
      <c r="X101">
        <v>1</v>
      </c>
      <c r="Y101" s="1">
        <f t="shared" ref="Y101" si="71">P101/X101</f>
        <v>6.45</v>
      </c>
      <c r="Z101" s="1">
        <f>17+53/60</f>
        <v>17.883333333333333</v>
      </c>
      <c r="AA101" s="17">
        <v>308</v>
      </c>
      <c r="AB101" s="17">
        <v>893</v>
      </c>
      <c r="AC101" s="17">
        <v>106</v>
      </c>
      <c r="AD101" s="17">
        <v>138</v>
      </c>
      <c r="AE101" s="1">
        <f>16+50.8/60</f>
        <v>16.846666666666668</v>
      </c>
      <c r="AF101" s="1">
        <f>16+59/60</f>
        <v>16.983333333333334</v>
      </c>
      <c r="AG101" s="1">
        <f>17+18.4/60</f>
        <v>17.306666666666665</v>
      </c>
      <c r="AH101" s="1">
        <f>17+11.8/60</f>
        <v>17.196666666666665</v>
      </c>
      <c r="AI101" s="1">
        <f>20+0.9</f>
        <v>20.9</v>
      </c>
      <c r="AJ101" s="1">
        <f>18+22.7/60</f>
        <v>18.378333333333334</v>
      </c>
      <c r="AK101" s="1">
        <f>60/3.5</f>
        <v>17.142857142857142</v>
      </c>
      <c r="AO101">
        <v>2</v>
      </c>
      <c r="AP101">
        <v>0</v>
      </c>
      <c r="AQ101" s="1">
        <f>1+26/60</f>
        <v>1.4333333333333333</v>
      </c>
      <c r="AR101" s="1">
        <f>65+39/60</f>
        <v>65.650000000000006</v>
      </c>
      <c r="AS101" s="1">
        <f>20+35/60</f>
        <v>20.583333333333332</v>
      </c>
      <c r="AT101" s="1">
        <f>25+54/60</f>
        <v>25.9</v>
      </c>
      <c r="AU101" s="1">
        <f>1+48/60</f>
        <v>1.8</v>
      </c>
      <c r="AV101" t="s">
        <v>30</v>
      </c>
      <c r="AW101" t="s">
        <v>31</v>
      </c>
      <c r="AX101">
        <v>0</v>
      </c>
    </row>
    <row r="102" spans="1:50" x14ac:dyDescent="0.25">
      <c r="A102">
        <f>A101+1</f>
        <v>634</v>
      </c>
      <c r="B102" s="18">
        <v>41060.570138888892</v>
      </c>
      <c r="C102">
        <v>1</v>
      </c>
      <c r="F102" t="s">
        <v>61</v>
      </c>
      <c r="G102" s="17">
        <f>AVERAGE(86,88)</f>
        <v>87</v>
      </c>
      <c r="I102" s="17">
        <f>AVERAGE(38,35)</f>
        <v>36.5</v>
      </c>
      <c r="M102" s="16" t="s">
        <v>67</v>
      </c>
      <c r="N102" t="s">
        <v>37</v>
      </c>
      <c r="O102" t="s">
        <v>48</v>
      </c>
      <c r="P102" s="1">
        <v>7.1</v>
      </c>
      <c r="Q102" s="17">
        <v>341</v>
      </c>
      <c r="R102" s="17">
        <v>15990</v>
      </c>
      <c r="S102" s="17">
        <f>R102-Q102</f>
        <v>15649</v>
      </c>
      <c r="T102" s="1">
        <f>(60+53)/60</f>
        <v>1.8833333333333333</v>
      </c>
      <c r="U102" s="1">
        <f>(120+20/60)/60</f>
        <v>2.0055555555555555</v>
      </c>
      <c r="V102" s="1">
        <f t="shared" si="67"/>
        <v>0.12222222222222223</v>
      </c>
      <c r="W102" s="1">
        <f t="shared" ref="W102" si="72">P102/T102</f>
        <v>3.7699115044247788</v>
      </c>
      <c r="X102">
        <v>1</v>
      </c>
      <c r="Y102" s="1">
        <f t="shared" ref="Y102" si="73">P102/X102</f>
        <v>7.1</v>
      </c>
      <c r="Z102" s="1">
        <f>15+57/60</f>
        <v>15.95</v>
      </c>
      <c r="AA102" s="17">
        <v>840</v>
      </c>
      <c r="AB102" s="17">
        <v>876</v>
      </c>
      <c r="AC102" s="17">
        <v>92</v>
      </c>
      <c r="AD102" s="17">
        <v>151</v>
      </c>
      <c r="AE102" s="1">
        <f>14+58.7/60</f>
        <v>14.978333333333333</v>
      </c>
      <c r="AF102" s="1">
        <f>15+19.4/60</f>
        <v>15.323333333333334</v>
      </c>
      <c r="AG102" s="1">
        <f>15+43.3/60</f>
        <v>15.721666666666666</v>
      </c>
      <c r="AH102" s="1">
        <f>16+23.2/60</f>
        <v>16.386666666666667</v>
      </c>
      <c r="AI102" s="1">
        <f>16+17/60</f>
        <v>16.283333333333335</v>
      </c>
      <c r="AJ102" s="1">
        <f>16+48/60</f>
        <v>16.8</v>
      </c>
      <c r="AK102" s="1">
        <f>16+9.3/60</f>
        <v>16.155000000000001</v>
      </c>
      <c r="AL102" s="1">
        <f>60/3.8</f>
        <v>15.789473684210527</v>
      </c>
    </row>
    <row r="103" spans="1:50" x14ac:dyDescent="0.25">
      <c r="A103">
        <f>A102+1</f>
        <v>635</v>
      </c>
      <c r="B103" s="18">
        <v>43983.269444444442</v>
      </c>
      <c r="C103">
        <v>1</v>
      </c>
      <c r="F103" t="s">
        <v>50</v>
      </c>
      <c r="G103" s="17">
        <v>73</v>
      </c>
      <c r="I103" s="17">
        <f>AVERAGE(90,79)</f>
        <v>84.5</v>
      </c>
      <c r="M103" s="16" t="s">
        <v>66</v>
      </c>
      <c r="N103" t="s">
        <v>37</v>
      </c>
      <c r="O103" t="s">
        <v>80</v>
      </c>
      <c r="P103" s="1">
        <v>6.71</v>
      </c>
      <c r="R103" s="17">
        <v>15412</v>
      </c>
      <c r="T103" s="1">
        <f>(60+59)/60</f>
        <v>1.9833333333333334</v>
      </c>
      <c r="U103" s="1">
        <f>127/60</f>
        <v>2.1166666666666667</v>
      </c>
      <c r="V103" s="1">
        <f t="shared" si="67"/>
        <v>0.1333333333333333</v>
      </c>
      <c r="W103" s="1">
        <f t="shared" ref="W103" si="74">P103/T103</f>
        <v>3.3831932773109243</v>
      </c>
      <c r="X103">
        <v>1</v>
      </c>
      <c r="Y103" s="1">
        <f t="shared" ref="Y103" si="75">P103/X103</f>
        <v>6.71</v>
      </c>
      <c r="Z103" s="1">
        <f>17.67</f>
        <v>17.670000000000002</v>
      </c>
      <c r="AA103" s="17">
        <v>282</v>
      </c>
      <c r="AB103" s="17">
        <v>799</v>
      </c>
      <c r="AC103" s="17">
        <v>82</v>
      </c>
      <c r="AD103" s="17">
        <v>126</v>
      </c>
      <c r="AE103" s="1">
        <f>17+5.1/60</f>
        <v>17.085000000000001</v>
      </c>
      <c r="AF103" s="1">
        <f>16+27.3/60</f>
        <v>16.454999999999998</v>
      </c>
      <c r="AG103" s="1">
        <f>17+32/60</f>
        <v>17.533333333333335</v>
      </c>
      <c r="AH103" s="1">
        <f>17+45.1/60</f>
        <v>17.751666666666665</v>
      </c>
      <c r="AI103" s="1">
        <f>18+1/60</f>
        <v>18.016666666666666</v>
      </c>
      <c r="AJ103" s="1">
        <f>18+21/60</f>
        <v>18.350000000000001</v>
      </c>
      <c r="AK103" s="1">
        <f>60/3.4</f>
        <v>17.647058823529413</v>
      </c>
      <c r="AO103">
        <v>1</v>
      </c>
      <c r="AP103">
        <v>3</v>
      </c>
      <c r="AQ103" s="1">
        <f>27.25</f>
        <v>27.25</v>
      </c>
      <c r="AR103" s="1">
        <f>13+43/60</f>
        <v>13.716666666666667</v>
      </c>
      <c r="AS103" s="1">
        <f>14+50/60</f>
        <v>14.833333333333334</v>
      </c>
      <c r="AT103" s="1">
        <f>6+13/60</f>
        <v>6.2166666666666668</v>
      </c>
      <c r="AU103" s="1">
        <v>0</v>
      </c>
      <c r="AV103" t="s">
        <v>30</v>
      </c>
      <c r="AW103" t="s">
        <v>31</v>
      </c>
      <c r="AX103">
        <v>0</v>
      </c>
    </row>
    <row r="104" spans="1:50" x14ac:dyDescent="0.25">
      <c r="A104">
        <f>A103+1</f>
        <v>636</v>
      </c>
      <c r="B104" s="18">
        <v>43984.457638888889</v>
      </c>
      <c r="C104">
        <v>1</v>
      </c>
      <c r="F104" t="s">
        <v>50</v>
      </c>
      <c r="G104" s="17">
        <v>86</v>
      </c>
      <c r="I104" s="17">
        <v>53</v>
      </c>
      <c r="M104" s="16" t="s">
        <v>67</v>
      </c>
      <c r="N104" t="s">
        <v>37</v>
      </c>
      <c r="O104" t="s">
        <v>64</v>
      </c>
      <c r="P104" s="1">
        <v>7.04</v>
      </c>
      <c r="Q104" s="17">
        <v>1392</v>
      </c>
      <c r="R104" s="17">
        <v>16929</v>
      </c>
      <c r="S104" s="17">
        <f>R104-Q104</f>
        <v>15537</v>
      </c>
      <c r="T104" s="1">
        <f>(60+59)/60</f>
        <v>1.9833333333333334</v>
      </c>
      <c r="U104" s="1">
        <f>(120+26)/60</f>
        <v>2.4333333333333331</v>
      </c>
      <c r="V104" s="1">
        <f t="shared" si="67"/>
        <v>0.44999999999999973</v>
      </c>
      <c r="W104" s="1">
        <f t="shared" ref="W104" si="76">P104/T104</f>
        <v>3.5495798319327729</v>
      </c>
      <c r="X104">
        <v>1</v>
      </c>
      <c r="Y104" s="1">
        <f t="shared" ref="Y104" si="77">P104/X104</f>
        <v>7.04</v>
      </c>
      <c r="Z104" s="1">
        <f>16+53/60</f>
        <v>16.883333333333333</v>
      </c>
      <c r="AA104" s="17">
        <v>840</v>
      </c>
      <c r="AB104" s="17">
        <v>1174</v>
      </c>
      <c r="AC104" s="17">
        <v>118</v>
      </c>
      <c r="AD104" s="17">
        <v>154</v>
      </c>
      <c r="AE104" s="1">
        <f>15+43/60</f>
        <v>15.716666666666667</v>
      </c>
      <c r="AF104" s="1">
        <f>15+47/60</f>
        <v>15.783333333333333</v>
      </c>
      <c r="AG104" s="1">
        <f>17+4/60</f>
        <v>17.066666666666666</v>
      </c>
      <c r="AH104" s="1">
        <f>17+17/60</f>
        <v>17.283333333333335</v>
      </c>
      <c r="AI104" s="1">
        <f>17+44/60</f>
        <v>17.733333333333334</v>
      </c>
      <c r="AJ104" s="1">
        <f>17+38/60</f>
        <v>17.633333333333333</v>
      </c>
      <c r="AK104" s="1">
        <f>16+51/60</f>
        <v>16.850000000000001</v>
      </c>
      <c r="AL104" s="1">
        <f>60/3.6</f>
        <v>16.666666666666668</v>
      </c>
      <c r="AO104">
        <v>4</v>
      </c>
      <c r="AP104">
        <v>0</v>
      </c>
      <c r="AQ104" s="1">
        <f>3+28/60</f>
        <v>3.4666666666666668</v>
      </c>
      <c r="AR104" s="1">
        <f>36+3/60</f>
        <v>36.049999999999997</v>
      </c>
      <c r="AS104" s="1">
        <f>25+52/60</f>
        <v>25.866666666666667</v>
      </c>
      <c r="AT104" s="1">
        <f>15+28/60</f>
        <v>15.466666666666667</v>
      </c>
      <c r="AU104" s="1">
        <f>37+54/60</f>
        <v>37.9</v>
      </c>
      <c r="AV104" t="s">
        <v>30</v>
      </c>
      <c r="AW104" t="s">
        <v>31</v>
      </c>
      <c r="AX104">
        <v>0</v>
      </c>
    </row>
    <row r="105" spans="1:50" x14ac:dyDescent="0.25">
      <c r="A105">
        <f t="shared" ref="A105:A119" si="78">A104+1</f>
        <v>637</v>
      </c>
      <c r="B105" s="18">
        <v>43985.615972222222</v>
      </c>
      <c r="C105">
        <v>1</v>
      </c>
      <c r="F105" t="s">
        <v>32</v>
      </c>
      <c r="G105" s="17">
        <v>93</v>
      </c>
      <c r="I105" s="17">
        <v>47</v>
      </c>
      <c r="M105" s="16" t="s">
        <v>66</v>
      </c>
      <c r="N105" s="16" t="s">
        <v>34</v>
      </c>
      <c r="O105" s="16" t="s">
        <v>98</v>
      </c>
      <c r="P105" s="1">
        <v>4.62</v>
      </c>
      <c r="T105" s="1">
        <f>102/60</f>
        <v>1.7</v>
      </c>
      <c r="U105" s="1">
        <f>102/60</f>
        <v>1.7</v>
      </c>
      <c r="V105" s="1">
        <f t="shared" si="67"/>
        <v>0</v>
      </c>
      <c r="W105" s="1">
        <f t="shared" ref="W105" si="79">P105/T105</f>
        <v>2.7176470588235295</v>
      </c>
      <c r="X105">
        <v>2</v>
      </c>
      <c r="Y105" s="1">
        <f t="shared" ref="Y105" si="80">P105/X105</f>
        <v>2.31</v>
      </c>
      <c r="Z105" s="1">
        <f>22+1/60</f>
        <v>22.016666666666666</v>
      </c>
      <c r="AA105" s="17">
        <v>253</v>
      </c>
      <c r="AB105" s="17">
        <v>1044</v>
      </c>
      <c r="AC105" s="17">
        <v>118</v>
      </c>
      <c r="AD105" s="17">
        <v>134</v>
      </c>
      <c r="AE105" s="1">
        <f>22+49/60</f>
        <v>22.816666666666666</v>
      </c>
      <c r="AF105" s="1">
        <f>22+34/60</f>
        <v>22.566666666666666</v>
      </c>
      <c r="AG105" s="1">
        <f>22+29.7/60</f>
        <v>22.495000000000001</v>
      </c>
      <c r="AH105" s="1">
        <f>21+10.3/60</f>
        <v>21.171666666666667</v>
      </c>
      <c r="AI105" s="1">
        <f>60/2.9</f>
        <v>20.689655172413794</v>
      </c>
      <c r="AO105">
        <v>0</v>
      </c>
      <c r="AP105">
        <v>0</v>
      </c>
      <c r="AQ105" s="1">
        <v>3.25</v>
      </c>
      <c r="AR105" s="1">
        <f>19+33/60</f>
        <v>19.55</v>
      </c>
      <c r="AS105" s="1">
        <f>6+2/60</f>
        <v>6.0333333333333332</v>
      </c>
      <c r="AT105" s="1">
        <f>70+13/60</f>
        <v>70.216666666666669</v>
      </c>
      <c r="AU105" s="1">
        <f>2.5</f>
        <v>2.5</v>
      </c>
      <c r="AV105" t="s">
        <v>30</v>
      </c>
      <c r="AW105" t="s">
        <v>31</v>
      </c>
      <c r="AX105">
        <v>0</v>
      </c>
    </row>
    <row r="106" spans="1:50" x14ac:dyDescent="0.25">
      <c r="A106">
        <f t="shared" si="78"/>
        <v>638</v>
      </c>
      <c r="B106" s="18">
        <v>43986.412499999999</v>
      </c>
      <c r="C106">
        <v>1</v>
      </c>
      <c r="F106" t="s">
        <v>32</v>
      </c>
      <c r="G106" s="17">
        <f>AVERAGE(83,86)</f>
        <v>84.5</v>
      </c>
      <c r="I106" s="17">
        <f>AVERAGE(72,67)</f>
        <v>69.5</v>
      </c>
      <c r="M106" s="16" t="s">
        <v>66</v>
      </c>
      <c r="N106" t="s">
        <v>37</v>
      </c>
      <c r="O106" s="16" t="s">
        <v>98</v>
      </c>
      <c r="P106" s="1">
        <v>4.0599999999999996</v>
      </c>
      <c r="Q106" s="17">
        <v>1196</v>
      </c>
      <c r="R106" s="17">
        <v>12451</v>
      </c>
      <c r="S106" s="17">
        <f>R106-Q106</f>
        <v>11255</v>
      </c>
      <c r="T106" s="1">
        <f>91/60</f>
        <v>1.5166666666666666</v>
      </c>
      <c r="U106" s="1">
        <f>97/60</f>
        <v>1.6166666666666667</v>
      </c>
      <c r="V106" s="1">
        <f t="shared" si="67"/>
        <v>0.10000000000000009</v>
      </c>
      <c r="W106" s="1">
        <f t="shared" ref="W106" si="81">P106/T106</f>
        <v>2.6769230769230767</v>
      </c>
      <c r="X106" s="16">
        <v>2</v>
      </c>
      <c r="Y106" s="1">
        <f t="shared" ref="Y106" si="82">P106/X106</f>
        <v>2.0299999999999998</v>
      </c>
      <c r="Z106" s="1">
        <f>22+19/60</f>
        <v>22.316666666666666</v>
      </c>
      <c r="AA106" s="17">
        <v>62</v>
      </c>
      <c r="AB106" s="17">
        <v>824</v>
      </c>
      <c r="AC106" s="17">
        <v>112</v>
      </c>
      <c r="AD106" s="17">
        <v>128</v>
      </c>
      <c r="AE106" s="1">
        <f>20+42/60</f>
        <v>20.7</v>
      </c>
      <c r="AF106" s="1">
        <f>23+10/60</f>
        <v>23.166666666666668</v>
      </c>
      <c r="AG106" s="1">
        <f>23+37/60</f>
        <v>23.616666666666667</v>
      </c>
      <c r="AH106" s="1">
        <f>21+49/60</f>
        <v>21.816666666666666</v>
      </c>
      <c r="AI106" s="1">
        <f>60/2.7</f>
        <v>22.222222222222221</v>
      </c>
      <c r="AO106">
        <v>1</v>
      </c>
      <c r="AP106">
        <v>0</v>
      </c>
      <c r="AQ106" s="1">
        <f>5+38/60</f>
        <v>5.6333333333333329</v>
      </c>
      <c r="AR106" s="1">
        <f>10+45/60</f>
        <v>10.75</v>
      </c>
      <c r="AS106" s="1">
        <f>53+46/60</f>
        <v>53.766666666666666</v>
      </c>
      <c r="AT106" s="1">
        <f>20</f>
        <v>20</v>
      </c>
      <c r="AU106" s="1">
        <v>0</v>
      </c>
      <c r="AV106" s="16" t="s">
        <v>30</v>
      </c>
      <c r="AW106" s="16" t="s">
        <v>31</v>
      </c>
      <c r="AX106" s="16">
        <v>0</v>
      </c>
    </row>
    <row r="107" spans="1:50" x14ac:dyDescent="0.25">
      <c r="A107">
        <f t="shared" si="78"/>
        <v>639</v>
      </c>
      <c r="B107" s="18">
        <v>43987.5</v>
      </c>
      <c r="C107">
        <v>0</v>
      </c>
      <c r="D107" t="s">
        <v>83</v>
      </c>
      <c r="F107" t="s">
        <v>32</v>
      </c>
      <c r="G107" s="17">
        <v>90</v>
      </c>
      <c r="I107" s="17">
        <v>74</v>
      </c>
    </row>
    <row r="108" spans="1:50" x14ac:dyDescent="0.25">
      <c r="A108">
        <f t="shared" si="78"/>
        <v>640</v>
      </c>
      <c r="B108" s="18">
        <v>43988.472916666666</v>
      </c>
      <c r="C108">
        <v>1</v>
      </c>
      <c r="F108" t="s">
        <v>32</v>
      </c>
      <c r="G108" s="17">
        <f>AVERAGE(90,91)</f>
        <v>90.5</v>
      </c>
      <c r="I108" s="17">
        <f>AVERAGE(50,48)</f>
        <v>49</v>
      </c>
      <c r="M108" s="16" t="s">
        <v>66</v>
      </c>
      <c r="N108" t="s">
        <v>37</v>
      </c>
      <c r="O108" s="16" t="s">
        <v>98</v>
      </c>
      <c r="P108" s="1">
        <v>5.87</v>
      </c>
      <c r="T108" s="1">
        <f>123/60</f>
        <v>2.0499999999999998</v>
      </c>
      <c r="U108" s="1">
        <f>124/60</f>
        <v>2.0666666666666669</v>
      </c>
      <c r="V108" s="1">
        <f>U108-T108</f>
        <v>1.6666666666667052E-2</v>
      </c>
      <c r="W108" s="1">
        <f t="shared" ref="W108" si="83">P108/T108</f>
        <v>2.8634146341463418</v>
      </c>
      <c r="X108">
        <v>2</v>
      </c>
      <c r="Y108" s="1">
        <f t="shared" ref="Y108" si="84">P108/X108</f>
        <v>2.9350000000000001</v>
      </c>
      <c r="Z108" s="1">
        <f>20+53/60</f>
        <v>20.883333333333333</v>
      </c>
      <c r="AA108" s="17">
        <v>302</v>
      </c>
      <c r="AB108" s="17">
        <v>1491</v>
      </c>
      <c r="AC108" s="17">
        <v>130</v>
      </c>
      <c r="AD108" s="17">
        <v>150</v>
      </c>
      <c r="AE108" s="1">
        <f>18+29/60</f>
        <v>18.483333333333334</v>
      </c>
      <c r="AF108" s="1">
        <f>22+8/60</f>
        <v>22.133333333333333</v>
      </c>
      <c r="AG108" s="1">
        <f>22+17/60</f>
        <v>22.283333333333335</v>
      </c>
      <c r="AH108" s="1">
        <f>19+3/50</f>
        <v>19.059999999999999</v>
      </c>
      <c r="AI108" s="1">
        <f>20+59/60</f>
        <v>20.983333333333334</v>
      </c>
      <c r="AJ108" s="1">
        <f>60/2.6</f>
        <v>23.076923076923077</v>
      </c>
      <c r="AO108">
        <v>0</v>
      </c>
      <c r="AP108">
        <v>0</v>
      </c>
      <c r="AQ108" s="1">
        <v>0</v>
      </c>
      <c r="AR108" s="1">
        <f>25/60</f>
        <v>0.41666666666666669</v>
      </c>
      <c r="AS108" s="1">
        <f>5+33/60</f>
        <v>5.55</v>
      </c>
      <c r="AT108" s="1">
        <f>81+3/60</f>
        <v>81.05</v>
      </c>
      <c r="AU108" s="1">
        <f>35+41/60</f>
        <v>35.68333333333333</v>
      </c>
      <c r="AV108" t="s">
        <v>30</v>
      </c>
      <c r="AW108" t="s">
        <v>31</v>
      </c>
      <c r="AX108">
        <v>0</v>
      </c>
    </row>
    <row r="109" spans="1:50" x14ac:dyDescent="0.25">
      <c r="A109">
        <f t="shared" si="78"/>
        <v>641</v>
      </c>
      <c r="B109" s="18">
        <v>43989.51458333333</v>
      </c>
      <c r="C109">
        <v>0</v>
      </c>
      <c r="D109" t="s">
        <v>39</v>
      </c>
      <c r="F109" t="s">
        <v>32</v>
      </c>
      <c r="G109" s="17">
        <v>91</v>
      </c>
      <c r="I109" s="17">
        <v>50</v>
      </c>
      <c r="M109" s="16" t="s">
        <v>66</v>
      </c>
    </row>
    <row r="110" spans="1:50" x14ac:dyDescent="0.25">
      <c r="A110">
        <f t="shared" si="78"/>
        <v>642</v>
      </c>
      <c r="B110" s="18">
        <v>43990.568749999999</v>
      </c>
      <c r="C110">
        <v>1</v>
      </c>
      <c r="F110" t="s">
        <v>32</v>
      </c>
      <c r="G110" s="17">
        <v>95</v>
      </c>
      <c r="I110" s="17">
        <v>41</v>
      </c>
      <c r="M110" s="16" t="s">
        <v>66</v>
      </c>
      <c r="N110" t="s">
        <v>37</v>
      </c>
      <c r="O110" s="16" t="s">
        <v>98</v>
      </c>
      <c r="P110" s="1">
        <v>5.78</v>
      </c>
      <c r="Q110" s="17">
        <v>1718</v>
      </c>
      <c r="R110" s="17">
        <v>17665</v>
      </c>
      <c r="S110" s="17">
        <f>R110-Q110</f>
        <v>15947</v>
      </c>
      <c r="T110" s="1">
        <f>126/60</f>
        <v>2.1</v>
      </c>
      <c r="U110" s="1">
        <f>128/60</f>
        <v>2.1333333333333333</v>
      </c>
      <c r="V110" s="1">
        <f t="shared" ref="V110:V119" si="85">U110-T110</f>
        <v>3.3333333333333215E-2</v>
      </c>
      <c r="W110" s="1">
        <f t="shared" ref="W110:W111" si="86">P110/T110</f>
        <v>2.7523809523809524</v>
      </c>
      <c r="X110">
        <v>2</v>
      </c>
      <c r="Y110" s="1">
        <f t="shared" ref="Y110:Y111" si="87">P110/X110</f>
        <v>2.89</v>
      </c>
      <c r="Z110" s="1">
        <f>21+49/60</f>
        <v>21.816666666666666</v>
      </c>
      <c r="AA110" s="17">
        <v>177</v>
      </c>
      <c r="AB110" s="17">
        <v>1313</v>
      </c>
      <c r="AC110" s="17">
        <v>122</v>
      </c>
      <c r="AD110" s="17">
        <v>151</v>
      </c>
      <c r="AE110" s="1">
        <f>18+28/60</f>
        <v>18.466666666666665</v>
      </c>
      <c r="AF110" s="1">
        <f>22+8/60</f>
        <v>22.133333333333333</v>
      </c>
      <c r="AG110" s="1">
        <f>23+53/60</f>
        <v>23.883333333333333</v>
      </c>
      <c r="AH110" s="1">
        <f>21+19/60</f>
        <v>21.316666666666666</v>
      </c>
      <c r="AI110" s="1">
        <f>21+8/60</f>
        <v>21.133333333333333</v>
      </c>
      <c r="AJ110" s="1">
        <f>60/2.7</f>
        <v>22.222222222222221</v>
      </c>
      <c r="AO110">
        <v>1</v>
      </c>
      <c r="AP110">
        <v>1</v>
      </c>
      <c r="AQ110" s="1">
        <f>4+27/60</f>
        <v>4.45</v>
      </c>
      <c r="AR110" s="1">
        <f>20+54/60</f>
        <v>20.9</v>
      </c>
      <c r="AS110" s="1">
        <f>9+35/60</f>
        <v>9.5833333333333339</v>
      </c>
      <c r="AT110" s="1">
        <f>67+24/60</f>
        <v>67.400000000000006</v>
      </c>
      <c r="AU110" s="1">
        <f>23+55/60</f>
        <v>23.916666666666668</v>
      </c>
      <c r="AV110" t="s">
        <v>30</v>
      </c>
      <c r="AW110" t="s">
        <v>31</v>
      </c>
      <c r="AX110">
        <v>0</v>
      </c>
    </row>
    <row r="111" spans="1:50" x14ac:dyDescent="0.25">
      <c r="A111">
        <f t="shared" si="78"/>
        <v>643</v>
      </c>
      <c r="B111" s="18">
        <v>44052.42291666667</v>
      </c>
      <c r="C111">
        <v>1</v>
      </c>
      <c r="F111" t="s">
        <v>32</v>
      </c>
      <c r="G111" s="17">
        <v>90</v>
      </c>
      <c r="I111" s="17">
        <v>57</v>
      </c>
      <c r="M111" s="16" t="s">
        <v>66</v>
      </c>
      <c r="N111" t="s">
        <v>37</v>
      </c>
      <c r="O111" s="16" t="s">
        <v>98</v>
      </c>
      <c r="P111" s="1">
        <v>2.97</v>
      </c>
      <c r="T111" s="1">
        <f>64/60</f>
        <v>1.0666666666666667</v>
      </c>
      <c r="U111" s="1">
        <f>T111</f>
        <v>1.0666666666666667</v>
      </c>
      <c r="V111" s="1">
        <f t="shared" si="85"/>
        <v>0</v>
      </c>
      <c r="W111" s="1">
        <f t="shared" si="86"/>
        <v>2.7843750000000003</v>
      </c>
      <c r="X111">
        <v>1</v>
      </c>
      <c r="Y111" s="1">
        <f t="shared" si="87"/>
        <v>2.97</v>
      </c>
      <c r="Z111" s="1">
        <f>21+31/60</f>
        <v>21.516666666666666</v>
      </c>
      <c r="AA111" s="17">
        <v>210</v>
      </c>
      <c r="AB111" s="17">
        <v>649</v>
      </c>
      <c r="AC111" s="17">
        <v>119</v>
      </c>
      <c r="AD111" s="17">
        <v>137</v>
      </c>
      <c r="AE111" s="1">
        <f>20+46/60</f>
        <v>20.766666666666666</v>
      </c>
      <c r="AF111" s="1">
        <f>20+15/60</f>
        <v>20.25</v>
      </c>
      <c r="AG111" s="1">
        <f>60/2.8</f>
        <v>21.428571428571431</v>
      </c>
      <c r="AO111">
        <v>0</v>
      </c>
      <c r="AP111">
        <v>0</v>
      </c>
      <c r="AQ111" s="1">
        <f>19/60</f>
        <v>0.31666666666666665</v>
      </c>
      <c r="AR111" s="1">
        <f>9+11/60</f>
        <v>9.1833333333333336</v>
      </c>
      <c r="AS111" s="1">
        <f>14+1/60</f>
        <v>14.016666666666667</v>
      </c>
      <c r="AT111" s="1">
        <f>39+45/60</f>
        <v>39.75</v>
      </c>
      <c r="AU111" s="1">
        <f>41/60</f>
        <v>0.68333333333333335</v>
      </c>
      <c r="AV111" t="s">
        <v>30</v>
      </c>
      <c r="AW111" t="s">
        <v>31</v>
      </c>
      <c r="AX111">
        <v>0</v>
      </c>
    </row>
    <row r="112" spans="1:50" x14ac:dyDescent="0.25">
      <c r="A112">
        <f t="shared" si="78"/>
        <v>644</v>
      </c>
      <c r="B112" s="18">
        <v>44052.474999999999</v>
      </c>
      <c r="C112">
        <v>1</v>
      </c>
      <c r="F112" t="s">
        <v>32</v>
      </c>
      <c r="G112" s="17">
        <v>97</v>
      </c>
      <c r="I112" s="17">
        <v>26</v>
      </c>
      <c r="M112" s="16" t="s">
        <v>66</v>
      </c>
      <c r="N112" t="s">
        <v>37</v>
      </c>
      <c r="O112" s="16" t="s">
        <v>85</v>
      </c>
      <c r="P112" s="1">
        <v>1.25</v>
      </c>
      <c r="T112" s="1">
        <f>31/60</f>
        <v>0.51666666666666672</v>
      </c>
      <c r="U112" s="1">
        <f>32/60</f>
        <v>0.53333333333333333</v>
      </c>
      <c r="V112" s="1">
        <f t="shared" si="85"/>
        <v>1.6666666666666607E-2</v>
      </c>
      <c r="W112" s="1">
        <f t="shared" ref="W112:W113" si="88">P112/T112</f>
        <v>2.419354838709677</v>
      </c>
      <c r="X112">
        <v>1</v>
      </c>
      <c r="Y112" s="1">
        <f t="shared" ref="Y112:Y113" si="89">P112/X112</f>
        <v>1.25</v>
      </c>
      <c r="Z112" s="1">
        <f>24+54/60</f>
        <v>24.9</v>
      </c>
      <c r="AA112" s="17">
        <v>16</v>
      </c>
      <c r="AB112" s="17">
        <v>279</v>
      </c>
      <c r="AC112" s="17">
        <v>108</v>
      </c>
      <c r="AD112" s="17">
        <v>120</v>
      </c>
      <c r="AE112" s="1">
        <f>24+17/60</f>
        <v>24.283333333333335</v>
      </c>
      <c r="AF112" s="1">
        <f>60/2.4</f>
        <v>25</v>
      </c>
      <c r="AO112">
        <v>0</v>
      </c>
      <c r="AP112">
        <v>0</v>
      </c>
      <c r="AQ112" s="1">
        <v>0</v>
      </c>
      <c r="AR112" s="1">
        <f>9+20/60</f>
        <v>9.3333333333333339</v>
      </c>
      <c r="AS112" s="1">
        <f>21+26/60</f>
        <v>21.433333333333334</v>
      </c>
      <c r="AT112" s="1">
        <v>0.33333333333333331</v>
      </c>
      <c r="AU112" s="1">
        <v>0</v>
      </c>
      <c r="AV112" t="s">
        <v>30</v>
      </c>
      <c r="AW112" t="s">
        <v>31</v>
      </c>
      <c r="AX112">
        <v>0</v>
      </c>
    </row>
    <row r="113" spans="1:50" x14ac:dyDescent="0.25">
      <c r="A113">
        <f t="shared" si="78"/>
        <v>645</v>
      </c>
      <c r="B113" s="18">
        <v>44053.533333333333</v>
      </c>
      <c r="C113">
        <v>1</v>
      </c>
      <c r="F113" t="s">
        <v>32</v>
      </c>
      <c r="G113" s="17">
        <v>76</v>
      </c>
      <c r="H113" s="17">
        <v>43</v>
      </c>
      <c r="I113" s="17">
        <v>23</v>
      </c>
      <c r="J113" s="17" t="s">
        <v>92</v>
      </c>
      <c r="K113" s="17">
        <v>12</v>
      </c>
      <c r="L113" s="17">
        <v>25</v>
      </c>
      <c r="M113" s="16" t="s">
        <v>67</v>
      </c>
      <c r="N113" t="s">
        <v>34</v>
      </c>
      <c r="O113" t="s">
        <v>33</v>
      </c>
      <c r="P113" s="1">
        <v>7.53</v>
      </c>
      <c r="Q113" s="17">
        <v>1541</v>
      </c>
      <c r="R113" s="17">
        <v>17850</v>
      </c>
      <c r="S113" s="17">
        <f>R113-Q113</f>
        <v>16309</v>
      </c>
      <c r="T113" s="1">
        <f>119/60</f>
        <v>1.9833333333333334</v>
      </c>
      <c r="U113" s="1">
        <v>2.2833333333333332</v>
      </c>
      <c r="V113" s="1">
        <f t="shared" si="85"/>
        <v>0.29999999999999982</v>
      </c>
      <c r="W113" s="1">
        <f t="shared" si="88"/>
        <v>3.7966386554621847</v>
      </c>
      <c r="X113">
        <v>1</v>
      </c>
      <c r="Y113" s="1">
        <f t="shared" si="89"/>
        <v>7.53</v>
      </c>
      <c r="Z113" s="1">
        <f>15+49/60</f>
        <v>15.816666666666666</v>
      </c>
      <c r="AA113" s="17">
        <v>151</v>
      </c>
      <c r="AB113" s="17">
        <v>1211</v>
      </c>
      <c r="AC113" s="17">
        <v>122</v>
      </c>
      <c r="AD113" s="17">
        <v>151</v>
      </c>
      <c r="AE113" s="1">
        <f>15+17/60</f>
        <v>15.283333333333333</v>
      </c>
      <c r="AF113" s="1">
        <f>15+2/60</f>
        <v>15.033333333333333</v>
      </c>
      <c r="AG113" s="1">
        <f>15+10/60</f>
        <v>15.166666666666666</v>
      </c>
      <c r="AH113" s="1">
        <f>15+49/60</f>
        <v>15.816666666666666</v>
      </c>
      <c r="AI113" s="1">
        <f>16+56/60</f>
        <v>16.933333333333334</v>
      </c>
      <c r="AJ113" s="1">
        <f>16+42/60</f>
        <v>16.7</v>
      </c>
      <c r="AK113" s="1">
        <f>16+42/60</f>
        <v>16.7</v>
      </c>
      <c r="AL113" s="1">
        <f>60/3.7</f>
        <v>16.216216216216214</v>
      </c>
      <c r="AO113">
        <v>5</v>
      </c>
      <c r="AP113">
        <v>1</v>
      </c>
      <c r="AQ113" s="1">
        <f>51/60</f>
        <v>0.85</v>
      </c>
      <c r="AR113" s="1">
        <f>(33+3/60)</f>
        <v>33.049999999999997</v>
      </c>
      <c r="AS113" s="1">
        <f>17/60</f>
        <v>0.28333333333333333</v>
      </c>
      <c r="AT113" s="1">
        <f>(14+54/60)/60</f>
        <v>0.24833333333333335</v>
      </c>
      <c r="AU113" s="1">
        <f>(53+18/60)/60</f>
        <v>0.88833333333333331</v>
      </c>
      <c r="AV113" t="s">
        <v>30</v>
      </c>
      <c r="AW113" t="s">
        <v>31</v>
      </c>
      <c r="AX113">
        <v>0</v>
      </c>
    </row>
    <row r="114" spans="1:50" x14ac:dyDescent="0.25">
      <c r="A114">
        <f t="shared" si="78"/>
        <v>646</v>
      </c>
      <c r="B114" s="18">
        <v>43993.415972222225</v>
      </c>
      <c r="C114">
        <v>1</v>
      </c>
      <c r="F114" t="s">
        <v>32</v>
      </c>
      <c r="G114" s="17">
        <v>87</v>
      </c>
      <c r="H114" s="17">
        <f>AVERAGE(47,48)</f>
        <v>47.5</v>
      </c>
      <c r="I114" s="17">
        <v>26</v>
      </c>
      <c r="J114" s="17" t="s">
        <v>94</v>
      </c>
      <c r="K114" s="17">
        <v>7</v>
      </c>
      <c r="L114" s="17">
        <v>0</v>
      </c>
      <c r="M114" s="16" t="s">
        <v>67</v>
      </c>
      <c r="N114" t="s">
        <v>34</v>
      </c>
      <c r="O114" t="s">
        <v>64</v>
      </c>
      <c r="P114" s="1">
        <v>5.23</v>
      </c>
      <c r="Q114" s="17">
        <v>1265</v>
      </c>
      <c r="R114" s="17">
        <v>12504</v>
      </c>
      <c r="S114" s="17">
        <f>R114-Q114</f>
        <v>11239</v>
      </c>
      <c r="T114" s="1">
        <f>87/60</f>
        <v>1.45</v>
      </c>
      <c r="U114" s="1">
        <f>95/60</f>
        <v>1.5833333333333333</v>
      </c>
      <c r="V114" s="1">
        <f t="shared" si="85"/>
        <v>0.1333333333333333</v>
      </c>
      <c r="W114" s="1">
        <f t="shared" ref="W114" si="90">P114/T114</f>
        <v>3.6068965517241383</v>
      </c>
      <c r="X114">
        <v>1</v>
      </c>
      <c r="Y114" s="1">
        <f t="shared" ref="Y114" si="91">P114/X114</f>
        <v>5.23</v>
      </c>
      <c r="Z114" s="1">
        <f>16+34/60</f>
        <v>16.566666666666666</v>
      </c>
      <c r="AA114" s="17">
        <v>135</v>
      </c>
      <c r="AB114" s="17">
        <v>745</v>
      </c>
      <c r="AC114" s="17">
        <v>119</v>
      </c>
      <c r="AD114" s="17">
        <v>131</v>
      </c>
      <c r="AE114" s="1">
        <f>15+45/60</f>
        <v>15.75</v>
      </c>
      <c r="AF114" s="1">
        <f>17+9/60</f>
        <v>17.149999999999999</v>
      </c>
      <c r="AG114" s="1">
        <f>16+56/60</f>
        <v>16.933333333333334</v>
      </c>
      <c r="AH114" s="1">
        <f>16+36/60</f>
        <v>16.600000000000001</v>
      </c>
      <c r="AI114" s="1">
        <f>16+24/60</f>
        <v>16.399999999999999</v>
      </c>
      <c r="AJ114" s="1">
        <f>60/3.6</f>
        <v>16.666666666666668</v>
      </c>
      <c r="AO114">
        <v>0</v>
      </c>
      <c r="AP114">
        <v>0</v>
      </c>
      <c r="AQ114" s="1">
        <v>0</v>
      </c>
      <c r="AR114" s="1">
        <f>7+16/60</f>
        <v>7.2666666666666666</v>
      </c>
      <c r="AS114" s="1">
        <f>25+43/60</f>
        <v>25.716666666666665</v>
      </c>
      <c r="AT114" s="1">
        <f>53+38/60</f>
        <v>53.633333333333333</v>
      </c>
      <c r="AU114" s="1">
        <v>0</v>
      </c>
      <c r="AV114" t="s">
        <v>30</v>
      </c>
      <c r="AW114" t="s">
        <v>31</v>
      </c>
      <c r="AX114">
        <v>0</v>
      </c>
    </row>
    <row r="115" spans="1:50" x14ac:dyDescent="0.25">
      <c r="A115">
        <f t="shared" si="78"/>
        <v>647</v>
      </c>
      <c r="B115" s="18">
        <v>43994.463194444441</v>
      </c>
      <c r="C115">
        <v>1</v>
      </c>
      <c r="F115" t="s">
        <v>32</v>
      </c>
      <c r="G115" s="17">
        <f>AVERAGE(74,77)</f>
        <v>75.5</v>
      </c>
      <c r="H115" s="17">
        <v>60</v>
      </c>
      <c r="I115" s="17">
        <f>AVERAGE(59,56)</f>
        <v>57.5</v>
      </c>
      <c r="J115" s="17" t="s">
        <v>95</v>
      </c>
      <c r="K115" s="17">
        <v>15</v>
      </c>
      <c r="L115" s="17">
        <v>29</v>
      </c>
      <c r="M115" s="16" t="s">
        <v>67</v>
      </c>
      <c r="N115" t="s">
        <v>37</v>
      </c>
      <c r="O115" t="s">
        <v>48</v>
      </c>
      <c r="P115" s="1">
        <v>7.84</v>
      </c>
      <c r="Q115" s="17">
        <v>591</v>
      </c>
      <c r="R115" s="17">
        <v>18113</v>
      </c>
      <c r="S115" s="17">
        <f>R115-Q115</f>
        <v>17522</v>
      </c>
      <c r="T115" s="1">
        <f>(120+12)/60</f>
        <v>2.2000000000000002</v>
      </c>
      <c r="U115" s="1">
        <f>(120+44)/60</f>
        <v>2.7333333333333334</v>
      </c>
      <c r="V115" s="1">
        <f t="shared" si="85"/>
        <v>0.53333333333333321</v>
      </c>
      <c r="W115" s="1">
        <f t="shared" ref="W115" si="92">P115/T115</f>
        <v>3.5636363636363635</v>
      </c>
      <c r="X115">
        <v>1</v>
      </c>
      <c r="Y115" s="1">
        <f t="shared" ref="Y115" si="93">P115/X115</f>
        <v>7.84</v>
      </c>
      <c r="Z115" s="1">
        <f>16+51/60</f>
        <v>16.850000000000001</v>
      </c>
      <c r="AA115" s="17">
        <v>515</v>
      </c>
      <c r="AB115" s="17">
        <v>1333</v>
      </c>
      <c r="AC115" s="17">
        <v>123</v>
      </c>
      <c r="AD115" s="17">
        <v>151</v>
      </c>
      <c r="AE115" s="1">
        <f>15+3/60</f>
        <v>15.05</v>
      </c>
      <c r="AF115" s="1">
        <f>14+57/60</f>
        <v>14.95</v>
      </c>
      <c r="AG115" s="1">
        <f>15+38/60</f>
        <v>15.633333333333333</v>
      </c>
      <c r="AH115" s="1">
        <f>16+28/60</f>
        <v>16.466666666666665</v>
      </c>
      <c r="AI115" s="1">
        <f>18+22/60</f>
        <v>18.366666666666667</v>
      </c>
      <c r="AJ115" s="1">
        <f>18+54/60</f>
        <v>18.899999999999999</v>
      </c>
      <c r="AK115" s="1">
        <f>18+13/60</f>
        <v>18.216666666666665</v>
      </c>
      <c r="AL115" s="1">
        <f>60/3.6</f>
        <v>16.666666666666668</v>
      </c>
      <c r="AO115">
        <v>6</v>
      </c>
      <c r="AP115">
        <v>0</v>
      </c>
      <c r="AQ115" s="1">
        <f>1+20/60</f>
        <v>1.3333333333333333</v>
      </c>
      <c r="AR115" s="1">
        <f>23+7/60</f>
        <v>23.116666666666667</v>
      </c>
      <c r="AS115" s="1">
        <f>16+33/60</f>
        <v>16.55</v>
      </c>
      <c r="AT115" s="1">
        <f>49+58/60</f>
        <v>49.966666666666669</v>
      </c>
      <c r="AU115" s="1">
        <f>(41+16/60)/60</f>
        <v>0.68777777777777771</v>
      </c>
      <c r="AV115" s="16" t="s">
        <v>30</v>
      </c>
      <c r="AW115" s="16" t="s">
        <v>31</v>
      </c>
      <c r="AX115" s="16">
        <v>0</v>
      </c>
    </row>
    <row r="116" spans="1:50" x14ac:dyDescent="0.25">
      <c r="A116">
        <f t="shared" si="78"/>
        <v>648</v>
      </c>
      <c r="B116" s="18">
        <v>43995.521527777775</v>
      </c>
      <c r="C116">
        <v>1</v>
      </c>
      <c r="F116" t="s">
        <v>32</v>
      </c>
      <c r="G116" s="17">
        <v>92</v>
      </c>
      <c r="H116" s="17">
        <v>56</v>
      </c>
      <c r="I116" s="17">
        <v>30</v>
      </c>
      <c r="J116" s="17" t="s">
        <v>95</v>
      </c>
      <c r="K116" s="17">
        <v>13</v>
      </c>
      <c r="L116" s="17">
        <v>22</v>
      </c>
      <c r="M116" s="16" t="s">
        <v>67</v>
      </c>
      <c r="N116" t="s">
        <v>34</v>
      </c>
      <c r="O116" t="s">
        <v>85</v>
      </c>
      <c r="P116" s="1">
        <v>5.32</v>
      </c>
      <c r="T116" s="1">
        <f>131/60</f>
        <v>2.1833333333333331</v>
      </c>
      <c r="U116" s="1">
        <f>132/60</f>
        <v>2.2000000000000002</v>
      </c>
      <c r="V116" s="1">
        <f t="shared" si="85"/>
        <v>1.6666666666667052E-2</v>
      </c>
      <c r="W116" s="1">
        <f t="shared" ref="W116" si="94">P116/T116</f>
        <v>2.436641221374046</v>
      </c>
      <c r="X116">
        <v>4</v>
      </c>
      <c r="Y116" s="1">
        <f t="shared" ref="Y116" si="95">P116/X116</f>
        <v>1.33</v>
      </c>
      <c r="Z116" s="1">
        <f>24+35/60</f>
        <v>24.583333333333332</v>
      </c>
      <c r="AA116" s="17">
        <v>89</v>
      </c>
      <c r="AB116" s="17">
        <v>641</v>
      </c>
      <c r="AC116" s="17">
        <v>84</v>
      </c>
      <c r="AD116" s="17">
        <v>124</v>
      </c>
      <c r="AE116" s="1">
        <f>24+53/60</f>
        <v>24.883333333333333</v>
      </c>
      <c r="AF116" s="1">
        <f>21+45/60</f>
        <v>21.75</v>
      </c>
      <c r="AG116" s="1">
        <f>22+46/60</f>
        <v>22.766666666666666</v>
      </c>
      <c r="AH116" s="1">
        <f>28+29/60</f>
        <v>28.483333333333334</v>
      </c>
      <c r="AI116" s="1">
        <f>25+33/60</f>
        <v>25.55</v>
      </c>
      <c r="AJ116" s="1">
        <f>60/2.6</f>
        <v>23.076923076923077</v>
      </c>
      <c r="AO116">
        <v>0</v>
      </c>
      <c r="AP116">
        <v>0</v>
      </c>
      <c r="AQ116" s="1">
        <f>52+36/60</f>
        <v>52.6</v>
      </c>
      <c r="AR116" s="1">
        <f>15+57/60</f>
        <v>15.95</v>
      </c>
      <c r="AS116" s="1">
        <f>20+35/60</f>
        <v>20.583333333333332</v>
      </c>
      <c r="AT116" s="1">
        <f>59/60</f>
        <v>0.98333333333333328</v>
      </c>
      <c r="AU116" s="1">
        <v>0</v>
      </c>
      <c r="AV116" t="s">
        <v>30</v>
      </c>
      <c r="AW116" t="s">
        <v>31</v>
      </c>
      <c r="AX116">
        <v>0</v>
      </c>
    </row>
    <row r="117" spans="1:50" x14ac:dyDescent="0.25">
      <c r="A117">
        <f t="shared" si="78"/>
        <v>649</v>
      </c>
      <c r="B117" s="18">
        <v>43996.521527777775</v>
      </c>
      <c r="C117">
        <v>1</v>
      </c>
      <c r="F117" t="s">
        <v>32</v>
      </c>
      <c r="G117" s="17">
        <v>92</v>
      </c>
      <c r="H117" s="17">
        <v>57</v>
      </c>
      <c r="I117" s="17">
        <v>31</v>
      </c>
      <c r="J117" s="17" t="s">
        <v>96</v>
      </c>
      <c r="K117" s="17">
        <v>13</v>
      </c>
      <c r="L117" s="17">
        <v>18</v>
      </c>
      <c r="M117" s="16" t="s">
        <v>67</v>
      </c>
      <c r="N117" t="s">
        <v>37</v>
      </c>
      <c r="O117" s="16" t="s">
        <v>85</v>
      </c>
      <c r="P117" s="1">
        <v>4.32</v>
      </c>
      <c r="Q117" s="17">
        <v>1624</v>
      </c>
      <c r="R117" s="17">
        <v>15611</v>
      </c>
      <c r="S117" s="17">
        <f>R117-Q117</f>
        <v>13987</v>
      </c>
      <c r="T117" s="1">
        <f>109/60</f>
        <v>1.8166666666666667</v>
      </c>
      <c r="U117" s="1">
        <f>111/60</f>
        <v>1.85</v>
      </c>
      <c r="V117" s="1">
        <f t="shared" si="85"/>
        <v>3.3333333333333437E-2</v>
      </c>
      <c r="W117" s="1">
        <f t="shared" ref="W117" si="96">P117/T117</f>
        <v>2.3779816513761469</v>
      </c>
      <c r="X117">
        <v>3</v>
      </c>
      <c r="Y117" s="1">
        <f t="shared" ref="Y117" si="97">P117/X117</f>
        <v>1.4400000000000002</v>
      </c>
      <c r="Z117" s="1">
        <f>25+22/60</f>
        <v>25.366666666666667</v>
      </c>
      <c r="AA117" s="17">
        <v>72</v>
      </c>
      <c r="AB117" s="17">
        <v>679</v>
      </c>
      <c r="AC117" s="17">
        <v>101</v>
      </c>
      <c r="AD117" s="17">
        <v>133</v>
      </c>
      <c r="AE117" s="1">
        <f>25+58/60</f>
        <v>25.966666666666665</v>
      </c>
      <c r="AF117" s="1">
        <f>26+32/60</f>
        <v>26.533333333333335</v>
      </c>
      <c r="AG117" s="1">
        <f>24+21/60</f>
        <v>24.35</v>
      </c>
      <c r="AH117" s="1">
        <f>24+56/60</f>
        <v>24.933333333333334</v>
      </c>
      <c r="AI117" s="1">
        <f>60/2.8</f>
        <v>21.428571428571431</v>
      </c>
      <c r="AO117">
        <v>0</v>
      </c>
      <c r="AP117">
        <v>0</v>
      </c>
      <c r="AQ117" s="1">
        <f>9+3/60</f>
        <v>9.0500000000000007</v>
      </c>
      <c r="AR117" s="1">
        <f>62+3/60</f>
        <v>62.05</v>
      </c>
      <c r="AS117" s="1">
        <f>32+42/60</f>
        <v>32.700000000000003</v>
      </c>
      <c r="AT117" s="1">
        <f>5+2/60</f>
        <v>5.0333333333333332</v>
      </c>
      <c r="AU117" s="1">
        <v>0</v>
      </c>
      <c r="AV117" t="s">
        <v>30</v>
      </c>
      <c r="AW117" t="s">
        <v>31</v>
      </c>
      <c r="AX117">
        <v>0</v>
      </c>
    </row>
    <row r="118" spans="1:50" x14ac:dyDescent="0.25">
      <c r="A118">
        <f t="shared" si="78"/>
        <v>650</v>
      </c>
      <c r="B118" s="18">
        <v>43997.42291666667</v>
      </c>
      <c r="C118">
        <v>1</v>
      </c>
      <c r="F118" t="s">
        <v>32</v>
      </c>
      <c r="G118" s="17">
        <v>87</v>
      </c>
      <c r="H118" s="17">
        <v>65</v>
      </c>
      <c r="I118" s="17">
        <f>AVERAGE(46,49)</f>
        <v>47.5</v>
      </c>
      <c r="J118" s="17" t="s">
        <v>95</v>
      </c>
      <c r="K118" s="17">
        <v>7</v>
      </c>
      <c r="L118" s="17">
        <v>0</v>
      </c>
      <c r="M118" s="16" t="s">
        <v>67</v>
      </c>
      <c r="N118" s="16" t="s">
        <v>34</v>
      </c>
      <c r="O118" s="16" t="s">
        <v>85</v>
      </c>
      <c r="P118" s="1">
        <v>4.3899999999999997</v>
      </c>
      <c r="Q118" s="17">
        <v>829</v>
      </c>
      <c r="R118" s="17">
        <v>14530</v>
      </c>
      <c r="S118" s="17">
        <f>R118-Q118</f>
        <v>13701</v>
      </c>
      <c r="T118" s="1">
        <f>(60+43)/60</f>
        <v>1.7166666666666666</v>
      </c>
      <c r="U118" s="1">
        <f>(60+44)/60</f>
        <v>1.7333333333333334</v>
      </c>
      <c r="V118" s="1">
        <f t="shared" si="85"/>
        <v>1.6666666666666829E-2</v>
      </c>
      <c r="W118" s="1">
        <f t="shared" ref="W118" si="98">P118/T118</f>
        <v>2.5572815533980582</v>
      </c>
      <c r="X118">
        <v>3</v>
      </c>
      <c r="Y118" s="1">
        <f t="shared" ref="Y118" si="99">P118/X118</f>
        <v>1.4633333333333332</v>
      </c>
      <c r="Z118" s="1">
        <f>23+28/60</f>
        <v>23.466666666666665</v>
      </c>
      <c r="AA118" s="17">
        <v>312</v>
      </c>
      <c r="AB118" s="17">
        <v>1053</v>
      </c>
      <c r="AC118" s="17">
        <v>124</v>
      </c>
      <c r="AD118" s="17">
        <v>145</v>
      </c>
      <c r="AE118" s="1">
        <f>20+27/60</f>
        <v>20.45</v>
      </c>
      <c r="AF118" s="1">
        <f>20+40/60</f>
        <v>20.666666666666668</v>
      </c>
      <c r="AG118" s="1">
        <f>24+24/60</f>
        <v>24.4</v>
      </c>
      <c r="AH118" s="1">
        <f>27+13/60</f>
        <v>27.216666666666665</v>
      </c>
      <c r="AI118" s="1">
        <f>60/2.6</f>
        <v>23.076923076923077</v>
      </c>
      <c r="AO118">
        <v>0</v>
      </c>
      <c r="AP118">
        <v>1</v>
      </c>
      <c r="AQ118" s="1">
        <f>0+12/60</f>
        <v>0.2</v>
      </c>
      <c r="AR118" s="1">
        <f>5+24/60</f>
        <v>5.4</v>
      </c>
      <c r="AS118" s="1">
        <f>7+26/60</f>
        <v>7.4333333333333336</v>
      </c>
      <c r="AT118" s="1">
        <f>87+58/60</f>
        <v>87.966666666666669</v>
      </c>
      <c r="AU118" s="1">
        <v>2</v>
      </c>
      <c r="AV118" s="16" t="s">
        <v>30</v>
      </c>
      <c r="AW118" s="16" t="s">
        <v>31</v>
      </c>
      <c r="AX118" s="16">
        <v>0</v>
      </c>
    </row>
    <row r="119" spans="1:50" x14ac:dyDescent="0.25">
      <c r="A119">
        <f t="shared" si="78"/>
        <v>651</v>
      </c>
      <c r="B119" s="18">
        <v>43998.49722222222</v>
      </c>
      <c r="C119">
        <v>1</v>
      </c>
      <c r="F119" t="s">
        <v>32</v>
      </c>
      <c r="G119" s="17">
        <v>92</v>
      </c>
      <c r="H119" s="17">
        <v>63</v>
      </c>
      <c r="I119" s="17">
        <v>39</v>
      </c>
      <c r="J119" s="17" t="s">
        <v>97</v>
      </c>
      <c r="K119" s="17">
        <v>11</v>
      </c>
      <c r="L119" s="17">
        <v>0</v>
      </c>
      <c r="M119" s="16" t="s">
        <v>67</v>
      </c>
      <c r="N119" t="s">
        <v>37</v>
      </c>
      <c r="O119" s="16" t="s">
        <v>98</v>
      </c>
      <c r="P119" s="1">
        <v>6.22</v>
      </c>
      <c r="Q119" s="17">
        <v>1004</v>
      </c>
      <c r="R119" s="17">
        <v>17209</v>
      </c>
      <c r="S119" s="17">
        <f>R119-Q119</f>
        <v>16205</v>
      </c>
      <c r="T119" s="1">
        <f>124/60</f>
        <v>2.0666666666666669</v>
      </c>
      <c r="U119" s="1">
        <f>131/60</f>
        <v>2.1833333333333331</v>
      </c>
      <c r="V119" s="1">
        <f t="shared" si="85"/>
        <v>0.11666666666666625</v>
      </c>
      <c r="W119" s="1">
        <f t="shared" ref="W119" si="100">P119/T119</f>
        <v>3.0096774193548383</v>
      </c>
      <c r="X119">
        <v>2</v>
      </c>
      <c r="Y119" s="1">
        <f t="shared" ref="Y119" si="101">P119/X119</f>
        <v>3.11</v>
      </c>
      <c r="Z119" s="1">
        <f>19+59/60</f>
        <v>19.983333333333334</v>
      </c>
      <c r="AA119" s="17">
        <v>164</v>
      </c>
      <c r="AB119" s="17">
        <v>1419</v>
      </c>
      <c r="AC119" s="17">
        <v>132</v>
      </c>
      <c r="AD119" s="17">
        <v>156</v>
      </c>
      <c r="AE119" s="1">
        <f>16+56/60</f>
        <v>16.933333333333334</v>
      </c>
      <c r="AF119" s="1">
        <f>21+2/60</f>
        <v>21.033333333333335</v>
      </c>
      <c r="AG119" s="1">
        <f>20+51/60</f>
        <v>20.85</v>
      </c>
      <c r="AH119" s="1">
        <f>19+20/60</f>
        <v>19.333333333333332</v>
      </c>
      <c r="AI119" s="1">
        <f>20+24/60</f>
        <v>20.399999999999999</v>
      </c>
      <c r="AJ119" s="1">
        <f>20+58.9/60</f>
        <v>20.981666666666666</v>
      </c>
      <c r="AK119" s="1">
        <f>60/2.8</f>
        <v>21.428571428571431</v>
      </c>
      <c r="AO119">
        <v>2</v>
      </c>
      <c r="AP119">
        <v>0</v>
      </c>
      <c r="AQ119" s="1">
        <v>0</v>
      </c>
      <c r="AR119" s="1">
        <f>1+27/60</f>
        <v>1.45</v>
      </c>
      <c r="AS119" s="1">
        <f>11+15/60</f>
        <v>11.25</v>
      </c>
      <c r="AT119" s="1">
        <f>37+4/60</f>
        <v>37.06666666666667</v>
      </c>
      <c r="AU119" s="1">
        <f>74+33/60</f>
        <v>74.55</v>
      </c>
      <c r="AV119" s="16" t="s">
        <v>30</v>
      </c>
      <c r="AW119" s="16" t="s">
        <v>31</v>
      </c>
      <c r="AX119" s="16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2020-06-17T03:14:47Z</dcterms:modified>
</cp:coreProperties>
</file>