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D:\00-Bikash\01-cooking\01-analysis-files\TEA-cook\"/>
    </mc:Choice>
  </mc:AlternateContent>
  <xr:revisionPtr revIDLastSave="0" documentId="13_ncr:1_{8E8A6839-3AB2-4072-8668-7FBBE4D725FF}" xr6:coauthVersionLast="47" xr6:coauthVersionMax="47" xr10:uidLastSave="{00000000-0000-0000-0000-000000000000}"/>
  <bookViews>
    <workbookView xWindow="-108" yWindow="-108" windowWidth="23256" windowHeight="12456" activeTab="1" xr2:uid="{7EBAAA4E-59CC-FC40-A9EE-7A0CED89A0F9}"/>
  </bookViews>
  <sheets>
    <sheet name="baseline" sheetId="1" r:id="rId1"/>
    <sheet name="e-cooking" sheetId="2" r:id="rId2"/>
    <sheet name="Sheet1" sheetId="4" r:id="rId3"/>
    <sheet name="hh-profile" sheetId="3" r:id="rId4"/>
    <sheet name="Sheet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4" l="1"/>
  <c r="K2" i="2"/>
  <c r="K8" i="1"/>
  <c r="K7" i="1"/>
  <c r="K6" i="1"/>
  <c r="K5" i="1"/>
  <c r="K4" i="1"/>
  <c r="K3" i="1"/>
  <c r="L18" i="4"/>
  <c r="L20" i="4"/>
  <c r="L21" i="4" s="1"/>
  <c r="H21" i="4"/>
  <c r="C19" i="4"/>
  <c r="H20" i="4"/>
  <c r="Q14" i="4"/>
  <c r="Q9" i="4"/>
  <c r="Q8" i="4"/>
  <c r="N15" i="4"/>
  <c r="N14" i="4"/>
  <c r="L7" i="4"/>
  <c r="P14" i="4"/>
  <c r="P12" i="4"/>
  <c r="L15" i="4"/>
  <c r="F3" i="5"/>
  <c r="F2" i="5"/>
  <c r="H15" i="4"/>
  <c r="C15" i="4"/>
  <c r="L4" i="4"/>
  <c r="L5" i="4" s="1"/>
  <c r="H4" i="4"/>
  <c r="H5" i="4" s="1"/>
  <c r="H7" i="4" s="1"/>
  <c r="L9" i="4" l="1"/>
  <c r="H9" i="4"/>
  <c r="H10" i="4" s="1"/>
  <c r="H11" i="4" s="1"/>
  <c r="H12" i="4" s="1"/>
  <c r="C5" i="4"/>
  <c r="C7" i="4" s="1"/>
  <c r="C9" i="4" s="1"/>
  <c r="C10" i="4" s="1"/>
  <c r="C11" i="4" s="1"/>
  <c r="C12" i="4" s="1"/>
  <c r="Q3" i="4"/>
  <c r="H31" i="1"/>
  <c r="H24" i="1"/>
  <c r="H25" i="1"/>
  <c r="H26" i="1"/>
  <c r="H27" i="1"/>
  <c r="H28" i="1"/>
  <c r="H29" i="1"/>
  <c r="H30" i="1"/>
  <c r="H23" i="1"/>
  <c r="H22" i="1"/>
  <c r="H21" i="1"/>
  <c r="H14" i="1"/>
  <c r="H15" i="1"/>
  <c r="H16" i="1"/>
  <c r="H17" i="1"/>
  <c r="H18" i="1"/>
  <c r="H19" i="1"/>
  <c r="H20" i="1"/>
  <c r="H13" i="1"/>
  <c r="H12" i="1"/>
  <c r="H11" i="1"/>
  <c r="H3" i="1"/>
  <c r="H4" i="1"/>
  <c r="H5" i="1"/>
  <c r="H6" i="1"/>
  <c r="H7" i="1"/>
  <c r="H8" i="1"/>
  <c r="H9" i="1"/>
  <c r="H10" i="1"/>
  <c r="H2" i="1"/>
  <c r="AB27" i="1"/>
  <c r="AB26" i="1"/>
  <c r="AB25" i="1"/>
  <c r="AB17" i="1"/>
  <c r="AB16" i="1"/>
  <c r="AB15" i="1"/>
  <c r="G21" i="2"/>
  <c r="G19" i="2"/>
  <c r="G13" i="2"/>
  <c r="G11" i="2"/>
  <c r="H16" i="4" l="1"/>
  <c r="L10" i="4"/>
  <c r="L11" i="4" s="1"/>
  <c r="L12" i="4" s="1"/>
  <c r="L16" i="4"/>
  <c r="C16" i="4"/>
  <c r="AA47" i="2"/>
  <c r="AB47" i="2" s="1"/>
  <c r="AA45" i="2"/>
  <c r="AB45" i="2" s="1"/>
  <c r="AA43" i="2"/>
  <c r="AA39" i="2"/>
  <c r="AA37" i="2"/>
  <c r="AB37" i="2" s="1"/>
  <c r="AA35" i="2"/>
  <c r="AB35" i="2" s="1"/>
  <c r="AA31" i="2"/>
  <c r="AB31" i="2" s="1"/>
  <c r="AA29" i="2"/>
  <c r="AA27" i="2"/>
  <c r="AB27" i="2" s="1"/>
  <c r="AA23" i="2"/>
  <c r="AB23" i="2" s="1"/>
  <c r="AA21" i="2"/>
  <c r="AB21" i="2" s="1"/>
  <c r="AA19" i="2"/>
  <c r="AA15" i="2"/>
  <c r="AA13" i="2"/>
  <c r="AA11" i="2"/>
  <c r="AB11" i="2" s="1"/>
  <c r="AA7" i="2"/>
  <c r="AA5" i="2"/>
  <c r="AB5" i="2" s="1"/>
  <c r="AA3" i="2"/>
  <c r="AB3" i="2" s="1"/>
  <c r="AB49" i="2"/>
  <c r="AB44" i="2"/>
  <c r="AB46" i="2"/>
  <c r="AB48" i="2"/>
  <c r="AB43" i="2"/>
  <c r="AB42" i="2"/>
  <c r="AB41" i="2"/>
  <c r="AB36" i="2"/>
  <c r="AB38" i="2"/>
  <c r="AB39" i="2"/>
  <c r="AB40" i="2"/>
  <c r="AB34" i="2"/>
  <c r="AB33" i="2"/>
  <c r="AB28" i="2"/>
  <c r="AB29" i="2"/>
  <c r="AB30" i="2"/>
  <c r="AB32" i="2"/>
  <c r="AB26" i="2"/>
  <c r="AB25" i="2"/>
  <c r="AB20" i="2"/>
  <c r="AB22" i="2"/>
  <c r="AB24" i="2"/>
  <c r="AB19" i="2"/>
  <c r="AB18" i="2"/>
  <c r="AB17" i="2"/>
  <c r="AB9" i="2"/>
  <c r="AB12" i="2"/>
  <c r="AB13" i="2"/>
  <c r="AB14" i="2"/>
  <c r="AB15" i="2"/>
  <c r="AB16" i="2"/>
  <c r="AB10" i="2"/>
  <c r="AB4" i="2"/>
  <c r="AB6" i="2"/>
  <c r="AB7" i="2"/>
  <c r="AB8" i="2"/>
  <c r="AB2" i="2"/>
  <c r="AB9" i="1"/>
  <c r="AA11" i="1"/>
  <c r="AB11" i="1" s="1"/>
  <c r="AA10" i="1"/>
  <c r="AB10" i="1" s="1"/>
  <c r="AB8" i="1"/>
  <c r="AB12" i="1"/>
  <c r="AB13" i="1"/>
  <c r="AB14" i="1"/>
  <c r="AB18" i="1"/>
  <c r="AB19" i="1"/>
  <c r="AB20" i="1"/>
  <c r="AB21" i="1"/>
  <c r="AB22" i="1"/>
  <c r="AB23" i="1"/>
  <c r="AB24" i="1"/>
  <c r="AB28" i="1"/>
  <c r="AB29" i="1"/>
  <c r="AB30" i="1"/>
  <c r="AB31" i="1"/>
  <c r="AA3" i="1"/>
  <c r="AB3" i="1" s="1"/>
  <c r="AA4" i="1"/>
  <c r="AB4" i="1" s="1"/>
  <c r="AA2" i="1"/>
  <c r="AB2" i="1" s="1"/>
  <c r="G38" i="2"/>
  <c r="G46" i="2" s="1"/>
  <c r="G33" i="2"/>
  <c r="G41" i="2" s="1"/>
  <c r="G49" i="2" s="1"/>
  <c r="G29" i="2"/>
  <c r="G30" i="2"/>
  <c r="G31" i="2"/>
  <c r="G39" i="2" s="1"/>
  <c r="G47" i="2" s="1"/>
  <c r="G32" i="2"/>
  <c r="G40" i="2" s="1"/>
  <c r="G48" i="2" s="1"/>
  <c r="G27" i="2"/>
  <c r="G28" i="2"/>
  <c r="G26" i="2"/>
  <c r="G17" i="2"/>
  <c r="G25" i="2" s="1"/>
  <c r="G14" i="2"/>
  <c r="G22" i="2" s="1"/>
  <c r="G15" i="2"/>
  <c r="G23" i="2" s="1"/>
  <c r="G16" i="2"/>
  <c r="G24" i="2" s="1"/>
  <c r="J21" i="1"/>
  <c r="J11" i="1" s="1"/>
  <c r="J13" i="1"/>
  <c r="J3" i="1" s="1"/>
  <c r="J14" i="1"/>
  <c r="J4" i="1" s="1"/>
  <c r="J18" i="1"/>
  <c r="J8" i="1" s="1"/>
  <c r="J19" i="1"/>
  <c r="J9" i="1" s="1"/>
  <c r="J20" i="1"/>
  <c r="J10" i="1" s="1"/>
  <c r="J12" i="1"/>
  <c r="J2" i="1" s="1"/>
  <c r="L49" i="2" l="1"/>
  <c r="M49" i="2" s="1"/>
  <c r="W49" i="2" s="1"/>
  <c r="L48" i="2"/>
  <c r="M48" i="2" s="1"/>
  <c r="W48" i="2" s="1"/>
  <c r="L47" i="2"/>
  <c r="M47" i="2" s="1"/>
  <c r="L46" i="2"/>
  <c r="M46" i="2" s="1"/>
  <c r="W46" i="2" s="1"/>
  <c r="L45" i="2"/>
  <c r="M45" i="2" s="1"/>
  <c r="W45" i="2" s="1"/>
  <c r="L44" i="2"/>
  <c r="M44" i="2" s="1"/>
  <c r="L43" i="2"/>
  <c r="M43" i="2" s="1"/>
  <c r="W43" i="2" s="1"/>
  <c r="L42" i="2"/>
  <c r="M42" i="2" s="1"/>
  <c r="W42" i="2" s="1"/>
  <c r="L41" i="2"/>
  <c r="M41" i="2" s="1"/>
  <c r="W41" i="2" s="1"/>
  <c r="L40" i="2"/>
  <c r="M40" i="2" s="1"/>
  <c r="W40" i="2" s="1"/>
  <c r="L39" i="2"/>
  <c r="M39" i="2" s="1"/>
  <c r="W39" i="2" s="1"/>
  <c r="L38" i="2"/>
  <c r="M38" i="2" s="1"/>
  <c r="W38" i="2" s="1"/>
  <c r="L37" i="2"/>
  <c r="M37" i="2" s="1"/>
  <c r="W37" i="2" s="1"/>
  <c r="L36" i="2"/>
  <c r="M36" i="2" s="1"/>
  <c r="L35" i="2"/>
  <c r="M35" i="2" s="1"/>
  <c r="W35" i="2" s="1"/>
  <c r="L34" i="2"/>
  <c r="M34" i="2" s="1"/>
  <c r="W34" i="2" s="1"/>
  <c r="L33" i="2"/>
  <c r="M33" i="2" s="1"/>
  <c r="W33" i="2" s="1"/>
  <c r="L32" i="2"/>
  <c r="M32" i="2" s="1"/>
  <c r="W32" i="2" s="1"/>
  <c r="L31" i="2"/>
  <c r="M31" i="2" s="1"/>
  <c r="L30" i="2"/>
  <c r="M30" i="2" s="1"/>
  <c r="W30" i="2" s="1"/>
  <c r="L29" i="2"/>
  <c r="M29" i="2" s="1"/>
  <c r="W29" i="2" s="1"/>
  <c r="L28" i="2"/>
  <c r="M28" i="2" s="1"/>
  <c r="P28" i="2" s="1"/>
  <c r="R28" i="2" s="1"/>
  <c r="L27" i="2"/>
  <c r="M27" i="2" s="1"/>
  <c r="W27" i="2" s="1"/>
  <c r="L26" i="2"/>
  <c r="M26" i="2" s="1"/>
  <c r="W26" i="2" s="1"/>
  <c r="L25" i="2"/>
  <c r="M25" i="2" s="1"/>
  <c r="W25" i="2" s="1"/>
  <c r="L24" i="2"/>
  <c r="M24" i="2" s="1"/>
  <c r="W24" i="2" s="1"/>
  <c r="L23" i="2"/>
  <c r="M23" i="2" s="1"/>
  <c r="W23" i="2" s="1"/>
  <c r="L22" i="2"/>
  <c r="M22" i="2" s="1"/>
  <c r="W22" i="2" s="1"/>
  <c r="L21" i="2"/>
  <c r="M21" i="2" s="1"/>
  <c r="W21" i="2" s="1"/>
  <c r="L20" i="2"/>
  <c r="M20" i="2" s="1"/>
  <c r="W20" i="2" s="1"/>
  <c r="L19" i="2"/>
  <c r="M19" i="2" s="1"/>
  <c r="W19" i="2" s="1"/>
  <c r="L18" i="2"/>
  <c r="M18" i="2" s="1"/>
  <c r="W18" i="2" s="1"/>
  <c r="L17" i="2"/>
  <c r="M17" i="2" s="1"/>
  <c r="W17" i="2" s="1"/>
  <c r="L16" i="2"/>
  <c r="M16" i="2" s="1"/>
  <c r="W16" i="2" s="1"/>
  <c r="L15" i="2"/>
  <c r="M15" i="2" s="1"/>
  <c r="W15" i="2" s="1"/>
  <c r="L14" i="2"/>
  <c r="M14" i="2" s="1"/>
  <c r="W14" i="2" s="1"/>
  <c r="L13" i="2"/>
  <c r="M13" i="2" s="1"/>
  <c r="W13" i="2" s="1"/>
  <c r="L12" i="2"/>
  <c r="M12" i="2" s="1"/>
  <c r="W12" i="2" s="1"/>
  <c r="L11" i="2"/>
  <c r="M11" i="2" s="1"/>
  <c r="W11" i="2" s="1"/>
  <c r="L10" i="2"/>
  <c r="M10" i="2" s="1"/>
  <c r="P48" i="2" l="1"/>
  <c r="R48" i="2" s="1"/>
  <c r="P45" i="2"/>
  <c r="R45" i="2" s="1"/>
  <c r="P38" i="2"/>
  <c r="R38" i="2" s="1"/>
  <c r="P33" i="2"/>
  <c r="R33" i="2" s="1"/>
  <c r="W47" i="2"/>
  <c r="P47" i="2"/>
  <c r="R47" i="2" s="1"/>
  <c r="P36" i="2"/>
  <c r="R36" i="2" s="1"/>
  <c r="W36" i="2"/>
  <c r="W10" i="2"/>
  <c r="P10" i="2"/>
  <c r="R10" i="2" s="1"/>
  <c r="W44" i="2"/>
  <c r="P44" i="2"/>
  <c r="R44" i="2" s="1"/>
  <c r="W31" i="2"/>
  <c r="P31" i="2"/>
  <c r="R31" i="2" s="1"/>
  <c r="W28" i="2"/>
  <c r="P13" i="2"/>
  <c r="R13" i="2" s="1"/>
  <c r="P20" i="2"/>
  <c r="R20" i="2" s="1"/>
  <c r="P27" i="2"/>
  <c r="R27" i="2" s="1"/>
  <c r="P42" i="2"/>
  <c r="R42" i="2" s="1"/>
  <c r="P41" i="2"/>
  <c r="R41" i="2" s="1"/>
  <c r="P12" i="2"/>
  <c r="R12" i="2" s="1"/>
  <c r="P19" i="2"/>
  <c r="R19" i="2" s="1"/>
  <c r="P34" i="2"/>
  <c r="R34" i="2" s="1"/>
  <c r="P11" i="2"/>
  <c r="R11" i="2" s="1"/>
  <c r="P26" i="2"/>
  <c r="R26" i="2" s="1"/>
  <c r="P40" i="2"/>
  <c r="R40" i="2" s="1"/>
  <c r="P25" i="2"/>
  <c r="R25" i="2" s="1"/>
  <c r="P18" i="2"/>
  <c r="R18" i="2" s="1"/>
  <c r="P32" i="2"/>
  <c r="R32" i="2" s="1"/>
  <c r="P39" i="2"/>
  <c r="R39" i="2" s="1"/>
  <c r="P46" i="2"/>
  <c r="R46" i="2" s="1"/>
  <c r="P17" i="2"/>
  <c r="R17" i="2" s="1"/>
  <c r="P24" i="2"/>
  <c r="R24" i="2" s="1"/>
  <c r="P16" i="2"/>
  <c r="R16" i="2" s="1"/>
  <c r="P23" i="2"/>
  <c r="R23" i="2" s="1"/>
  <c r="P30" i="2"/>
  <c r="R30" i="2" s="1"/>
  <c r="P37" i="2"/>
  <c r="R37" i="2" s="1"/>
  <c r="P15" i="2"/>
  <c r="R15" i="2" s="1"/>
  <c r="P22" i="2"/>
  <c r="R22" i="2" s="1"/>
  <c r="P29" i="2"/>
  <c r="R29" i="2" s="1"/>
  <c r="P43" i="2"/>
  <c r="R43" i="2" s="1"/>
  <c r="P14" i="2"/>
  <c r="R14" i="2" s="1"/>
  <c r="P21" i="2"/>
  <c r="R21" i="2" s="1"/>
  <c r="P35" i="2"/>
  <c r="R35" i="2" s="1"/>
  <c r="P49" i="2"/>
  <c r="R49" i="2" s="1"/>
  <c r="L31" i="1"/>
  <c r="M31" i="1" s="1"/>
  <c r="L30" i="1"/>
  <c r="M30" i="1" s="1"/>
  <c r="L29" i="1"/>
  <c r="M29" i="1" s="1"/>
  <c r="L28" i="1"/>
  <c r="M28" i="1" s="1"/>
  <c r="L24" i="1"/>
  <c r="M24" i="1" s="1"/>
  <c r="W24" i="1" s="1"/>
  <c r="L23" i="1"/>
  <c r="M23" i="1" s="1"/>
  <c r="L22" i="1"/>
  <c r="M22" i="1" s="1"/>
  <c r="L21" i="1"/>
  <c r="M21" i="1" s="1"/>
  <c r="L20" i="1"/>
  <c r="M20" i="1" s="1"/>
  <c r="L19" i="1"/>
  <c r="M19" i="1" s="1"/>
  <c r="L18" i="1"/>
  <c r="M18" i="1" s="1"/>
  <c r="L14" i="1"/>
  <c r="M14" i="1" s="1"/>
  <c r="W14" i="1" s="1"/>
  <c r="L13" i="1"/>
  <c r="M13" i="1" s="1"/>
  <c r="L12" i="1"/>
  <c r="M12" i="1" s="1"/>
  <c r="L11" i="1"/>
  <c r="M11" i="1" s="1"/>
  <c r="L3" i="2"/>
  <c r="M3" i="2" s="1"/>
  <c r="L4" i="2"/>
  <c r="M4" i="2" s="1"/>
  <c r="L5" i="2"/>
  <c r="M5" i="2" s="1"/>
  <c r="L6" i="2"/>
  <c r="M6" i="2" s="1"/>
  <c r="L7" i="2"/>
  <c r="M7" i="2" s="1"/>
  <c r="L8" i="2"/>
  <c r="M8" i="2" s="1"/>
  <c r="L9" i="2"/>
  <c r="M9" i="2" s="1"/>
  <c r="L2" i="2"/>
  <c r="M2" i="2" s="1"/>
  <c r="L3" i="1"/>
  <c r="M3" i="1" s="1"/>
  <c r="L4" i="1"/>
  <c r="M4" i="1" s="1"/>
  <c r="L8" i="1"/>
  <c r="M8" i="1" s="1"/>
  <c r="L9" i="1"/>
  <c r="M9" i="1" s="1"/>
  <c r="L10" i="1"/>
  <c r="M10" i="1" s="1"/>
  <c r="P10" i="1" s="1"/>
  <c r="R10" i="1" s="1"/>
  <c r="L2" i="1"/>
  <c r="M2" i="1" s="1"/>
  <c r="C15" i="3"/>
  <c r="C16" i="3"/>
  <c r="C17" i="3"/>
  <c r="C18" i="3"/>
  <c r="C19" i="3"/>
  <c r="C20" i="3"/>
  <c r="C21" i="3"/>
  <c r="C22" i="3"/>
  <c r="C23" i="3"/>
  <c r="C24" i="3"/>
  <c r="C25" i="3"/>
  <c r="C26" i="3"/>
  <c r="C27" i="3"/>
  <c r="C28" i="3"/>
  <c r="C29" i="3"/>
  <c r="C30" i="3"/>
  <c r="C31" i="3"/>
  <c r="C14" i="3"/>
  <c r="C13" i="3"/>
  <c r="C12" i="3"/>
  <c r="C11" i="3"/>
  <c r="C10" i="3"/>
  <c r="C9" i="3"/>
  <c r="C8" i="3"/>
  <c r="C3" i="3"/>
  <c r="C4" i="3"/>
  <c r="C5" i="3"/>
  <c r="C6" i="3"/>
  <c r="C7" i="3"/>
  <c r="C2" i="3"/>
  <c r="W6" i="2" l="1"/>
  <c r="P6" i="2"/>
  <c r="R6" i="2" s="1"/>
  <c r="W31" i="1"/>
  <c r="P31" i="1"/>
  <c r="R31" i="1" s="1"/>
  <c r="W9" i="2"/>
  <c r="P9" i="2"/>
  <c r="R9" i="2" s="1"/>
  <c r="W5" i="2"/>
  <c r="P5" i="2"/>
  <c r="R5" i="2" s="1"/>
  <c r="W8" i="2"/>
  <c r="P8" i="2"/>
  <c r="R8" i="2" s="1"/>
  <c r="W4" i="2"/>
  <c r="P4" i="2"/>
  <c r="R4" i="2" s="1"/>
  <c r="W3" i="2"/>
  <c r="P3" i="2"/>
  <c r="R3" i="2" s="1"/>
  <c r="W2" i="2"/>
  <c r="P2" i="2"/>
  <c r="R2" i="2" s="1"/>
  <c r="W7" i="2"/>
  <c r="P7" i="2"/>
  <c r="R7" i="2" s="1"/>
  <c r="W2" i="1"/>
  <c r="P2" i="1"/>
  <c r="R2" i="1" s="1"/>
  <c r="P28" i="1"/>
  <c r="R28" i="1" s="1"/>
  <c r="W28" i="1"/>
  <c r="W29" i="1"/>
  <c r="P29" i="1"/>
  <c r="R29" i="1" s="1"/>
  <c r="W30" i="1"/>
  <c r="P30" i="1"/>
  <c r="R30" i="1" s="1"/>
  <c r="P22" i="1"/>
  <c r="R22" i="1" s="1"/>
  <c r="W22" i="1"/>
  <c r="W23" i="1"/>
  <c r="P23" i="1"/>
  <c r="R23" i="1" s="1"/>
  <c r="P24" i="1"/>
  <c r="R24" i="1" s="1"/>
  <c r="P18" i="1"/>
  <c r="R18" i="1" s="1"/>
  <c r="W18" i="1"/>
  <c r="W20" i="1"/>
  <c r="P20" i="1"/>
  <c r="R20" i="1" s="1"/>
  <c r="P12" i="1"/>
  <c r="R12" i="1" s="1"/>
  <c r="W12" i="1"/>
  <c r="W13" i="1"/>
  <c r="P13" i="1"/>
  <c r="R13" i="1" s="1"/>
  <c r="P19" i="1"/>
  <c r="R19" i="1" s="1"/>
  <c r="W19" i="1"/>
  <c r="W21" i="1"/>
  <c r="P21" i="1"/>
  <c r="R21" i="1" s="1"/>
  <c r="P14" i="1"/>
  <c r="R14" i="1" s="1"/>
  <c r="W11" i="1"/>
  <c r="P11" i="1"/>
  <c r="R11" i="1" s="1"/>
  <c r="W4" i="1"/>
  <c r="P4" i="1"/>
  <c r="R4" i="1" s="1"/>
  <c r="W9" i="1"/>
  <c r="P9" i="1"/>
  <c r="R9" i="1" s="1"/>
  <c r="W8" i="1"/>
  <c r="P8" i="1"/>
  <c r="R8" i="1" s="1"/>
  <c r="W3" i="1"/>
  <c r="P3" i="1"/>
  <c r="R3" i="1" s="1"/>
  <c r="W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Vasudha</author>
    <author>tc={D6D45B34-63C1-E643-A96F-1EA2F6555628}</author>
    <author>tc={4C8744A5-6485-F34B-B795-D5CA2CF2D9AE}</author>
    <author>tc={A8EC30E5-1FB3-9A45-ADA8-1D01A5459B0F}</author>
  </authors>
  <commentList>
    <comment ref="H1" authorId="0" shapeId="0" xr:uid="{0B314E21-8617-4735-ABA5-C7A4AB30D29E}">
      <text>
        <r>
          <rPr>
            <b/>
            <sz val="9"/>
            <color indexed="81"/>
            <rFont val="Tahoma"/>
            <charset val="1"/>
          </rPr>
          <t>Vasudha:</t>
        </r>
        <r>
          <rPr>
            <sz val="9"/>
            <color indexed="81"/>
            <rFont val="Tahoma"/>
            <charset val="1"/>
          </rPr>
          <t xml:space="preserve">
10% of capex</t>
        </r>
      </text>
    </comment>
    <comment ref="F2" authorId="0" shapeId="0" xr:uid="{B58EFF75-9DF7-49BB-933B-1FD5D00B489D}">
      <text>
        <r>
          <rPr>
            <b/>
            <sz val="9"/>
            <color indexed="81"/>
            <rFont val="Tahoma"/>
            <charset val="1"/>
          </rPr>
          <t>Vasudha:</t>
        </r>
        <r>
          <rPr>
            <sz val="9"/>
            <color indexed="81"/>
            <rFont val="Tahoma"/>
            <charset val="1"/>
          </rPr>
          <t xml:space="preserve">
The thermal efficiency of traditional, natural draft and FD cookstoves
were in the range of 15-17%, 16-27% and 30-35% respectively for different types of solid biomass fuels.
Evaluation of the performance of improved biomass cooking stoves
with different solid biomass fuel types
R. Suresh a, V.K. Singh b, J.K. Malik a, A. Datta a, *, R.C. Pal c</t>
        </r>
      </text>
    </comment>
    <comment ref="AA2" authorId="0" shapeId="0" xr:uid="{225CE637-B496-4FA5-8A37-4C950533F964}">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B8BE05AD-AC5F-45BB-A165-2BEF7D7AB73C}">
      <text>
        <r>
          <rPr>
            <b/>
            <sz val="9"/>
            <color rgb="FF000000"/>
            <rFont val="Tahoma"/>
            <family val="2"/>
          </rPr>
          <t>Vasudha:</t>
        </r>
        <r>
          <rPr>
            <sz val="9"/>
            <color rgb="FF000000"/>
            <rFont val="Tahoma"/>
            <family val="2"/>
          </rPr>
          <t xml:space="preserve">
</t>
        </r>
        <r>
          <rPr>
            <sz val="9"/>
            <color rgb="FF000000"/>
            <rFont val="Tahoma"/>
            <family val="2"/>
          </rPr>
          <t>units in mg</t>
        </r>
      </text>
    </comment>
    <comment ref="AC2" authorId="0" shapeId="0" xr:uid="{CAA4970C-603B-482C-B511-C709F5B83A7E}">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4060FBA1-5224-45E8-851A-F242790E19F0}">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863E8605-9083-4F04-A73A-18758BA42E8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D6D45B34-63C1-E643-A96F-1EA2F655562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DFAF0260-9C85-4C4D-AC30-38A3FB142144}">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2B7908CB-21BA-4FB2-9796-78B10716866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C2B8A243-DAEB-4F2E-9004-0E06F307BBC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D882D192-3078-4525-BD63-C93C7F46EFF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4C8744A5-6485-F34B-B795-D5CA2CF2D9A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A8EC30E5-1FB3-9A45-ADA8-1D01A5459B0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Vasudha</author>
    <author>tc={9E4260F5-A750-E741-BE5E-4E0F804BE29B}</author>
    <author>tc={B7238FCF-9CCD-FE41-B170-D3AC62818411}</author>
    <author>tc={F76DD1FA-9EDF-894E-9682-549D84E698C4}</author>
    <author>tc={025273C9-BFAC-204E-9DF7-C9AE208314AA}</author>
    <author>tc={8A59512A-E800-F541-B85D-2DB0CC29209A}</author>
    <author>tc={926A7ED9-B53B-3048-847A-760864FA7126}</author>
    <author>tc={4A415844-F674-114D-9357-F81950513821}</author>
  </authors>
  <commentList>
    <comment ref="J2" authorId="0" shapeId="0" xr:uid="{C75748E5-9510-461C-AD7A-5E9459EF7221}">
      <text>
        <r>
          <rPr>
            <b/>
            <sz val="9"/>
            <color indexed="81"/>
            <rFont val="Tahoma"/>
            <charset val="1"/>
          </rPr>
          <t>Vasudha:</t>
        </r>
        <r>
          <rPr>
            <sz val="9"/>
            <color indexed="81"/>
            <rFont val="Tahoma"/>
            <charset val="1"/>
          </rPr>
          <t xml:space="preserve">
95% of LPG</t>
        </r>
      </text>
    </comment>
    <comment ref="AA2" authorId="0" shapeId="0" xr:uid="{CD450EEC-8514-4086-8328-CD02F5AD7F9B}">
      <text>
        <r>
          <rPr>
            <b/>
            <sz val="9"/>
            <color indexed="81"/>
            <rFont val="Tahoma"/>
            <charset val="1"/>
          </rPr>
          <t>Vasudha:</t>
        </r>
        <r>
          <rPr>
            <sz val="9"/>
            <color indexed="81"/>
            <rFont val="Tahoma"/>
            <charset val="1"/>
          </rPr>
          <t xml:space="preserve">
https://www.isid.ac.in/~epu/dispapers/dp22_04.pdf
As per this LPG / induction HHs have almost similar IHAP values. Improvement in IHAP is mainly dependent on exhaust, ventilation and room size of the HH.</t>
        </r>
      </text>
    </comment>
    <comment ref="AA3" authorId="0" shapeId="0" xr:uid="{40759763-0931-4C7D-8E62-241D42790A2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5" authorId="0" shapeId="0" xr:uid="{233462BB-B9A9-4199-ADE4-B80ED2867E9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6" authorId="1" shapeId="0" xr:uid="{9E4260F5-A750-E741-BE5E-4E0F804BE29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7" authorId="0" shapeId="0" xr:uid="{970178B8-E3FB-40C5-89AB-396867A567D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8" authorId="2" shapeId="0" xr:uid="{B7238FCF-9CCD-FE41-B170-D3AC6281841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1" authorId="0" shapeId="0" xr:uid="{BE640D62-A8AE-4CC2-A71D-718CFB56A451}">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13" authorId="0" shapeId="0" xr:uid="{2403A441-D16A-4EFA-BF63-65D170C3EEE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14" authorId="3" shapeId="0" xr:uid="{F76DD1FA-9EDF-894E-9682-549D84E698C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15" authorId="0" shapeId="0" xr:uid="{711140D8-E134-47AF-94D3-5B59ABECB7C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19" authorId="0" shapeId="0" xr:uid="{A6196960-083B-436C-835E-B7DF86F2173F}">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1" authorId="0" shapeId="0" xr:uid="{7DA9D3E5-E21A-457C-A396-2F6509B63039}">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22" authorId="4" shapeId="0" xr:uid="{025273C9-BFAC-204E-9DF7-C9AE208314A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3" authorId="0" shapeId="0" xr:uid="{A36B4087-C826-44E9-B903-0FA1F87C544F}">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7" authorId="0" shapeId="0" xr:uid="{F4E058BD-F683-4445-A5CF-D831D70E58C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9" authorId="0" shapeId="0" xr:uid="{7245C851-A1A1-4D66-BAB4-7D3EA7802CEE}">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30" authorId="5" shapeId="0" xr:uid="{8A59512A-E800-F541-B85D-2DB0CC29209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1" authorId="0" shapeId="0" xr:uid="{434F9074-2D9A-4499-B8FF-84B37681F9A8}">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35" authorId="0" shapeId="0" xr:uid="{2C70E28F-2C3A-4145-8326-E771F4F26C9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37" authorId="0" shapeId="0" xr:uid="{931767FB-F481-43E9-A980-0AA1F3FBE4F7}">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38" authorId="6" shapeId="0" xr:uid="{926A7ED9-B53B-3048-847A-760864FA712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9" authorId="0" shapeId="0" xr:uid="{6BBBADC2-93CA-476C-B608-6FA3A6E25388}">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43" authorId="0" shapeId="0" xr:uid="{14E0F0E5-194D-4705-8B63-0CAB5E70FEA7}">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45" authorId="0" shapeId="0" xr:uid="{697554CE-031A-4556-B654-4B3DC17F1A8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46" authorId="7" shapeId="0" xr:uid="{4A415844-F674-114D-9357-F8195051382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7" authorId="0" shapeId="0" xr:uid="{EADC0662-88D1-47A8-9B0E-9AE85867D11C}">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H3" authorId="0" shapeId="0" xr:uid="{78A1CF3C-C770-4F64-934D-0C200822196D}">
      <text>
        <r>
          <rPr>
            <b/>
            <sz val="9"/>
            <color indexed="81"/>
            <rFont val="Tahoma"/>
            <family val="2"/>
          </rPr>
          <t>Vasudha:</t>
        </r>
        <r>
          <rPr>
            <sz val="9"/>
            <color indexed="81"/>
            <rFont val="Tahoma"/>
            <family val="2"/>
          </rPr>
          <t xml:space="preserve">
https://link.springer.com/article/10.1007/s40974-016-0050-7#:~:text=All%20India%20average%20of%20fuelwood,study%20area%20is%20quite%20high.</t>
        </r>
      </text>
    </comment>
    <comment ref="L3" authorId="0" shapeId="0" xr:uid="{B281D187-E85E-42AC-9421-262BA6ED1BBE}">
      <text>
        <r>
          <rPr>
            <b/>
            <sz val="9"/>
            <color indexed="81"/>
            <rFont val="Tahoma"/>
            <family val="2"/>
          </rPr>
          <t>Vasudha:</t>
        </r>
        <r>
          <rPr>
            <sz val="9"/>
            <color indexed="81"/>
            <rFont val="Tahoma"/>
            <family val="2"/>
          </rPr>
          <t xml:space="preserve">
assuming more amount of cow dung is used per hour as calorific value is less compared to firewood.
https://www.tandfonline.com/doi/pdf/10.1080/17583004.2020.1808764
as per the above paper, 2.36/kg/capita of cow dung is used as fuel for the stove</t>
        </r>
      </text>
    </comment>
    <comment ref="C6" authorId="0" shapeId="0" xr:uid="{4168580E-590D-42B4-B734-D72E698C41C5}">
      <text>
        <r>
          <rPr>
            <b/>
            <sz val="9"/>
            <color indexed="81"/>
            <rFont val="Tahoma"/>
            <charset val="1"/>
          </rPr>
          <t>Vasudha:</t>
        </r>
        <r>
          <rPr>
            <sz val="9"/>
            <color indexed="81"/>
            <rFont val="Tahoma"/>
            <charset val="1"/>
          </rPr>
          <t xml:space="preserve">
https://mygasindia.in/technical_specifications_of_lpg_marketed_by_my_gas.aspx</t>
        </r>
      </text>
    </comment>
    <comment ref="H6" authorId="0" shapeId="0" xr:uid="{2B67C777-DC39-464B-9CA1-5E812B5D66A0}">
      <text>
        <r>
          <rPr>
            <b/>
            <sz val="9"/>
            <color indexed="81"/>
            <rFont val="Tahoma"/>
            <charset val="1"/>
          </rPr>
          <t>Vasudha:</t>
        </r>
        <r>
          <rPr>
            <sz val="9"/>
            <color indexed="81"/>
            <rFont val="Tahoma"/>
            <charset val="1"/>
          </rPr>
          <t xml:space="preserve">
https://link.springer.com/article/10.1007/BF00707010#:~:text=The%20calorific%20means%20ranged%20from,nitrogen%20content%20were%20also%20studied.</t>
        </r>
      </text>
    </comment>
    <comment ref="L6" authorId="0" shapeId="0" xr:uid="{2857C3D0-2D6C-4B70-A0F2-114F4DCD73FA}">
      <text>
        <r>
          <rPr>
            <b/>
            <sz val="9"/>
            <color indexed="81"/>
            <rFont val="Tahoma"/>
            <charset val="1"/>
          </rPr>
          <t>Vasudha:</t>
        </r>
        <r>
          <rPr>
            <sz val="9"/>
            <color indexed="81"/>
            <rFont val="Tahoma"/>
            <charset val="1"/>
          </rPr>
          <t xml:space="preserve">
https://energypedia.info/wiki/Cooking_with_Dung</t>
        </r>
      </text>
    </comment>
    <comment ref="C8" authorId="0" shapeId="0" xr:uid="{D67F9BD0-9228-4499-A5B7-765926F16915}">
      <text>
        <r>
          <rPr>
            <b/>
            <sz val="9"/>
            <color indexed="81"/>
            <rFont val="Tahoma"/>
            <charset val="1"/>
          </rPr>
          <t>Vasudha:</t>
        </r>
        <r>
          <rPr>
            <sz val="9"/>
            <color indexed="81"/>
            <rFont val="Tahoma"/>
            <charset val="1"/>
          </rPr>
          <t xml:space="preserve">
https://www.inchcalculator.com/convert/kilocalorie-to-kilowatt-hour/</t>
        </r>
      </text>
    </comment>
    <comment ref="H8" authorId="0" shapeId="0" xr:uid="{2BBA7F52-6E4E-4ABB-8E30-92920E0695AC}">
      <text>
        <r>
          <rPr>
            <b/>
            <sz val="9"/>
            <color indexed="81"/>
            <rFont val="Tahoma"/>
            <charset val="1"/>
          </rPr>
          <t>Vasudha:</t>
        </r>
        <r>
          <rPr>
            <sz val="9"/>
            <color indexed="81"/>
            <rFont val="Tahoma"/>
            <charset val="1"/>
          </rPr>
          <t xml:space="preserve">
https://www.inchcalculator.com/convert/megajoule-to-kilowatt-hour/</t>
        </r>
      </text>
    </comment>
    <comment ref="L8" authorId="0" shapeId="0" xr:uid="{1EDC95F7-9FAA-45F1-BA80-E3FF9AEC7277}">
      <text>
        <r>
          <rPr>
            <b/>
            <sz val="9"/>
            <color indexed="81"/>
            <rFont val="Tahoma"/>
            <charset val="1"/>
          </rPr>
          <t>Vasudha:</t>
        </r>
        <r>
          <rPr>
            <sz val="9"/>
            <color indexed="81"/>
            <rFont val="Tahoma"/>
            <charset val="1"/>
          </rPr>
          <t xml:space="preserve">
https://www.inchcalculator.com/convert/megajoule-to-kilowatt-hour/</t>
        </r>
      </text>
    </comment>
    <comment ref="C13" authorId="0" shapeId="0" xr:uid="{6492D340-C935-430C-BE1D-64C760B96ABB}">
      <text>
        <r>
          <rPr>
            <b/>
            <sz val="9"/>
            <color indexed="81"/>
            <rFont val="Tahoma"/>
            <family val="2"/>
          </rPr>
          <t>Vasudha:</t>
        </r>
        <r>
          <rPr>
            <sz val="9"/>
            <color indexed="81"/>
            <rFont val="Tahoma"/>
            <family val="2"/>
          </rPr>
          <t xml:space="preserve">
https://www.ghgplatform-india.org/wp-content/uploads/methodology/phase-3/GHGPI-PhaseIII-Methodology%20Note-Energy-Sep%202019.pdf</t>
        </r>
      </text>
    </comment>
    <comment ref="H13" authorId="0" shapeId="0" xr:uid="{4F12AAF3-C785-4FB5-89B6-858685D9E21E}">
      <text>
        <r>
          <rPr>
            <b/>
            <sz val="9"/>
            <color indexed="81"/>
            <rFont val="Tahoma"/>
            <family val="2"/>
          </rPr>
          <t>Vasudha:</t>
        </r>
        <r>
          <rPr>
            <sz val="9"/>
            <color indexed="81"/>
            <rFont val="Tahoma"/>
            <family val="2"/>
          </rPr>
          <t xml:space="preserve">
https://www.ghgplatform-india.org/wp-content/uploads/methodology/phase-3/GHGPI-PhaseIII-Methodology%20Note-Energy-Sep%202019.pdf</t>
        </r>
      </text>
    </comment>
    <comment ref="L13" authorId="0" shapeId="0" xr:uid="{488BCA29-1C00-44F8-AC08-9746A26C6839}">
      <text>
        <r>
          <rPr>
            <b/>
            <sz val="9"/>
            <color indexed="81"/>
            <rFont val="Tahoma"/>
            <family val="2"/>
          </rPr>
          <t>Vasudha:</t>
        </r>
        <r>
          <rPr>
            <sz val="9"/>
            <color indexed="81"/>
            <rFont val="Tahoma"/>
            <family val="2"/>
          </rPr>
          <t xml:space="preserve">
cow dung cake (615), municipal solid waste (1022), crop residue (747), sawdust (1236),
fuelwood (247), charcoal (151) and liquefied petroleum gas
(56)
https://eprints.whiterose.ac.uk/171933/1/acp_21_2407_2021.pdf</t>
        </r>
      </text>
    </comment>
    <comment ref="C14" authorId="0" shapeId="0" xr:uid="{FFA6F45E-3E06-437E-B0BA-9859FB784C37}">
      <text>
        <r>
          <rPr>
            <b/>
            <sz val="9"/>
            <color indexed="81"/>
            <rFont val="Tahoma"/>
            <family val="2"/>
          </rPr>
          <t>Vasudha:</t>
        </r>
        <r>
          <rPr>
            <sz val="9"/>
            <color indexed="81"/>
            <rFont val="Tahoma"/>
            <family val="2"/>
          </rPr>
          <t xml:space="preserve">
https://www.convertunits.com/from/TJ/to/kilowatt+hours</t>
        </r>
      </text>
    </comment>
    <comment ref="H14" authorId="0" shapeId="0" xr:uid="{10075E84-7348-4216-8F7D-DFF2E3529FCD}">
      <text>
        <r>
          <rPr>
            <b/>
            <sz val="9"/>
            <color indexed="81"/>
            <rFont val="Tahoma"/>
            <family val="2"/>
          </rPr>
          <t>Vasudha:</t>
        </r>
        <r>
          <rPr>
            <sz val="9"/>
            <color indexed="81"/>
            <rFont val="Tahoma"/>
            <family val="2"/>
          </rPr>
          <t xml:space="preserve">
https://www.convertunits.com/from/TJ/to/kilowatt+hours</t>
        </r>
      </text>
    </comment>
    <comment ref="L14" authorId="0" shapeId="0" xr:uid="{9B9FEBAD-1AF5-409D-9B2A-8B2933A0B6DA}">
      <text>
        <r>
          <rPr>
            <b/>
            <sz val="9"/>
            <color indexed="81"/>
            <rFont val="Tahoma"/>
            <family val="2"/>
          </rPr>
          <t>Vasudha:</t>
        </r>
        <r>
          <rPr>
            <sz val="9"/>
            <color indexed="81"/>
            <rFont val="Tahoma"/>
            <family val="2"/>
          </rPr>
          <t xml:space="preserve">
https://www.convertunits.com/from/TJ/to/kilowatt+hours</t>
        </r>
      </text>
    </comment>
    <comment ref="H18" authorId="0" shapeId="0" xr:uid="{035AD28D-4870-4AE8-8E93-F81C87954E5E}">
      <text>
        <r>
          <rPr>
            <b/>
            <sz val="9"/>
            <color indexed="81"/>
            <rFont val="Tahoma"/>
            <family val="2"/>
          </rPr>
          <t>Vasudha:</t>
        </r>
        <r>
          <rPr>
            <sz val="9"/>
            <color indexed="81"/>
            <rFont val="Tahoma"/>
            <family val="2"/>
          </rPr>
          <t xml:space="preserve">
https://cleancooking.org/news/05-05-2015-women-spend-374-hours-each-year-collecting-firewood-in-india-study-finds/#:~:text=On%20average%2C%20women%20spend%20approximately,year%20collecting%20firewood%20in%20India.</t>
        </r>
      </text>
    </comment>
    <comment ref="L18" authorId="0" shapeId="0" xr:uid="{C5CF510D-1721-4B73-AA7F-09ECE403AA44}">
      <text>
        <r>
          <rPr>
            <b/>
            <sz val="9"/>
            <color indexed="81"/>
            <rFont val="Tahoma"/>
            <family val="2"/>
          </rPr>
          <t>Vasudha:</t>
        </r>
        <r>
          <rPr>
            <sz val="9"/>
            <color indexed="81"/>
            <rFont val="Tahoma"/>
            <family val="2"/>
          </rPr>
          <t xml:space="preserve">
assuming a household spends 1 hour per day to collect and prepare</t>
        </r>
      </text>
    </comment>
  </commentList>
</comments>
</file>

<file path=xl/sharedStrings.xml><?xml version="1.0" encoding="utf-8"?>
<sst xmlns="http://schemas.openxmlformats.org/spreadsheetml/2006/main" count="603" uniqueCount="169">
  <si>
    <t>Biogas</t>
  </si>
  <si>
    <t>Biogas (2 burner)</t>
  </si>
  <si>
    <t>Electric Pressure Cooker</t>
  </si>
  <si>
    <t>LPG</t>
  </si>
  <si>
    <t>PNG</t>
  </si>
  <si>
    <t>LPG (2 burner)</t>
  </si>
  <si>
    <t>Solar rooftop (net metering)</t>
  </si>
  <si>
    <t>PNG (2 burner)</t>
  </si>
  <si>
    <t>Fuel</t>
  </si>
  <si>
    <t>Stove</t>
  </si>
  <si>
    <t>Firewood</t>
  </si>
  <si>
    <t>Traditional cook stove (TCS)</t>
  </si>
  <si>
    <t>Improved cook stove (ICS - Natural)</t>
  </si>
  <si>
    <t>Improved cook stove (ICS - Forced)</t>
  </si>
  <si>
    <t>Grid electricity</t>
  </si>
  <si>
    <t>Electric Induction</t>
  </si>
  <si>
    <t>Microgrid (RESCO)</t>
  </si>
  <si>
    <t>Life</t>
  </si>
  <si>
    <t>Thermal Efficiency</t>
  </si>
  <si>
    <t>Capex</t>
  </si>
  <si>
    <t>Daily cooking duration</t>
  </si>
  <si>
    <t>Hourly consumption</t>
  </si>
  <si>
    <t>Daily consumption</t>
  </si>
  <si>
    <t>Annual consumption</t>
  </si>
  <si>
    <t>Unit cost</t>
  </si>
  <si>
    <t>Opex</t>
  </si>
  <si>
    <t>Payback period</t>
  </si>
  <si>
    <t>Unit carbon emission</t>
  </si>
  <si>
    <t>Total carbon emissions (FS+EI*)</t>
  </si>
  <si>
    <t>Unit cost of carbon credit (CC)</t>
  </si>
  <si>
    <t>Total CC revenue possible</t>
  </si>
  <si>
    <t>Total cost</t>
  </si>
  <si>
    <t>Daily IHAP (PM2.5)</t>
  </si>
  <si>
    <t>Annual IHAP (PM2.5)</t>
  </si>
  <si>
    <t>Health Hazard</t>
  </si>
  <si>
    <t>Adults</t>
  </si>
  <si>
    <t>Children</t>
  </si>
  <si>
    <t>Total</t>
  </si>
  <si>
    <t>-</t>
  </si>
  <si>
    <t>Area</t>
  </si>
  <si>
    <t>Rural</t>
  </si>
  <si>
    <t>Urban</t>
  </si>
  <si>
    <t>Socio-Economic</t>
  </si>
  <si>
    <t>Lower</t>
  </si>
  <si>
    <t>Middle</t>
  </si>
  <si>
    <t>Higher</t>
  </si>
  <si>
    <t>Overheads (Stove)</t>
  </si>
  <si>
    <t>Overheads (Fuel)</t>
  </si>
  <si>
    <t>Mortality Estimates</t>
  </si>
  <si>
    <t>Annual Income</t>
  </si>
  <si>
    <t>pbp</t>
  </si>
  <si>
    <t>elec investment</t>
  </si>
  <si>
    <t>annual saving</t>
  </si>
  <si>
    <t>Ophthalmic, respiratory, cardiovascular, dermatological symptoms /conditions and history of adverse obstetric outcomes.</t>
  </si>
  <si>
    <t>Livestock Waste</t>
  </si>
  <si>
    <t>Solar rooftop</t>
  </si>
  <si>
    <t>Emissions per kWh of electricity * 0.79 kg Co2</t>
  </si>
  <si>
    <t>Emissions from electric coil stove (factoring 74% efficiency) 1.06 kg Co2</t>
  </si>
  <si>
    <t>lpg cylinder</t>
  </si>
  <si>
    <t>no/year</t>
  </si>
  <si>
    <t>kg/year</t>
  </si>
  <si>
    <t>lpg weight</t>
  </si>
  <si>
    <t>kg</t>
  </si>
  <si>
    <t>kcal/kg</t>
  </si>
  <si>
    <t>net calorific value LPG</t>
  </si>
  <si>
    <t>net energy consumption</t>
  </si>
  <si>
    <t>kcal/year</t>
  </si>
  <si>
    <t>kWh/year</t>
  </si>
  <si>
    <t>KWh/month</t>
  </si>
  <si>
    <t>daily cooking duration</t>
  </si>
  <si>
    <t>hours</t>
  </si>
  <si>
    <t>KWh/day</t>
  </si>
  <si>
    <t>KWh/h</t>
  </si>
  <si>
    <t>hourly KWh usage</t>
  </si>
  <si>
    <t>LPG hourly KWh consumption</t>
  </si>
  <si>
    <t>Firewood Biomass hourly KWh consumption</t>
  </si>
  <si>
    <t xml:space="preserve">firewood consumed </t>
  </si>
  <si>
    <t>kg/day</t>
  </si>
  <si>
    <t>kg/month</t>
  </si>
  <si>
    <t>net calorific value firewood</t>
  </si>
  <si>
    <t>MJ/kg</t>
  </si>
  <si>
    <t>MJ/year</t>
  </si>
  <si>
    <t>1 kcal to kWh</t>
  </si>
  <si>
    <t>1 MJ to kWh</t>
  </si>
  <si>
    <t>Cowdung Biomass hourly KWh consumption</t>
  </si>
  <si>
    <t>Emission factor</t>
  </si>
  <si>
    <t>1 TJ to kWh</t>
  </si>
  <si>
    <t>Annual emission</t>
  </si>
  <si>
    <t xml:space="preserve">Emission factor </t>
  </si>
  <si>
    <t>(tCO2/TJ)</t>
  </si>
  <si>
    <t>(tCO2/kWh)</t>
  </si>
  <si>
    <t>tCO2/year</t>
  </si>
  <si>
    <r>
      <rPr>
        <b/>
        <sz val="12"/>
        <rFont val="Calibri"/>
        <family val="1"/>
      </rPr>
      <t>State</t>
    </r>
  </si>
  <si>
    <r>
      <rPr>
        <b/>
        <sz val="12"/>
        <rFont val="Calibri"/>
        <family val="1"/>
      </rPr>
      <t>NREGA Wage Rate for 2021-22 (Rs)</t>
    </r>
  </si>
  <si>
    <r>
      <rPr>
        <b/>
        <sz val="12"/>
        <rFont val="Calibri"/>
        <family val="1"/>
      </rPr>
      <t>NREGA Wage Rate for 2020-21 (Rs)</t>
    </r>
  </si>
  <si>
    <r>
      <rPr>
        <b/>
        <sz val="12"/>
        <rFont val="Calibri"/>
        <family val="1"/>
      </rPr>
      <t>Increase in the NREGA Wage Rate (Rs)</t>
    </r>
    <r>
      <rPr>
        <b/>
        <vertAlign val="superscript"/>
        <sz val="12"/>
        <rFont val="Calibri"/>
        <family val="1"/>
      </rPr>
      <t>a</t>
    </r>
  </si>
  <si>
    <r>
      <rPr>
        <sz val="12"/>
        <rFont val="Calibri"/>
        <family val="1"/>
      </rPr>
      <t>Andhra Pradesh</t>
    </r>
  </si>
  <si>
    <r>
      <rPr>
        <sz val="12"/>
        <rFont val="Calibri"/>
        <family val="1"/>
      </rPr>
      <t>8 (3.4)</t>
    </r>
  </si>
  <si>
    <r>
      <rPr>
        <sz val="12"/>
        <rFont val="Calibri"/>
        <family val="1"/>
      </rPr>
      <t>Arunachal Pradesh</t>
    </r>
  </si>
  <si>
    <r>
      <rPr>
        <sz val="12"/>
        <rFont val="Calibri"/>
        <family val="1"/>
      </rPr>
      <t>7 (3.4)</t>
    </r>
  </si>
  <si>
    <r>
      <rPr>
        <sz val="12"/>
        <rFont val="Calibri"/>
        <family val="1"/>
      </rPr>
      <t>Assam</t>
    </r>
  </si>
  <si>
    <r>
      <rPr>
        <sz val="12"/>
        <rFont val="Calibri"/>
        <family val="1"/>
      </rPr>
      <t>11 (5.2)</t>
    </r>
  </si>
  <si>
    <r>
      <rPr>
        <sz val="12"/>
        <rFont val="Calibri"/>
        <family val="1"/>
      </rPr>
      <t>Bihar</t>
    </r>
  </si>
  <si>
    <r>
      <rPr>
        <sz val="12"/>
        <rFont val="Calibri"/>
        <family val="1"/>
      </rPr>
      <t>4 (2.1)</t>
    </r>
  </si>
  <si>
    <r>
      <rPr>
        <sz val="12"/>
        <rFont val="Calibri"/>
        <family val="1"/>
      </rPr>
      <t>Chhattisgarh</t>
    </r>
  </si>
  <si>
    <r>
      <rPr>
        <sz val="12"/>
        <rFont val="Calibri"/>
        <family val="1"/>
      </rPr>
      <t>3 (1.6)</t>
    </r>
  </si>
  <si>
    <r>
      <rPr>
        <sz val="12"/>
        <rFont val="Calibri"/>
        <family val="1"/>
      </rPr>
      <t>Goa</t>
    </r>
  </si>
  <si>
    <r>
      <rPr>
        <sz val="12"/>
        <rFont val="Calibri"/>
        <family val="1"/>
      </rPr>
      <t>14 (5.0)</t>
    </r>
  </si>
  <si>
    <r>
      <rPr>
        <sz val="12"/>
        <rFont val="Calibri"/>
        <family val="1"/>
      </rPr>
      <t>Gujarat</t>
    </r>
  </si>
  <si>
    <r>
      <rPr>
        <sz val="12"/>
        <rFont val="Calibri"/>
        <family val="1"/>
      </rPr>
      <t>5 (2.2)</t>
    </r>
  </si>
  <si>
    <r>
      <rPr>
        <sz val="12"/>
        <rFont val="Calibri"/>
        <family val="1"/>
      </rPr>
      <t>Haryana</t>
    </r>
  </si>
  <si>
    <r>
      <rPr>
        <sz val="12"/>
        <rFont val="Calibri"/>
        <family val="1"/>
      </rPr>
      <t>6 (1.9)</t>
    </r>
  </si>
  <si>
    <r>
      <rPr>
        <sz val="12"/>
        <rFont val="Calibri"/>
        <family val="1"/>
      </rPr>
      <t xml:space="preserve">Himachal Pradesh </t>
    </r>
    <r>
      <rPr>
        <vertAlign val="superscript"/>
        <sz val="12"/>
        <rFont val="Calibri"/>
        <family val="1"/>
      </rPr>
      <t>b</t>
    </r>
  </si>
  <si>
    <r>
      <rPr>
        <sz val="12"/>
        <rFont val="Calibri"/>
        <family val="1"/>
      </rPr>
      <t>6 (2.4)</t>
    </r>
  </si>
  <si>
    <r>
      <rPr>
        <sz val="12"/>
        <rFont val="Calibri"/>
        <family val="1"/>
      </rPr>
      <t>Jammu and Kashmir</t>
    </r>
  </si>
  <si>
    <r>
      <rPr>
        <sz val="12"/>
        <rFont val="Calibri"/>
        <family val="1"/>
      </rPr>
      <t>10 (4.9)</t>
    </r>
  </si>
  <si>
    <r>
      <rPr>
        <sz val="12"/>
        <rFont val="Calibri"/>
        <family val="1"/>
      </rPr>
      <t>Ladakh</t>
    </r>
  </si>
  <si>
    <r>
      <rPr>
        <sz val="12"/>
        <rFont val="Calibri"/>
        <family val="1"/>
      </rPr>
      <t>Jharkhand</t>
    </r>
  </si>
  <si>
    <r>
      <rPr>
        <sz val="12"/>
        <rFont val="Calibri"/>
        <family val="1"/>
      </rPr>
      <t>Karnataka</t>
    </r>
  </si>
  <si>
    <r>
      <rPr>
        <sz val="12"/>
        <rFont val="Calibri"/>
        <family val="1"/>
      </rPr>
      <t>14 (5.1)</t>
    </r>
  </si>
  <si>
    <r>
      <rPr>
        <sz val="12"/>
        <rFont val="Calibri"/>
        <family val="1"/>
      </rPr>
      <t>Kerala</t>
    </r>
  </si>
  <si>
    <r>
      <rPr>
        <sz val="12"/>
        <rFont val="Calibri"/>
        <family val="1"/>
      </rPr>
      <t>0 (0)</t>
    </r>
  </si>
  <si>
    <r>
      <rPr>
        <sz val="12"/>
        <rFont val="Calibri"/>
        <family val="1"/>
      </rPr>
      <t>Madhya Pradesh</t>
    </r>
  </si>
  <si>
    <r>
      <rPr>
        <sz val="12"/>
        <rFont val="Calibri"/>
        <family val="1"/>
      </rPr>
      <t>Maharashtra</t>
    </r>
  </si>
  <si>
    <r>
      <rPr>
        <sz val="12"/>
        <rFont val="Calibri"/>
        <family val="1"/>
      </rPr>
      <t>10 (4.2)</t>
    </r>
  </si>
  <si>
    <r>
      <rPr>
        <sz val="12"/>
        <rFont val="Calibri"/>
        <family val="1"/>
      </rPr>
      <t>Manipur</t>
    </r>
  </si>
  <si>
    <r>
      <rPr>
        <sz val="12"/>
        <rFont val="Calibri"/>
        <family val="1"/>
      </rPr>
      <t>13 (5.5)</t>
    </r>
  </si>
  <si>
    <r>
      <rPr>
        <sz val="12"/>
        <rFont val="Calibri"/>
        <family val="1"/>
      </rPr>
      <t>Meghalaya</t>
    </r>
  </si>
  <si>
    <r>
      <rPr>
        <sz val="12"/>
        <rFont val="Calibri"/>
        <family val="1"/>
      </rPr>
      <t>23 (11.3)</t>
    </r>
  </si>
  <si>
    <r>
      <rPr>
        <sz val="12"/>
        <rFont val="Calibri"/>
        <family val="1"/>
      </rPr>
      <t>Mizoram</t>
    </r>
  </si>
  <si>
    <r>
      <rPr>
        <sz val="12"/>
        <rFont val="Calibri"/>
        <family val="1"/>
      </rPr>
      <t>8 (3.6)</t>
    </r>
  </si>
  <si>
    <r>
      <rPr>
        <sz val="12"/>
        <rFont val="Calibri"/>
        <family val="1"/>
      </rPr>
      <t>Nagaland</t>
    </r>
  </si>
  <si>
    <r>
      <rPr>
        <sz val="12"/>
        <rFont val="Calibri"/>
        <family val="1"/>
      </rPr>
      <t>Odisha</t>
    </r>
  </si>
  <si>
    <r>
      <rPr>
        <sz val="12"/>
        <rFont val="Calibri"/>
        <family val="1"/>
      </rPr>
      <t>8 (3.9)</t>
    </r>
  </si>
  <si>
    <r>
      <rPr>
        <sz val="12"/>
        <rFont val="Calibri"/>
        <family val="1"/>
      </rPr>
      <t>Punjab</t>
    </r>
  </si>
  <si>
    <r>
      <rPr>
        <sz val="12"/>
        <rFont val="Calibri"/>
        <family val="1"/>
      </rPr>
      <t>6 (2.3)</t>
    </r>
  </si>
  <si>
    <r>
      <rPr>
        <sz val="12"/>
        <rFont val="Calibri"/>
        <family val="1"/>
      </rPr>
      <t>Rajasthan</t>
    </r>
  </si>
  <si>
    <r>
      <rPr>
        <sz val="12"/>
        <rFont val="Calibri"/>
        <family val="1"/>
      </rPr>
      <t>1 (0.5)</t>
    </r>
  </si>
  <si>
    <r>
      <rPr>
        <sz val="12"/>
        <rFont val="Calibri"/>
        <family val="1"/>
      </rPr>
      <t>Sikkim</t>
    </r>
    <r>
      <rPr>
        <vertAlign val="superscript"/>
        <sz val="12"/>
        <rFont val="Calibri"/>
        <family val="1"/>
      </rPr>
      <t>c</t>
    </r>
  </si>
  <si>
    <r>
      <rPr>
        <sz val="12"/>
        <rFont val="Calibri"/>
        <family val="1"/>
      </rPr>
      <t>Tamil Nadu</t>
    </r>
  </si>
  <si>
    <r>
      <rPr>
        <sz val="12"/>
        <rFont val="Calibri"/>
        <family val="1"/>
      </rPr>
      <t>17 (6.6)</t>
    </r>
  </si>
  <si>
    <r>
      <rPr>
        <sz val="12"/>
        <rFont val="Calibri"/>
        <family val="1"/>
      </rPr>
      <t>Telangana</t>
    </r>
  </si>
  <si>
    <r>
      <rPr>
        <sz val="12"/>
        <rFont val="Calibri"/>
        <family val="1"/>
      </rPr>
      <t>Tripura</t>
    </r>
  </si>
  <si>
    <r>
      <rPr>
        <sz val="12"/>
        <rFont val="Calibri"/>
        <family val="1"/>
      </rPr>
      <t>Uttar Pradesh</t>
    </r>
  </si>
  <si>
    <r>
      <rPr>
        <sz val="12"/>
        <rFont val="Calibri"/>
        <family val="1"/>
      </rPr>
      <t>3 (1.5)</t>
    </r>
  </si>
  <si>
    <r>
      <rPr>
        <sz val="12"/>
        <rFont val="Calibri"/>
        <family val="1"/>
      </rPr>
      <t>Uttarakhand</t>
    </r>
  </si>
  <si>
    <r>
      <rPr>
        <sz val="12"/>
        <rFont val="Calibri"/>
        <family val="1"/>
      </rPr>
      <t>West Bengal</t>
    </r>
  </si>
  <si>
    <r>
      <rPr>
        <sz val="12"/>
        <rFont val="Calibri"/>
        <family val="1"/>
      </rPr>
      <t>9 (4.4)</t>
    </r>
  </si>
  <si>
    <t>Source: https://counterviewfiles.files.wordpress.com/2021/03/nrega.pdf</t>
  </si>
  <si>
    <t>national average nrega daily wage</t>
  </si>
  <si>
    <t>approx cost per hour</t>
  </si>
  <si>
    <t>fuelwood</t>
  </si>
  <si>
    <t>cow dung cake</t>
  </si>
  <si>
    <t>lpg</t>
  </si>
  <si>
    <t>lpg/fuelwood</t>
  </si>
  <si>
    <t>g/kg</t>
  </si>
  <si>
    <t>g/year</t>
  </si>
  <si>
    <t>time spent on firewood collection</t>
  </si>
  <si>
    <t>hourly nrega equivalent cost</t>
  </si>
  <si>
    <t>INR/hr</t>
  </si>
  <si>
    <t>total cost of time spent</t>
  </si>
  <si>
    <t>INR/year</t>
  </si>
  <si>
    <t>cost of cylinder</t>
  </si>
  <si>
    <t>INR/cylinder</t>
  </si>
  <si>
    <t>total cost of cylinder</t>
  </si>
  <si>
    <t>unit cost</t>
  </si>
  <si>
    <t>INR/kWh</t>
  </si>
  <si>
    <t>time spent on cowdung preparation</t>
  </si>
  <si>
    <t>hours/year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</si>
</sst>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quot;₹&quot;* #,##0_);_(&quot;₹&quot;* \(#,##0\);_(&quot;₹&quot;* &quot;-&quot;??_);_(@_)"/>
    <numFmt numFmtId="166" formatCode="0.0"/>
  </numFmts>
  <fonts count="23" x14ac:knownFonts="1">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9"/>
      <color rgb="FF000000"/>
      <name val="Tahoma"/>
      <family val="2"/>
    </font>
    <font>
      <sz val="9"/>
      <color rgb="FF000000"/>
      <name val="Tahoma"/>
      <family val="2"/>
    </font>
    <font>
      <sz val="9"/>
      <color indexed="81"/>
      <name val="Tahoma"/>
      <charset val="1"/>
    </font>
    <font>
      <b/>
      <sz val="9"/>
      <color indexed="81"/>
      <name val="Tahoma"/>
      <charset val="1"/>
    </font>
    <font>
      <i/>
      <sz val="12"/>
      <color theme="1"/>
      <name val="Calibri"/>
      <family val="2"/>
      <scheme val="minor"/>
    </font>
    <font>
      <sz val="9"/>
      <color indexed="81"/>
      <name val="Tahoma"/>
      <family val="2"/>
    </font>
    <font>
      <b/>
      <sz val="9"/>
      <color indexed="81"/>
      <name val="Tahoma"/>
      <family val="2"/>
    </font>
    <font>
      <sz val="10"/>
      <color rgb="FF000000"/>
      <name val="Times New Roman"/>
      <family val="1"/>
    </font>
    <font>
      <sz val="12"/>
      <name val="Calibri"/>
      <family val="2"/>
    </font>
    <font>
      <b/>
      <sz val="12"/>
      <name val="Calibri"/>
      <family val="2"/>
    </font>
    <font>
      <sz val="12"/>
      <color rgb="FF000000"/>
      <name val="Calibri"/>
      <family val="2"/>
    </font>
    <font>
      <sz val="12"/>
      <name val="Calibri"/>
      <family val="1"/>
    </font>
    <font>
      <b/>
      <sz val="12"/>
      <name val="Calibri"/>
      <family val="1"/>
    </font>
    <font>
      <b/>
      <vertAlign val="superscript"/>
      <sz val="12"/>
      <name val="Calibri"/>
      <family val="1"/>
    </font>
    <font>
      <vertAlign val="superscript"/>
      <sz val="12"/>
      <name val="Calibri"/>
      <family val="1"/>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bottom style="double">
        <color indexed="64"/>
      </bottom>
      <diagonal/>
    </border>
    <border>
      <left/>
      <right style="thin">
        <color indexed="64"/>
      </right>
      <top/>
      <bottom style="thick">
        <color rgb="FFFF0000"/>
      </bottom>
      <diagonal/>
    </border>
    <border>
      <left style="thin">
        <color indexed="64"/>
      </left>
      <right/>
      <top/>
      <bottom style="thin">
        <color indexed="64"/>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164" fontId="3" fillId="0" borderId="0" applyFont="0" applyFill="0" applyBorder="0" applyAlignment="0" applyProtection="0"/>
    <xf numFmtId="0" fontId="15" fillId="0" borderId="0"/>
  </cellStyleXfs>
  <cellXfs count="77">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0" fillId="0" borderId="2" xfId="0" applyBorder="1" applyAlignment="1">
      <alignment horizontal="center"/>
    </xf>
    <xf numFmtId="0" fontId="0" fillId="0" borderId="2" xfId="0" applyBorder="1" applyAlignment="1">
      <alignment horizontal="center" vertical="center"/>
    </xf>
    <xf numFmtId="9" fontId="0" fillId="0" borderId="2" xfId="0" applyNumberFormat="1" applyBorder="1" applyAlignment="1">
      <alignment horizontal="center"/>
    </xf>
    <xf numFmtId="165" fontId="0" fillId="0" borderId="2" xfId="1" applyNumberFormat="1" applyFont="1" applyBorder="1" applyAlignment="1">
      <alignment horizontal="center"/>
    </xf>
    <xf numFmtId="0" fontId="6" fillId="0" borderId="0" xfId="0" applyFont="1"/>
    <xf numFmtId="165" fontId="0" fillId="0" borderId="0" xfId="1" applyNumberFormat="1" applyFont="1" applyBorder="1" applyAlignment="1">
      <alignment horizontal="center"/>
    </xf>
    <xf numFmtId="0" fontId="2" fillId="0" borderId="0" xfId="0" applyFont="1" applyAlignment="1">
      <alignment horizontal="center" vertical="center"/>
    </xf>
    <xf numFmtId="0" fontId="7" fillId="0" borderId="2" xfId="0" applyFont="1" applyBorder="1"/>
    <xf numFmtId="0" fontId="7" fillId="0" borderId="4" xfId="0" applyFont="1" applyBorder="1"/>
    <xf numFmtId="0" fontId="5" fillId="0" borderId="2"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165" fontId="0" fillId="0" borderId="2" xfId="1" applyNumberFormat="1" applyFont="1" applyBorder="1"/>
    <xf numFmtId="165" fontId="0" fillId="0" borderId="2" xfId="0" applyNumberFormat="1" applyBorder="1"/>
    <xf numFmtId="0" fontId="4" fillId="0" borderId="2" xfId="0" applyFont="1" applyBorder="1"/>
    <xf numFmtId="2" fontId="0" fillId="0" borderId="2" xfId="0" applyNumberFormat="1" applyBorder="1"/>
    <xf numFmtId="2" fontId="0" fillId="0" borderId="2" xfId="0" applyNumberFormat="1" applyBorder="1" applyAlignment="1">
      <alignment horizontal="center"/>
    </xf>
    <xf numFmtId="0" fontId="0" fillId="0" borderId="8" xfId="0" applyBorder="1"/>
    <xf numFmtId="0" fontId="0" fillId="0" borderId="8" xfId="0" applyBorder="1" applyAlignment="1">
      <alignment horizontal="center"/>
    </xf>
    <xf numFmtId="9" fontId="0" fillId="0" borderId="8" xfId="0" applyNumberFormat="1" applyBorder="1" applyAlignment="1">
      <alignment horizontal="center"/>
    </xf>
    <xf numFmtId="165" fontId="0" fillId="0" borderId="8" xfId="1" applyNumberFormat="1" applyFont="1" applyBorder="1" applyAlignment="1">
      <alignment horizontal="center"/>
    </xf>
    <xf numFmtId="165" fontId="0" fillId="0" borderId="8" xfId="1" applyNumberFormat="1" applyFont="1" applyBorder="1"/>
    <xf numFmtId="165" fontId="0" fillId="0" borderId="8" xfId="0" applyNumberFormat="1" applyBorder="1"/>
    <xf numFmtId="2" fontId="0" fillId="0" borderId="8" xfId="0" applyNumberFormat="1" applyBorder="1"/>
    <xf numFmtId="0" fontId="0" fillId="0" borderId="5" xfId="0" applyBorder="1"/>
    <xf numFmtId="0" fontId="0" fillId="0" borderId="9" xfId="0" applyBorder="1" applyAlignment="1">
      <alignment vertical="center"/>
    </xf>
    <xf numFmtId="0" fontId="0" fillId="0" borderId="5" xfId="0" applyBorder="1" applyAlignment="1">
      <alignment vertical="center"/>
    </xf>
    <xf numFmtId="0" fontId="0" fillId="0" borderId="5" xfId="0" applyBorder="1" applyAlignment="1">
      <alignment horizontal="center" vertical="center"/>
    </xf>
    <xf numFmtId="9" fontId="0" fillId="0" borderId="5" xfId="0" applyNumberFormat="1" applyBorder="1" applyAlignment="1">
      <alignment horizontal="center"/>
    </xf>
    <xf numFmtId="165" fontId="0" fillId="0" borderId="5" xfId="1" applyNumberFormat="1" applyFont="1" applyBorder="1" applyAlignment="1">
      <alignment horizontal="center"/>
    </xf>
    <xf numFmtId="165" fontId="0" fillId="0" borderId="10" xfId="1" applyNumberFormat="1" applyFont="1" applyBorder="1" applyAlignment="1">
      <alignment horizontal="center"/>
    </xf>
    <xf numFmtId="0" fontId="0" fillId="0" borderId="10" xfId="0" applyBorder="1"/>
    <xf numFmtId="165" fontId="0" fillId="0" borderId="5" xfId="1" applyNumberFormat="1" applyFont="1" applyBorder="1"/>
    <xf numFmtId="165" fontId="0" fillId="0" borderId="5" xfId="0" applyNumberFormat="1" applyBorder="1"/>
    <xf numFmtId="2" fontId="0" fillId="0" borderId="5" xfId="0" applyNumberFormat="1" applyBorder="1"/>
    <xf numFmtId="2" fontId="0" fillId="0" borderId="5" xfId="0" applyNumberFormat="1" applyBorder="1" applyAlignment="1">
      <alignment horizontal="center"/>
    </xf>
    <xf numFmtId="0" fontId="0" fillId="0" borderId="11" xfId="0" applyBorder="1"/>
    <xf numFmtId="0" fontId="0" fillId="0" borderId="12" xfId="0" applyBorder="1" applyAlignment="1">
      <alignment vertical="center"/>
    </xf>
    <xf numFmtId="0" fontId="0" fillId="0" borderId="8"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4" xfId="0" applyBorder="1" applyAlignment="1">
      <alignment horizontal="center"/>
    </xf>
    <xf numFmtId="9" fontId="0" fillId="0" borderId="14" xfId="0" applyNumberFormat="1" applyBorder="1" applyAlignment="1">
      <alignment horizontal="center"/>
    </xf>
    <xf numFmtId="165" fontId="0" fillId="0" borderId="14" xfId="1" applyNumberFormat="1" applyFont="1" applyBorder="1" applyAlignment="1">
      <alignment horizontal="center"/>
    </xf>
    <xf numFmtId="0" fontId="0" fillId="0" borderId="15" xfId="0" applyBorder="1"/>
    <xf numFmtId="0" fontId="0" fillId="0" borderId="14" xfId="0" applyBorder="1"/>
    <xf numFmtId="2" fontId="0" fillId="0" borderId="8" xfId="0" applyNumberFormat="1" applyBorder="1" applyAlignment="1">
      <alignment horizontal="center"/>
    </xf>
    <xf numFmtId="2" fontId="0" fillId="0" borderId="14" xfId="0" applyNumberFormat="1" applyBorder="1" applyAlignment="1">
      <alignment horizontal="center"/>
    </xf>
    <xf numFmtId="165" fontId="0" fillId="0" borderId="14" xfId="1" applyNumberFormat="1" applyFont="1" applyBorder="1"/>
    <xf numFmtId="166" fontId="0" fillId="0" borderId="2" xfId="0" applyNumberFormat="1" applyBorder="1" applyAlignment="1">
      <alignment horizontal="center"/>
    </xf>
    <xf numFmtId="166" fontId="6" fillId="0" borderId="2" xfId="0" applyNumberFormat="1" applyFont="1" applyBorder="1"/>
    <xf numFmtId="166" fontId="0" fillId="0" borderId="2" xfId="0" applyNumberFormat="1" applyBorder="1"/>
    <xf numFmtId="166" fontId="0" fillId="0" borderId="5" xfId="0" applyNumberFormat="1" applyBorder="1"/>
    <xf numFmtId="166" fontId="6" fillId="0" borderId="8" xfId="0" applyNumberFormat="1" applyFont="1" applyBorder="1"/>
    <xf numFmtId="1" fontId="0" fillId="0" borderId="2" xfId="0" applyNumberFormat="1" applyBorder="1"/>
    <xf numFmtId="1" fontId="0" fillId="0" borderId="5" xfId="0" applyNumberFormat="1" applyBorder="1"/>
    <xf numFmtId="1" fontId="0" fillId="0" borderId="8" xfId="0" applyNumberFormat="1" applyBorder="1"/>
    <xf numFmtId="166" fontId="0" fillId="0" borderId="8" xfId="0" applyNumberFormat="1" applyBorder="1"/>
    <xf numFmtId="0" fontId="5" fillId="0" borderId="2" xfId="0" applyFont="1" applyBorder="1"/>
    <xf numFmtId="2" fontId="0" fillId="0" borderId="0" xfId="0" applyNumberFormat="1"/>
    <xf numFmtId="166" fontId="0" fillId="0" borderId="0" xfId="0" applyNumberFormat="1"/>
    <xf numFmtId="1" fontId="0" fillId="0" borderId="0" xfId="0" applyNumberFormat="1"/>
    <xf numFmtId="0" fontId="12" fillId="2" borderId="0" xfId="0" applyFont="1" applyFill="1"/>
    <xf numFmtId="0" fontId="1" fillId="0" borderId="0" xfId="0" applyFont="1"/>
    <xf numFmtId="0" fontId="17" fillId="0" borderId="16" xfId="2" applyFont="1" applyBorder="1" applyAlignment="1">
      <alignment horizontal="left" vertical="top" wrapText="1"/>
    </xf>
    <xf numFmtId="0" fontId="16" fillId="0" borderId="16" xfId="2" applyFont="1" applyBorder="1" applyAlignment="1">
      <alignment horizontal="left" vertical="top" wrapText="1"/>
    </xf>
    <xf numFmtId="1" fontId="18" fillId="0" borderId="16" xfId="2" applyNumberFormat="1" applyFont="1" applyBorder="1" applyAlignment="1">
      <alignment horizontal="left" vertical="top" shrinkToFit="1"/>
    </xf>
    <xf numFmtId="0" fontId="16" fillId="0" borderId="0" xfId="2" applyFont="1" applyAlignment="1">
      <alignment horizontal="left" vertical="top"/>
    </xf>
  </cellXfs>
  <cellStyles count="3">
    <cellStyle name="Currency" xfId="1" builtinId="4"/>
    <cellStyle name="Normal" xfId="0" builtinId="0"/>
    <cellStyle name="Normal 2" xfId="2" xr:uid="{837ACBA2-2396-441B-8BC4-B097FC454B13}"/>
  </cellStyles>
  <dxfs count="0"/>
  <tableStyles count="1" defaultTableStyle="TableStyleMedium2" defaultPivotStyle="PivotStyleLight16">
    <tableStyle name="Invisible" pivot="0" table="0" count="0" xr9:uid="{5135518D-583A-4564-A07B-111E61FDFF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ikash Sahu" id="{45F6BE05-09F7-D041-8E94-19D75841EDA4}" userId="0fea70bdbb350f6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8" dT="2023-01-01T12:10:18.29" personId="{45F6BE05-09F7-D041-8E94-19D75841EDA4}" id="{D6D45B34-63C1-E643-A96F-1EA2F6555628}">
    <text>Check the emission factor</text>
  </threadedComment>
  <threadedComment ref="V18" dT="2023-01-01T12:10:18.29" personId="{45F6BE05-09F7-D041-8E94-19D75841EDA4}" id="{4C8744A5-6485-F34B-B795-D5CA2CF2D9AE}">
    <text>Check the emission factor</text>
  </threadedComment>
  <threadedComment ref="V28" dT="2023-01-01T12:10:18.29" personId="{45F6BE05-09F7-D041-8E94-19D75841EDA4}" id="{A8EC30E5-1FB3-9A45-ADA8-1D01A5459B0F}">
    <text>Check the emission factor</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3-28T02:28:30.36" personId="{45F6BE05-09F7-D041-8E94-19D75841EDA4}" id="{9E4260F5-A750-E741-BE5E-4E0F804BE29B}">
    <text>Solar rooftop (capex)</text>
  </threadedComment>
  <threadedComment ref="A8" dT="2023-03-28T02:28:08.69" personId="{45F6BE05-09F7-D041-8E94-19D75841EDA4}" id="{B7238FCF-9CCD-FE41-B170-D3AC62818411}">
    <text>Rural</text>
  </threadedComment>
  <threadedComment ref="B14" dT="2023-03-28T02:28:30.36" personId="{45F6BE05-09F7-D041-8E94-19D75841EDA4}" id="{F76DD1FA-9EDF-894E-9682-549D84E698C4}">
    <text>Solar rooftop (capex)</text>
  </threadedComment>
  <threadedComment ref="B22" dT="2023-03-28T02:28:30.36" personId="{45F6BE05-09F7-D041-8E94-19D75841EDA4}" id="{025273C9-BFAC-204E-9DF7-C9AE208314AA}">
    <text>Solar rooftop (capex)</text>
  </threadedComment>
  <threadedComment ref="B30" dT="2023-03-28T02:28:30.36" personId="{45F6BE05-09F7-D041-8E94-19D75841EDA4}" id="{8A59512A-E800-F541-B85D-2DB0CC29209A}">
    <text>Solar rooftop (capex)</text>
  </threadedComment>
  <threadedComment ref="B38" dT="2023-03-28T02:28:30.36" personId="{45F6BE05-09F7-D041-8E94-19D75841EDA4}" id="{926A7ED9-B53B-3048-847A-760864FA7126}">
    <text>Solar rooftop (capex)</text>
  </threadedComment>
  <threadedComment ref="B46" dT="2023-03-28T02:28:30.36" personId="{45F6BE05-09F7-D041-8E94-19D75841EDA4}" id="{4A415844-F674-114D-9357-F81950513821}">
    <text>Solar rooftop (capex)</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CFB0-2DDE-054C-A475-43A61531E0CF}">
  <dimension ref="A1:AD32"/>
  <sheetViews>
    <sheetView showGridLines="0" zoomScale="90" zoomScaleNormal="90" workbookViewId="0">
      <pane xSplit="3" topLeftCell="H1" activePane="topRight" state="frozen"/>
      <selection pane="topRight" activeCell="P27" sqref="P27"/>
    </sheetView>
  </sheetViews>
  <sheetFormatPr defaultColWidth="11.19921875" defaultRowHeight="15.6" outlineLevelCol="1" x14ac:dyDescent="0.3"/>
  <cols>
    <col min="2" max="2" width="10" customWidth="1"/>
    <col min="3" max="3" width="30.796875" customWidth="1"/>
    <col min="4" max="4" width="12.19921875" customWidth="1"/>
    <col min="5" max="5" width="10.796875" customWidth="1" outlineLevel="1"/>
    <col min="6" max="6" width="15.69921875" customWidth="1" outlineLevel="1"/>
    <col min="7" max="7" width="11.5" customWidth="1" outlineLevel="1"/>
    <col min="8" max="8" width="15.796875" customWidth="1" outlineLevel="1"/>
    <col min="9" max="9" width="2.69921875"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customWidth="1" outlineLevel="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7" max="27" width="17.19921875" customWidth="1" outlineLevel="1"/>
    <col min="28" max="28" width="18.5" customWidth="1" outlineLevel="1"/>
    <col min="29" max="29" width="13" customWidth="1" outlineLevel="1"/>
    <col min="30" max="30" width="17.19921875" customWidth="1" outlineLevel="1"/>
  </cols>
  <sheetData>
    <row r="1" spans="1:30" x14ac:dyDescent="0.3">
      <c r="A1" s="15" t="s">
        <v>39</v>
      </c>
      <c r="B1" s="1" t="s">
        <v>8</v>
      </c>
      <c r="C1" s="2" t="s">
        <v>9</v>
      </c>
      <c r="D1" s="2" t="s">
        <v>42</v>
      </c>
      <c r="E1" s="2" t="s">
        <v>17</v>
      </c>
      <c r="F1" s="2" t="s">
        <v>18</v>
      </c>
      <c r="G1" s="2" t="s">
        <v>19</v>
      </c>
      <c r="H1" s="2" t="s">
        <v>46</v>
      </c>
      <c r="I1" s="2"/>
      <c r="J1" s="2" t="s">
        <v>20</v>
      </c>
      <c r="K1" s="2" t="s">
        <v>21</v>
      </c>
      <c r="L1" s="2" t="s">
        <v>22</v>
      </c>
      <c r="M1" s="2" t="s">
        <v>23</v>
      </c>
      <c r="N1" s="12"/>
      <c r="O1" s="13" t="s">
        <v>24</v>
      </c>
      <c r="P1" s="13" t="s">
        <v>25</v>
      </c>
      <c r="Q1" s="13" t="s">
        <v>47</v>
      </c>
      <c r="R1" s="13" t="s">
        <v>31</v>
      </c>
      <c r="S1" s="10"/>
      <c r="T1" s="13" t="s">
        <v>49</v>
      </c>
      <c r="U1" s="13" t="s">
        <v>26</v>
      </c>
      <c r="V1" s="13" t="s">
        <v>27</v>
      </c>
      <c r="W1" s="13" t="s">
        <v>28</v>
      </c>
      <c r="X1" s="13" t="s">
        <v>29</v>
      </c>
      <c r="Y1" s="13" t="s">
        <v>30</v>
      </c>
      <c r="AA1" s="13" t="s">
        <v>32</v>
      </c>
      <c r="AB1" s="13" t="s">
        <v>33</v>
      </c>
      <c r="AC1" s="13" t="s">
        <v>34</v>
      </c>
      <c r="AD1" s="13" t="s">
        <v>48</v>
      </c>
    </row>
    <row r="2" spans="1:30" x14ac:dyDescent="0.3">
      <c r="A2" s="5" t="s">
        <v>40</v>
      </c>
      <c r="B2" s="5" t="s">
        <v>10</v>
      </c>
      <c r="C2" s="5" t="s">
        <v>11</v>
      </c>
      <c r="D2" s="5" t="s">
        <v>43</v>
      </c>
      <c r="E2" s="6">
        <v>1</v>
      </c>
      <c r="F2" s="8">
        <v>0.15</v>
      </c>
      <c r="G2" s="9">
        <v>0</v>
      </c>
      <c r="H2" s="9">
        <f>G2*0.1</f>
        <v>0</v>
      </c>
      <c r="I2" s="11"/>
      <c r="J2" s="59">
        <f>J12*0.95</f>
        <v>3.61</v>
      </c>
      <c r="K2" s="24">
        <v>4.43</v>
      </c>
      <c r="L2" s="60">
        <f>J2*K2</f>
        <v>15.992299999999998</v>
      </c>
      <c r="M2" s="63">
        <f>L2*330</f>
        <v>5277.4589999999998</v>
      </c>
      <c r="O2" s="5">
        <v>1.41</v>
      </c>
      <c r="P2" s="21">
        <f>O2*M2</f>
        <v>7441.2171899999994</v>
      </c>
      <c r="Q2" s="21">
        <v>500</v>
      </c>
      <c r="R2" s="22">
        <f>P2+Q2</f>
        <v>7941.2171899999994</v>
      </c>
      <c r="T2" s="9">
        <v>200000</v>
      </c>
      <c r="U2" s="5" t="s">
        <v>38</v>
      </c>
      <c r="V2" s="5">
        <v>0.4</v>
      </c>
      <c r="W2" s="24">
        <f>(M2*V2)/(10^3)</f>
        <v>2.1109836</v>
      </c>
      <c r="X2" s="21" t="s">
        <v>38</v>
      </c>
      <c r="Y2" s="21" t="s">
        <v>38</v>
      </c>
      <c r="AA2" s="5">
        <f>1230</f>
        <v>1230</v>
      </c>
      <c r="AB2" s="5">
        <f>(AA2*330)/1000</f>
        <v>405.9</v>
      </c>
      <c r="AC2" s="5" t="s">
        <v>53</v>
      </c>
      <c r="AD2" s="5"/>
    </row>
    <row r="3" spans="1:30" x14ac:dyDescent="0.3">
      <c r="A3" s="5" t="s">
        <v>40</v>
      </c>
      <c r="B3" s="5" t="s">
        <v>10</v>
      </c>
      <c r="C3" s="5" t="s">
        <v>12</v>
      </c>
      <c r="D3" s="5" t="s">
        <v>43</v>
      </c>
      <c r="E3" s="6">
        <v>3</v>
      </c>
      <c r="F3" s="8">
        <v>0.25</v>
      </c>
      <c r="G3" s="9">
        <v>750</v>
      </c>
      <c r="H3" s="9">
        <f t="shared" ref="H3:H10" si="0">G3*0.1</f>
        <v>75</v>
      </c>
      <c r="I3" s="11"/>
      <c r="J3" s="59">
        <f>J13*0.95</f>
        <v>3.1587499999999995</v>
      </c>
      <c r="K3" s="24">
        <f>K2*0.95</f>
        <v>4.2084999999999999</v>
      </c>
      <c r="L3" s="60">
        <f t="shared" ref="L3:L10" si="1">J3*K3</f>
        <v>13.293599374999998</v>
      </c>
      <c r="M3" s="63">
        <f t="shared" ref="M3:M31" si="2">L3*330</f>
        <v>4386.8877937499992</v>
      </c>
      <c r="O3" s="24">
        <v>1.34</v>
      </c>
      <c r="P3" s="21">
        <f t="shared" ref="P3:P10" si="3">O3*M3</f>
        <v>5878.4296436249997</v>
      </c>
      <c r="Q3" s="21">
        <v>750</v>
      </c>
      <c r="R3" s="22">
        <f t="shared" ref="R3:R10" si="4">P3+Q3</f>
        <v>6628.4296436249997</v>
      </c>
      <c r="T3" s="9">
        <v>200000</v>
      </c>
      <c r="U3" s="5" t="s">
        <v>38</v>
      </c>
      <c r="V3" s="5">
        <v>0.4</v>
      </c>
      <c r="W3" s="24">
        <f t="shared" ref="W3:W10" si="5">(M3*V3)/(10^3)</f>
        <v>1.7547551174999998</v>
      </c>
      <c r="X3" s="21" t="s">
        <v>38</v>
      </c>
      <c r="Y3" s="21" t="s">
        <v>38</v>
      </c>
      <c r="AA3" s="5">
        <f>410</f>
        <v>410</v>
      </c>
      <c r="AB3" s="5">
        <f t="shared" ref="AB3:AB31" si="6">(AA3*330)/1000</f>
        <v>135.30000000000001</v>
      </c>
      <c r="AC3" s="5"/>
      <c r="AD3" s="5"/>
    </row>
    <row r="4" spans="1:30" x14ac:dyDescent="0.3">
      <c r="A4" s="5" t="s">
        <v>40</v>
      </c>
      <c r="B4" s="5" t="s">
        <v>10</v>
      </c>
      <c r="C4" s="5" t="s">
        <v>13</v>
      </c>
      <c r="D4" s="5" t="s">
        <v>43</v>
      </c>
      <c r="E4" s="6">
        <v>3</v>
      </c>
      <c r="F4" s="8">
        <v>0.35</v>
      </c>
      <c r="G4" s="9">
        <v>1000</v>
      </c>
      <c r="H4" s="9">
        <f t="shared" si="0"/>
        <v>100</v>
      </c>
      <c r="I4" s="11"/>
      <c r="J4" s="59">
        <f>J14*0.95</f>
        <v>2.933125</v>
      </c>
      <c r="K4" s="24">
        <f>K2*0.9</f>
        <v>3.9869999999999997</v>
      </c>
      <c r="L4" s="60">
        <f t="shared" si="1"/>
        <v>11.694369374999999</v>
      </c>
      <c r="M4" s="63">
        <f t="shared" si="2"/>
        <v>3859.1418937499998</v>
      </c>
      <c r="O4" s="5">
        <v>1.27</v>
      </c>
      <c r="P4" s="21">
        <f t="shared" si="3"/>
        <v>4901.1102050624995</v>
      </c>
      <c r="Q4" s="21">
        <v>1000</v>
      </c>
      <c r="R4" s="22">
        <f t="shared" si="4"/>
        <v>5901.1102050624995</v>
      </c>
      <c r="T4" s="9">
        <v>200000</v>
      </c>
      <c r="U4" s="5" t="s">
        <v>38</v>
      </c>
      <c r="V4" s="5">
        <v>0.4</v>
      </c>
      <c r="W4" s="24">
        <f t="shared" si="5"/>
        <v>1.5436567575</v>
      </c>
      <c r="X4" s="21" t="s">
        <v>38</v>
      </c>
      <c r="Y4" s="21" t="s">
        <v>38</v>
      </c>
      <c r="Z4" s="10"/>
      <c r="AA4" s="5">
        <f>165</f>
        <v>165</v>
      </c>
      <c r="AB4" s="5">
        <f t="shared" si="6"/>
        <v>54.45</v>
      </c>
      <c r="AC4" s="5"/>
      <c r="AD4" s="5"/>
    </row>
    <row r="5" spans="1:30" x14ac:dyDescent="0.3">
      <c r="A5" s="5" t="s">
        <v>40</v>
      </c>
      <c r="B5" s="5" t="s">
        <v>54</v>
      </c>
      <c r="C5" s="5" t="s">
        <v>11</v>
      </c>
      <c r="D5" s="5" t="s">
        <v>43</v>
      </c>
      <c r="E5" s="6">
        <v>1</v>
      </c>
      <c r="F5" s="8">
        <v>0.15</v>
      </c>
      <c r="G5" s="9">
        <v>500</v>
      </c>
      <c r="H5" s="9">
        <f t="shared" si="0"/>
        <v>50</v>
      </c>
      <c r="I5" s="11"/>
      <c r="J5" s="59">
        <v>3.61</v>
      </c>
      <c r="K5" s="24">
        <f>K2*1.05</f>
        <v>4.6514999999999995</v>
      </c>
      <c r="L5" s="60">
        <v>3.61</v>
      </c>
      <c r="M5" s="63">
        <v>1191.3</v>
      </c>
      <c r="O5" s="5">
        <v>1.35</v>
      </c>
      <c r="P5" s="21"/>
      <c r="Q5" s="21"/>
      <c r="R5" s="22"/>
      <c r="T5" s="9">
        <v>200000</v>
      </c>
      <c r="U5" s="5" t="s">
        <v>38</v>
      </c>
      <c r="V5" s="5">
        <v>0.4</v>
      </c>
      <c r="W5" s="24">
        <v>0.47652</v>
      </c>
      <c r="X5" s="21"/>
      <c r="Y5" s="21"/>
      <c r="Z5" s="10"/>
      <c r="AA5" s="5">
        <v>1230</v>
      </c>
      <c r="AB5" s="5">
        <v>405.9</v>
      </c>
      <c r="AC5" s="5"/>
      <c r="AD5" s="5"/>
    </row>
    <row r="6" spans="1:30" x14ac:dyDescent="0.3">
      <c r="A6" s="5" t="s">
        <v>40</v>
      </c>
      <c r="B6" s="5" t="s">
        <v>54</v>
      </c>
      <c r="C6" s="5" t="s">
        <v>12</v>
      </c>
      <c r="D6" s="5" t="s">
        <v>43</v>
      </c>
      <c r="E6" s="6">
        <v>3</v>
      </c>
      <c r="F6" s="8">
        <v>0.25</v>
      </c>
      <c r="G6" s="9">
        <v>750</v>
      </c>
      <c r="H6" s="9">
        <f t="shared" si="0"/>
        <v>75</v>
      </c>
      <c r="I6" s="11"/>
      <c r="J6" s="59">
        <v>3.1587499999999995</v>
      </c>
      <c r="K6" s="24">
        <f>K5*0.95</f>
        <v>4.4189249999999998</v>
      </c>
      <c r="L6" s="60">
        <v>3.1587499999999995</v>
      </c>
      <c r="M6" s="63">
        <v>1042.3874999999998</v>
      </c>
      <c r="O6" s="5">
        <v>1.28</v>
      </c>
      <c r="P6" s="21"/>
      <c r="Q6" s="21"/>
      <c r="R6" s="22"/>
      <c r="T6" s="9">
        <v>200000</v>
      </c>
      <c r="U6" s="5" t="s">
        <v>38</v>
      </c>
      <c r="V6" s="5">
        <v>0.4</v>
      </c>
      <c r="W6" s="24">
        <v>0.41695499999999991</v>
      </c>
      <c r="X6" s="21"/>
      <c r="Y6" s="21"/>
      <c r="Z6" s="10"/>
      <c r="AA6" s="5">
        <v>410</v>
      </c>
      <c r="AB6" s="5">
        <v>135.30000000000001</v>
      </c>
      <c r="AC6" s="5"/>
      <c r="AD6" s="5"/>
    </row>
    <row r="7" spans="1:30" x14ac:dyDescent="0.3">
      <c r="A7" s="5" t="s">
        <v>40</v>
      </c>
      <c r="B7" s="5" t="s">
        <v>54</v>
      </c>
      <c r="C7" s="5" t="s">
        <v>13</v>
      </c>
      <c r="D7" s="5" t="s">
        <v>43</v>
      </c>
      <c r="E7" s="6">
        <v>3</v>
      </c>
      <c r="F7" s="8">
        <v>0.35</v>
      </c>
      <c r="G7" s="9">
        <v>1000</v>
      </c>
      <c r="H7" s="9">
        <f t="shared" si="0"/>
        <v>100</v>
      </c>
      <c r="I7" s="11"/>
      <c r="J7" s="59">
        <v>2.933125</v>
      </c>
      <c r="K7" s="24">
        <f>K5*0.9</f>
        <v>4.18635</v>
      </c>
      <c r="L7" s="60">
        <v>2.933125</v>
      </c>
      <c r="M7" s="63">
        <v>967.93124999999998</v>
      </c>
      <c r="O7" s="5">
        <v>1.21</v>
      </c>
      <c r="P7" s="21"/>
      <c r="Q7" s="21"/>
      <c r="R7" s="22"/>
      <c r="T7" s="9">
        <v>200000</v>
      </c>
      <c r="U7" s="5" t="s">
        <v>38</v>
      </c>
      <c r="V7" s="5">
        <v>0.4</v>
      </c>
      <c r="W7" s="24">
        <v>0.38717250000000003</v>
      </c>
      <c r="X7" s="21"/>
      <c r="Y7" s="21"/>
      <c r="Z7" s="10"/>
      <c r="AA7" s="5">
        <v>165</v>
      </c>
      <c r="AB7" s="5">
        <v>54.45</v>
      </c>
      <c r="AC7" s="5"/>
      <c r="AD7" s="5"/>
    </row>
    <row r="8" spans="1:30" x14ac:dyDescent="0.3">
      <c r="A8" s="5" t="s">
        <v>40</v>
      </c>
      <c r="B8" s="4" t="s">
        <v>0</v>
      </c>
      <c r="C8" s="4" t="s">
        <v>1</v>
      </c>
      <c r="D8" s="5" t="s">
        <v>43</v>
      </c>
      <c r="E8" s="7">
        <v>10</v>
      </c>
      <c r="F8" s="8">
        <v>0.7</v>
      </c>
      <c r="G8" s="9">
        <v>40000</v>
      </c>
      <c r="H8" s="9">
        <f t="shared" si="0"/>
        <v>4000</v>
      </c>
      <c r="I8" s="11"/>
      <c r="J8" s="59">
        <f t="shared" ref="J8:J10" si="7">J18*0.95</f>
        <v>2.7074999999999996</v>
      </c>
      <c r="K8" s="24">
        <f>K9*1.1</f>
        <v>2.2000000000000002</v>
      </c>
      <c r="L8" s="60">
        <f t="shared" si="1"/>
        <v>5.9564999999999992</v>
      </c>
      <c r="M8" s="63">
        <f t="shared" si="2"/>
        <v>1965.6449999999998</v>
      </c>
      <c r="O8" s="5">
        <v>1.5</v>
      </c>
      <c r="P8" s="21">
        <f t="shared" si="3"/>
        <v>2948.4674999999997</v>
      </c>
      <c r="Q8" s="21">
        <v>1000</v>
      </c>
      <c r="R8" s="22">
        <f t="shared" si="4"/>
        <v>3948.4674999999997</v>
      </c>
      <c r="T8" s="9">
        <v>200000</v>
      </c>
      <c r="U8" s="5" t="s">
        <v>38</v>
      </c>
      <c r="V8" s="23">
        <v>0.15</v>
      </c>
      <c r="W8" s="24">
        <f t="shared" si="5"/>
        <v>0.29484674999999994</v>
      </c>
      <c r="X8" s="21" t="s">
        <v>38</v>
      </c>
      <c r="Y8" s="21" t="s">
        <v>38</v>
      </c>
      <c r="Z8" s="10"/>
      <c r="AA8" s="5">
        <v>60</v>
      </c>
      <c r="AB8" s="5">
        <f t="shared" si="6"/>
        <v>19.8</v>
      </c>
      <c r="AC8" s="5"/>
      <c r="AD8" s="5"/>
    </row>
    <row r="9" spans="1:30" x14ac:dyDescent="0.3">
      <c r="A9" s="5" t="s">
        <v>40</v>
      </c>
      <c r="B9" s="3" t="s">
        <v>3</v>
      </c>
      <c r="C9" s="4" t="s">
        <v>5</v>
      </c>
      <c r="D9" s="5" t="s">
        <v>43</v>
      </c>
      <c r="E9" s="7">
        <v>10</v>
      </c>
      <c r="F9" s="8">
        <v>0.7</v>
      </c>
      <c r="G9" s="9">
        <v>1000</v>
      </c>
      <c r="H9" s="9">
        <f t="shared" si="0"/>
        <v>100</v>
      </c>
      <c r="I9" s="11"/>
      <c r="J9" s="59">
        <f t="shared" si="7"/>
        <v>2.7074999999999996</v>
      </c>
      <c r="K9" s="24">
        <v>2</v>
      </c>
      <c r="L9" s="60">
        <f t="shared" si="1"/>
        <v>5.4149999999999991</v>
      </c>
      <c r="M9" s="63">
        <f t="shared" si="2"/>
        <v>1786.9499999999998</v>
      </c>
      <c r="O9" s="5">
        <v>6.38</v>
      </c>
      <c r="P9" s="21">
        <f t="shared" si="3"/>
        <v>11400.740999999998</v>
      </c>
      <c r="Q9" s="21">
        <v>1000</v>
      </c>
      <c r="R9" s="22">
        <f t="shared" si="4"/>
        <v>12400.740999999998</v>
      </c>
      <c r="T9" s="9">
        <v>200000</v>
      </c>
      <c r="U9" s="5" t="s">
        <v>38</v>
      </c>
      <c r="V9" s="5">
        <v>0.23</v>
      </c>
      <c r="W9" s="24">
        <f t="shared" si="5"/>
        <v>0.41099849999999999</v>
      </c>
      <c r="X9" s="21" t="s">
        <v>38</v>
      </c>
      <c r="Y9" s="21" t="s">
        <v>38</v>
      </c>
      <c r="Z9" s="10"/>
      <c r="AA9" s="5">
        <v>64</v>
      </c>
      <c r="AB9" s="5">
        <f t="shared" si="6"/>
        <v>21.12</v>
      </c>
      <c r="AC9" s="5"/>
      <c r="AD9" s="5"/>
    </row>
    <row r="10" spans="1:30" x14ac:dyDescent="0.3">
      <c r="A10" s="5" t="s">
        <v>41</v>
      </c>
      <c r="B10" s="3" t="s">
        <v>4</v>
      </c>
      <c r="C10" s="4" t="s">
        <v>7</v>
      </c>
      <c r="D10" s="5" t="s">
        <v>43</v>
      </c>
      <c r="E10" s="7">
        <v>10</v>
      </c>
      <c r="F10" s="8">
        <v>0.7</v>
      </c>
      <c r="G10" s="9">
        <v>1100</v>
      </c>
      <c r="H10" s="9">
        <f t="shared" si="0"/>
        <v>110</v>
      </c>
      <c r="I10" s="11"/>
      <c r="J10" s="59">
        <f t="shared" si="7"/>
        <v>2.7074999999999996</v>
      </c>
      <c r="K10" s="24">
        <v>2</v>
      </c>
      <c r="L10" s="60">
        <f t="shared" si="1"/>
        <v>5.4149999999999991</v>
      </c>
      <c r="M10" s="63">
        <f t="shared" si="2"/>
        <v>1786.9499999999998</v>
      </c>
      <c r="O10" s="5">
        <v>5.86</v>
      </c>
      <c r="P10" s="21">
        <f t="shared" si="3"/>
        <v>10471.527</v>
      </c>
      <c r="Q10" s="21">
        <v>1000</v>
      </c>
      <c r="R10" s="22">
        <f t="shared" si="4"/>
        <v>11471.527</v>
      </c>
      <c r="T10" s="9">
        <v>250000</v>
      </c>
      <c r="U10" s="5" t="s">
        <v>38</v>
      </c>
      <c r="V10" s="5">
        <v>0.2</v>
      </c>
      <c r="W10" s="24">
        <f t="shared" si="5"/>
        <v>0.35738999999999999</v>
      </c>
      <c r="X10" s="21" t="s">
        <v>38</v>
      </c>
      <c r="Y10" s="21" t="s">
        <v>38</v>
      </c>
      <c r="Z10" s="10"/>
      <c r="AA10" s="5">
        <f>47</f>
        <v>47</v>
      </c>
      <c r="AB10" s="5">
        <f t="shared" si="6"/>
        <v>15.51</v>
      </c>
      <c r="AC10" s="5"/>
      <c r="AD10" s="5"/>
    </row>
    <row r="11" spans="1:30" ht="16.2" thickBot="1" x14ac:dyDescent="0.35">
      <c r="A11" s="33" t="s">
        <v>41</v>
      </c>
      <c r="B11" s="34" t="s">
        <v>3</v>
      </c>
      <c r="C11" s="35" t="s">
        <v>5</v>
      </c>
      <c r="D11" s="33" t="s">
        <v>43</v>
      </c>
      <c r="E11" s="36">
        <v>10</v>
      </c>
      <c r="F11" s="37">
        <v>0.7</v>
      </c>
      <c r="G11" s="38">
        <v>1000</v>
      </c>
      <c r="H11" s="38">
        <f>G11*0.1</f>
        <v>100</v>
      </c>
      <c r="I11" s="39"/>
      <c r="J11" s="61">
        <f>0.95*J21</f>
        <v>2.7074999999999996</v>
      </c>
      <c r="K11" s="43">
        <v>2</v>
      </c>
      <c r="L11" s="61">
        <f t="shared" ref="L11" si="8">J11*K11</f>
        <v>5.4149999999999991</v>
      </c>
      <c r="M11" s="64">
        <f t="shared" si="2"/>
        <v>1786.9499999999998</v>
      </c>
      <c r="N11" s="40"/>
      <c r="O11" s="33">
        <v>6.38</v>
      </c>
      <c r="P11" s="41">
        <f t="shared" ref="P11" si="9">O11*M11</f>
        <v>11400.740999999998</v>
      </c>
      <c r="Q11" s="41">
        <v>1000</v>
      </c>
      <c r="R11" s="42">
        <f t="shared" ref="R11" si="10">P11+Q11</f>
        <v>12400.740999999998</v>
      </c>
      <c r="S11" s="40"/>
      <c r="T11" s="38">
        <v>250000</v>
      </c>
      <c r="U11" s="33" t="s">
        <v>38</v>
      </c>
      <c r="V11" s="33">
        <v>0.23</v>
      </c>
      <c r="W11" s="43">
        <f t="shared" ref="W11" si="11">(M11*V11)/(10^3)</f>
        <v>0.41099849999999999</v>
      </c>
      <c r="X11" s="41" t="s">
        <v>38</v>
      </c>
      <c r="Y11" s="41" t="s">
        <v>38</v>
      </c>
      <c r="AA11" s="5">
        <f>64</f>
        <v>64</v>
      </c>
      <c r="AB11" s="5">
        <f t="shared" si="6"/>
        <v>21.12</v>
      </c>
      <c r="AC11" s="5"/>
      <c r="AD11" s="5"/>
    </row>
    <row r="12" spans="1:30" ht="16.2" thickTop="1" x14ac:dyDescent="0.3">
      <c r="A12" s="26" t="s">
        <v>40</v>
      </c>
      <c r="B12" s="26" t="s">
        <v>10</v>
      </c>
      <c r="C12" s="26" t="s">
        <v>11</v>
      </c>
      <c r="D12" s="26" t="s">
        <v>44</v>
      </c>
      <c r="E12" s="27">
        <v>1</v>
      </c>
      <c r="F12" s="28">
        <v>0.15</v>
      </c>
      <c r="G12" s="29">
        <v>0</v>
      </c>
      <c r="H12" s="29">
        <f>G12*0.1</f>
        <v>0</v>
      </c>
      <c r="I12" s="11"/>
      <c r="J12" s="62">
        <f>0.95*J22</f>
        <v>3.8</v>
      </c>
      <c r="K12" s="32">
        <v>4.43</v>
      </c>
      <c r="L12" s="66">
        <f>J12*K12</f>
        <v>16.834</v>
      </c>
      <c r="M12" s="65">
        <f>L12*330</f>
        <v>5555.22</v>
      </c>
      <c r="O12" s="26">
        <v>1.41</v>
      </c>
      <c r="P12" s="30">
        <f>O12*M12</f>
        <v>7832.8602000000001</v>
      </c>
      <c r="Q12" s="30">
        <v>750</v>
      </c>
      <c r="R12" s="31">
        <f>P12+Q12</f>
        <v>8582.8601999999992</v>
      </c>
      <c r="T12" s="29">
        <v>570000</v>
      </c>
      <c r="U12" s="26" t="s">
        <v>38</v>
      </c>
      <c r="V12" s="26">
        <v>0.4</v>
      </c>
      <c r="W12" s="32">
        <f>(M12*V12)/(10^3)</f>
        <v>2.2220880000000003</v>
      </c>
      <c r="X12" s="30" t="s">
        <v>38</v>
      </c>
      <c r="Y12" s="30" t="s">
        <v>38</v>
      </c>
      <c r="AA12" s="5">
        <v>1230</v>
      </c>
      <c r="AB12" s="5">
        <f t="shared" si="6"/>
        <v>405.9</v>
      </c>
      <c r="AC12" s="5"/>
      <c r="AD12" s="5"/>
    </row>
    <row r="13" spans="1:30" x14ac:dyDescent="0.3">
      <c r="A13" s="5" t="s">
        <v>40</v>
      </c>
      <c r="B13" s="5" t="s">
        <v>10</v>
      </c>
      <c r="C13" s="5" t="s">
        <v>12</v>
      </c>
      <c r="D13" s="5" t="s">
        <v>44</v>
      </c>
      <c r="E13" s="6">
        <v>3</v>
      </c>
      <c r="F13" s="8">
        <v>0.25</v>
      </c>
      <c r="G13" s="9">
        <v>800</v>
      </c>
      <c r="H13" s="9">
        <f>G13*0.1</f>
        <v>80</v>
      </c>
      <c r="I13" s="11"/>
      <c r="J13" s="62">
        <f>0.95*J23</f>
        <v>3.3249999999999997</v>
      </c>
      <c r="K13" s="24">
        <v>4.2084999999999999</v>
      </c>
      <c r="L13" s="60">
        <f t="shared" ref="L13:L21" si="12">J13*K13</f>
        <v>13.993262499999998</v>
      </c>
      <c r="M13" s="63">
        <f t="shared" si="2"/>
        <v>4617.7766249999995</v>
      </c>
      <c r="O13" s="5">
        <v>1.34</v>
      </c>
      <c r="P13" s="21">
        <f t="shared" ref="P13:P21" si="13">O13*M13</f>
        <v>6187.8206774999999</v>
      </c>
      <c r="Q13" s="21">
        <v>1000</v>
      </c>
      <c r="R13" s="22">
        <f t="shared" ref="R13:R21" si="14">P13+Q13</f>
        <v>7187.8206774999999</v>
      </c>
      <c r="T13" s="9">
        <v>570000</v>
      </c>
      <c r="U13" s="5" t="s">
        <v>38</v>
      </c>
      <c r="V13" s="5">
        <v>0.4</v>
      </c>
      <c r="W13" s="24">
        <f t="shared" ref="W13:W21" si="15">(M13*V13)/(10^3)</f>
        <v>1.8471106499999999</v>
      </c>
      <c r="X13" s="21" t="s">
        <v>38</v>
      </c>
      <c r="Y13" s="21" t="s">
        <v>38</v>
      </c>
      <c r="AA13" s="5">
        <v>410</v>
      </c>
      <c r="AB13" s="5">
        <f t="shared" si="6"/>
        <v>135.30000000000001</v>
      </c>
      <c r="AC13" s="5"/>
      <c r="AD13" s="5"/>
    </row>
    <row r="14" spans="1:30" x14ac:dyDescent="0.3">
      <c r="A14" s="5" t="s">
        <v>40</v>
      </c>
      <c r="B14" s="5" t="s">
        <v>10</v>
      </c>
      <c r="C14" s="5" t="s">
        <v>13</v>
      </c>
      <c r="D14" s="5" t="s">
        <v>44</v>
      </c>
      <c r="E14" s="6">
        <v>3</v>
      </c>
      <c r="F14" s="8">
        <v>0.35</v>
      </c>
      <c r="G14" s="9">
        <v>1000</v>
      </c>
      <c r="H14" s="9">
        <f t="shared" ref="H14:H20" si="16">G14*0.1</f>
        <v>100</v>
      </c>
      <c r="I14" s="11"/>
      <c r="J14" s="62">
        <f>0.95*J24</f>
        <v>3.0874999999999999</v>
      </c>
      <c r="K14" s="24">
        <v>3.9869999999999997</v>
      </c>
      <c r="L14" s="60">
        <f t="shared" si="12"/>
        <v>12.309862499999998</v>
      </c>
      <c r="M14" s="63">
        <f t="shared" si="2"/>
        <v>4062.2546249999991</v>
      </c>
      <c r="O14" s="5">
        <v>1.27</v>
      </c>
      <c r="P14" s="21">
        <f t="shared" si="13"/>
        <v>5159.0633737499993</v>
      </c>
      <c r="Q14" s="21">
        <v>1250</v>
      </c>
      <c r="R14" s="22">
        <f t="shared" si="14"/>
        <v>6409.0633737499993</v>
      </c>
      <c r="T14" s="9">
        <v>570000</v>
      </c>
      <c r="U14" s="5" t="s">
        <v>38</v>
      </c>
      <c r="V14" s="5">
        <v>0.4</v>
      </c>
      <c r="W14" s="24">
        <f t="shared" si="15"/>
        <v>1.6249018499999996</v>
      </c>
      <c r="X14" s="21" t="s">
        <v>38</v>
      </c>
      <c r="Y14" s="21" t="s">
        <v>38</v>
      </c>
      <c r="AA14" s="5">
        <v>165</v>
      </c>
      <c r="AB14" s="5">
        <f t="shared" si="6"/>
        <v>54.45</v>
      </c>
      <c r="AC14" s="5"/>
      <c r="AD14" s="5"/>
    </row>
    <row r="15" spans="1:30" x14ac:dyDescent="0.3">
      <c r="A15" s="5" t="s">
        <v>40</v>
      </c>
      <c r="B15" s="5" t="s">
        <v>54</v>
      </c>
      <c r="C15" s="5" t="s">
        <v>11</v>
      </c>
      <c r="D15" s="5" t="s">
        <v>44</v>
      </c>
      <c r="E15" s="6">
        <v>1</v>
      </c>
      <c r="F15" s="8">
        <v>0.15</v>
      </c>
      <c r="G15" s="9">
        <v>600</v>
      </c>
      <c r="H15" s="9">
        <f t="shared" si="16"/>
        <v>60</v>
      </c>
      <c r="I15" s="11"/>
      <c r="J15" s="62">
        <v>3.8</v>
      </c>
      <c r="K15" s="24">
        <v>4.6514999999999995</v>
      </c>
      <c r="L15" s="60">
        <v>3.8</v>
      </c>
      <c r="M15" s="63">
        <v>1254</v>
      </c>
      <c r="O15" s="5">
        <v>1.35</v>
      </c>
      <c r="P15" s="21"/>
      <c r="Q15" s="21"/>
      <c r="R15" s="22"/>
      <c r="T15" s="9">
        <v>570000</v>
      </c>
      <c r="U15" s="5" t="s">
        <v>38</v>
      </c>
      <c r="V15" s="5">
        <v>0.4</v>
      </c>
      <c r="W15" s="24">
        <v>0.50160000000000005</v>
      </c>
      <c r="X15" s="21"/>
      <c r="Y15" s="21"/>
      <c r="AA15" s="5">
        <v>1230</v>
      </c>
      <c r="AB15" s="5">
        <f t="shared" ref="AB15:AB17" si="17">(AA15*330)/1000</f>
        <v>405.9</v>
      </c>
      <c r="AC15" s="5"/>
      <c r="AD15" s="5"/>
    </row>
    <row r="16" spans="1:30" x14ac:dyDescent="0.3">
      <c r="A16" s="5" t="s">
        <v>40</v>
      </c>
      <c r="B16" s="5" t="s">
        <v>54</v>
      </c>
      <c r="C16" s="5" t="s">
        <v>12</v>
      </c>
      <c r="D16" s="5" t="s">
        <v>44</v>
      </c>
      <c r="E16" s="6">
        <v>3</v>
      </c>
      <c r="F16" s="8">
        <v>0.25</v>
      </c>
      <c r="G16" s="9">
        <v>800</v>
      </c>
      <c r="H16" s="9">
        <f t="shared" si="16"/>
        <v>80</v>
      </c>
      <c r="I16" s="11"/>
      <c r="J16" s="62">
        <v>3.3249999999999997</v>
      </c>
      <c r="K16" s="24">
        <v>4.4189249999999998</v>
      </c>
      <c r="L16" s="60">
        <v>3.3249999999999997</v>
      </c>
      <c r="M16" s="63">
        <v>1097.25</v>
      </c>
      <c r="O16" s="5">
        <v>1.28</v>
      </c>
      <c r="P16" s="21"/>
      <c r="Q16" s="21"/>
      <c r="R16" s="22"/>
      <c r="T16" s="9">
        <v>570000</v>
      </c>
      <c r="U16" s="5" t="s">
        <v>38</v>
      </c>
      <c r="V16" s="5">
        <v>0.4</v>
      </c>
      <c r="W16" s="24">
        <v>0.43890000000000001</v>
      </c>
      <c r="X16" s="21"/>
      <c r="Y16" s="21"/>
      <c r="AA16" s="5">
        <v>410</v>
      </c>
      <c r="AB16" s="5">
        <f t="shared" si="17"/>
        <v>135.30000000000001</v>
      </c>
      <c r="AC16" s="5"/>
      <c r="AD16" s="5"/>
    </row>
    <row r="17" spans="1:30" x14ac:dyDescent="0.3">
      <c r="A17" s="5" t="s">
        <v>40</v>
      </c>
      <c r="B17" s="5" t="s">
        <v>54</v>
      </c>
      <c r="C17" s="5" t="s">
        <v>13</v>
      </c>
      <c r="D17" s="5" t="s">
        <v>44</v>
      </c>
      <c r="E17" s="6">
        <v>3</v>
      </c>
      <c r="F17" s="8">
        <v>0.35</v>
      </c>
      <c r="G17" s="9">
        <v>1000</v>
      </c>
      <c r="H17" s="9">
        <f t="shared" si="16"/>
        <v>100</v>
      </c>
      <c r="I17" s="11"/>
      <c r="J17" s="62">
        <v>3.0874999999999999</v>
      </c>
      <c r="K17" s="24">
        <v>4.18635</v>
      </c>
      <c r="L17" s="60">
        <v>3.0874999999999999</v>
      </c>
      <c r="M17" s="63">
        <v>1018.875</v>
      </c>
      <c r="O17" s="5">
        <v>1.21</v>
      </c>
      <c r="P17" s="21"/>
      <c r="Q17" s="21"/>
      <c r="R17" s="22"/>
      <c r="T17" s="9">
        <v>570000</v>
      </c>
      <c r="U17" s="5" t="s">
        <v>38</v>
      </c>
      <c r="V17" s="5">
        <v>0.4</v>
      </c>
      <c r="W17" s="24">
        <v>0.40755000000000002</v>
      </c>
      <c r="X17" s="21"/>
      <c r="Y17" s="21"/>
      <c r="AA17" s="5">
        <v>165</v>
      </c>
      <c r="AB17" s="5">
        <f t="shared" si="17"/>
        <v>54.45</v>
      </c>
      <c r="AC17" s="5"/>
      <c r="AD17" s="5"/>
    </row>
    <row r="18" spans="1:30" x14ac:dyDescent="0.3">
      <c r="A18" s="5" t="s">
        <v>40</v>
      </c>
      <c r="B18" s="4" t="s">
        <v>0</v>
      </c>
      <c r="C18" s="4" t="s">
        <v>1</v>
      </c>
      <c r="D18" s="5" t="s">
        <v>44</v>
      </c>
      <c r="E18" s="7">
        <v>10</v>
      </c>
      <c r="F18" s="8">
        <v>0.7</v>
      </c>
      <c r="G18" s="9">
        <v>50000</v>
      </c>
      <c r="H18" s="9">
        <f t="shared" si="16"/>
        <v>5000</v>
      </c>
      <c r="I18" s="11"/>
      <c r="J18" s="62">
        <f t="shared" ref="J18:J20" si="18">0.95*J28</f>
        <v>2.8499999999999996</v>
      </c>
      <c r="K18" s="24">
        <v>2.2000000000000002</v>
      </c>
      <c r="L18" s="60">
        <f t="shared" si="12"/>
        <v>6.27</v>
      </c>
      <c r="M18" s="63">
        <f t="shared" si="2"/>
        <v>2069.1</v>
      </c>
      <c r="O18" s="5">
        <v>1.5</v>
      </c>
      <c r="P18" s="21">
        <f t="shared" si="13"/>
        <v>3103.6499999999996</v>
      </c>
      <c r="Q18" s="21">
        <v>1250</v>
      </c>
      <c r="R18" s="22">
        <f t="shared" si="14"/>
        <v>4353.6499999999996</v>
      </c>
      <c r="T18" s="9">
        <v>570000</v>
      </c>
      <c r="U18" s="5" t="s">
        <v>38</v>
      </c>
      <c r="V18" s="23">
        <v>0.15</v>
      </c>
      <c r="W18" s="24">
        <f t="shared" si="15"/>
        <v>0.31036499999999995</v>
      </c>
      <c r="X18" s="21" t="s">
        <v>38</v>
      </c>
      <c r="Y18" s="21" t="s">
        <v>38</v>
      </c>
      <c r="AA18" s="5">
        <v>60</v>
      </c>
      <c r="AB18" s="5">
        <f t="shared" si="6"/>
        <v>19.8</v>
      </c>
      <c r="AC18" s="5"/>
      <c r="AD18" s="5"/>
    </row>
    <row r="19" spans="1:30" x14ac:dyDescent="0.3">
      <c r="A19" s="5" t="s">
        <v>40</v>
      </c>
      <c r="B19" s="3" t="s">
        <v>3</v>
      </c>
      <c r="C19" s="4" t="s">
        <v>5</v>
      </c>
      <c r="D19" s="5" t="s">
        <v>44</v>
      </c>
      <c r="E19" s="7">
        <v>10</v>
      </c>
      <c r="F19" s="8">
        <v>0.75</v>
      </c>
      <c r="G19" s="9">
        <v>1250</v>
      </c>
      <c r="H19" s="9">
        <f t="shared" si="16"/>
        <v>125</v>
      </c>
      <c r="I19" s="11"/>
      <c r="J19" s="62">
        <f t="shared" si="18"/>
        <v>2.8499999999999996</v>
      </c>
      <c r="K19" s="24">
        <v>2</v>
      </c>
      <c r="L19" s="60">
        <f t="shared" si="12"/>
        <v>5.6999999999999993</v>
      </c>
      <c r="M19" s="63">
        <f t="shared" si="2"/>
        <v>1880.9999999999998</v>
      </c>
      <c r="O19" s="5">
        <v>6.38</v>
      </c>
      <c r="P19" s="21">
        <f t="shared" si="13"/>
        <v>12000.779999999999</v>
      </c>
      <c r="Q19" s="21">
        <v>1250</v>
      </c>
      <c r="R19" s="22">
        <f t="shared" si="14"/>
        <v>13250.779999999999</v>
      </c>
      <c r="T19" s="9">
        <v>570000</v>
      </c>
      <c r="U19" s="5" t="s">
        <v>38</v>
      </c>
      <c r="V19" s="5">
        <v>0.23</v>
      </c>
      <c r="W19" s="24">
        <f t="shared" si="15"/>
        <v>0.43262999999999996</v>
      </c>
      <c r="X19" s="21" t="s">
        <v>38</v>
      </c>
      <c r="Y19" s="21" t="s">
        <v>38</v>
      </c>
      <c r="AA19" s="5">
        <v>64</v>
      </c>
      <c r="AB19" s="5">
        <f t="shared" si="6"/>
        <v>21.12</v>
      </c>
      <c r="AC19" s="5"/>
      <c r="AD19" s="5"/>
    </row>
    <row r="20" spans="1:30" x14ac:dyDescent="0.3">
      <c r="A20" s="5" t="s">
        <v>41</v>
      </c>
      <c r="B20" s="3" t="s">
        <v>4</v>
      </c>
      <c r="C20" s="4" t="s">
        <v>7</v>
      </c>
      <c r="D20" s="5" t="s">
        <v>44</v>
      </c>
      <c r="E20" s="7">
        <v>10</v>
      </c>
      <c r="F20" s="8">
        <v>0.75</v>
      </c>
      <c r="G20" s="9">
        <v>1300</v>
      </c>
      <c r="H20" s="9">
        <f t="shared" si="16"/>
        <v>130</v>
      </c>
      <c r="I20" s="11"/>
      <c r="J20" s="62">
        <f t="shared" si="18"/>
        <v>2.8499999999999996</v>
      </c>
      <c r="K20" s="24">
        <v>2</v>
      </c>
      <c r="L20" s="60">
        <f t="shared" si="12"/>
        <v>5.6999999999999993</v>
      </c>
      <c r="M20" s="63">
        <f t="shared" si="2"/>
        <v>1880.9999999999998</v>
      </c>
      <c r="O20" s="5">
        <v>5.86</v>
      </c>
      <c r="P20" s="21">
        <f t="shared" si="13"/>
        <v>11022.66</v>
      </c>
      <c r="Q20" s="21">
        <v>1250</v>
      </c>
      <c r="R20" s="22">
        <f t="shared" si="14"/>
        <v>12272.66</v>
      </c>
      <c r="T20" s="9">
        <v>712500</v>
      </c>
      <c r="U20" s="5" t="s">
        <v>38</v>
      </c>
      <c r="V20" s="5">
        <v>0.2</v>
      </c>
      <c r="W20" s="24">
        <f t="shared" si="15"/>
        <v>0.37619999999999998</v>
      </c>
      <c r="X20" s="21" t="s">
        <v>38</v>
      </c>
      <c r="Y20" s="21" t="s">
        <v>38</v>
      </c>
      <c r="AA20" s="5">
        <v>47</v>
      </c>
      <c r="AB20" s="5">
        <f t="shared" si="6"/>
        <v>15.51</v>
      </c>
      <c r="AC20" s="5"/>
      <c r="AD20" s="5"/>
    </row>
    <row r="21" spans="1:30" ht="16.2" thickBot="1" x14ac:dyDescent="0.35">
      <c r="A21" s="33" t="s">
        <v>41</v>
      </c>
      <c r="B21" s="34" t="s">
        <v>3</v>
      </c>
      <c r="C21" s="35" t="s">
        <v>5</v>
      </c>
      <c r="D21" s="33" t="s">
        <v>44</v>
      </c>
      <c r="E21" s="36">
        <v>10</v>
      </c>
      <c r="F21" s="37">
        <v>0.75</v>
      </c>
      <c r="G21" s="38">
        <v>1300</v>
      </c>
      <c r="H21" s="38">
        <f>G21*0.1</f>
        <v>130</v>
      </c>
      <c r="I21" s="39"/>
      <c r="J21" s="61">
        <f>0.95*J31</f>
        <v>2.8499999999999996</v>
      </c>
      <c r="K21" s="43">
        <v>2</v>
      </c>
      <c r="L21" s="61">
        <f t="shared" si="12"/>
        <v>5.6999999999999993</v>
      </c>
      <c r="M21" s="64">
        <f t="shared" si="2"/>
        <v>1880.9999999999998</v>
      </c>
      <c r="N21" s="40"/>
      <c r="O21" s="33">
        <v>6.38</v>
      </c>
      <c r="P21" s="41">
        <f t="shared" si="13"/>
        <v>12000.779999999999</v>
      </c>
      <c r="Q21" s="41">
        <v>1250</v>
      </c>
      <c r="R21" s="42">
        <f t="shared" si="14"/>
        <v>13250.779999999999</v>
      </c>
      <c r="S21" s="40"/>
      <c r="T21" s="38">
        <v>712500</v>
      </c>
      <c r="U21" s="33"/>
      <c r="V21" s="33">
        <v>0.23</v>
      </c>
      <c r="W21" s="43">
        <f t="shared" si="15"/>
        <v>0.43262999999999996</v>
      </c>
      <c r="X21" s="41" t="s">
        <v>38</v>
      </c>
      <c r="Y21" s="41" t="s">
        <v>38</v>
      </c>
      <c r="AA21" s="5">
        <v>64</v>
      </c>
      <c r="AB21" s="5">
        <f t="shared" si="6"/>
        <v>21.12</v>
      </c>
      <c r="AC21" s="5"/>
      <c r="AD21" s="5"/>
    </row>
    <row r="22" spans="1:30" ht="16.2" thickTop="1" x14ac:dyDescent="0.3">
      <c r="A22" s="26" t="s">
        <v>40</v>
      </c>
      <c r="B22" s="26" t="s">
        <v>10</v>
      </c>
      <c r="C22" s="26" t="s">
        <v>11</v>
      </c>
      <c r="D22" s="26" t="s">
        <v>45</v>
      </c>
      <c r="E22" s="27">
        <v>1</v>
      </c>
      <c r="F22" s="28">
        <v>0.15</v>
      </c>
      <c r="G22" s="29">
        <v>0</v>
      </c>
      <c r="H22" s="29">
        <f>G22*0.1</f>
        <v>0</v>
      </c>
      <c r="I22" s="11"/>
      <c r="J22" s="62">
        <v>4</v>
      </c>
      <c r="K22" s="32">
        <v>4.43</v>
      </c>
      <c r="L22" s="66">
        <f>J22*K22</f>
        <v>17.72</v>
      </c>
      <c r="M22" s="65">
        <f>L22*330</f>
        <v>5847.5999999999995</v>
      </c>
      <c r="O22" s="26">
        <v>1.41</v>
      </c>
      <c r="P22" s="30">
        <f>O22*M22</f>
        <v>8245.1159999999982</v>
      </c>
      <c r="Q22" s="30">
        <v>1000</v>
      </c>
      <c r="R22" s="31">
        <f>P22+Q22</f>
        <v>9245.1159999999982</v>
      </c>
      <c r="T22" s="29">
        <v>900000</v>
      </c>
      <c r="U22" s="26" t="s">
        <v>38</v>
      </c>
      <c r="V22" s="26">
        <v>0.4</v>
      </c>
      <c r="W22" s="32">
        <f>(M22*V22)/(10^3)</f>
        <v>2.3390399999999998</v>
      </c>
      <c r="X22" s="30" t="s">
        <v>38</v>
      </c>
      <c r="Y22" s="30" t="s">
        <v>38</v>
      </c>
      <c r="AA22" s="5">
        <v>1230</v>
      </c>
      <c r="AB22" s="5">
        <f t="shared" si="6"/>
        <v>405.9</v>
      </c>
      <c r="AC22" s="5"/>
      <c r="AD22" s="5"/>
    </row>
    <row r="23" spans="1:30" x14ac:dyDescent="0.3">
      <c r="A23" s="5" t="s">
        <v>40</v>
      </c>
      <c r="B23" s="5" t="s">
        <v>10</v>
      </c>
      <c r="C23" s="5" t="s">
        <v>12</v>
      </c>
      <c r="D23" s="5" t="s">
        <v>45</v>
      </c>
      <c r="E23" s="6">
        <v>3</v>
      </c>
      <c r="F23" s="8">
        <v>0.25</v>
      </c>
      <c r="G23" s="9">
        <v>900</v>
      </c>
      <c r="H23" s="9">
        <f>G23*0.1</f>
        <v>90</v>
      </c>
      <c r="I23" s="11"/>
      <c r="J23" s="59">
        <v>3.5</v>
      </c>
      <c r="K23" s="24">
        <v>4.2084999999999999</v>
      </c>
      <c r="L23" s="60">
        <f t="shared" ref="L23:L31" si="19">J23*K23</f>
        <v>14.729749999999999</v>
      </c>
      <c r="M23" s="63">
        <f t="shared" si="2"/>
        <v>4860.8175000000001</v>
      </c>
      <c r="O23" s="5">
        <v>1.34</v>
      </c>
      <c r="P23" s="21">
        <f t="shared" ref="P23:P31" si="20">O23*M23</f>
        <v>6513.4954500000003</v>
      </c>
      <c r="Q23" s="21">
        <v>1250</v>
      </c>
      <c r="R23" s="22">
        <f t="shared" ref="R23:R31" si="21">P23+Q23</f>
        <v>7763.4954500000003</v>
      </c>
      <c r="T23" s="9">
        <v>900000</v>
      </c>
      <c r="U23" s="5" t="s">
        <v>38</v>
      </c>
      <c r="V23" s="5">
        <v>0.4</v>
      </c>
      <c r="W23" s="24">
        <f t="shared" ref="W23:W31" si="22">(M23*V23)/(10^3)</f>
        <v>1.9443270000000001</v>
      </c>
      <c r="X23" s="21" t="s">
        <v>38</v>
      </c>
      <c r="Y23" s="21" t="s">
        <v>38</v>
      </c>
      <c r="AA23" s="5">
        <v>410</v>
      </c>
      <c r="AB23" s="5">
        <f t="shared" si="6"/>
        <v>135.30000000000001</v>
      </c>
      <c r="AC23" s="5"/>
      <c r="AD23" s="5"/>
    </row>
    <row r="24" spans="1:30" x14ac:dyDescent="0.3">
      <c r="A24" s="5" t="s">
        <v>40</v>
      </c>
      <c r="B24" s="5" t="s">
        <v>10</v>
      </c>
      <c r="C24" s="5" t="s">
        <v>13</v>
      </c>
      <c r="D24" s="5" t="s">
        <v>45</v>
      </c>
      <c r="E24" s="6">
        <v>3</v>
      </c>
      <c r="F24" s="8">
        <v>0.35</v>
      </c>
      <c r="G24" s="9">
        <v>1000</v>
      </c>
      <c r="H24" s="9">
        <f t="shared" ref="H24:H30" si="23">G24*0.1</f>
        <v>100</v>
      </c>
      <c r="I24" s="11"/>
      <c r="J24" s="59">
        <v>3.25</v>
      </c>
      <c r="K24" s="24">
        <v>3.9869999999999997</v>
      </c>
      <c r="L24" s="60">
        <f t="shared" si="19"/>
        <v>12.957749999999999</v>
      </c>
      <c r="M24" s="63">
        <f t="shared" si="2"/>
        <v>4276.0574999999999</v>
      </c>
      <c r="O24" s="5">
        <v>1.27</v>
      </c>
      <c r="P24" s="21">
        <f t="shared" si="20"/>
        <v>5430.5930250000001</v>
      </c>
      <c r="Q24" s="21">
        <v>1500</v>
      </c>
      <c r="R24" s="22">
        <f t="shared" si="21"/>
        <v>6930.5930250000001</v>
      </c>
      <c r="T24" s="9">
        <v>900000</v>
      </c>
      <c r="U24" s="5" t="s">
        <v>38</v>
      </c>
      <c r="V24" s="5">
        <v>0.4</v>
      </c>
      <c r="W24" s="24">
        <f t="shared" si="22"/>
        <v>1.710423</v>
      </c>
      <c r="X24" s="21" t="s">
        <v>38</v>
      </c>
      <c r="Y24" s="21" t="s">
        <v>38</v>
      </c>
      <c r="AA24" s="5">
        <v>165</v>
      </c>
      <c r="AB24" s="5">
        <f t="shared" si="6"/>
        <v>54.45</v>
      </c>
      <c r="AC24" s="5"/>
      <c r="AD24" s="5"/>
    </row>
    <row r="25" spans="1:30" x14ac:dyDescent="0.3">
      <c r="A25" s="5" t="s">
        <v>40</v>
      </c>
      <c r="B25" s="5" t="s">
        <v>54</v>
      </c>
      <c r="C25" s="5" t="s">
        <v>11</v>
      </c>
      <c r="D25" s="5" t="s">
        <v>45</v>
      </c>
      <c r="E25" s="6">
        <v>1</v>
      </c>
      <c r="F25" s="8">
        <v>0.15</v>
      </c>
      <c r="G25" s="9">
        <v>700</v>
      </c>
      <c r="H25" s="9">
        <f t="shared" si="23"/>
        <v>70</v>
      </c>
      <c r="I25" s="11"/>
      <c r="J25" s="59">
        <v>4</v>
      </c>
      <c r="K25" s="24">
        <v>4.6514999999999995</v>
      </c>
      <c r="L25" s="60">
        <v>4</v>
      </c>
      <c r="M25" s="63">
        <v>1320</v>
      </c>
      <c r="O25" s="5">
        <v>1.35</v>
      </c>
      <c r="P25" s="21"/>
      <c r="Q25" s="21"/>
      <c r="R25" s="22"/>
      <c r="T25" s="9">
        <v>900000</v>
      </c>
      <c r="U25" s="5" t="s">
        <v>38</v>
      </c>
      <c r="V25" s="5">
        <v>0.4</v>
      </c>
      <c r="W25" s="24">
        <v>0.52800000000000002</v>
      </c>
      <c r="X25" s="21"/>
      <c r="Y25" s="21"/>
      <c r="AA25" s="5">
        <v>1230</v>
      </c>
      <c r="AB25" s="5">
        <f t="shared" ref="AB25:AB27" si="24">(AA25*330)/1000</f>
        <v>405.9</v>
      </c>
      <c r="AC25" s="5"/>
      <c r="AD25" s="5"/>
    </row>
    <row r="26" spans="1:30" x14ac:dyDescent="0.3">
      <c r="A26" s="5" t="s">
        <v>40</v>
      </c>
      <c r="B26" s="5" t="s">
        <v>54</v>
      </c>
      <c r="C26" s="5" t="s">
        <v>12</v>
      </c>
      <c r="D26" s="5" t="s">
        <v>45</v>
      </c>
      <c r="E26" s="6">
        <v>3</v>
      </c>
      <c r="F26" s="8">
        <v>0.25</v>
      </c>
      <c r="G26" s="9">
        <v>900</v>
      </c>
      <c r="H26" s="9">
        <f t="shared" si="23"/>
        <v>90</v>
      </c>
      <c r="I26" s="11"/>
      <c r="J26" s="59">
        <v>3.5</v>
      </c>
      <c r="K26" s="24">
        <v>4.4189249999999998</v>
      </c>
      <c r="L26" s="60">
        <v>3.5</v>
      </c>
      <c r="M26" s="63">
        <v>1155</v>
      </c>
      <c r="O26" s="5">
        <v>1.28</v>
      </c>
      <c r="P26" s="21"/>
      <c r="Q26" s="21"/>
      <c r="R26" s="22"/>
      <c r="T26" s="9">
        <v>900000</v>
      </c>
      <c r="U26" s="5" t="s">
        <v>38</v>
      </c>
      <c r="V26" s="5">
        <v>0.4</v>
      </c>
      <c r="W26" s="24">
        <v>0.46200000000000002</v>
      </c>
      <c r="X26" s="21"/>
      <c r="Y26" s="21"/>
      <c r="AA26" s="5">
        <v>410</v>
      </c>
      <c r="AB26" s="5">
        <f t="shared" si="24"/>
        <v>135.30000000000001</v>
      </c>
      <c r="AC26" s="5"/>
      <c r="AD26" s="5"/>
    </row>
    <row r="27" spans="1:30" x14ac:dyDescent="0.3">
      <c r="A27" s="5" t="s">
        <v>40</v>
      </c>
      <c r="B27" s="5" t="s">
        <v>54</v>
      </c>
      <c r="C27" s="5" t="s">
        <v>13</v>
      </c>
      <c r="D27" s="5" t="s">
        <v>45</v>
      </c>
      <c r="E27" s="6">
        <v>3</v>
      </c>
      <c r="F27" s="8">
        <v>0.35</v>
      </c>
      <c r="G27" s="9">
        <v>1000</v>
      </c>
      <c r="H27" s="9">
        <f t="shared" si="23"/>
        <v>100</v>
      </c>
      <c r="I27" s="11"/>
      <c r="J27" s="59">
        <v>3.25</v>
      </c>
      <c r="K27" s="24">
        <v>4.18635</v>
      </c>
      <c r="L27" s="60">
        <v>3.25</v>
      </c>
      <c r="M27" s="63">
        <v>1072.5</v>
      </c>
      <c r="O27" s="5">
        <v>1.21</v>
      </c>
      <c r="P27" s="21"/>
      <c r="Q27" s="21"/>
      <c r="R27" s="22"/>
      <c r="T27" s="9">
        <v>900000</v>
      </c>
      <c r="U27" s="5" t="s">
        <v>38</v>
      </c>
      <c r="V27" s="5">
        <v>0.4</v>
      </c>
      <c r="W27" s="24">
        <v>0.42899999999999999</v>
      </c>
      <c r="X27" s="21"/>
      <c r="Y27" s="21"/>
      <c r="AA27" s="5">
        <v>165</v>
      </c>
      <c r="AB27" s="5">
        <f t="shared" si="24"/>
        <v>54.45</v>
      </c>
      <c r="AC27" s="5"/>
      <c r="AD27" s="5"/>
    </row>
    <row r="28" spans="1:30" x14ac:dyDescent="0.3">
      <c r="A28" s="5" t="s">
        <v>40</v>
      </c>
      <c r="B28" s="4" t="s">
        <v>0</v>
      </c>
      <c r="C28" s="4" t="s">
        <v>1</v>
      </c>
      <c r="D28" s="5" t="s">
        <v>45</v>
      </c>
      <c r="E28" s="7">
        <v>10</v>
      </c>
      <c r="F28" s="8">
        <v>0.7</v>
      </c>
      <c r="G28" s="9">
        <v>60000</v>
      </c>
      <c r="H28" s="9">
        <f t="shared" si="23"/>
        <v>6000</v>
      </c>
      <c r="I28" s="11"/>
      <c r="J28" s="60">
        <v>3</v>
      </c>
      <c r="K28" s="24">
        <v>2.2000000000000002</v>
      </c>
      <c r="L28" s="60">
        <f t="shared" si="19"/>
        <v>6.6000000000000005</v>
      </c>
      <c r="M28" s="63">
        <f t="shared" si="2"/>
        <v>2178</v>
      </c>
      <c r="O28" s="5">
        <v>1.5</v>
      </c>
      <c r="P28" s="21">
        <f t="shared" si="20"/>
        <v>3267</v>
      </c>
      <c r="Q28" s="21">
        <v>1500</v>
      </c>
      <c r="R28" s="22">
        <f t="shared" si="21"/>
        <v>4767</v>
      </c>
      <c r="T28" s="9">
        <v>900000</v>
      </c>
      <c r="U28" s="5" t="s">
        <v>38</v>
      </c>
      <c r="V28" s="23">
        <v>0.15</v>
      </c>
      <c r="W28" s="24">
        <f t="shared" si="22"/>
        <v>0.32669999999999999</v>
      </c>
      <c r="X28" s="21" t="s">
        <v>38</v>
      </c>
      <c r="Y28" s="21" t="s">
        <v>38</v>
      </c>
      <c r="AA28" s="5">
        <v>60</v>
      </c>
      <c r="AB28" s="5">
        <f t="shared" si="6"/>
        <v>19.8</v>
      </c>
      <c r="AC28" s="5"/>
      <c r="AD28" s="5"/>
    </row>
    <row r="29" spans="1:30" x14ac:dyDescent="0.3">
      <c r="A29" s="5" t="s">
        <v>40</v>
      </c>
      <c r="B29" s="3" t="s">
        <v>3</v>
      </c>
      <c r="C29" s="4" t="s">
        <v>5</v>
      </c>
      <c r="D29" s="5" t="s">
        <v>45</v>
      </c>
      <c r="E29" s="7">
        <v>10</v>
      </c>
      <c r="F29" s="8">
        <v>0.8</v>
      </c>
      <c r="G29" s="9">
        <v>2000</v>
      </c>
      <c r="H29" s="9">
        <f t="shared" si="23"/>
        <v>200</v>
      </c>
      <c r="I29" s="11"/>
      <c r="J29" s="60">
        <v>3</v>
      </c>
      <c r="K29" s="24">
        <v>2</v>
      </c>
      <c r="L29" s="60">
        <f t="shared" si="19"/>
        <v>6</v>
      </c>
      <c r="M29" s="63">
        <f t="shared" si="2"/>
        <v>1980</v>
      </c>
      <c r="O29" s="5">
        <v>6.38</v>
      </c>
      <c r="P29" s="21">
        <f t="shared" si="20"/>
        <v>12632.4</v>
      </c>
      <c r="Q29" s="21">
        <v>1500</v>
      </c>
      <c r="R29" s="22">
        <f t="shared" si="21"/>
        <v>14132.4</v>
      </c>
      <c r="T29" s="9">
        <v>900000</v>
      </c>
      <c r="U29" s="5" t="s">
        <v>38</v>
      </c>
      <c r="V29" s="5">
        <v>0.23</v>
      </c>
      <c r="W29" s="24">
        <f t="shared" si="22"/>
        <v>0.45540000000000003</v>
      </c>
      <c r="X29" s="21" t="s">
        <v>38</v>
      </c>
      <c r="Y29" s="21" t="s">
        <v>38</v>
      </c>
      <c r="AA29" s="5">
        <v>64</v>
      </c>
      <c r="AB29" s="5">
        <f t="shared" si="6"/>
        <v>21.12</v>
      </c>
      <c r="AC29" s="5"/>
      <c r="AD29" s="5"/>
    </row>
    <row r="30" spans="1:30" x14ac:dyDescent="0.3">
      <c r="A30" s="5" t="s">
        <v>41</v>
      </c>
      <c r="B30" s="3" t="s">
        <v>4</v>
      </c>
      <c r="C30" s="4" t="s">
        <v>7</v>
      </c>
      <c r="D30" s="5" t="s">
        <v>45</v>
      </c>
      <c r="E30" s="7">
        <v>10</v>
      </c>
      <c r="F30" s="8">
        <v>0.8</v>
      </c>
      <c r="G30" s="9">
        <v>2500</v>
      </c>
      <c r="H30" s="9">
        <f t="shared" si="23"/>
        <v>250</v>
      </c>
      <c r="I30" s="11"/>
      <c r="J30" s="60">
        <v>3</v>
      </c>
      <c r="K30" s="24">
        <v>2</v>
      </c>
      <c r="L30" s="60">
        <f t="shared" si="19"/>
        <v>6</v>
      </c>
      <c r="M30" s="63">
        <f t="shared" si="2"/>
        <v>1980</v>
      </c>
      <c r="O30" s="5">
        <v>5.86</v>
      </c>
      <c r="P30" s="21">
        <f t="shared" si="20"/>
        <v>11602.800000000001</v>
      </c>
      <c r="Q30" s="21">
        <v>1500</v>
      </c>
      <c r="R30" s="22">
        <f t="shared" si="21"/>
        <v>13102.800000000001</v>
      </c>
      <c r="T30" s="9">
        <v>1125000</v>
      </c>
      <c r="U30" s="5" t="s">
        <v>38</v>
      </c>
      <c r="V30" s="5">
        <v>0.2</v>
      </c>
      <c r="W30" s="24">
        <f t="shared" si="22"/>
        <v>0.39600000000000002</v>
      </c>
      <c r="X30" s="21" t="s">
        <v>38</v>
      </c>
      <c r="Y30" s="21" t="s">
        <v>38</v>
      </c>
      <c r="AA30" s="5">
        <v>47</v>
      </c>
      <c r="AB30" s="5">
        <f t="shared" si="6"/>
        <v>15.51</v>
      </c>
      <c r="AC30" s="5"/>
      <c r="AD30" s="5"/>
    </row>
    <row r="31" spans="1:30" ht="16.2" thickBot="1" x14ac:dyDescent="0.35">
      <c r="A31" s="33" t="s">
        <v>41</v>
      </c>
      <c r="B31" s="34" t="s">
        <v>3</v>
      </c>
      <c r="C31" s="35" t="s">
        <v>5</v>
      </c>
      <c r="D31" s="33" t="s">
        <v>45</v>
      </c>
      <c r="E31" s="36">
        <v>10</v>
      </c>
      <c r="F31" s="37">
        <v>0.8</v>
      </c>
      <c r="G31" s="38">
        <v>2000</v>
      </c>
      <c r="H31" s="38">
        <f>G31*0.1</f>
        <v>200</v>
      </c>
      <c r="I31" s="39"/>
      <c r="J31" s="61">
        <v>3</v>
      </c>
      <c r="K31" s="43">
        <v>2</v>
      </c>
      <c r="L31" s="61">
        <f t="shared" si="19"/>
        <v>6</v>
      </c>
      <c r="M31" s="64">
        <f t="shared" si="2"/>
        <v>1980</v>
      </c>
      <c r="N31" s="40"/>
      <c r="O31" s="33">
        <v>6.38</v>
      </c>
      <c r="P31" s="41">
        <f t="shared" si="20"/>
        <v>12632.4</v>
      </c>
      <c r="Q31" s="41">
        <v>1500</v>
      </c>
      <c r="R31" s="42">
        <f t="shared" si="21"/>
        <v>14132.4</v>
      </c>
      <c r="S31" s="40"/>
      <c r="T31" s="38">
        <v>1125000</v>
      </c>
      <c r="U31" s="33" t="s">
        <v>38</v>
      </c>
      <c r="V31" s="33">
        <v>0.23</v>
      </c>
      <c r="W31" s="43">
        <f t="shared" si="22"/>
        <v>0.45540000000000003</v>
      </c>
      <c r="X31" s="41" t="s">
        <v>38</v>
      </c>
      <c r="Y31" s="41" t="s">
        <v>38</v>
      </c>
      <c r="AA31" s="5">
        <v>64</v>
      </c>
      <c r="AB31" s="5">
        <f t="shared" si="6"/>
        <v>21.12</v>
      </c>
      <c r="AC31" s="5"/>
      <c r="AD31" s="5"/>
    </row>
    <row r="32" spans="1:30" ht="16.2" thickTop="1" x14ac:dyDescent="0.3"/>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494E-2633-3B47-AC49-AD95AC048CCB}">
  <dimension ref="A1:AD56"/>
  <sheetViews>
    <sheetView showGridLines="0" tabSelected="1" workbookViewId="0">
      <pane xSplit="3" topLeftCell="K1" activePane="topRight" state="frozen"/>
      <selection pane="topRight" activeCell="A49" sqref="A48:XFD49"/>
    </sheetView>
  </sheetViews>
  <sheetFormatPr defaultColWidth="11.19921875" defaultRowHeight="15.6" outlineLevelCol="1" x14ac:dyDescent="0.3"/>
  <cols>
    <col min="2" max="2" width="24.69921875" bestFit="1" customWidth="1"/>
    <col min="3" max="3" width="20.796875" customWidth="1"/>
    <col min="4" max="4" width="18.69921875" customWidth="1"/>
    <col min="5" max="5" width="4" customWidth="1" outlineLevel="1"/>
    <col min="6" max="6" width="15.19921875" customWidth="1" outlineLevel="1"/>
    <col min="7" max="7" width="11.5" customWidth="1" outlineLevel="1"/>
    <col min="8" max="8" width="15.296875" customWidth="1" outlineLevel="1"/>
    <col min="9" max="9" width="3"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customWidth="1" outlineLevel="1"/>
    <col min="19" max="19" width="2.69921875" customWidth="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6" max="26" width="3.5" customWidth="1"/>
    <col min="27" max="27" width="17.19921875" customWidth="1" outlineLevel="1"/>
    <col min="28" max="28" width="18.5" customWidth="1" outlineLevel="1"/>
    <col min="29" max="29" width="13" customWidth="1" outlineLevel="1"/>
    <col min="30" max="30" width="17.19921875" customWidth="1" outlineLevel="1"/>
  </cols>
  <sheetData>
    <row r="1" spans="1:30" x14ac:dyDescent="0.3">
      <c r="A1" s="67" t="s">
        <v>39</v>
      </c>
      <c r="B1" s="1" t="s">
        <v>8</v>
      </c>
      <c r="C1" s="2" t="s">
        <v>9</v>
      </c>
      <c r="D1" s="2" t="s">
        <v>42</v>
      </c>
      <c r="E1" s="2" t="s">
        <v>17</v>
      </c>
      <c r="F1" s="2" t="s">
        <v>18</v>
      </c>
      <c r="G1" s="2" t="s">
        <v>19</v>
      </c>
      <c r="H1" s="2" t="s">
        <v>46</v>
      </c>
      <c r="J1" s="2" t="s">
        <v>20</v>
      </c>
      <c r="K1" s="2" t="s">
        <v>21</v>
      </c>
      <c r="L1" s="2" t="s">
        <v>22</v>
      </c>
      <c r="M1" s="2" t="s">
        <v>23</v>
      </c>
      <c r="N1" s="12"/>
      <c r="O1" s="13" t="s">
        <v>24</v>
      </c>
      <c r="P1" s="13" t="s">
        <v>25</v>
      </c>
      <c r="Q1" s="13" t="s">
        <v>47</v>
      </c>
      <c r="R1" s="13" t="s">
        <v>31</v>
      </c>
      <c r="S1" s="10"/>
      <c r="T1" s="14" t="s">
        <v>49</v>
      </c>
      <c r="U1" s="14" t="s">
        <v>26</v>
      </c>
      <c r="V1" s="14" t="s">
        <v>27</v>
      </c>
      <c r="W1" s="14" t="s">
        <v>28</v>
      </c>
      <c r="X1" s="14" t="s">
        <v>29</v>
      </c>
      <c r="Y1" s="14" t="s">
        <v>30</v>
      </c>
      <c r="AA1" s="14" t="s">
        <v>32</v>
      </c>
      <c r="AB1" s="14" t="s">
        <v>33</v>
      </c>
      <c r="AC1" s="14" t="s">
        <v>34</v>
      </c>
      <c r="AD1" s="13" t="s">
        <v>48</v>
      </c>
    </row>
    <row r="2" spans="1:30" x14ac:dyDescent="0.3">
      <c r="A2" s="5" t="s">
        <v>40</v>
      </c>
      <c r="B2" s="3" t="s">
        <v>14</v>
      </c>
      <c r="C2" s="4" t="s">
        <v>15</v>
      </c>
      <c r="D2" s="4" t="s">
        <v>43</v>
      </c>
      <c r="E2" s="6">
        <v>10</v>
      </c>
      <c r="F2" s="8">
        <v>0.8</v>
      </c>
      <c r="G2" s="9">
        <v>1000</v>
      </c>
      <c r="H2" s="9">
        <v>100</v>
      </c>
      <c r="J2" s="5">
        <v>2.6</v>
      </c>
      <c r="K2" s="6">
        <f>0.9*baseline!K9</f>
        <v>1.8</v>
      </c>
      <c r="L2" s="6">
        <f>J2*K2</f>
        <v>4.6800000000000006</v>
      </c>
      <c r="M2" s="6">
        <f>L2*330</f>
        <v>1544.4</v>
      </c>
      <c r="O2" s="5">
        <v>5</v>
      </c>
      <c r="P2" s="5">
        <f>O2*M2</f>
        <v>7722</v>
      </c>
      <c r="Q2" s="5">
        <v>500</v>
      </c>
      <c r="R2" s="5">
        <f>P2+Q2</f>
        <v>8222</v>
      </c>
      <c r="T2" s="21">
        <v>200000</v>
      </c>
      <c r="U2" s="5"/>
      <c r="V2" s="6">
        <v>0.79</v>
      </c>
      <c r="W2" s="25">
        <f>(V2*M2)/(10^3)</f>
        <v>1.2200759999999999</v>
      </c>
      <c r="X2" s="21">
        <v>2000</v>
      </c>
      <c r="Y2" s="5"/>
      <c r="Z2" s="5"/>
      <c r="AA2" s="5">
        <v>47</v>
      </c>
      <c r="AB2" s="5">
        <f>(AA2*330)/(10^3)</f>
        <v>15.51</v>
      </c>
      <c r="AC2" s="5"/>
      <c r="AD2" s="5"/>
    </row>
    <row r="3" spans="1:30" x14ac:dyDescent="0.3">
      <c r="A3" s="5" t="s">
        <v>40</v>
      </c>
      <c r="B3" s="3" t="s">
        <v>14</v>
      </c>
      <c r="C3" s="4" t="s">
        <v>2</v>
      </c>
      <c r="D3" s="4" t="s">
        <v>43</v>
      </c>
      <c r="E3" s="6">
        <v>10</v>
      </c>
      <c r="F3" s="8">
        <v>0.8</v>
      </c>
      <c r="G3" s="9">
        <v>5000</v>
      </c>
      <c r="H3" s="9">
        <v>100</v>
      </c>
      <c r="J3" s="5">
        <v>2.6</v>
      </c>
      <c r="K3" s="6">
        <v>1.8</v>
      </c>
      <c r="L3" s="6">
        <f t="shared" ref="L3:L9" si="0">J3*K3</f>
        <v>4.6800000000000006</v>
      </c>
      <c r="M3" s="6">
        <f t="shared" ref="M3:M49" si="1">L3*330</f>
        <v>1544.4</v>
      </c>
      <c r="O3" s="5">
        <v>5</v>
      </c>
      <c r="P3" s="5">
        <f t="shared" ref="P3:P8" si="2">O3*M3</f>
        <v>7722</v>
      </c>
      <c r="Q3" s="5">
        <v>500</v>
      </c>
      <c r="R3" s="5">
        <f t="shared" ref="R3:R8" si="3">P3+Q3</f>
        <v>8222</v>
      </c>
      <c r="T3" s="21">
        <v>200000</v>
      </c>
      <c r="U3" s="5"/>
      <c r="V3" s="6">
        <v>0.79</v>
      </c>
      <c r="W3" s="25">
        <f t="shared" ref="W3:W9" si="4">(V3*M3)/(10^3)</f>
        <v>1.2200759999999999</v>
      </c>
      <c r="X3" s="21">
        <v>2000</v>
      </c>
      <c r="Y3" s="5"/>
      <c r="Z3" s="5"/>
      <c r="AA3" s="5">
        <f>ROUND(AA2*0.75,0)</f>
        <v>35</v>
      </c>
      <c r="AB3" s="5">
        <f t="shared" ref="AB3:AB8" si="5">(AA3*330)/(10^3)</f>
        <v>11.55</v>
      </c>
      <c r="AC3" s="5"/>
      <c r="AD3" s="5"/>
    </row>
    <row r="4" spans="1:30" x14ac:dyDescent="0.3">
      <c r="A4" s="5" t="s">
        <v>40</v>
      </c>
      <c r="B4" s="3" t="s">
        <v>16</v>
      </c>
      <c r="C4" s="4" t="s">
        <v>15</v>
      </c>
      <c r="D4" s="4" t="s">
        <v>43</v>
      </c>
      <c r="E4" s="6">
        <v>10</v>
      </c>
      <c r="F4" s="8">
        <v>0.8</v>
      </c>
      <c r="G4" s="9">
        <v>1000</v>
      </c>
      <c r="H4" s="9">
        <v>100</v>
      </c>
      <c r="J4" s="5">
        <v>2.6</v>
      </c>
      <c r="K4" s="6">
        <v>1.8</v>
      </c>
      <c r="L4" s="6">
        <f t="shared" si="0"/>
        <v>4.6800000000000006</v>
      </c>
      <c r="M4" s="6">
        <f t="shared" si="1"/>
        <v>1544.4</v>
      </c>
      <c r="O4" s="5">
        <v>20</v>
      </c>
      <c r="P4" s="5">
        <f t="shared" si="2"/>
        <v>30888</v>
      </c>
      <c r="Q4" s="5">
        <v>250</v>
      </c>
      <c r="R4" s="5">
        <f t="shared" si="3"/>
        <v>31138</v>
      </c>
      <c r="T4" s="21">
        <v>200000</v>
      </c>
      <c r="U4" s="5"/>
      <c r="V4" s="58">
        <v>0</v>
      </c>
      <c r="W4" s="25">
        <f t="shared" si="4"/>
        <v>0</v>
      </c>
      <c r="X4" s="21">
        <v>2000</v>
      </c>
      <c r="Y4" s="5"/>
      <c r="Z4" s="5"/>
      <c r="AA4" s="5">
        <v>47</v>
      </c>
      <c r="AB4" s="5">
        <f t="shared" si="5"/>
        <v>15.51</v>
      </c>
      <c r="AC4" s="5"/>
      <c r="AD4" s="5"/>
    </row>
    <row r="5" spans="1:30" x14ac:dyDescent="0.3">
      <c r="A5" s="5" t="s">
        <v>40</v>
      </c>
      <c r="B5" s="3" t="s">
        <v>16</v>
      </c>
      <c r="C5" s="4" t="s">
        <v>2</v>
      </c>
      <c r="D5" s="4" t="s">
        <v>43</v>
      </c>
      <c r="E5" s="6">
        <v>10</v>
      </c>
      <c r="F5" s="8">
        <v>0.8</v>
      </c>
      <c r="G5" s="9">
        <v>5000</v>
      </c>
      <c r="H5" s="9">
        <v>100</v>
      </c>
      <c r="J5" s="5">
        <v>2.6</v>
      </c>
      <c r="K5" s="6">
        <v>1.8</v>
      </c>
      <c r="L5" s="6">
        <f t="shared" si="0"/>
        <v>4.6800000000000006</v>
      </c>
      <c r="M5" s="6">
        <f t="shared" si="1"/>
        <v>1544.4</v>
      </c>
      <c r="O5" s="5">
        <v>20</v>
      </c>
      <c r="P5" s="5">
        <f t="shared" si="2"/>
        <v>30888</v>
      </c>
      <c r="Q5" s="5">
        <v>250</v>
      </c>
      <c r="R5" s="5">
        <f t="shared" si="3"/>
        <v>31138</v>
      </c>
      <c r="T5" s="21">
        <v>200000</v>
      </c>
      <c r="U5" s="5"/>
      <c r="V5" s="6">
        <v>0</v>
      </c>
      <c r="W5" s="25">
        <f t="shared" si="4"/>
        <v>0</v>
      </c>
      <c r="X5" s="21">
        <v>2000</v>
      </c>
      <c r="Y5" s="5"/>
      <c r="Z5" s="5"/>
      <c r="AA5" s="5">
        <f>ROUND(AA4*0.75,0)</f>
        <v>35</v>
      </c>
      <c r="AB5" s="5">
        <f t="shared" si="5"/>
        <v>11.55</v>
      </c>
      <c r="AC5" s="5"/>
      <c r="AD5" s="5"/>
    </row>
    <row r="6" spans="1:30" x14ac:dyDescent="0.3">
      <c r="A6" s="5" t="s">
        <v>40</v>
      </c>
      <c r="B6" s="3" t="s">
        <v>55</v>
      </c>
      <c r="C6" s="4" t="s">
        <v>15</v>
      </c>
      <c r="D6" s="4" t="s">
        <v>43</v>
      </c>
      <c r="E6" s="6">
        <v>10</v>
      </c>
      <c r="F6" s="8">
        <v>0.8</v>
      </c>
      <c r="G6" s="9">
        <v>15000</v>
      </c>
      <c r="H6" s="9">
        <v>100</v>
      </c>
      <c r="J6" s="5">
        <v>2.6</v>
      </c>
      <c r="K6" s="6">
        <v>1.8</v>
      </c>
      <c r="L6" s="6">
        <f t="shared" si="0"/>
        <v>4.6800000000000006</v>
      </c>
      <c r="M6" s="6">
        <f t="shared" si="1"/>
        <v>1544.4</v>
      </c>
      <c r="O6" s="5">
        <v>0</v>
      </c>
      <c r="P6" s="5">
        <f t="shared" si="2"/>
        <v>0</v>
      </c>
      <c r="Q6" s="5">
        <v>500</v>
      </c>
      <c r="R6" s="5">
        <f t="shared" si="3"/>
        <v>500</v>
      </c>
      <c r="T6" s="21">
        <v>200000</v>
      </c>
      <c r="U6" s="5"/>
      <c r="V6" s="6">
        <v>0</v>
      </c>
      <c r="W6" s="25">
        <f t="shared" si="4"/>
        <v>0</v>
      </c>
      <c r="X6" s="21">
        <v>2000</v>
      </c>
      <c r="Y6" s="5"/>
      <c r="Z6" s="5"/>
      <c r="AA6" s="5">
        <v>47</v>
      </c>
      <c r="AB6" s="5">
        <f t="shared" si="5"/>
        <v>15.51</v>
      </c>
      <c r="AC6" s="5"/>
      <c r="AD6" s="5"/>
    </row>
    <row r="7" spans="1:30" x14ac:dyDescent="0.3">
      <c r="A7" s="5" t="s">
        <v>40</v>
      </c>
      <c r="B7" s="3" t="s">
        <v>55</v>
      </c>
      <c r="C7" s="4" t="s">
        <v>2</v>
      </c>
      <c r="D7" s="4" t="s">
        <v>43</v>
      </c>
      <c r="E7" s="6">
        <v>10</v>
      </c>
      <c r="F7" s="8">
        <v>0.8</v>
      </c>
      <c r="G7" s="9">
        <v>20000</v>
      </c>
      <c r="H7" s="9">
        <v>100</v>
      </c>
      <c r="J7" s="5">
        <v>2.6</v>
      </c>
      <c r="K7" s="6">
        <v>1.8</v>
      </c>
      <c r="L7" s="6">
        <f t="shared" si="0"/>
        <v>4.6800000000000006</v>
      </c>
      <c r="M7" s="6">
        <f t="shared" si="1"/>
        <v>1544.4</v>
      </c>
      <c r="O7" s="5">
        <v>0</v>
      </c>
      <c r="P7" s="5">
        <f t="shared" si="2"/>
        <v>0</v>
      </c>
      <c r="Q7" s="5">
        <v>500</v>
      </c>
      <c r="R7" s="5">
        <f t="shared" si="3"/>
        <v>500</v>
      </c>
      <c r="T7" s="21">
        <v>200000</v>
      </c>
      <c r="U7" s="5"/>
      <c r="V7" s="6">
        <v>0</v>
      </c>
      <c r="W7" s="25">
        <f t="shared" si="4"/>
        <v>0</v>
      </c>
      <c r="X7" s="21">
        <v>2000</v>
      </c>
      <c r="Y7" s="5"/>
      <c r="Z7" s="5"/>
      <c r="AA7" s="5">
        <f>ROUND(AA6*0.75,0)</f>
        <v>35</v>
      </c>
      <c r="AB7" s="5">
        <f t="shared" si="5"/>
        <v>11.55</v>
      </c>
      <c r="AC7" s="5"/>
      <c r="AD7" s="5"/>
    </row>
    <row r="8" spans="1:30" hidden="1" x14ac:dyDescent="0.3">
      <c r="A8" s="5"/>
      <c r="B8" s="3" t="s">
        <v>6</v>
      </c>
      <c r="C8" s="4" t="s">
        <v>15</v>
      </c>
      <c r="D8" s="4" t="s">
        <v>43</v>
      </c>
      <c r="E8" s="6">
        <v>10</v>
      </c>
      <c r="F8" s="8">
        <v>0.8</v>
      </c>
      <c r="G8" s="9">
        <v>15000</v>
      </c>
      <c r="H8" s="9">
        <v>100</v>
      </c>
      <c r="J8" s="5">
        <v>2.6</v>
      </c>
      <c r="K8" s="6">
        <v>1.8</v>
      </c>
      <c r="L8" s="6">
        <f t="shared" si="0"/>
        <v>4.6800000000000006</v>
      </c>
      <c r="M8" s="6">
        <f t="shared" si="1"/>
        <v>1544.4</v>
      </c>
      <c r="O8" s="5">
        <v>-0.5</v>
      </c>
      <c r="P8" s="5">
        <f t="shared" si="2"/>
        <v>-772.2</v>
      </c>
      <c r="Q8" s="5">
        <v>900</v>
      </c>
      <c r="R8" s="5">
        <f t="shared" si="3"/>
        <v>127.79999999999995</v>
      </c>
      <c r="T8" s="21">
        <v>200000</v>
      </c>
      <c r="U8" s="5"/>
      <c r="V8" s="6">
        <v>0</v>
      </c>
      <c r="W8" s="25">
        <f t="shared" si="4"/>
        <v>0</v>
      </c>
      <c r="X8" s="21">
        <v>2000</v>
      </c>
      <c r="Y8" s="5"/>
      <c r="Z8" s="5"/>
      <c r="AA8" s="5">
        <v>47</v>
      </c>
      <c r="AB8" s="5">
        <f t="shared" si="5"/>
        <v>15.51</v>
      </c>
      <c r="AC8" s="5"/>
      <c r="AD8" s="5"/>
    </row>
    <row r="9" spans="1:30" ht="16.2" hidden="1" thickBot="1" x14ac:dyDescent="0.35">
      <c r="A9" s="5"/>
      <c r="B9" s="34" t="s">
        <v>6</v>
      </c>
      <c r="C9" s="35" t="s">
        <v>2</v>
      </c>
      <c r="D9" s="35" t="s">
        <v>43</v>
      </c>
      <c r="E9" s="17">
        <v>10</v>
      </c>
      <c r="F9" s="37">
        <v>0.8</v>
      </c>
      <c r="G9" s="38">
        <v>20000</v>
      </c>
      <c r="H9" s="38">
        <v>100</v>
      </c>
      <c r="I9" s="40"/>
      <c r="J9" s="33">
        <v>2.6</v>
      </c>
      <c r="K9" s="17">
        <v>1.8</v>
      </c>
      <c r="L9" s="17">
        <f t="shared" si="0"/>
        <v>4.6800000000000006</v>
      </c>
      <c r="M9" s="17">
        <f t="shared" si="1"/>
        <v>1544.4</v>
      </c>
      <c r="N9" s="40"/>
      <c r="O9" s="33">
        <v>-0.5</v>
      </c>
      <c r="P9" s="33">
        <f>O9*M9</f>
        <v>-772.2</v>
      </c>
      <c r="Q9" s="33">
        <v>900</v>
      </c>
      <c r="R9" s="33">
        <f>P9+Q9</f>
        <v>127.79999999999995</v>
      </c>
      <c r="S9" s="40"/>
      <c r="T9" s="41">
        <v>200000</v>
      </c>
      <c r="U9" s="33"/>
      <c r="V9" s="17">
        <v>0</v>
      </c>
      <c r="W9" s="44">
        <f t="shared" si="4"/>
        <v>0</v>
      </c>
      <c r="X9" s="41">
        <v>2000</v>
      </c>
      <c r="Y9" s="33"/>
      <c r="Z9" s="33"/>
      <c r="AA9" s="33">
        <v>35</v>
      </c>
      <c r="AB9" s="33">
        <f>(AA9*330)/(10^3)</f>
        <v>11.55</v>
      </c>
      <c r="AC9" s="33"/>
      <c r="AD9" s="33"/>
    </row>
    <row r="10" spans="1:30" x14ac:dyDescent="0.3">
      <c r="A10" s="5" t="s">
        <v>40</v>
      </c>
      <c r="B10" s="3" t="s">
        <v>14</v>
      </c>
      <c r="C10" s="4" t="s">
        <v>15</v>
      </c>
      <c r="D10" s="4" t="s">
        <v>44</v>
      </c>
      <c r="E10" s="6">
        <v>10</v>
      </c>
      <c r="F10" s="8">
        <v>0.85</v>
      </c>
      <c r="G10" s="9">
        <v>1700</v>
      </c>
      <c r="H10" s="9">
        <v>250</v>
      </c>
      <c r="J10" s="5">
        <v>2.7</v>
      </c>
      <c r="K10" s="6">
        <v>1.8</v>
      </c>
      <c r="L10" s="6">
        <f>J10*K10</f>
        <v>4.8600000000000003</v>
      </c>
      <c r="M10" s="6">
        <f>L10*330</f>
        <v>1603.8000000000002</v>
      </c>
      <c r="O10" s="5">
        <v>6</v>
      </c>
      <c r="P10" s="5">
        <f>O10*M10</f>
        <v>9622.8000000000011</v>
      </c>
      <c r="Q10" s="5">
        <v>750</v>
      </c>
      <c r="R10" s="5">
        <f>P10+Q10</f>
        <v>10372.800000000001</v>
      </c>
      <c r="T10" s="21">
        <v>570000</v>
      </c>
      <c r="U10" s="5"/>
      <c r="V10" s="6">
        <v>0.79</v>
      </c>
      <c r="W10" s="25">
        <f>(V10*M10)/(10^3)</f>
        <v>1.2670020000000002</v>
      </c>
      <c r="X10" s="21">
        <v>2000</v>
      </c>
      <c r="Y10" s="5"/>
      <c r="Z10" s="5"/>
      <c r="AA10" s="5">
        <v>47</v>
      </c>
      <c r="AB10" s="5">
        <f>(AA10*330)/(10^3)</f>
        <v>15.51</v>
      </c>
      <c r="AC10" s="5"/>
      <c r="AD10" s="5"/>
    </row>
    <row r="11" spans="1:30" x14ac:dyDescent="0.3">
      <c r="A11" s="5" t="s">
        <v>40</v>
      </c>
      <c r="B11" s="3" t="s">
        <v>14</v>
      </c>
      <c r="C11" s="4" t="s">
        <v>2</v>
      </c>
      <c r="D11" s="4" t="s">
        <v>44</v>
      </c>
      <c r="E11" s="6">
        <v>10</v>
      </c>
      <c r="F11" s="8">
        <v>0.85</v>
      </c>
      <c r="G11" s="9">
        <f>G3*1.5</f>
        <v>7500</v>
      </c>
      <c r="H11" s="9">
        <v>250</v>
      </c>
      <c r="J11" s="5">
        <v>2.7</v>
      </c>
      <c r="K11" s="6">
        <v>1.8</v>
      </c>
      <c r="L11" s="6">
        <f t="shared" ref="L11:L17" si="6">J11*K11</f>
        <v>4.8600000000000003</v>
      </c>
      <c r="M11" s="6">
        <f t="shared" si="1"/>
        <v>1603.8000000000002</v>
      </c>
      <c r="O11" s="5">
        <v>6</v>
      </c>
      <c r="P11" s="5">
        <f t="shared" ref="P11:P16" si="7">O11*M11</f>
        <v>9622.8000000000011</v>
      </c>
      <c r="Q11" s="5">
        <v>750</v>
      </c>
      <c r="R11" s="5">
        <f t="shared" ref="R11:R16" si="8">P11+Q11</f>
        <v>10372.800000000001</v>
      </c>
      <c r="T11" s="21">
        <v>570000</v>
      </c>
      <c r="U11" s="5"/>
      <c r="V11" s="6">
        <v>0.79</v>
      </c>
      <c r="W11" s="25">
        <f t="shared" ref="W11:W17" si="9">(V11*M11)/(10^3)</f>
        <v>1.2670020000000002</v>
      </c>
      <c r="X11" s="21">
        <v>2000</v>
      </c>
      <c r="Y11" s="5"/>
      <c r="Z11" s="5"/>
      <c r="AA11" s="5">
        <f>ROUND(AA10*0.75,0)</f>
        <v>35</v>
      </c>
      <c r="AB11" s="5">
        <f>(AA11*330)/(10^3)</f>
        <v>11.55</v>
      </c>
      <c r="AC11" s="5"/>
      <c r="AD11" s="5"/>
    </row>
    <row r="12" spans="1:30" x14ac:dyDescent="0.3">
      <c r="A12" s="5" t="s">
        <v>40</v>
      </c>
      <c r="B12" s="3" t="s">
        <v>16</v>
      </c>
      <c r="C12" s="4" t="s">
        <v>15</v>
      </c>
      <c r="D12" s="4" t="s">
        <v>44</v>
      </c>
      <c r="E12" s="6">
        <v>10</v>
      </c>
      <c r="F12" s="8">
        <v>0.85</v>
      </c>
      <c r="G12" s="9">
        <v>1700</v>
      </c>
      <c r="H12" s="9">
        <v>250</v>
      </c>
      <c r="J12" s="5">
        <v>2.7</v>
      </c>
      <c r="K12" s="6">
        <v>1.8</v>
      </c>
      <c r="L12" s="6">
        <f t="shared" si="6"/>
        <v>4.8600000000000003</v>
      </c>
      <c r="M12" s="6">
        <f t="shared" si="1"/>
        <v>1603.8000000000002</v>
      </c>
      <c r="O12" s="5">
        <v>25</v>
      </c>
      <c r="P12" s="5">
        <f t="shared" si="7"/>
        <v>40095.000000000007</v>
      </c>
      <c r="Q12" s="5">
        <v>350</v>
      </c>
      <c r="R12" s="5">
        <f t="shared" si="8"/>
        <v>40445.000000000007</v>
      </c>
      <c r="T12" s="21">
        <v>570000</v>
      </c>
      <c r="U12" s="5"/>
      <c r="V12" s="6">
        <v>0</v>
      </c>
      <c r="W12" s="25">
        <f t="shared" si="9"/>
        <v>0</v>
      </c>
      <c r="X12" s="21">
        <v>2000</v>
      </c>
      <c r="Y12" s="5"/>
      <c r="Z12" s="5"/>
      <c r="AA12" s="5">
        <v>47</v>
      </c>
      <c r="AB12" s="5">
        <f t="shared" ref="AB12:AB16" si="10">(AA12*330)/(10^3)</f>
        <v>15.51</v>
      </c>
      <c r="AC12" s="5"/>
      <c r="AD12" s="5"/>
    </row>
    <row r="13" spans="1:30" x14ac:dyDescent="0.3">
      <c r="A13" s="5" t="s">
        <v>40</v>
      </c>
      <c r="B13" s="3" t="s">
        <v>16</v>
      </c>
      <c r="C13" s="4" t="s">
        <v>2</v>
      </c>
      <c r="D13" s="4" t="s">
        <v>44</v>
      </c>
      <c r="E13" s="6">
        <v>10</v>
      </c>
      <c r="F13" s="8">
        <v>0.85</v>
      </c>
      <c r="G13" s="9">
        <f>G5*1.5</f>
        <v>7500</v>
      </c>
      <c r="H13" s="9">
        <v>250</v>
      </c>
      <c r="J13" s="5">
        <v>2.7</v>
      </c>
      <c r="K13" s="6">
        <v>1.8</v>
      </c>
      <c r="L13" s="6">
        <f t="shared" si="6"/>
        <v>4.8600000000000003</v>
      </c>
      <c r="M13" s="6">
        <f t="shared" si="1"/>
        <v>1603.8000000000002</v>
      </c>
      <c r="O13" s="5">
        <v>25</v>
      </c>
      <c r="P13" s="5">
        <f t="shared" si="7"/>
        <v>40095.000000000007</v>
      </c>
      <c r="Q13" s="5">
        <v>350</v>
      </c>
      <c r="R13" s="5">
        <f t="shared" si="8"/>
        <v>40445.000000000007</v>
      </c>
      <c r="T13" s="21">
        <v>570000</v>
      </c>
      <c r="U13" s="5"/>
      <c r="V13" s="6">
        <v>0</v>
      </c>
      <c r="W13" s="25">
        <f t="shared" si="9"/>
        <v>0</v>
      </c>
      <c r="X13" s="21">
        <v>2000</v>
      </c>
      <c r="Y13" s="5"/>
      <c r="Z13" s="5"/>
      <c r="AA13" s="5">
        <f>ROUND(AA12*0.75,0)</f>
        <v>35</v>
      </c>
      <c r="AB13" s="5">
        <f t="shared" si="10"/>
        <v>11.55</v>
      </c>
      <c r="AC13" s="5"/>
      <c r="AD13" s="5"/>
    </row>
    <row r="14" spans="1:30" x14ac:dyDescent="0.3">
      <c r="A14" s="5" t="s">
        <v>40</v>
      </c>
      <c r="B14" s="3" t="s">
        <v>55</v>
      </c>
      <c r="C14" s="4" t="s">
        <v>15</v>
      </c>
      <c r="D14" s="4" t="s">
        <v>44</v>
      </c>
      <c r="E14" s="6">
        <v>10</v>
      </c>
      <c r="F14" s="8">
        <v>0.85</v>
      </c>
      <c r="G14" s="9">
        <f t="shared" ref="G14:G16" si="11">G6*1.2</f>
        <v>18000</v>
      </c>
      <c r="H14" s="9">
        <v>250</v>
      </c>
      <c r="J14" s="5">
        <v>2.7</v>
      </c>
      <c r="K14" s="6">
        <v>1.8</v>
      </c>
      <c r="L14" s="6">
        <f t="shared" si="6"/>
        <v>4.8600000000000003</v>
      </c>
      <c r="M14" s="6">
        <f t="shared" si="1"/>
        <v>1603.8000000000002</v>
      </c>
      <c r="O14" s="5">
        <v>0</v>
      </c>
      <c r="P14" s="5">
        <f t="shared" si="7"/>
        <v>0</v>
      </c>
      <c r="Q14" s="5">
        <v>750</v>
      </c>
      <c r="R14" s="5">
        <f t="shared" si="8"/>
        <v>750</v>
      </c>
      <c r="T14" s="21">
        <v>570000</v>
      </c>
      <c r="U14" s="5"/>
      <c r="V14" s="6">
        <v>0</v>
      </c>
      <c r="W14" s="25">
        <f t="shared" si="9"/>
        <v>0</v>
      </c>
      <c r="X14" s="21">
        <v>2000</v>
      </c>
      <c r="Y14" s="5"/>
      <c r="Z14" s="5"/>
      <c r="AA14" s="5">
        <v>47</v>
      </c>
      <c r="AB14" s="5">
        <f t="shared" si="10"/>
        <v>15.51</v>
      </c>
      <c r="AC14" s="5"/>
      <c r="AD14" s="5"/>
    </row>
    <row r="15" spans="1:30" x14ac:dyDescent="0.3">
      <c r="A15" s="5" t="s">
        <v>40</v>
      </c>
      <c r="B15" s="3" t="s">
        <v>55</v>
      </c>
      <c r="C15" s="4" t="s">
        <v>2</v>
      </c>
      <c r="D15" s="4" t="s">
        <v>44</v>
      </c>
      <c r="E15" s="6">
        <v>10</v>
      </c>
      <c r="F15" s="8">
        <v>0.85</v>
      </c>
      <c r="G15" s="9">
        <f t="shared" si="11"/>
        <v>24000</v>
      </c>
      <c r="H15" s="9">
        <v>250</v>
      </c>
      <c r="J15" s="5">
        <v>2.7</v>
      </c>
      <c r="K15" s="6">
        <v>1.8</v>
      </c>
      <c r="L15" s="6">
        <f t="shared" si="6"/>
        <v>4.8600000000000003</v>
      </c>
      <c r="M15" s="6">
        <f t="shared" si="1"/>
        <v>1603.8000000000002</v>
      </c>
      <c r="O15" s="5">
        <v>0</v>
      </c>
      <c r="P15" s="5">
        <f t="shared" si="7"/>
        <v>0</v>
      </c>
      <c r="Q15" s="5">
        <v>750</v>
      </c>
      <c r="R15" s="5">
        <f t="shared" si="8"/>
        <v>750</v>
      </c>
      <c r="T15" s="21">
        <v>570000</v>
      </c>
      <c r="U15" s="5"/>
      <c r="V15" s="6">
        <v>0</v>
      </c>
      <c r="W15" s="25">
        <f t="shared" si="9"/>
        <v>0</v>
      </c>
      <c r="X15" s="21">
        <v>2000</v>
      </c>
      <c r="Y15" s="5"/>
      <c r="Z15" s="5"/>
      <c r="AA15" s="5">
        <f>ROUND(AA14*0.75,0)</f>
        <v>35</v>
      </c>
      <c r="AB15" s="5">
        <f t="shared" si="10"/>
        <v>11.55</v>
      </c>
      <c r="AC15" s="5"/>
      <c r="AD15" s="5"/>
    </row>
    <row r="16" spans="1:30" hidden="1" x14ac:dyDescent="0.3">
      <c r="A16" s="5"/>
      <c r="B16" s="3" t="s">
        <v>6</v>
      </c>
      <c r="C16" s="4" t="s">
        <v>15</v>
      </c>
      <c r="D16" s="4" t="s">
        <v>44</v>
      </c>
      <c r="E16" s="6">
        <v>10</v>
      </c>
      <c r="F16" s="8">
        <v>0.85</v>
      </c>
      <c r="G16" s="9">
        <f t="shared" si="11"/>
        <v>18000</v>
      </c>
      <c r="H16" s="9">
        <v>250</v>
      </c>
      <c r="J16" s="5">
        <v>2.7</v>
      </c>
      <c r="K16" s="6">
        <v>1.8</v>
      </c>
      <c r="L16" s="6">
        <f t="shared" si="6"/>
        <v>4.8600000000000003</v>
      </c>
      <c r="M16" s="6">
        <f t="shared" si="1"/>
        <v>1603.8000000000002</v>
      </c>
      <c r="O16" s="5">
        <v>-0.25</v>
      </c>
      <c r="P16" s="5">
        <f t="shared" si="7"/>
        <v>-400.95000000000005</v>
      </c>
      <c r="Q16" s="5">
        <v>1000</v>
      </c>
      <c r="R16" s="5">
        <f t="shared" si="8"/>
        <v>599.04999999999995</v>
      </c>
      <c r="T16" s="21">
        <v>570000</v>
      </c>
      <c r="U16" s="5"/>
      <c r="V16" s="6">
        <v>0</v>
      </c>
      <c r="W16" s="25">
        <f t="shared" si="9"/>
        <v>0</v>
      </c>
      <c r="X16" s="21">
        <v>2000</v>
      </c>
      <c r="Y16" s="5"/>
      <c r="Z16" s="5"/>
      <c r="AA16" s="5">
        <v>47</v>
      </c>
      <c r="AB16" s="5">
        <f t="shared" si="10"/>
        <v>15.51</v>
      </c>
      <c r="AC16" s="5"/>
      <c r="AD16" s="5"/>
    </row>
    <row r="17" spans="1:30" ht="16.2" hidden="1" thickBot="1" x14ac:dyDescent="0.35">
      <c r="A17" s="5"/>
      <c r="B17" s="34" t="s">
        <v>6</v>
      </c>
      <c r="C17" s="35" t="s">
        <v>2</v>
      </c>
      <c r="D17" s="35" t="s">
        <v>44</v>
      </c>
      <c r="E17" s="17">
        <v>10</v>
      </c>
      <c r="F17" s="37">
        <v>0.85</v>
      </c>
      <c r="G17" s="38">
        <f>G9*1.2</f>
        <v>24000</v>
      </c>
      <c r="H17" s="38">
        <v>250</v>
      </c>
      <c r="I17" s="40"/>
      <c r="J17" s="33">
        <v>2.7</v>
      </c>
      <c r="K17" s="17">
        <v>1.8</v>
      </c>
      <c r="L17" s="17">
        <f t="shared" si="6"/>
        <v>4.8600000000000003</v>
      </c>
      <c r="M17" s="17">
        <f t="shared" si="1"/>
        <v>1603.8000000000002</v>
      </c>
      <c r="N17" s="40"/>
      <c r="O17" s="33">
        <v>-0.25</v>
      </c>
      <c r="P17" s="33">
        <f>O17*M17</f>
        <v>-400.95000000000005</v>
      </c>
      <c r="Q17" s="33">
        <v>1000</v>
      </c>
      <c r="R17" s="33">
        <f>P17+Q17</f>
        <v>599.04999999999995</v>
      </c>
      <c r="S17" s="40"/>
      <c r="T17" s="41">
        <v>570000</v>
      </c>
      <c r="U17" s="33"/>
      <c r="V17" s="17">
        <v>0</v>
      </c>
      <c r="W17" s="44">
        <f t="shared" si="9"/>
        <v>0</v>
      </c>
      <c r="X17" s="41">
        <v>2000</v>
      </c>
      <c r="Y17" s="33"/>
      <c r="Z17" s="33"/>
      <c r="AA17" s="33">
        <v>35</v>
      </c>
      <c r="AB17" s="33">
        <f>(AA17*330)/(10^3)</f>
        <v>11.55</v>
      </c>
      <c r="AC17" s="33"/>
      <c r="AD17" s="33"/>
    </row>
    <row r="18" spans="1:30" x14ac:dyDescent="0.3">
      <c r="A18" s="5" t="s">
        <v>40</v>
      </c>
      <c r="B18" s="3" t="s">
        <v>14</v>
      </c>
      <c r="C18" s="4" t="s">
        <v>15</v>
      </c>
      <c r="D18" s="4" t="s">
        <v>45</v>
      </c>
      <c r="E18" s="6">
        <v>10</v>
      </c>
      <c r="F18" s="8">
        <v>0.9</v>
      </c>
      <c r="G18" s="9">
        <v>2900</v>
      </c>
      <c r="H18" s="9">
        <v>500</v>
      </c>
      <c r="J18" s="5">
        <v>2.9</v>
      </c>
      <c r="K18" s="6">
        <v>1.8</v>
      </c>
      <c r="L18" s="6">
        <f>J18*K18</f>
        <v>5.22</v>
      </c>
      <c r="M18" s="6">
        <f>L18*330</f>
        <v>1722.6</v>
      </c>
      <c r="O18" s="5">
        <v>7</v>
      </c>
      <c r="P18" s="5">
        <f>O18*M18</f>
        <v>12058.199999999999</v>
      </c>
      <c r="Q18" s="5">
        <v>1000</v>
      </c>
      <c r="R18" s="5">
        <f>P18+Q18</f>
        <v>13058.199999999999</v>
      </c>
      <c r="T18" s="21">
        <v>900000</v>
      </c>
      <c r="U18" s="5"/>
      <c r="V18" s="6">
        <v>0.79</v>
      </c>
      <c r="W18" s="25">
        <f>(V18*M18)/(10^3)</f>
        <v>1.360854</v>
      </c>
      <c r="X18" s="21">
        <v>2000</v>
      </c>
      <c r="Y18" s="5"/>
      <c r="Z18" s="5"/>
      <c r="AA18" s="5">
        <v>47</v>
      </c>
      <c r="AB18" s="5">
        <f>(AA18*330)/(10^3)</f>
        <v>15.51</v>
      </c>
      <c r="AC18" s="5"/>
      <c r="AD18" s="5"/>
    </row>
    <row r="19" spans="1:30" x14ac:dyDescent="0.3">
      <c r="A19" s="5" t="s">
        <v>40</v>
      </c>
      <c r="B19" s="3" t="s">
        <v>14</v>
      </c>
      <c r="C19" s="4" t="s">
        <v>2</v>
      </c>
      <c r="D19" s="4" t="s">
        <v>45</v>
      </c>
      <c r="E19" s="6">
        <v>10</v>
      </c>
      <c r="F19" s="8">
        <v>0.9</v>
      </c>
      <c r="G19" s="9">
        <f>ROUND(G11*1.34,0)</f>
        <v>10050</v>
      </c>
      <c r="H19" s="9">
        <v>500</v>
      </c>
      <c r="J19" s="5">
        <v>2.9</v>
      </c>
      <c r="K19" s="6">
        <v>1.8</v>
      </c>
      <c r="L19" s="6">
        <f t="shared" ref="L19:L25" si="12">J19*K19</f>
        <v>5.22</v>
      </c>
      <c r="M19" s="6">
        <f t="shared" si="1"/>
        <v>1722.6</v>
      </c>
      <c r="O19" s="5">
        <v>7</v>
      </c>
      <c r="P19" s="5">
        <f t="shared" ref="P19:P24" si="13">O19*M19</f>
        <v>12058.199999999999</v>
      </c>
      <c r="Q19" s="5">
        <v>1000</v>
      </c>
      <c r="R19" s="5">
        <f>P19+Q19</f>
        <v>13058.199999999999</v>
      </c>
      <c r="T19" s="21">
        <v>900000</v>
      </c>
      <c r="U19" s="5"/>
      <c r="V19" s="6">
        <v>0.79</v>
      </c>
      <c r="W19" s="25">
        <f t="shared" ref="W19:W25" si="14">(V19*M19)/(10^3)</f>
        <v>1.360854</v>
      </c>
      <c r="X19" s="21">
        <v>2000</v>
      </c>
      <c r="Y19" s="5"/>
      <c r="Z19" s="5"/>
      <c r="AA19" s="5">
        <f>ROUND(AA18*0.75,0)</f>
        <v>35</v>
      </c>
      <c r="AB19" s="5">
        <f>(AA19*330)/(10^3)</f>
        <v>11.55</v>
      </c>
      <c r="AC19" s="5"/>
      <c r="AD19" s="5"/>
    </row>
    <row r="20" spans="1:30" x14ac:dyDescent="0.3">
      <c r="A20" s="5" t="s">
        <v>40</v>
      </c>
      <c r="B20" s="3" t="s">
        <v>16</v>
      </c>
      <c r="C20" s="4" t="s">
        <v>15</v>
      </c>
      <c r="D20" s="4" t="s">
        <v>45</v>
      </c>
      <c r="E20" s="6">
        <v>10</v>
      </c>
      <c r="F20" s="8">
        <v>0.9</v>
      </c>
      <c r="G20" s="9">
        <v>2900</v>
      </c>
      <c r="H20" s="9">
        <v>500</v>
      </c>
      <c r="J20" s="5">
        <v>2.9</v>
      </c>
      <c r="K20" s="6">
        <v>1.8</v>
      </c>
      <c r="L20" s="6">
        <f t="shared" si="12"/>
        <v>5.22</v>
      </c>
      <c r="M20" s="6">
        <f t="shared" si="1"/>
        <v>1722.6</v>
      </c>
      <c r="O20" s="5">
        <v>30</v>
      </c>
      <c r="P20" s="5">
        <f t="shared" si="13"/>
        <v>51678</v>
      </c>
      <c r="Q20" s="5">
        <v>500</v>
      </c>
      <c r="R20" s="5">
        <f t="shared" ref="R20:R24" si="15">P20+Q20</f>
        <v>52178</v>
      </c>
      <c r="T20" s="21">
        <v>900000</v>
      </c>
      <c r="U20" s="5"/>
      <c r="V20" s="6">
        <v>0</v>
      </c>
      <c r="W20" s="25">
        <f t="shared" si="14"/>
        <v>0</v>
      </c>
      <c r="X20" s="21">
        <v>2000</v>
      </c>
      <c r="Y20" s="5"/>
      <c r="Z20" s="5"/>
      <c r="AA20" s="5">
        <v>47</v>
      </c>
      <c r="AB20" s="5">
        <f t="shared" ref="AB20:AB24" si="16">(AA20*330)/(10^3)</f>
        <v>15.51</v>
      </c>
      <c r="AC20" s="5"/>
      <c r="AD20" s="5"/>
    </row>
    <row r="21" spans="1:30" x14ac:dyDescent="0.3">
      <c r="A21" s="5" t="s">
        <v>40</v>
      </c>
      <c r="B21" s="3" t="s">
        <v>16</v>
      </c>
      <c r="C21" s="4" t="s">
        <v>2</v>
      </c>
      <c r="D21" s="4" t="s">
        <v>45</v>
      </c>
      <c r="E21" s="6">
        <v>10</v>
      </c>
      <c r="F21" s="8">
        <v>0.9</v>
      </c>
      <c r="G21" s="9">
        <f>G13*1.34</f>
        <v>10050</v>
      </c>
      <c r="H21" s="9">
        <v>500</v>
      </c>
      <c r="J21" s="5">
        <v>2.9</v>
      </c>
      <c r="K21" s="6">
        <v>1.8</v>
      </c>
      <c r="L21" s="6">
        <f t="shared" si="12"/>
        <v>5.22</v>
      </c>
      <c r="M21" s="6">
        <f t="shared" si="1"/>
        <v>1722.6</v>
      </c>
      <c r="O21" s="5">
        <v>30</v>
      </c>
      <c r="P21" s="5">
        <f t="shared" si="13"/>
        <v>51678</v>
      </c>
      <c r="Q21" s="5">
        <v>500</v>
      </c>
      <c r="R21" s="5">
        <f t="shared" si="15"/>
        <v>52178</v>
      </c>
      <c r="T21" s="21">
        <v>900000</v>
      </c>
      <c r="U21" s="5"/>
      <c r="V21" s="6">
        <v>0</v>
      </c>
      <c r="W21" s="25">
        <f t="shared" si="14"/>
        <v>0</v>
      </c>
      <c r="X21" s="21">
        <v>2000</v>
      </c>
      <c r="Y21" s="5"/>
      <c r="Z21" s="5"/>
      <c r="AA21" s="5">
        <f>ROUND(AA20*0.75,0)</f>
        <v>35</v>
      </c>
      <c r="AB21" s="5">
        <f t="shared" si="16"/>
        <v>11.55</v>
      </c>
      <c r="AC21" s="5"/>
      <c r="AD21" s="5"/>
    </row>
    <row r="22" spans="1:30" x14ac:dyDescent="0.3">
      <c r="A22" s="5" t="s">
        <v>40</v>
      </c>
      <c r="B22" s="3" t="s">
        <v>55</v>
      </c>
      <c r="C22" s="4" t="s">
        <v>15</v>
      </c>
      <c r="D22" s="4" t="s">
        <v>45</v>
      </c>
      <c r="E22" s="6">
        <v>10</v>
      </c>
      <c r="F22" s="8">
        <v>0.9</v>
      </c>
      <c r="G22" s="9">
        <f t="shared" ref="G22:G24" si="17">G14*1.2</f>
        <v>21600</v>
      </c>
      <c r="H22" s="9">
        <v>500</v>
      </c>
      <c r="J22" s="5">
        <v>2.9</v>
      </c>
      <c r="K22" s="6">
        <v>1.8</v>
      </c>
      <c r="L22" s="6">
        <f t="shared" si="12"/>
        <v>5.22</v>
      </c>
      <c r="M22" s="6">
        <f t="shared" si="1"/>
        <v>1722.6</v>
      </c>
      <c r="O22" s="5">
        <v>0</v>
      </c>
      <c r="P22" s="5">
        <f t="shared" si="13"/>
        <v>0</v>
      </c>
      <c r="Q22" s="5">
        <v>1000</v>
      </c>
      <c r="R22" s="5">
        <f t="shared" si="15"/>
        <v>1000</v>
      </c>
      <c r="T22" s="21">
        <v>900000</v>
      </c>
      <c r="U22" s="5"/>
      <c r="V22" s="6">
        <v>0</v>
      </c>
      <c r="W22" s="25">
        <f t="shared" si="14"/>
        <v>0</v>
      </c>
      <c r="X22" s="21">
        <v>2000</v>
      </c>
      <c r="Y22" s="5"/>
      <c r="Z22" s="5"/>
      <c r="AA22" s="5">
        <v>47</v>
      </c>
      <c r="AB22" s="5">
        <f t="shared" si="16"/>
        <v>15.51</v>
      </c>
      <c r="AC22" s="5"/>
      <c r="AD22" s="5"/>
    </row>
    <row r="23" spans="1:30" x14ac:dyDescent="0.3">
      <c r="A23" s="5" t="s">
        <v>40</v>
      </c>
      <c r="B23" s="3" t="s">
        <v>55</v>
      </c>
      <c r="C23" s="4" t="s">
        <v>2</v>
      </c>
      <c r="D23" s="4" t="s">
        <v>45</v>
      </c>
      <c r="E23" s="6">
        <v>10</v>
      </c>
      <c r="F23" s="8">
        <v>0.9</v>
      </c>
      <c r="G23" s="9">
        <f t="shared" si="17"/>
        <v>28800</v>
      </c>
      <c r="H23" s="9">
        <v>500</v>
      </c>
      <c r="J23" s="5">
        <v>2.9</v>
      </c>
      <c r="K23" s="6">
        <v>1.8</v>
      </c>
      <c r="L23" s="6">
        <f t="shared" si="12"/>
        <v>5.22</v>
      </c>
      <c r="M23" s="6">
        <f t="shared" si="1"/>
        <v>1722.6</v>
      </c>
      <c r="O23" s="5">
        <v>0</v>
      </c>
      <c r="P23" s="5">
        <f t="shared" si="13"/>
        <v>0</v>
      </c>
      <c r="Q23" s="5">
        <v>1000</v>
      </c>
      <c r="R23" s="5">
        <f t="shared" si="15"/>
        <v>1000</v>
      </c>
      <c r="T23" s="21">
        <v>900000</v>
      </c>
      <c r="U23" s="5"/>
      <c r="V23" s="6">
        <v>0</v>
      </c>
      <c r="W23" s="25">
        <f t="shared" si="14"/>
        <v>0</v>
      </c>
      <c r="X23" s="21">
        <v>2000</v>
      </c>
      <c r="Y23" s="5"/>
      <c r="Z23" s="5"/>
      <c r="AA23" s="5">
        <f>ROUND(AA22*0.75,0)</f>
        <v>35</v>
      </c>
      <c r="AB23" s="5">
        <f t="shared" si="16"/>
        <v>11.55</v>
      </c>
      <c r="AC23" s="5"/>
      <c r="AD23" s="5"/>
    </row>
    <row r="24" spans="1:30" hidden="1" x14ac:dyDescent="0.3">
      <c r="A24" s="5"/>
      <c r="B24" s="3" t="s">
        <v>6</v>
      </c>
      <c r="C24" s="4" t="s">
        <v>15</v>
      </c>
      <c r="D24" s="4" t="s">
        <v>45</v>
      </c>
      <c r="E24" s="6">
        <v>10</v>
      </c>
      <c r="F24" s="8">
        <v>0.9</v>
      </c>
      <c r="G24" s="9">
        <f t="shared" si="17"/>
        <v>21600</v>
      </c>
      <c r="H24" s="9">
        <v>500</v>
      </c>
      <c r="J24" s="5">
        <v>2.9</v>
      </c>
      <c r="K24" s="6">
        <v>1.8</v>
      </c>
      <c r="L24" s="6">
        <f t="shared" si="12"/>
        <v>5.22</v>
      </c>
      <c r="M24" s="6">
        <f t="shared" si="1"/>
        <v>1722.6</v>
      </c>
      <c r="O24" s="5">
        <v>-0.1</v>
      </c>
      <c r="P24" s="5">
        <f t="shared" si="13"/>
        <v>-172.26</v>
      </c>
      <c r="Q24" s="5">
        <v>1500</v>
      </c>
      <c r="R24" s="5">
        <f t="shared" si="15"/>
        <v>1327.74</v>
      </c>
      <c r="T24" s="21">
        <v>900000</v>
      </c>
      <c r="U24" s="5"/>
      <c r="V24" s="6">
        <v>0</v>
      </c>
      <c r="W24" s="25">
        <f t="shared" si="14"/>
        <v>0</v>
      </c>
      <c r="X24" s="21">
        <v>2000</v>
      </c>
      <c r="Y24" s="5"/>
      <c r="Z24" s="5"/>
      <c r="AA24" s="5">
        <v>47</v>
      </c>
      <c r="AB24" s="5">
        <f t="shared" si="16"/>
        <v>15.51</v>
      </c>
      <c r="AC24" s="5"/>
      <c r="AD24" s="5"/>
    </row>
    <row r="25" spans="1:30" ht="16.2" hidden="1" thickBot="1" x14ac:dyDescent="0.35">
      <c r="A25" s="48"/>
      <c r="B25" s="48" t="s">
        <v>6</v>
      </c>
      <c r="C25" s="49" t="s">
        <v>2</v>
      </c>
      <c r="D25" s="49" t="s">
        <v>45</v>
      </c>
      <c r="E25" s="50">
        <v>10</v>
      </c>
      <c r="F25" s="51">
        <v>0.9</v>
      </c>
      <c r="G25" s="52">
        <f>G17*1.2</f>
        <v>28800</v>
      </c>
      <c r="H25" s="52">
        <v>500</v>
      </c>
      <c r="I25" s="53"/>
      <c r="J25" s="54">
        <v>2.9</v>
      </c>
      <c r="K25" s="50">
        <v>1.8</v>
      </c>
      <c r="L25" s="50">
        <f t="shared" si="12"/>
        <v>5.22</v>
      </c>
      <c r="M25" s="50">
        <f t="shared" si="1"/>
        <v>1722.6</v>
      </c>
      <c r="N25" s="53"/>
      <c r="O25" s="54">
        <v>-0.1</v>
      </c>
      <c r="P25" s="54">
        <f>O25*M25</f>
        <v>-172.26</v>
      </c>
      <c r="Q25" s="54">
        <v>1500</v>
      </c>
      <c r="R25" s="54">
        <f>P25+Q25</f>
        <v>1327.74</v>
      </c>
      <c r="S25" s="45"/>
      <c r="T25" s="57">
        <v>900000</v>
      </c>
      <c r="U25" s="54"/>
      <c r="V25" s="50">
        <v>0</v>
      </c>
      <c r="W25" s="56">
        <f t="shared" si="14"/>
        <v>0</v>
      </c>
      <c r="X25" s="57">
        <v>2000</v>
      </c>
      <c r="Y25" s="54"/>
      <c r="Z25" s="54"/>
      <c r="AA25" s="54">
        <v>35</v>
      </c>
      <c r="AB25" s="54">
        <f>(AA25*330)/(10^3)</f>
        <v>11.55</v>
      </c>
      <c r="AC25" s="54"/>
      <c r="AD25" s="54"/>
    </row>
    <row r="26" spans="1:30" x14ac:dyDescent="0.3">
      <c r="A26" s="5" t="s">
        <v>41</v>
      </c>
      <c r="B26" s="46" t="s">
        <v>14</v>
      </c>
      <c r="C26" s="47" t="s">
        <v>15</v>
      </c>
      <c r="D26" s="47" t="s">
        <v>43</v>
      </c>
      <c r="E26" s="27">
        <v>10</v>
      </c>
      <c r="F26" s="28">
        <v>0.8</v>
      </c>
      <c r="G26" s="29">
        <f>G2*110%</f>
        <v>1100</v>
      </c>
      <c r="H26" s="29">
        <v>150</v>
      </c>
      <c r="J26" s="26">
        <v>2.6</v>
      </c>
      <c r="K26" s="27">
        <v>1.8</v>
      </c>
      <c r="L26" s="27">
        <f>J26*K26</f>
        <v>4.6800000000000006</v>
      </c>
      <c r="M26" s="27">
        <f>L26*330</f>
        <v>1544.4</v>
      </c>
      <c r="O26" s="26">
        <v>6</v>
      </c>
      <c r="P26" s="26">
        <f>M26*O26</f>
        <v>9266.4000000000015</v>
      </c>
      <c r="Q26" s="26">
        <v>600</v>
      </c>
      <c r="R26" s="26">
        <f>P26+Q26</f>
        <v>9866.4000000000015</v>
      </c>
      <c r="T26" s="30">
        <v>250000</v>
      </c>
      <c r="U26" s="26"/>
      <c r="V26" s="27">
        <v>0.79</v>
      </c>
      <c r="W26" s="55">
        <f>(V26*M26)/(10^3)</f>
        <v>1.2200759999999999</v>
      </c>
      <c r="X26" s="30">
        <v>2000</v>
      </c>
      <c r="Y26" s="26"/>
      <c r="Z26" s="26"/>
      <c r="AA26" s="26">
        <v>47</v>
      </c>
      <c r="AB26" s="26">
        <f>(AA26*330)/(10^3)</f>
        <v>15.51</v>
      </c>
      <c r="AC26" s="26"/>
      <c r="AD26" s="26"/>
    </row>
    <row r="27" spans="1:30" x14ac:dyDescent="0.3">
      <c r="A27" s="5" t="s">
        <v>41</v>
      </c>
      <c r="B27" s="3" t="s">
        <v>14</v>
      </c>
      <c r="C27" s="4" t="s">
        <v>2</v>
      </c>
      <c r="D27" s="4" t="s">
        <v>43</v>
      </c>
      <c r="E27" s="6">
        <v>10</v>
      </c>
      <c r="F27" s="8">
        <v>0.8</v>
      </c>
      <c r="G27" s="29">
        <f t="shared" ref="G27:G32" si="18">G3*110%</f>
        <v>5500</v>
      </c>
      <c r="H27" s="9">
        <v>150</v>
      </c>
      <c r="J27" s="5">
        <v>2.6</v>
      </c>
      <c r="K27" s="6">
        <v>1.8</v>
      </c>
      <c r="L27" s="6">
        <f t="shared" ref="L27:L33" si="19">J27*K27</f>
        <v>4.6800000000000006</v>
      </c>
      <c r="M27" s="6">
        <f t="shared" si="1"/>
        <v>1544.4</v>
      </c>
      <c r="O27" s="5">
        <v>6</v>
      </c>
      <c r="P27" s="26">
        <f t="shared" ref="P27:P32" si="20">M27*O27</f>
        <v>9266.4000000000015</v>
      </c>
      <c r="Q27" s="5">
        <v>600</v>
      </c>
      <c r="R27" s="5">
        <f>P27+Q27</f>
        <v>9866.4000000000015</v>
      </c>
      <c r="T27" s="21">
        <v>250000</v>
      </c>
      <c r="U27" s="5"/>
      <c r="V27" s="6">
        <v>0.79</v>
      </c>
      <c r="W27" s="25">
        <f t="shared" ref="W27:W33" si="21">(V27*M27)/(10^3)</f>
        <v>1.2200759999999999</v>
      </c>
      <c r="X27" s="21">
        <v>2000</v>
      </c>
      <c r="Y27" s="5"/>
      <c r="Z27" s="5"/>
      <c r="AA27" s="5">
        <f>ROUND(AA26*0.75,0)</f>
        <v>35</v>
      </c>
      <c r="AB27" s="5">
        <f>(AA27*330)/(10^3)</f>
        <v>11.55</v>
      </c>
      <c r="AC27" s="5"/>
      <c r="AD27" s="5"/>
    </row>
    <row r="28" spans="1:30" x14ac:dyDescent="0.3">
      <c r="A28" s="5" t="s">
        <v>41</v>
      </c>
      <c r="B28" s="3" t="s">
        <v>16</v>
      </c>
      <c r="C28" s="4" t="s">
        <v>15</v>
      </c>
      <c r="D28" s="4" t="s">
        <v>43</v>
      </c>
      <c r="E28" s="6">
        <v>10</v>
      </c>
      <c r="F28" s="8">
        <v>0.8</v>
      </c>
      <c r="G28" s="29">
        <f t="shared" si="18"/>
        <v>1100</v>
      </c>
      <c r="H28" s="9">
        <v>150</v>
      </c>
      <c r="J28" s="5">
        <v>2.6</v>
      </c>
      <c r="K28" s="6">
        <v>1.8</v>
      </c>
      <c r="L28" s="6">
        <f t="shared" si="19"/>
        <v>4.6800000000000006</v>
      </c>
      <c r="M28" s="6">
        <f t="shared" si="1"/>
        <v>1544.4</v>
      </c>
      <c r="O28" s="5">
        <v>20</v>
      </c>
      <c r="P28" s="26">
        <f t="shared" si="20"/>
        <v>30888</v>
      </c>
      <c r="Q28" s="5">
        <v>350</v>
      </c>
      <c r="R28" s="5">
        <f>P28+Q28</f>
        <v>31238</v>
      </c>
      <c r="T28" s="21">
        <v>250000</v>
      </c>
      <c r="U28" s="5"/>
      <c r="V28" s="6">
        <v>0</v>
      </c>
      <c r="W28" s="25">
        <f t="shared" si="21"/>
        <v>0</v>
      </c>
      <c r="X28" s="21">
        <v>2000</v>
      </c>
      <c r="Y28" s="5"/>
      <c r="Z28" s="5"/>
      <c r="AA28" s="5">
        <v>47</v>
      </c>
      <c r="AB28" s="5">
        <f t="shared" ref="AB28:AB32" si="22">(AA28*330)/(10^3)</f>
        <v>15.51</v>
      </c>
      <c r="AC28" s="5"/>
      <c r="AD28" s="5"/>
    </row>
    <row r="29" spans="1:30" x14ac:dyDescent="0.3">
      <c r="A29" s="5" t="s">
        <v>41</v>
      </c>
      <c r="B29" s="3" t="s">
        <v>16</v>
      </c>
      <c r="C29" s="4" t="s">
        <v>2</v>
      </c>
      <c r="D29" s="4" t="s">
        <v>43</v>
      </c>
      <c r="E29" s="6">
        <v>10</v>
      </c>
      <c r="F29" s="8">
        <v>0.8</v>
      </c>
      <c r="G29" s="29">
        <f t="shared" si="18"/>
        <v>5500</v>
      </c>
      <c r="H29" s="9">
        <v>150</v>
      </c>
      <c r="J29" s="5">
        <v>2.6</v>
      </c>
      <c r="K29" s="6">
        <v>1.8</v>
      </c>
      <c r="L29" s="6">
        <f t="shared" si="19"/>
        <v>4.6800000000000006</v>
      </c>
      <c r="M29" s="6">
        <f t="shared" si="1"/>
        <v>1544.4</v>
      </c>
      <c r="O29" s="5">
        <v>20</v>
      </c>
      <c r="P29" s="26">
        <f t="shared" si="20"/>
        <v>30888</v>
      </c>
      <c r="Q29" s="5">
        <v>350</v>
      </c>
      <c r="R29" s="5">
        <f>P29+Q29</f>
        <v>31238</v>
      </c>
      <c r="T29" s="21">
        <v>250000</v>
      </c>
      <c r="U29" s="5"/>
      <c r="V29" s="6">
        <v>0</v>
      </c>
      <c r="W29" s="25">
        <f t="shared" si="21"/>
        <v>0</v>
      </c>
      <c r="X29" s="21">
        <v>2000</v>
      </c>
      <c r="Y29" s="5"/>
      <c r="Z29" s="5"/>
      <c r="AA29" s="5">
        <f>ROUND(AA28*0.75,0)</f>
        <v>35</v>
      </c>
      <c r="AB29" s="5">
        <f t="shared" si="22"/>
        <v>11.55</v>
      </c>
      <c r="AC29" s="5"/>
      <c r="AD29" s="5"/>
    </row>
    <row r="30" spans="1:30" x14ac:dyDescent="0.3">
      <c r="A30" s="5" t="s">
        <v>41</v>
      </c>
      <c r="B30" s="3" t="s">
        <v>55</v>
      </c>
      <c r="C30" s="4" t="s">
        <v>15</v>
      </c>
      <c r="D30" s="4" t="s">
        <v>43</v>
      </c>
      <c r="E30" s="6">
        <v>10</v>
      </c>
      <c r="F30" s="8">
        <v>0.8</v>
      </c>
      <c r="G30" s="29">
        <f t="shared" si="18"/>
        <v>16500</v>
      </c>
      <c r="H30" s="9">
        <v>150</v>
      </c>
      <c r="J30" s="5">
        <v>2.6</v>
      </c>
      <c r="K30" s="6">
        <v>1.8</v>
      </c>
      <c r="L30" s="6">
        <f t="shared" si="19"/>
        <v>4.6800000000000006</v>
      </c>
      <c r="M30" s="6">
        <f t="shared" si="1"/>
        <v>1544.4</v>
      </c>
      <c r="O30" s="5">
        <v>0</v>
      </c>
      <c r="P30" s="26">
        <f t="shared" si="20"/>
        <v>0</v>
      </c>
      <c r="Q30" s="5">
        <v>600</v>
      </c>
      <c r="R30" s="5">
        <f t="shared" ref="R30:R32" si="23">P30+Q30</f>
        <v>600</v>
      </c>
      <c r="T30" s="21">
        <v>250000</v>
      </c>
      <c r="U30" s="5"/>
      <c r="V30" s="6">
        <v>0</v>
      </c>
      <c r="W30" s="25">
        <f t="shared" si="21"/>
        <v>0</v>
      </c>
      <c r="X30" s="21">
        <v>2000</v>
      </c>
      <c r="Y30" s="5"/>
      <c r="Z30" s="5"/>
      <c r="AA30" s="5">
        <v>47</v>
      </c>
      <c r="AB30" s="5">
        <f t="shared" si="22"/>
        <v>15.51</v>
      </c>
      <c r="AC30" s="5"/>
      <c r="AD30" s="5"/>
    </row>
    <row r="31" spans="1:30" x14ac:dyDescent="0.3">
      <c r="A31" s="5" t="s">
        <v>41</v>
      </c>
      <c r="B31" s="3" t="s">
        <v>55</v>
      </c>
      <c r="C31" s="4" t="s">
        <v>2</v>
      </c>
      <c r="D31" s="4" t="s">
        <v>43</v>
      </c>
      <c r="E31" s="6">
        <v>10</v>
      </c>
      <c r="F31" s="8">
        <v>0.8</v>
      </c>
      <c r="G31" s="29">
        <f t="shared" si="18"/>
        <v>22000</v>
      </c>
      <c r="H31" s="9">
        <v>150</v>
      </c>
      <c r="J31" s="5">
        <v>2.6</v>
      </c>
      <c r="K31" s="6">
        <v>1.8</v>
      </c>
      <c r="L31" s="6">
        <f t="shared" si="19"/>
        <v>4.6800000000000006</v>
      </c>
      <c r="M31" s="6">
        <f t="shared" si="1"/>
        <v>1544.4</v>
      </c>
      <c r="O31" s="5">
        <v>0</v>
      </c>
      <c r="P31" s="26">
        <f t="shared" si="20"/>
        <v>0</v>
      </c>
      <c r="Q31" s="5">
        <v>600</v>
      </c>
      <c r="R31" s="5">
        <f t="shared" si="23"/>
        <v>600</v>
      </c>
      <c r="T31" s="21">
        <v>250000</v>
      </c>
      <c r="U31" s="5"/>
      <c r="V31" s="6">
        <v>0</v>
      </c>
      <c r="W31" s="25">
        <f t="shared" si="21"/>
        <v>0</v>
      </c>
      <c r="X31" s="21">
        <v>2000</v>
      </c>
      <c r="Y31" s="5"/>
      <c r="Z31" s="5"/>
      <c r="AA31" s="5">
        <f>ROUND(AA30*0.75,0)</f>
        <v>35</v>
      </c>
      <c r="AB31" s="5">
        <f t="shared" si="22"/>
        <v>11.55</v>
      </c>
      <c r="AC31" s="5"/>
      <c r="AD31" s="5"/>
    </row>
    <row r="32" spans="1:30" hidden="1" x14ac:dyDescent="0.3">
      <c r="A32" s="5"/>
      <c r="B32" s="3" t="s">
        <v>6</v>
      </c>
      <c r="C32" s="4" t="s">
        <v>15</v>
      </c>
      <c r="D32" s="4" t="s">
        <v>43</v>
      </c>
      <c r="E32" s="6">
        <v>10</v>
      </c>
      <c r="F32" s="8">
        <v>0.8</v>
      </c>
      <c r="G32" s="29">
        <f t="shared" si="18"/>
        <v>16500</v>
      </c>
      <c r="H32" s="9">
        <v>150</v>
      </c>
      <c r="J32" s="5">
        <v>2.6</v>
      </c>
      <c r="K32" s="6">
        <v>1.8</v>
      </c>
      <c r="L32" s="6">
        <f t="shared" si="19"/>
        <v>4.6800000000000006</v>
      </c>
      <c r="M32" s="6">
        <f t="shared" si="1"/>
        <v>1544.4</v>
      </c>
      <c r="O32" s="5">
        <v>-0.5</v>
      </c>
      <c r="P32" s="26">
        <f t="shared" si="20"/>
        <v>-772.2</v>
      </c>
      <c r="Q32" s="5">
        <v>1000</v>
      </c>
      <c r="R32" s="5">
        <f t="shared" si="23"/>
        <v>227.79999999999995</v>
      </c>
      <c r="T32" s="21">
        <v>250000</v>
      </c>
      <c r="U32" s="5"/>
      <c r="V32" s="6">
        <v>0</v>
      </c>
      <c r="W32" s="25">
        <f t="shared" si="21"/>
        <v>0</v>
      </c>
      <c r="X32" s="21">
        <v>2000</v>
      </c>
      <c r="Y32" s="5"/>
      <c r="Z32" s="5"/>
      <c r="AA32" s="5">
        <v>47</v>
      </c>
      <c r="AB32" s="5">
        <f t="shared" si="22"/>
        <v>15.51</v>
      </c>
      <c r="AC32" s="5"/>
      <c r="AD32" s="5"/>
    </row>
    <row r="33" spans="1:30" ht="16.2" hidden="1" thickBot="1" x14ac:dyDescent="0.35">
      <c r="A33" s="5"/>
      <c r="B33" s="34" t="s">
        <v>6</v>
      </c>
      <c r="C33" s="35" t="s">
        <v>2</v>
      </c>
      <c r="D33" s="35" t="s">
        <v>43</v>
      </c>
      <c r="E33" s="17">
        <v>10</v>
      </c>
      <c r="F33" s="37">
        <v>0.8</v>
      </c>
      <c r="G33" s="38">
        <f>G9*110%</f>
        <v>22000</v>
      </c>
      <c r="H33" s="38">
        <v>150</v>
      </c>
      <c r="I33" s="40"/>
      <c r="J33" s="33">
        <v>2.6</v>
      </c>
      <c r="K33" s="17">
        <v>1.8</v>
      </c>
      <c r="L33" s="17">
        <f t="shared" si="19"/>
        <v>4.6800000000000006</v>
      </c>
      <c r="M33" s="17">
        <f t="shared" si="1"/>
        <v>1544.4</v>
      </c>
      <c r="N33" s="40"/>
      <c r="O33" s="33">
        <v>-0.5</v>
      </c>
      <c r="P33" s="33">
        <f>O33*M33</f>
        <v>-772.2</v>
      </c>
      <c r="Q33" s="33">
        <v>1000</v>
      </c>
      <c r="R33" s="33">
        <f t="shared" ref="R33:R49" si="24">P33+Q33</f>
        <v>227.79999999999995</v>
      </c>
      <c r="S33" s="40"/>
      <c r="T33" s="41">
        <v>250000</v>
      </c>
      <c r="U33" s="33"/>
      <c r="V33" s="17">
        <v>0</v>
      </c>
      <c r="W33" s="44">
        <f t="shared" si="21"/>
        <v>0</v>
      </c>
      <c r="X33" s="41">
        <v>2000</v>
      </c>
      <c r="Y33" s="33"/>
      <c r="Z33" s="33"/>
      <c r="AA33" s="33">
        <v>35</v>
      </c>
      <c r="AB33" s="33">
        <f>(AA33*330)/(10^3)</f>
        <v>11.55</v>
      </c>
      <c r="AC33" s="33"/>
      <c r="AD33" s="33"/>
    </row>
    <row r="34" spans="1:30" x14ac:dyDescent="0.3">
      <c r="A34" s="5" t="s">
        <v>41</v>
      </c>
      <c r="B34" s="3" t="s">
        <v>14</v>
      </c>
      <c r="C34" s="4" t="s">
        <v>15</v>
      </c>
      <c r="D34" s="4" t="s">
        <v>44</v>
      </c>
      <c r="E34" s="6">
        <v>10</v>
      </c>
      <c r="F34" s="8">
        <v>0.85</v>
      </c>
      <c r="G34" s="9">
        <v>1700</v>
      </c>
      <c r="H34" s="9">
        <v>400</v>
      </c>
      <c r="J34" s="5">
        <v>2.7</v>
      </c>
      <c r="K34" s="6">
        <v>1.8</v>
      </c>
      <c r="L34" s="6">
        <f>J34*K34</f>
        <v>4.8600000000000003</v>
      </c>
      <c r="M34" s="6">
        <f>L34*330</f>
        <v>1603.8000000000002</v>
      </c>
      <c r="O34" s="5">
        <v>7</v>
      </c>
      <c r="P34" s="5">
        <f>O34*M34</f>
        <v>11226.600000000002</v>
      </c>
      <c r="Q34" s="5">
        <v>850</v>
      </c>
      <c r="R34" s="5">
        <f t="shared" si="24"/>
        <v>12076.600000000002</v>
      </c>
      <c r="T34" s="21">
        <v>712500</v>
      </c>
      <c r="U34" s="5"/>
      <c r="V34" s="6">
        <v>0.79</v>
      </c>
      <c r="W34" s="25">
        <f>(V34*M34)/(10^3)</f>
        <v>1.2670020000000002</v>
      </c>
      <c r="X34" s="21">
        <v>2000</v>
      </c>
      <c r="Y34" s="5"/>
      <c r="Z34" s="5"/>
      <c r="AA34" s="5">
        <v>47</v>
      </c>
      <c r="AB34" s="5">
        <f>(AA34*330)/(10^3)</f>
        <v>15.51</v>
      </c>
      <c r="AC34" s="5"/>
      <c r="AD34" s="5"/>
    </row>
    <row r="35" spans="1:30" x14ac:dyDescent="0.3">
      <c r="A35" s="5" t="s">
        <v>41</v>
      </c>
      <c r="B35" s="3" t="s">
        <v>14</v>
      </c>
      <c r="C35" s="4" t="s">
        <v>2</v>
      </c>
      <c r="D35" s="4" t="s">
        <v>44</v>
      </c>
      <c r="E35" s="6">
        <v>10</v>
      </c>
      <c r="F35" s="8">
        <v>0.85</v>
      </c>
      <c r="G35" s="9">
        <v>7500</v>
      </c>
      <c r="H35" s="9">
        <v>400</v>
      </c>
      <c r="J35" s="5">
        <v>2.7</v>
      </c>
      <c r="K35" s="6">
        <v>1.8</v>
      </c>
      <c r="L35" s="6">
        <f t="shared" ref="L35:L41" si="25">J35*K35</f>
        <v>4.8600000000000003</v>
      </c>
      <c r="M35" s="6">
        <f t="shared" si="1"/>
        <v>1603.8000000000002</v>
      </c>
      <c r="O35" s="5">
        <v>7</v>
      </c>
      <c r="P35" s="5">
        <f t="shared" ref="P35:P40" si="26">O35*M35</f>
        <v>11226.600000000002</v>
      </c>
      <c r="Q35" s="5">
        <v>850</v>
      </c>
      <c r="R35" s="5">
        <f t="shared" si="24"/>
        <v>12076.600000000002</v>
      </c>
      <c r="T35" s="21">
        <v>712500</v>
      </c>
      <c r="U35" s="5"/>
      <c r="V35" s="6">
        <v>0.79</v>
      </c>
      <c r="W35" s="25">
        <f t="shared" ref="W35:W41" si="27">(V35*M35)/(10^3)</f>
        <v>1.2670020000000002</v>
      </c>
      <c r="X35" s="21">
        <v>2000</v>
      </c>
      <c r="Y35" s="5"/>
      <c r="Z35" s="5"/>
      <c r="AA35" s="5">
        <f>ROUND(AA34*0.75,0)</f>
        <v>35</v>
      </c>
      <c r="AB35" s="5">
        <f>(AA35*330)/(10^3)</f>
        <v>11.55</v>
      </c>
      <c r="AC35" s="5"/>
      <c r="AD35" s="5"/>
    </row>
    <row r="36" spans="1:30" x14ac:dyDescent="0.3">
      <c r="A36" s="5" t="s">
        <v>41</v>
      </c>
      <c r="B36" s="3" t="s">
        <v>16</v>
      </c>
      <c r="C36" s="4" t="s">
        <v>15</v>
      </c>
      <c r="D36" s="4" t="s">
        <v>44</v>
      </c>
      <c r="E36" s="6">
        <v>10</v>
      </c>
      <c r="F36" s="8">
        <v>0.85</v>
      </c>
      <c r="G36" s="9">
        <v>1700</v>
      </c>
      <c r="H36" s="9">
        <v>400</v>
      </c>
      <c r="J36" s="5">
        <v>2.7</v>
      </c>
      <c r="K36" s="6">
        <v>1.8</v>
      </c>
      <c r="L36" s="6">
        <f t="shared" si="25"/>
        <v>4.8600000000000003</v>
      </c>
      <c r="M36" s="6">
        <f t="shared" si="1"/>
        <v>1603.8000000000002</v>
      </c>
      <c r="O36" s="5">
        <v>25</v>
      </c>
      <c r="P36" s="5">
        <f t="shared" si="26"/>
        <v>40095.000000000007</v>
      </c>
      <c r="Q36" s="5">
        <v>450</v>
      </c>
      <c r="R36" s="5">
        <f t="shared" si="24"/>
        <v>40545.000000000007</v>
      </c>
      <c r="T36" s="21">
        <v>712500</v>
      </c>
      <c r="U36" s="5"/>
      <c r="V36" s="6">
        <v>0</v>
      </c>
      <c r="W36" s="25">
        <f t="shared" si="27"/>
        <v>0</v>
      </c>
      <c r="X36" s="21">
        <v>2000</v>
      </c>
      <c r="Y36" s="5"/>
      <c r="Z36" s="5"/>
      <c r="AA36" s="5">
        <v>47</v>
      </c>
      <c r="AB36" s="5">
        <f t="shared" ref="AB36:AB40" si="28">(AA36*330)/(10^3)</f>
        <v>15.51</v>
      </c>
      <c r="AC36" s="5"/>
      <c r="AD36" s="5"/>
    </row>
    <row r="37" spans="1:30" x14ac:dyDescent="0.3">
      <c r="A37" s="5" t="s">
        <v>41</v>
      </c>
      <c r="B37" s="3" t="s">
        <v>16</v>
      </c>
      <c r="C37" s="4" t="s">
        <v>2</v>
      </c>
      <c r="D37" s="4" t="s">
        <v>44</v>
      </c>
      <c r="E37" s="6">
        <v>10</v>
      </c>
      <c r="F37" s="8">
        <v>0.85</v>
      </c>
      <c r="G37" s="9">
        <v>7500</v>
      </c>
      <c r="H37" s="9">
        <v>400</v>
      </c>
      <c r="J37" s="5">
        <v>2.7</v>
      </c>
      <c r="K37" s="6">
        <v>1.8</v>
      </c>
      <c r="L37" s="6">
        <f t="shared" si="25"/>
        <v>4.8600000000000003</v>
      </c>
      <c r="M37" s="6">
        <f t="shared" si="1"/>
        <v>1603.8000000000002</v>
      </c>
      <c r="O37" s="5">
        <v>25</v>
      </c>
      <c r="P37" s="5">
        <f t="shared" si="26"/>
        <v>40095.000000000007</v>
      </c>
      <c r="Q37" s="5">
        <v>450</v>
      </c>
      <c r="R37" s="5">
        <f t="shared" si="24"/>
        <v>40545.000000000007</v>
      </c>
      <c r="T37" s="21">
        <v>712500</v>
      </c>
      <c r="U37" s="5"/>
      <c r="V37" s="6">
        <v>0</v>
      </c>
      <c r="W37" s="25">
        <f t="shared" si="27"/>
        <v>0</v>
      </c>
      <c r="X37" s="21">
        <v>2000</v>
      </c>
      <c r="Y37" s="5"/>
      <c r="Z37" s="5"/>
      <c r="AA37" s="5">
        <f>ROUND(AA36*0.75,0)</f>
        <v>35</v>
      </c>
      <c r="AB37" s="5">
        <f t="shared" si="28"/>
        <v>11.55</v>
      </c>
      <c r="AC37" s="5"/>
      <c r="AD37" s="5"/>
    </row>
    <row r="38" spans="1:30" x14ac:dyDescent="0.3">
      <c r="A38" s="5" t="s">
        <v>41</v>
      </c>
      <c r="B38" s="3" t="s">
        <v>55</v>
      </c>
      <c r="C38" s="4" t="s">
        <v>15</v>
      </c>
      <c r="D38" s="4" t="s">
        <v>44</v>
      </c>
      <c r="E38" s="6">
        <v>10</v>
      </c>
      <c r="F38" s="8">
        <v>0.85</v>
      </c>
      <c r="G38" s="9">
        <f t="shared" ref="G38:G40" si="29">G30*1.2</f>
        <v>19800</v>
      </c>
      <c r="H38" s="9">
        <v>400</v>
      </c>
      <c r="J38" s="5">
        <v>2.7</v>
      </c>
      <c r="K38" s="6">
        <v>1.8</v>
      </c>
      <c r="L38" s="6">
        <f t="shared" si="25"/>
        <v>4.8600000000000003</v>
      </c>
      <c r="M38" s="6">
        <f t="shared" si="1"/>
        <v>1603.8000000000002</v>
      </c>
      <c r="O38" s="5">
        <v>0</v>
      </c>
      <c r="P38" s="5">
        <f t="shared" si="26"/>
        <v>0</v>
      </c>
      <c r="Q38" s="5">
        <v>850</v>
      </c>
      <c r="R38" s="5">
        <f t="shared" si="24"/>
        <v>850</v>
      </c>
      <c r="T38" s="21">
        <v>712500</v>
      </c>
      <c r="U38" s="5"/>
      <c r="V38" s="6">
        <v>0</v>
      </c>
      <c r="W38" s="25">
        <f t="shared" si="27"/>
        <v>0</v>
      </c>
      <c r="X38" s="21">
        <v>2000</v>
      </c>
      <c r="Y38" s="5"/>
      <c r="Z38" s="5"/>
      <c r="AA38" s="5">
        <v>47</v>
      </c>
      <c r="AB38" s="5">
        <f t="shared" si="28"/>
        <v>15.51</v>
      </c>
      <c r="AC38" s="5"/>
      <c r="AD38" s="5"/>
    </row>
    <row r="39" spans="1:30" x14ac:dyDescent="0.3">
      <c r="A39" s="5" t="s">
        <v>41</v>
      </c>
      <c r="B39" s="3" t="s">
        <v>55</v>
      </c>
      <c r="C39" s="4" t="s">
        <v>2</v>
      </c>
      <c r="D39" s="4" t="s">
        <v>44</v>
      </c>
      <c r="E39" s="6">
        <v>10</v>
      </c>
      <c r="F39" s="8">
        <v>0.85</v>
      </c>
      <c r="G39" s="9">
        <f t="shared" si="29"/>
        <v>26400</v>
      </c>
      <c r="H39" s="9">
        <v>400</v>
      </c>
      <c r="J39" s="5">
        <v>2.7</v>
      </c>
      <c r="K39" s="6">
        <v>1.8</v>
      </c>
      <c r="L39" s="6">
        <f t="shared" si="25"/>
        <v>4.8600000000000003</v>
      </c>
      <c r="M39" s="6">
        <f t="shared" si="1"/>
        <v>1603.8000000000002</v>
      </c>
      <c r="O39" s="5">
        <v>0</v>
      </c>
      <c r="P39" s="5">
        <f t="shared" si="26"/>
        <v>0</v>
      </c>
      <c r="Q39" s="5">
        <v>850</v>
      </c>
      <c r="R39" s="5">
        <f t="shared" si="24"/>
        <v>850</v>
      </c>
      <c r="T39" s="21">
        <v>712500</v>
      </c>
      <c r="U39" s="5"/>
      <c r="V39" s="6">
        <v>0</v>
      </c>
      <c r="W39" s="25">
        <f t="shared" si="27"/>
        <v>0</v>
      </c>
      <c r="X39" s="21">
        <v>2000</v>
      </c>
      <c r="Y39" s="5"/>
      <c r="Z39" s="5"/>
      <c r="AA39" s="5">
        <f>ROUND(AA38*0.75,0)</f>
        <v>35</v>
      </c>
      <c r="AB39" s="5">
        <f t="shared" si="28"/>
        <v>11.55</v>
      </c>
      <c r="AC39" s="5"/>
      <c r="AD39" s="5"/>
    </row>
    <row r="40" spans="1:30" hidden="1" x14ac:dyDescent="0.3">
      <c r="A40" s="5"/>
      <c r="B40" s="3" t="s">
        <v>6</v>
      </c>
      <c r="C40" s="4" t="s">
        <v>15</v>
      </c>
      <c r="D40" s="4" t="s">
        <v>44</v>
      </c>
      <c r="E40" s="6">
        <v>10</v>
      </c>
      <c r="F40" s="8">
        <v>0.85</v>
      </c>
      <c r="G40" s="9">
        <f t="shared" si="29"/>
        <v>19800</v>
      </c>
      <c r="H40" s="9">
        <v>400</v>
      </c>
      <c r="J40" s="5">
        <v>2.7</v>
      </c>
      <c r="K40" s="6">
        <v>1.8</v>
      </c>
      <c r="L40" s="6">
        <f t="shared" si="25"/>
        <v>4.8600000000000003</v>
      </c>
      <c r="M40" s="6">
        <f t="shared" si="1"/>
        <v>1603.8000000000002</v>
      </c>
      <c r="O40" s="5">
        <v>-0.25</v>
      </c>
      <c r="P40" s="5">
        <f t="shared" si="26"/>
        <v>-400.95000000000005</v>
      </c>
      <c r="Q40" s="5">
        <v>1250</v>
      </c>
      <c r="R40" s="5">
        <f t="shared" si="24"/>
        <v>849.05</v>
      </c>
      <c r="T40" s="21">
        <v>712500</v>
      </c>
      <c r="U40" s="5"/>
      <c r="V40" s="6">
        <v>0</v>
      </c>
      <c r="W40" s="25">
        <f t="shared" si="27"/>
        <v>0</v>
      </c>
      <c r="X40" s="21">
        <v>2000</v>
      </c>
      <c r="Y40" s="5"/>
      <c r="Z40" s="5"/>
      <c r="AA40" s="5">
        <v>47</v>
      </c>
      <c r="AB40" s="5">
        <f t="shared" si="28"/>
        <v>15.51</v>
      </c>
      <c r="AC40" s="5"/>
      <c r="AD40" s="5"/>
    </row>
    <row r="41" spans="1:30" ht="16.2" hidden="1" thickBot="1" x14ac:dyDescent="0.35">
      <c r="A41" s="5"/>
      <c r="B41" s="34" t="s">
        <v>6</v>
      </c>
      <c r="C41" s="35" t="s">
        <v>2</v>
      </c>
      <c r="D41" s="35" t="s">
        <v>44</v>
      </c>
      <c r="E41" s="17">
        <v>10</v>
      </c>
      <c r="F41" s="37">
        <v>0.85</v>
      </c>
      <c r="G41" s="38">
        <f>G33*1.2</f>
        <v>26400</v>
      </c>
      <c r="H41" s="38">
        <v>400</v>
      </c>
      <c r="I41" s="40"/>
      <c r="J41" s="33">
        <v>2.7</v>
      </c>
      <c r="K41" s="17">
        <v>1.8</v>
      </c>
      <c r="L41" s="17">
        <f t="shared" si="25"/>
        <v>4.8600000000000003</v>
      </c>
      <c r="M41" s="17">
        <f t="shared" si="1"/>
        <v>1603.8000000000002</v>
      </c>
      <c r="N41" s="40"/>
      <c r="O41" s="33">
        <v>-0.25</v>
      </c>
      <c r="P41" s="33">
        <f>O41*M41</f>
        <v>-400.95000000000005</v>
      </c>
      <c r="Q41" s="33">
        <v>1250</v>
      </c>
      <c r="R41" s="33">
        <f t="shared" si="24"/>
        <v>849.05</v>
      </c>
      <c r="S41" s="40"/>
      <c r="T41" s="41">
        <v>712500</v>
      </c>
      <c r="U41" s="33"/>
      <c r="V41" s="17">
        <v>0</v>
      </c>
      <c r="W41" s="44">
        <f t="shared" si="27"/>
        <v>0</v>
      </c>
      <c r="X41" s="41">
        <v>2000</v>
      </c>
      <c r="Y41" s="33"/>
      <c r="Z41" s="33"/>
      <c r="AA41" s="33">
        <v>35</v>
      </c>
      <c r="AB41" s="33">
        <f>(AA41*330)/(10^3)</f>
        <v>11.55</v>
      </c>
      <c r="AC41" s="33"/>
      <c r="AD41" s="33"/>
    </row>
    <row r="42" spans="1:30" x14ac:dyDescent="0.3">
      <c r="A42" s="5" t="s">
        <v>41</v>
      </c>
      <c r="B42" s="3" t="s">
        <v>14</v>
      </c>
      <c r="C42" s="4" t="s">
        <v>15</v>
      </c>
      <c r="D42" s="4" t="s">
        <v>45</v>
      </c>
      <c r="E42" s="6">
        <v>10</v>
      </c>
      <c r="F42" s="8">
        <v>0.9</v>
      </c>
      <c r="G42" s="9">
        <v>2900</v>
      </c>
      <c r="H42" s="9">
        <v>800</v>
      </c>
      <c r="J42" s="5">
        <v>2.9</v>
      </c>
      <c r="K42" s="6">
        <v>1.8</v>
      </c>
      <c r="L42" s="6">
        <f>J42*K42</f>
        <v>5.22</v>
      </c>
      <c r="M42" s="6">
        <f>L42*330</f>
        <v>1722.6</v>
      </c>
      <c r="O42" s="5">
        <v>8</v>
      </c>
      <c r="P42" s="5">
        <f>O42*M42</f>
        <v>13780.8</v>
      </c>
      <c r="Q42" s="5">
        <v>1250</v>
      </c>
      <c r="R42" s="5">
        <f t="shared" si="24"/>
        <v>15030.8</v>
      </c>
      <c r="T42" s="21">
        <v>1125000</v>
      </c>
      <c r="U42" s="5"/>
      <c r="V42" s="6">
        <v>0.79</v>
      </c>
      <c r="W42" s="25">
        <f>(V42*M42)/(10^3)</f>
        <v>1.360854</v>
      </c>
      <c r="X42" s="21">
        <v>2000</v>
      </c>
      <c r="Y42" s="5"/>
      <c r="Z42" s="5"/>
      <c r="AA42" s="5">
        <v>47</v>
      </c>
      <c r="AB42" s="5">
        <f>(AA42*330)/(10^3)</f>
        <v>15.51</v>
      </c>
      <c r="AC42" s="5"/>
      <c r="AD42" s="5"/>
    </row>
    <row r="43" spans="1:30" x14ac:dyDescent="0.3">
      <c r="A43" s="5" t="s">
        <v>41</v>
      </c>
      <c r="B43" s="3" t="s">
        <v>14</v>
      </c>
      <c r="C43" s="4" t="s">
        <v>2</v>
      </c>
      <c r="D43" s="4" t="s">
        <v>45</v>
      </c>
      <c r="E43" s="6">
        <v>10</v>
      </c>
      <c r="F43" s="8">
        <v>0.9</v>
      </c>
      <c r="G43" s="9">
        <v>10000</v>
      </c>
      <c r="H43" s="9">
        <v>800</v>
      </c>
      <c r="J43" s="5">
        <v>2.9</v>
      </c>
      <c r="K43" s="6">
        <v>1.8</v>
      </c>
      <c r="L43" s="6">
        <f t="shared" ref="L43:L49" si="30">J43*K43</f>
        <v>5.22</v>
      </c>
      <c r="M43" s="6">
        <f t="shared" si="1"/>
        <v>1722.6</v>
      </c>
      <c r="O43" s="5">
        <v>8</v>
      </c>
      <c r="P43" s="5">
        <f t="shared" ref="P43:P48" si="31">O43*M43</f>
        <v>13780.8</v>
      </c>
      <c r="Q43" s="5">
        <v>1250</v>
      </c>
      <c r="R43" s="5">
        <f t="shared" si="24"/>
        <v>15030.8</v>
      </c>
      <c r="T43" s="21">
        <v>1125000</v>
      </c>
      <c r="U43" s="5"/>
      <c r="V43" s="6">
        <v>0.79</v>
      </c>
      <c r="W43" s="25">
        <f t="shared" ref="W43:W49" si="32">(V43*M43)/(10^3)</f>
        <v>1.360854</v>
      </c>
      <c r="X43" s="21">
        <v>2000</v>
      </c>
      <c r="Y43" s="5"/>
      <c r="Z43" s="5"/>
      <c r="AA43" s="5">
        <f>ROUND(AA42*0.75,0)</f>
        <v>35</v>
      </c>
      <c r="AB43" s="5">
        <f>(AA43*330)/(10^3)</f>
        <v>11.55</v>
      </c>
      <c r="AC43" s="5"/>
      <c r="AD43" s="5"/>
    </row>
    <row r="44" spans="1:30" x14ac:dyDescent="0.3">
      <c r="A44" s="5" t="s">
        <v>41</v>
      </c>
      <c r="B44" s="3" t="s">
        <v>16</v>
      </c>
      <c r="C44" s="4" t="s">
        <v>15</v>
      </c>
      <c r="D44" s="4" t="s">
        <v>45</v>
      </c>
      <c r="E44" s="6">
        <v>10</v>
      </c>
      <c r="F44" s="8">
        <v>0.9</v>
      </c>
      <c r="G44" s="9">
        <v>2900</v>
      </c>
      <c r="H44" s="9">
        <v>800</v>
      </c>
      <c r="J44" s="5">
        <v>2.9</v>
      </c>
      <c r="K44" s="6">
        <v>1.8</v>
      </c>
      <c r="L44" s="6">
        <f t="shared" si="30"/>
        <v>5.22</v>
      </c>
      <c r="M44" s="6">
        <f t="shared" si="1"/>
        <v>1722.6</v>
      </c>
      <c r="O44" s="5">
        <v>50</v>
      </c>
      <c r="P44" s="5">
        <f t="shared" si="31"/>
        <v>86130</v>
      </c>
      <c r="Q44" s="5">
        <v>750</v>
      </c>
      <c r="R44" s="5">
        <f t="shared" si="24"/>
        <v>86880</v>
      </c>
      <c r="T44" s="21">
        <v>1125000</v>
      </c>
      <c r="U44" s="5"/>
      <c r="V44" s="6">
        <v>0</v>
      </c>
      <c r="W44" s="25">
        <f t="shared" si="32"/>
        <v>0</v>
      </c>
      <c r="X44" s="21">
        <v>2000</v>
      </c>
      <c r="Y44" s="5"/>
      <c r="Z44" s="5"/>
      <c r="AA44" s="5">
        <v>47</v>
      </c>
      <c r="AB44" s="5">
        <f t="shared" ref="AB44:AB48" si="33">(AA44*330)/(10^3)</f>
        <v>15.51</v>
      </c>
      <c r="AC44" s="5"/>
      <c r="AD44" s="5"/>
    </row>
    <row r="45" spans="1:30" x14ac:dyDescent="0.3">
      <c r="A45" s="5" t="s">
        <v>41</v>
      </c>
      <c r="B45" s="3" t="s">
        <v>16</v>
      </c>
      <c r="C45" s="4" t="s">
        <v>2</v>
      </c>
      <c r="D45" s="4" t="s">
        <v>45</v>
      </c>
      <c r="E45" s="6">
        <v>10</v>
      </c>
      <c r="F45" s="8">
        <v>0.9</v>
      </c>
      <c r="G45" s="9">
        <v>10000</v>
      </c>
      <c r="H45" s="9">
        <v>800</v>
      </c>
      <c r="J45" s="5">
        <v>2.9</v>
      </c>
      <c r="K45" s="6">
        <v>1.8</v>
      </c>
      <c r="L45" s="6">
        <f t="shared" si="30"/>
        <v>5.22</v>
      </c>
      <c r="M45" s="6">
        <f t="shared" si="1"/>
        <v>1722.6</v>
      </c>
      <c r="O45" s="5">
        <v>50</v>
      </c>
      <c r="P45" s="5">
        <f t="shared" si="31"/>
        <v>86130</v>
      </c>
      <c r="Q45" s="5">
        <v>750</v>
      </c>
      <c r="R45" s="5">
        <f t="shared" si="24"/>
        <v>86880</v>
      </c>
      <c r="T45" s="21">
        <v>1125000</v>
      </c>
      <c r="U45" s="5"/>
      <c r="V45" s="6">
        <v>0</v>
      </c>
      <c r="W45" s="25">
        <f t="shared" si="32"/>
        <v>0</v>
      </c>
      <c r="X45" s="21">
        <v>2000</v>
      </c>
      <c r="Y45" s="5"/>
      <c r="Z45" s="5"/>
      <c r="AA45" s="5">
        <f>ROUND(AA44*0.75,0)</f>
        <v>35</v>
      </c>
      <c r="AB45" s="5">
        <f t="shared" si="33"/>
        <v>11.55</v>
      </c>
      <c r="AC45" s="5"/>
      <c r="AD45" s="5"/>
    </row>
    <row r="46" spans="1:30" x14ac:dyDescent="0.3">
      <c r="A46" s="5" t="s">
        <v>41</v>
      </c>
      <c r="B46" s="3" t="s">
        <v>55</v>
      </c>
      <c r="C46" s="4" t="s">
        <v>15</v>
      </c>
      <c r="D46" s="4" t="s">
        <v>45</v>
      </c>
      <c r="E46" s="6">
        <v>10</v>
      </c>
      <c r="F46" s="8">
        <v>0.9</v>
      </c>
      <c r="G46" s="9">
        <f t="shared" ref="G46:G48" si="34">G38*1.2</f>
        <v>23760</v>
      </c>
      <c r="H46" s="9">
        <v>800</v>
      </c>
      <c r="J46" s="5">
        <v>2.9</v>
      </c>
      <c r="K46" s="6">
        <v>1.8</v>
      </c>
      <c r="L46" s="6">
        <f t="shared" si="30"/>
        <v>5.22</v>
      </c>
      <c r="M46" s="6">
        <f t="shared" si="1"/>
        <v>1722.6</v>
      </c>
      <c r="O46" s="5">
        <v>0</v>
      </c>
      <c r="P46" s="5">
        <f t="shared" si="31"/>
        <v>0</v>
      </c>
      <c r="Q46" s="5">
        <v>1250</v>
      </c>
      <c r="R46" s="5">
        <f t="shared" si="24"/>
        <v>1250</v>
      </c>
      <c r="T46" s="21">
        <v>1125000</v>
      </c>
      <c r="U46" s="5"/>
      <c r="V46" s="6">
        <v>0</v>
      </c>
      <c r="W46" s="25">
        <f t="shared" si="32"/>
        <v>0</v>
      </c>
      <c r="X46" s="21">
        <v>2000</v>
      </c>
      <c r="Y46" s="5"/>
      <c r="Z46" s="5"/>
      <c r="AA46" s="5">
        <v>47</v>
      </c>
      <c r="AB46" s="5">
        <f t="shared" si="33"/>
        <v>15.51</v>
      </c>
      <c r="AC46" s="5"/>
      <c r="AD46" s="5"/>
    </row>
    <row r="47" spans="1:30" x14ac:dyDescent="0.3">
      <c r="A47" s="5" t="s">
        <v>41</v>
      </c>
      <c r="B47" s="3" t="s">
        <v>55</v>
      </c>
      <c r="C47" s="4" t="s">
        <v>2</v>
      </c>
      <c r="D47" s="4" t="s">
        <v>45</v>
      </c>
      <c r="E47" s="6">
        <v>10</v>
      </c>
      <c r="F47" s="8">
        <v>0.9</v>
      </c>
      <c r="G47" s="9">
        <f t="shared" si="34"/>
        <v>31680</v>
      </c>
      <c r="H47" s="9">
        <v>800</v>
      </c>
      <c r="J47" s="5">
        <v>2.9</v>
      </c>
      <c r="K47" s="6">
        <v>1.8</v>
      </c>
      <c r="L47" s="6">
        <f t="shared" si="30"/>
        <v>5.22</v>
      </c>
      <c r="M47" s="6">
        <f t="shared" si="1"/>
        <v>1722.6</v>
      </c>
      <c r="O47" s="5">
        <v>0</v>
      </c>
      <c r="P47" s="5">
        <f t="shared" si="31"/>
        <v>0</v>
      </c>
      <c r="Q47" s="5">
        <v>1250</v>
      </c>
      <c r="R47" s="5">
        <f t="shared" si="24"/>
        <v>1250</v>
      </c>
      <c r="T47" s="21">
        <v>1125000</v>
      </c>
      <c r="U47" s="5"/>
      <c r="V47" s="6">
        <v>0</v>
      </c>
      <c r="W47" s="25">
        <f t="shared" si="32"/>
        <v>0</v>
      </c>
      <c r="X47" s="21">
        <v>2000</v>
      </c>
      <c r="Y47" s="5"/>
      <c r="Z47" s="5"/>
      <c r="AA47" s="5">
        <f>ROUND(AA46*0.75,0)</f>
        <v>35</v>
      </c>
      <c r="AB47" s="5">
        <f t="shared" si="33"/>
        <v>11.55</v>
      </c>
      <c r="AC47" s="5"/>
      <c r="AD47" s="5"/>
    </row>
    <row r="48" spans="1:30" hidden="1" x14ac:dyDescent="0.3">
      <c r="A48" s="5"/>
      <c r="B48" s="3" t="s">
        <v>6</v>
      </c>
      <c r="C48" s="4" t="s">
        <v>15</v>
      </c>
      <c r="D48" s="4" t="s">
        <v>45</v>
      </c>
      <c r="E48" s="6">
        <v>10</v>
      </c>
      <c r="F48" s="8">
        <v>0.9</v>
      </c>
      <c r="G48" s="9">
        <f t="shared" si="34"/>
        <v>23760</v>
      </c>
      <c r="H48" s="9">
        <v>800</v>
      </c>
      <c r="J48" s="5">
        <v>2.9</v>
      </c>
      <c r="K48" s="6">
        <v>1.8</v>
      </c>
      <c r="L48" s="6">
        <f t="shared" si="30"/>
        <v>5.22</v>
      </c>
      <c r="M48" s="6">
        <f t="shared" si="1"/>
        <v>1722.6</v>
      </c>
      <c r="O48" s="5">
        <v>-0.1</v>
      </c>
      <c r="P48" s="5">
        <f t="shared" si="31"/>
        <v>-172.26</v>
      </c>
      <c r="Q48" s="5">
        <v>1500</v>
      </c>
      <c r="R48" s="5">
        <f t="shared" si="24"/>
        <v>1327.74</v>
      </c>
      <c r="T48" s="21">
        <v>1125000</v>
      </c>
      <c r="U48" s="5"/>
      <c r="V48" s="6">
        <v>0</v>
      </c>
      <c r="W48" s="25">
        <f t="shared" si="32"/>
        <v>0</v>
      </c>
      <c r="X48" s="21">
        <v>2000</v>
      </c>
      <c r="Y48" s="5"/>
      <c r="Z48" s="5"/>
      <c r="AA48" s="5">
        <v>47</v>
      </c>
      <c r="AB48" s="5">
        <f t="shared" si="33"/>
        <v>15.51</v>
      </c>
      <c r="AC48" s="5"/>
      <c r="AD48" s="5"/>
    </row>
    <row r="49" spans="1:30" ht="16.2" hidden="1" thickBot="1" x14ac:dyDescent="0.35">
      <c r="A49" s="5"/>
      <c r="B49" s="34" t="s">
        <v>6</v>
      </c>
      <c r="C49" s="35" t="s">
        <v>2</v>
      </c>
      <c r="D49" s="35" t="s">
        <v>45</v>
      </c>
      <c r="E49" s="17">
        <v>10</v>
      </c>
      <c r="F49" s="37">
        <v>0.9</v>
      </c>
      <c r="G49" s="38">
        <f>G41*1.2</f>
        <v>31680</v>
      </c>
      <c r="H49" s="38">
        <v>800</v>
      </c>
      <c r="I49" s="40"/>
      <c r="J49" s="33">
        <v>2.9</v>
      </c>
      <c r="K49" s="17">
        <v>1.8</v>
      </c>
      <c r="L49" s="17">
        <f t="shared" si="30"/>
        <v>5.22</v>
      </c>
      <c r="M49" s="17">
        <f t="shared" si="1"/>
        <v>1722.6</v>
      </c>
      <c r="N49" s="40"/>
      <c r="O49" s="33">
        <v>-0.1</v>
      </c>
      <c r="P49" s="33">
        <f>O49*M49</f>
        <v>-172.26</v>
      </c>
      <c r="Q49" s="33">
        <v>1500</v>
      </c>
      <c r="R49" s="33">
        <f t="shared" si="24"/>
        <v>1327.74</v>
      </c>
      <c r="S49" s="40"/>
      <c r="T49" s="41">
        <v>1125000</v>
      </c>
      <c r="U49" s="33"/>
      <c r="V49" s="17">
        <v>0</v>
      </c>
      <c r="W49" s="44">
        <f t="shared" si="32"/>
        <v>0</v>
      </c>
      <c r="X49" s="41">
        <v>2000</v>
      </c>
      <c r="Y49" s="33"/>
      <c r="Z49" s="33"/>
      <c r="AA49" s="33">
        <v>35</v>
      </c>
      <c r="AB49" s="33">
        <f>(AA49*330)/(10^3)</f>
        <v>11.55</v>
      </c>
      <c r="AC49" s="33"/>
      <c r="AD49" s="33"/>
    </row>
    <row r="55" spans="1:30" x14ac:dyDescent="0.3">
      <c r="T55" t="s">
        <v>50</v>
      </c>
      <c r="U55" t="s">
        <v>51</v>
      </c>
    </row>
    <row r="56" spans="1:30" x14ac:dyDescent="0.3">
      <c r="U56" t="s">
        <v>52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A83-C7FB-46D4-AA49-62B1826A128C}">
  <dimension ref="A1:Q21"/>
  <sheetViews>
    <sheetView workbookViewId="0">
      <selection activeCell="D8" sqref="D8"/>
    </sheetView>
  </sheetViews>
  <sheetFormatPr defaultRowHeight="15.6" x14ac:dyDescent="0.3"/>
  <cols>
    <col min="1" max="1" width="21.296875" customWidth="1"/>
    <col min="2" max="2" width="9.59765625" customWidth="1"/>
    <col min="3" max="3" width="9.3984375" bestFit="1" customWidth="1"/>
    <col min="6" max="6" width="20.8984375" customWidth="1"/>
    <col min="10" max="10" width="31" customWidth="1"/>
    <col min="15" max="15" width="14" customWidth="1"/>
  </cols>
  <sheetData>
    <row r="1" spans="1:17" x14ac:dyDescent="0.3">
      <c r="A1" s="71" t="s">
        <v>74</v>
      </c>
      <c r="F1" s="71" t="s">
        <v>75</v>
      </c>
      <c r="J1" s="71" t="s">
        <v>84</v>
      </c>
      <c r="O1" t="s">
        <v>56</v>
      </c>
    </row>
    <row r="2" spans="1:17" x14ac:dyDescent="0.3">
      <c r="A2" t="s">
        <v>69</v>
      </c>
      <c r="B2" s="72" t="s">
        <v>70</v>
      </c>
      <c r="C2">
        <v>3</v>
      </c>
      <c r="F2" t="s">
        <v>69</v>
      </c>
      <c r="G2" t="s">
        <v>70</v>
      </c>
      <c r="H2">
        <v>5</v>
      </c>
      <c r="J2" t="s">
        <v>69</v>
      </c>
      <c r="K2" t="s">
        <v>70</v>
      </c>
      <c r="L2">
        <v>5</v>
      </c>
      <c r="O2" t="s">
        <v>57</v>
      </c>
    </row>
    <row r="3" spans="1:17" x14ac:dyDescent="0.3">
      <c r="A3" t="s">
        <v>58</v>
      </c>
      <c r="B3" s="72" t="s">
        <v>59</v>
      </c>
      <c r="C3">
        <v>12</v>
      </c>
      <c r="F3" t="s">
        <v>76</v>
      </c>
      <c r="G3" t="s">
        <v>77</v>
      </c>
      <c r="H3">
        <v>4.2</v>
      </c>
      <c r="J3" t="s">
        <v>76</v>
      </c>
      <c r="K3" t="s">
        <v>77</v>
      </c>
      <c r="L3">
        <v>8</v>
      </c>
      <c r="Q3">
        <f>0.79/0.74</f>
        <v>1.0675675675675675</v>
      </c>
    </row>
    <row r="4" spans="1:17" x14ac:dyDescent="0.3">
      <c r="A4" t="s">
        <v>61</v>
      </c>
      <c r="B4" s="72" t="s">
        <v>62</v>
      </c>
      <c r="C4">
        <v>14.2</v>
      </c>
      <c r="G4" t="s">
        <v>78</v>
      </c>
      <c r="H4" s="69">
        <f>H3*30</f>
        <v>126</v>
      </c>
      <c r="K4" t="s">
        <v>78</v>
      </c>
      <c r="L4" s="69">
        <f>L3*30</f>
        <v>240</v>
      </c>
    </row>
    <row r="5" spans="1:17" x14ac:dyDescent="0.3">
      <c r="B5" s="72" t="s">
        <v>60</v>
      </c>
      <c r="C5">
        <f>C3*C4</f>
        <v>170.39999999999998</v>
      </c>
      <c r="G5" t="s">
        <v>60</v>
      </c>
      <c r="H5">
        <f>H4*12</f>
        <v>1512</v>
      </c>
      <c r="K5" t="s">
        <v>60</v>
      </c>
      <c r="L5">
        <f>L4*12</f>
        <v>2880</v>
      </c>
    </row>
    <row r="6" spans="1:17" x14ac:dyDescent="0.3">
      <c r="A6" t="s">
        <v>64</v>
      </c>
      <c r="B6" s="72" t="s">
        <v>63</v>
      </c>
      <c r="C6">
        <v>10920</v>
      </c>
      <c r="F6" t="s">
        <v>79</v>
      </c>
      <c r="G6" t="s">
        <v>80</v>
      </c>
      <c r="H6">
        <v>19</v>
      </c>
      <c r="J6" t="s">
        <v>79</v>
      </c>
      <c r="K6" t="s">
        <v>80</v>
      </c>
      <c r="L6">
        <v>10</v>
      </c>
    </row>
    <row r="7" spans="1:17" x14ac:dyDescent="0.3">
      <c r="A7" t="s">
        <v>65</v>
      </c>
      <c r="B7" s="72" t="s">
        <v>66</v>
      </c>
      <c r="C7">
        <f>C5*C6</f>
        <v>1860767.9999999998</v>
      </c>
      <c r="F7" t="s">
        <v>65</v>
      </c>
      <c r="G7" t="s">
        <v>81</v>
      </c>
      <c r="H7">
        <f>H5*H6</f>
        <v>28728</v>
      </c>
      <c r="J7" t="s">
        <v>65</v>
      </c>
      <c r="K7" t="s">
        <v>81</v>
      </c>
      <c r="L7">
        <f>L5*L6</f>
        <v>28800</v>
      </c>
    </row>
    <row r="8" spans="1:17" x14ac:dyDescent="0.3">
      <c r="A8" t="s">
        <v>82</v>
      </c>
      <c r="B8" s="72"/>
      <c r="C8">
        <v>1.1620000000000001E-3</v>
      </c>
      <c r="F8" t="s">
        <v>83</v>
      </c>
      <c r="H8">
        <v>0.27777800000000002</v>
      </c>
      <c r="J8" t="s">
        <v>83</v>
      </c>
      <c r="L8">
        <v>0.27777800000000002</v>
      </c>
      <c r="O8" t="s">
        <v>152</v>
      </c>
      <c r="P8">
        <v>615</v>
      </c>
      <c r="Q8">
        <f>P8/P9</f>
        <v>2.4898785425101213</v>
      </c>
    </row>
    <row r="9" spans="1:17" x14ac:dyDescent="0.3">
      <c r="A9" t="s">
        <v>65</v>
      </c>
      <c r="B9" s="72" t="s">
        <v>67</v>
      </c>
      <c r="C9" s="69">
        <f>C7*C8</f>
        <v>2162.2124159999998</v>
      </c>
      <c r="F9" t="s">
        <v>65</v>
      </c>
      <c r="G9" t="s">
        <v>67</v>
      </c>
      <c r="H9" s="69">
        <f>H7*H8</f>
        <v>7980.0063840000012</v>
      </c>
      <c r="J9" t="s">
        <v>65</v>
      </c>
      <c r="K9" t="s">
        <v>67</v>
      </c>
      <c r="L9" s="69">
        <f>L7*L8</f>
        <v>8000.0064000000011</v>
      </c>
      <c r="O9" t="s">
        <v>151</v>
      </c>
      <c r="P9">
        <v>247</v>
      </c>
      <c r="Q9">
        <f>P9/P10</f>
        <v>4.4107142857142856</v>
      </c>
    </row>
    <row r="10" spans="1:17" x14ac:dyDescent="0.3">
      <c r="B10" s="72" t="s">
        <v>68</v>
      </c>
      <c r="C10" s="69">
        <f>C9/12</f>
        <v>180.18436799999998</v>
      </c>
      <c r="G10" t="s">
        <v>68</v>
      </c>
      <c r="H10" s="69">
        <f>H9/12</f>
        <v>665.00053200000013</v>
      </c>
      <c r="K10" t="s">
        <v>68</v>
      </c>
      <c r="L10" s="69">
        <f>L9/12</f>
        <v>666.66720000000009</v>
      </c>
      <c r="O10" t="s">
        <v>153</v>
      </c>
      <c r="P10">
        <v>56</v>
      </c>
    </row>
    <row r="11" spans="1:17" x14ac:dyDescent="0.3">
      <c r="B11" s="72" t="s">
        <v>71</v>
      </c>
      <c r="C11" s="69">
        <f>C10/30</f>
        <v>6.0061455999999991</v>
      </c>
      <c r="G11" t="s">
        <v>71</v>
      </c>
      <c r="H11" s="69">
        <f>H10/30</f>
        <v>22.166684400000005</v>
      </c>
      <c r="K11" t="s">
        <v>71</v>
      </c>
      <c r="L11" s="69">
        <f>L10/30</f>
        <v>22.222240000000003</v>
      </c>
    </row>
    <row r="12" spans="1:17" x14ac:dyDescent="0.3">
      <c r="A12" t="s">
        <v>73</v>
      </c>
      <c r="B12" s="72" t="s">
        <v>72</v>
      </c>
      <c r="C12" s="69">
        <f>C11/C2</f>
        <v>2.0020485333333329</v>
      </c>
      <c r="F12" t="s">
        <v>73</v>
      </c>
      <c r="G12" t="s">
        <v>72</v>
      </c>
      <c r="H12" s="68">
        <f>H11/H2</f>
        <v>4.4333368800000006</v>
      </c>
      <c r="J12" t="s">
        <v>73</v>
      </c>
      <c r="K12" t="s">
        <v>72</v>
      </c>
      <c r="L12" s="68">
        <f>L11/L2</f>
        <v>4.4444480000000004</v>
      </c>
      <c r="O12" t="s">
        <v>154</v>
      </c>
      <c r="P12">
        <f>P10/P9</f>
        <v>0.22672064777327935</v>
      </c>
    </row>
    <row r="13" spans="1:17" x14ac:dyDescent="0.3">
      <c r="A13" t="s">
        <v>88</v>
      </c>
      <c r="B13" s="72" t="s">
        <v>89</v>
      </c>
      <c r="C13">
        <v>63.1</v>
      </c>
      <c r="F13" t="s">
        <v>88</v>
      </c>
      <c r="G13" s="72" t="s">
        <v>89</v>
      </c>
      <c r="H13">
        <v>112</v>
      </c>
      <c r="J13" t="s">
        <v>88</v>
      </c>
      <c r="K13" s="72" t="s">
        <v>89</v>
      </c>
      <c r="L13">
        <v>112</v>
      </c>
      <c r="M13" t="s">
        <v>155</v>
      </c>
      <c r="N13">
        <v>559.5</v>
      </c>
    </row>
    <row r="14" spans="1:17" x14ac:dyDescent="0.3">
      <c r="A14" t="s">
        <v>86</v>
      </c>
      <c r="B14" s="72"/>
      <c r="C14">
        <v>277777.777777777</v>
      </c>
      <c r="F14" t="s">
        <v>86</v>
      </c>
      <c r="G14" s="72"/>
      <c r="H14">
        <v>277777.777777777</v>
      </c>
      <c r="J14" t="s">
        <v>86</v>
      </c>
      <c r="K14" s="72"/>
      <c r="L14">
        <v>277777.777777777</v>
      </c>
      <c r="M14" t="s">
        <v>156</v>
      </c>
      <c r="N14">
        <f>N13*L5</f>
        <v>1611360</v>
      </c>
      <c r="P14">
        <f>C13/H13</f>
        <v>0.56339285714285714</v>
      </c>
      <c r="Q14">
        <f>H13/C13</f>
        <v>1.7749603803486529</v>
      </c>
    </row>
    <row r="15" spans="1:17" x14ac:dyDescent="0.3">
      <c r="A15" t="s">
        <v>85</v>
      </c>
      <c r="B15" s="72" t="s">
        <v>90</v>
      </c>
      <c r="C15">
        <f>C13/C14</f>
        <v>2.2716000000000064E-4</v>
      </c>
      <c r="F15" t="s">
        <v>85</v>
      </c>
      <c r="G15" s="72" t="s">
        <v>90</v>
      </c>
      <c r="H15">
        <f>H13/H14</f>
        <v>4.0320000000000113E-4</v>
      </c>
      <c r="J15" t="s">
        <v>85</v>
      </c>
      <c r="K15" s="72" t="s">
        <v>90</v>
      </c>
      <c r="L15">
        <f>L13/L14</f>
        <v>4.0320000000000113E-4</v>
      </c>
      <c r="N15">
        <f>N14/(10^6)</f>
        <v>1.6113599999999999</v>
      </c>
    </row>
    <row r="16" spans="1:17" x14ac:dyDescent="0.3">
      <c r="A16" t="s">
        <v>87</v>
      </c>
      <c r="B16" s="72" t="s">
        <v>91</v>
      </c>
      <c r="C16" s="68">
        <f>C15*C9</f>
        <v>0.49116817241856137</v>
      </c>
      <c r="F16" t="s">
        <v>87</v>
      </c>
      <c r="G16" s="72" t="s">
        <v>91</v>
      </c>
      <c r="H16" s="68">
        <f>H15*H9</f>
        <v>3.2175385740288096</v>
      </c>
      <c r="J16" t="s">
        <v>87</v>
      </c>
      <c r="K16" s="72" t="s">
        <v>91</v>
      </c>
      <c r="L16" s="68">
        <f>L15*L9</f>
        <v>3.2256025804800093</v>
      </c>
    </row>
    <row r="18" spans="1:12" x14ac:dyDescent="0.3">
      <c r="A18" t="s">
        <v>162</v>
      </c>
      <c r="B18" s="72" t="s">
        <v>163</v>
      </c>
      <c r="C18">
        <v>1150</v>
      </c>
      <c r="F18" t="s">
        <v>157</v>
      </c>
      <c r="G18" s="72" t="s">
        <v>168</v>
      </c>
      <c r="H18">
        <v>374</v>
      </c>
      <c r="J18" t="s">
        <v>167</v>
      </c>
      <c r="K18" s="72" t="s">
        <v>168</v>
      </c>
      <c r="L18">
        <f>30*12</f>
        <v>360</v>
      </c>
    </row>
    <row r="19" spans="1:12" x14ac:dyDescent="0.3">
      <c r="A19" t="s">
        <v>164</v>
      </c>
      <c r="B19" s="72" t="s">
        <v>161</v>
      </c>
      <c r="C19">
        <f>C18*C3</f>
        <v>13800</v>
      </c>
      <c r="F19" t="s">
        <v>158</v>
      </c>
      <c r="G19" s="72" t="s">
        <v>159</v>
      </c>
      <c r="H19">
        <v>30</v>
      </c>
      <c r="J19" t="s">
        <v>158</v>
      </c>
      <c r="K19" s="72" t="s">
        <v>159</v>
      </c>
      <c r="L19">
        <v>30</v>
      </c>
    </row>
    <row r="20" spans="1:12" x14ac:dyDescent="0.3">
      <c r="A20" t="s">
        <v>165</v>
      </c>
      <c r="B20" s="72" t="s">
        <v>166</v>
      </c>
      <c r="C20" s="68">
        <f>C19/C9</f>
        <v>6.3823516588298048</v>
      </c>
      <c r="F20" t="s">
        <v>160</v>
      </c>
      <c r="G20" s="72" t="s">
        <v>161</v>
      </c>
      <c r="H20">
        <f>H19*H18</f>
        <v>11220</v>
      </c>
      <c r="J20" t="s">
        <v>160</v>
      </c>
      <c r="K20" s="72" t="s">
        <v>161</v>
      </c>
      <c r="L20">
        <f>L19*L18</f>
        <v>10800</v>
      </c>
    </row>
    <row r="21" spans="1:12" x14ac:dyDescent="0.3">
      <c r="F21" t="s">
        <v>165</v>
      </c>
      <c r="G21" s="72" t="s">
        <v>166</v>
      </c>
      <c r="H21" s="68">
        <f>H20/H9</f>
        <v>1.4060139127828546</v>
      </c>
      <c r="J21" t="s">
        <v>165</v>
      </c>
      <c r="K21" s="72" t="s">
        <v>166</v>
      </c>
      <c r="L21" s="68">
        <f>L20/L9</f>
        <v>1.3499989200008637</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75FE-89E7-DE49-9FC4-5A387DAB3702}">
  <dimension ref="A1:C32"/>
  <sheetViews>
    <sheetView showGridLines="0" workbookViewId="0">
      <selection activeCell="G7" sqref="G7"/>
    </sheetView>
  </sheetViews>
  <sheetFormatPr defaultColWidth="11.19921875" defaultRowHeight="15.6" x14ac:dyDescent="0.3"/>
  <sheetData>
    <row r="1" spans="1:3" x14ac:dyDescent="0.3">
      <c r="A1" s="15" t="s">
        <v>35</v>
      </c>
      <c r="B1" s="15" t="s">
        <v>36</v>
      </c>
      <c r="C1" s="15" t="s">
        <v>37</v>
      </c>
    </row>
    <row r="2" spans="1:3" x14ac:dyDescent="0.3">
      <c r="A2" s="19">
        <v>1</v>
      </c>
      <c r="B2" s="19">
        <v>0</v>
      </c>
      <c r="C2" s="19">
        <f>A2+B2</f>
        <v>1</v>
      </c>
    </row>
    <row r="3" spans="1:3" x14ac:dyDescent="0.3">
      <c r="A3" s="16">
        <v>1</v>
      </c>
      <c r="B3" s="20">
        <v>1</v>
      </c>
      <c r="C3" s="20">
        <f t="shared" ref="C3:C31" si="0">A3+B3</f>
        <v>2</v>
      </c>
    </row>
    <row r="4" spans="1:3" x14ac:dyDescent="0.3">
      <c r="A4" s="16">
        <v>1</v>
      </c>
      <c r="B4" s="20">
        <v>2</v>
      </c>
      <c r="C4" s="20">
        <f t="shared" si="0"/>
        <v>3</v>
      </c>
    </row>
    <row r="5" spans="1:3" x14ac:dyDescent="0.3">
      <c r="A5" s="16">
        <v>1</v>
      </c>
      <c r="B5" s="20">
        <v>3</v>
      </c>
      <c r="C5" s="20">
        <f t="shared" si="0"/>
        <v>4</v>
      </c>
    </row>
    <row r="6" spans="1:3" x14ac:dyDescent="0.3">
      <c r="A6" s="16">
        <v>1</v>
      </c>
      <c r="B6" s="20">
        <v>4</v>
      </c>
      <c r="C6" s="20">
        <f t="shared" si="0"/>
        <v>5</v>
      </c>
    </row>
    <row r="7" spans="1:3" ht="16.2" thickBot="1" x14ac:dyDescent="0.35">
      <c r="A7" s="18">
        <v>1</v>
      </c>
      <c r="B7" s="18">
        <v>5</v>
      </c>
      <c r="C7" s="18">
        <f t="shared" si="0"/>
        <v>6</v>
      </c>
    </row>
    <row r="8" spans="1:3" ht="16.2" thickTop="1" x14ac:dyDescent="0.3">
      <c r="A8" s="16">
        <v>2</v>
      </c>
      <c r="B8" s="16">
        <v>0</v>
      </c>
      <c r="C8" s="16">
        <f t="shared" si="0"/>
        <v>2</v>
      </c>
    </row>
    <row r="9" spans="1:3" x14ac:dyDescent="0.3">
      <c r="A9" s="16">
        <v>2</v>
      </c>
      <c r="B9" s="16">
        <v>1</v>
      </c>
      <c r="C9" s="16">
        <f t="shared" si="0"/>
        <v>3</v>
      </c>
    </row>
    <row r="10" spans="1:3" x14ac:dyDescent="0.3">
      <c r="A10" s="16">
        <v>2</v>
      </c>
      <c r="B10" s="16">
        <v>2</v>
      </c>
      <c r="C10" s="16">
        <f t="shared" si="0"/>
        <v>4</v>
      </c>
    </row>
    <row r="11" spans="1:3" x14ac:dyDescent="0.3">
      <c r="A11" s="16">
        <v>2</v>
      </c>
      <c r="B11" s="16">
        <v>3</v>
      </c>
      <c r="C11" s="16">
        <f t="shared" si="0"/>
        <v>5</v>
      </c>
    </row>
    <row r="12" spans="1:3" x14ac:dyDescent="0.3">
      <c r="A12" s="16">
        <v>2</v>
      </c>
      <c r="B12" s="16">
        <v>4</v>
      </c>
      <c r="C12" s="16">
        <f t="shared" si="0"/>
        <v>6</v>
      </c>
    </row>
    <row r="13" spans="1:3" ht="16.2" thickBot="1" x14ac:dyDescent="0.35">
      <c r="A13" s="18">
        <v>2</v>
      </c>
      <c r="B13" s="18">
        <v>5</v>
      </c>
      <c r="C13" s="18">
        <f t="shared" si="0"/>
        <v>7</v>
      </c>
    </row>
    <row r="14" spans="1:3" ht="16.2" thickTop="1" x14ac:dyDescent="0.3">
      <c r="A14" s="16">
        <v>3</v>
      </c>
      <c r="B14" s="16">
        <v>0</v>
      </c>
      <c r="C14" s="16">
        <f t="shared" si="0"/>
        <v>3</v>
      </c>
    </row>
    <row r="15" spans="1:3" x14ac:dyDescent="0.3">
      <c r="A15" s="16">
        <v>3</v>
      </c>
      <c r="B15" s="16">
        <v>1</v>
      </c>
      <c r="C15" s="16">
        <f t="shared" si="0"/>
        <v>4</v>
      </c>
    </row>
    <row r="16" spans="1:3" x14ac:dyDescent="0.3">
      <c r="A16" s="16">
        <v>3</v>
      </c>
      <c r="B16" s="16">
        <v>2</v>
      </c>
      <c r="C16" s="16">
        <f t="shared" si="0"/>
        <v>5</v>
      </c>
    </row>
    <row r="17" spans="1:3" x14ac:dyDescent="0.3">
      <c r="A17" s="16">
        <v>3</v>
      </c>
      <c r="B17" s="16">
        <v>3</v>
      </c>
      <c r="C17" s="16">
        <f t="shared" si="0"/>
        <v>6</v>
      </c>
    </row>
    <row r="18" spans="1:3" x14ac:dyDescent="0.3">
      <c r="A18" s="16">
        <v>3</v>
      </c>
      <c r="B18" s="16">
        <v>4</v>
      </c>
      <c r="C18" s="16">
        <f t="shared" si="0"/>
        <v>7</v>
      </c>
    </row>
    <row r="19" spans="1:3" ht="16.2" thickBot="1" x14ac:dyDescent="0.35">
      <c r="A19" s="18">
        <v>3</v>
      </c>
      <c r="B19" s="18">
        <v>5</v>
      </c>
      <c r="C19" s="18">
        <f t="shared" si="0"/>
        <v>8</v>
      </c>
    </row>
    <row r="20" spans="1:3" ht="16.2" thickTop="1" x14ac:dyDescent="0.3">
      <c r="A20" s="16">
        <v>4</v>
      </c>
      <c r="B20" s="16">
        <v>0</v>
      </c>
      <c r="C20" s="16">
        <f t="shared" si="0"/>
        <v>4</v>
      </c>
    </row>
    <row r="21" spans="1:3" x14ac:dyDescent="0.3">
      <c r="A21" s="16">
        <v>4</v>
      </c>
      <c r="B21" s="16">
        <v>1</v>
      </c>
      <c r="C21" s="16">
        <f t="shared" si="0"/>
        <v>5</v>
      </c>
    </row>
    <row r="22" spans="1:3" x14ac:dyDescent="0.3">
      <c r="A22" s="16">
        <v>4</v>
      </c>
      <c r="B22" s="16">
        <v>2</v>
      </c>
      <c r="C22" s="16">
        <f t="shared" si="0"/>
        <v>6</v>
      </c>
    </row>
    <row r="23" spans="1:3" x14ac:dyDescent="0.3">
      <c r="A23" s="16">
        <v>4</v>
      </c>
      <c r="B23" s="16">
        <v>3</v>
      </c>
      <c r="C23" s="16">
        <f t="shared" si="0"/>
        <v>7</v>
      </c>
    </row>
    <row r="24" spans="1:3" x14ac:dyDescent="0.3">
      <c r="A24" s="16">
        <v>4</v>
      </c>
      <c r="B24" s="16">
        <v>4</v>
      </c>
      <c r="C24" s="16">
        <f t="shared" si="0"/>
        <v>8</v>
      </c>
    </row>
    <row r="25" spans="1:3" ht="16.2" thickBot="1" x14ac:dyDescent="0.35">
      <c r="A25" s="18">
        <v>4</v>
      </c>
      <c r="B25" s="18">
        <v>5</v>
      </c>
      <c r="C25" s="18">
        <f t="shared" si="0"/>
        <v>9</v>
      </c>
    </row>
    <row r="26" spans="1:3" ht="16.2" thickTop="1" x14ac:dyDescent="0.3">
      <c r="A26" s="16">
        <v>5</v>
      </c>
      <c r="B26" s="16">
        <v>0</v>
      </c>
      <c r="C26" s="16">
        <f t="shared" si="0"/>
        <v>5</v>
      </c>
    </row>
    <row r="27" spans="1:3" x14ac:dyDescent="0.3">
      <c r="A27" s="16">
        <v>5</v>
      </c>
      <c r="B27" s="16">
        <v>1</v>
      </c>
      <c r="C27" s="16">
        <f t="shared" si="0"/>
        <v>6</v>
      </c>
    </row>
    <row r="28" spans="1:3" x14ac:dyDescent="0.3">
      <c r="A28" s="16">
        <v>5</v>
      </c>
      <c r="B28" s="16">
        <v>2</v>
      </c>
      <c r="C28" s="16">
        <f t="shared" si="0"/>
        <v>7</v>
      </c>
    </row>
    <row r="29" spans="1:3" x14ac:dyDescent="0.3">
      <c r="A29" s="16">
        <v>5</v>
      </c>
      <c r="B29" s="16">
        <v>3</v>
      </c>
      <c r="C29" s="16">
        <f t="shared" si="0"/>
        <v>8</v>
      </c>
    </row>
    <row r="30" spans="1:3" x14ac:dyDescent="0.3">
      <c r="A30" s="16">
        <v>5</v>
      </c>
      <c r="B30" s="16">
        <v>4</v>
      </c>
      <c r="C30" s="16">
        <f t="shared" si="0"/>
        <v>9</v>
      </c>
    </row>
    <row r="31" spans="1:3" ht="16.2" thickBot="1" x14ac:dyDescent="0.35">
      <c r="A31" s="18">
        <v>5</v>
      </c>
      <c r="B31" s="18">
        <v>5</v>
      </c>
      <c r="C31" s="18">
        <f t="shared" si="0"/>
        <v>10</v>
      </c>
    </row>
    <row r="32" spans="1:3" ht="16.2" thickTop="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22A1-15B9-4642-B2F6-3427EA4EE962}">
  <dimension ref="A1:G33"/>
  <sheetViews>
    <sheetView workbookViewId="0">
      <selection activeCell="F3" sqref="F3"/>
    </sheetView>
  </sheetViews>
  <sheetFormatPr defaultRowHeight="15.6" x14ac:dyDescent="0.3"/>
  <cols>
    <col min="2" max="3" width="7.59765625" bestFit="1" customWidth="1"/>
    <col min="4" max="4" width="8.09765625" bestFit="1" customWidth="1"/>
    <col min="6" max="6" width="7.69921875" customWidth="1"/>
  </cols>
  <sheetData>
    <row r="1" spans="1:7" ht="95.4" x14ac:dyDescent="0.3">
      <c r="A1" s="73" t="s">
        <v>92</v>
      </c>
      <c r="B1" s="73" t="s">
        <v>93</v>
      </c>
      <c r="C1" s="73" t="s">
        <v>94</v>
      </c>
      <c r="D1" s="73" t="s">
        <v>95</v>
      </c>
    </row>
    <row r="2" spans="1:7" ht="31.2" x14ac:dyDescent="0.3">
      <c r="A2" s="74" t="s">
        <v>96</v>
      </c>
      <c r="B2" s="75">
        <v>245</v>
      </c>
      <c r="C2" s="75">
        <v>237</v>
      </c>
      <c r="D2" s="74" t="s">
        <v>97</v>
      </c>
      <c r="F2" s="70">
        <f>AVERAGE(B2:B31)</f>
        <v>233.36666666666667</v>
      </c>
      <c r="G2" t="s">
        <v>149</v>
      </c>
    </row>
    <row r="3" spans="1:7" ht="46.8" x14ac:dyDescent="0.3">
      <c r="A3" s="74" t="s">
        <v>98</v>
      </c>
      <c r="B3" s="75">
        <v>212</v>
      </c>
      <c r="C3" s="75">
        <v>205</v>
      </c>
      <c r="D3" s="74" t="s">
        <v>99</v>
      </c>
      <c r="F3" s="70">
        <f>F2/8</f>
        <v>29.170833333333334</v>
      </c>
      <c r="G3" t="s">
        <v>150</v>
      </c>
    </row>
    <row r="4" spans="1:7" x14ac:dyDescent="0.3">
      <c r="A4" s="74" t="s">
        <v>100</v>
      </c>
      <c r="B4" s="75">
        <v>224</v>
      </c>
      <c r="C4" s="75">
        <v>213</v>
      </c>
      <c r="D4" s="74" t="s">
        <v>101</v>
      </c>
    </row>
    <row r="5" spans="1:7" x14ac:dyDescent="0.3">
      <c r="A5" s="74" t="s">
        <v>102</v>
      </c>
      <c r="B5" s="75">
        <v>198</v>
      </c>
      <c r="C5" s="75">
        <v>194</v>
      </c>
      <c r="D5" s="74" t="s">
        <v>103</v>
      </c>
    </row>
    <row r="6" spans="1:7" ht="31.2" x14ac:dyDescent="0.3">
      <c r="A6" s="74" t="s">
        <v>104</v>
      </c>
      <c r="B6" s="75">
        <v>193</v>
      </c>
      <c r="C6" s="75">
        <v>190</v>
      </c>
      <c r="D6" s="74" t="s">
        <v>105</v>
      </c>
    </row>
    <row r="7" spans="1:7" x14ac:dyDescent="0.3">
      <c r="A7" s="74" t="s">
        <v>106</v>
      </c>
      <c r="B7" s="75">
        <v>294</v>
      </c>
      <c r="C7" s="75">
        <v>280</v>
      </c>
      <c r="D7" s="74" t="s">
        <v>107</v>
      </c>
    </row>
    <row r="8" spans="1:7" x14ac:dyDescent="0.3">
      <c r="A8" s="74" t="s">
        <v>108</v>
      </c>
      <c r="B8" s="75">
        <v>229</v>
      </c>
      <c r="C8" s="75">
        <v>224</v>
      </c>
      <c r="D8" s="74" t="s">
        <v>109</v>
      </c>
    </row>
    <row r="9" spans="1:7" x14ac:dyDescent="0.3">
      <c r="A9" s="74" t="s">
        <v>110</v>
      </c>
      <c r="B9" s="75">
        <v>315</v>
      </c>
      <c r="C9" s="75">
        <v>309</v>
      </c>
      <c r="D9" s="74" t="s">
        <v>111</v>
      </c>
    </row>
    <row r="10" spans="1:7" ht="33" x14ac:dyDescent="0.3">
      <c r="A10" s="74" t="s">
        <v>112</v>
      </c>
      <c r="B10" s="75">
        <v>254</v>
      </c>
      <c r="C10" s="75">
        <v>248</v>
      </c>
      <c r="D10" s="74" t="s">
        <v>113</v>
      </c>
    </row>
    <row r="11" spans="1:7" ht="46.8" x14ac:dyDescent="0.3">
      <c r="A11" s="74" t="s">
        <v>114</v>
      </c>
      <c r="B11" s="75">
        <v>214</v>
      </c>
      <c r="C11" s="75">
        <v>204</v>
      </c>
      <c r="D11" s="74" t="s">
        <v>115</v>
      </c>
    </row>
    <row r="12" spans="1:7" x14ac:dyDescent="0.3">
      <c r="A12" s="74" t="s">
        <v>116</v>
      </c>
      <c r="B12" s="75">
        <v>214</v>
      </c>
      <c r="C12" s="75">
        <v>204</v>
      </c>
      <c r="D12" s="74" t="s">
        <v>115</v>
      </c>
    </row>
    <row r="13" spans="1:7" ht="31.2" x14ac:dyDescent="0.3">
      <c r="A13" s="74" t="s">
        <v>117</v>
      </c>
      <c r="B13" s="75">
        <v>198</v>
      </c>
      <c r="C13" s="75">
        <v>194</v>
      </c>
      <c r="D13" s="74" t="s">
        <v>103</v>
      </c>
    </row>
    <row r="14" spans="1:7" ht="31.2" x14ac:dyDescent="0.3">
      <c r="A14" s="74" t="s">
        <v>118</v>
      </c>
      <c r="B14" s="75">
        <v>289</v>
      </c>
      <c r="C14" s="75">
        <v>275</v>
      </c>
      <c r="D14" s="74" t="s">
        <v>119</v>
      </c>
    </row>
    <row r="15" spans="1:7" x14ac:dyDescent="0.3">
      <c r="A15" s="74" t="s">
        <v>120</v>
      </c>
      <c r="B15" s="75">
        <v>291</v>
      </c>
      <c r="C15" s="75">
        <v>291</v>
      </c>
      <c r="D15" s="74" t="s">
        <v>121</v>
      </c>
    </row>
    <row r="16" spans="1:7" ht="31.2" x14ac:dyDescent="0.3">
      <c r="A16" s="74" t="s">
        <v>122</v>
      </c>
      <c r="B16" s="75">
        <v>193</v>
      </c>
      <c r="C16" s="75">
        <v>190</v>
      </c>
      <c r="D16" s="74" t="s">
        <v>105</v>
      </c>
    </row>
    <row r="17" spans="1:4" ht="31.2" x14ac:dyDescent="0.3">
      <c r="A17" s="74" t="s">
        <v>123</v>
      </c>
      <c r="B17" s="75">
        <v>248</v>
      </c>
      <c r="C17" s="75">
        <v>238</v>
      </c>
      <c r="D17" s="74" t="s">
        <v>124</v>
      </c>
    </row>
    <row r="18" spans="1:4" x14ac:dyDescent="0.3">
      <c r="A18" s="74" t="s">
        <v>125</v>
      </c>
      <c r="B18" s="75">
        <v>251</v>
      </c>
      <c r="C18" s="75">
        <v>238</v>
      </c>
      <c r="D18" s="74" t="s">
        <v>126</v>
      </c>
    </row>
    <row r="19" spans="1:4" ht="31.2" x14ac:dyDescent="0.3">
      <c r="A19" s="74" t="s">
        <v>127</v>
      </c>
      <c r="B19" s="75">
        <v>226</v>
      </c>
      <c r="C19" s="75">
        <v>203</v>
      </c>
      <c r="D19" s="74" t="s">
        <v>128</v>
      </c>
    </row>
    <row r="20" spans="1:4" x14ac:dyDescent="0.3">
      <c r="A20" s="74" t="s">
        <v>129</v>
      </c>
      <c r="B20" s="75">
        <v>233</v>
      </c>
      <c r="C20" s="75">
        <v>225</v>
      </c>
      <c r="D20" s="74" t="s">
        <v>130</v>
      </c>
    </row>
    <row r="21" spans="1:4" x14ac:dyDescent="0.3">
      <c r="A21" s="74" t="s">
        <v>131</v>
      </c>
      <c r="B21" s="75">
        <v>212</v>
      </c>
      <c r="C21" s="75">
        <v>205</v>
      </c>
      <c r="D21" s="74" t="s">
        <v>99</v>
      </c>
    </row>
    <row r="22" spans="1:4" x14ac:dyDescent="0.3">
      <c r="A22" s="74" t="s">
        <v>132</v>
      </c>
      <c r="B22" s="75">
        <v>215</v>
      </c>
      <c r="C22" s="75">
        <v>207</v>
      </c>
      <c r="D22" s="74" t="s">
        <v>133</v>
      </c>
    </row>
    <row r="23" spans="1:4" x14ac:dyDescent="0.3">
      <c r="A23" s="74" t="s">
        <v>134</v>
      </c>
      <c r="B23" s="75">
        <v>269</v>
      </c>
      <c r="C23" s="75">
        <v>263</v>
      </c>
      <c r="D23" s="74" t="s">
        <v>135</v>
      </c>
    </row>
    <row r="24" spans="1:4" ht="31.2" x14ac:dyDescent="0.3">
      <c r="A24" s="74" t="s">
        <v>136</v>
      </c>
      <c r="B24" s="75">
        <v>221</v>
      </c>
      <c r="C24" s="75">
        <v>220</v>
      </c>
      <c r="D24" s="74" t="s">
        <v>137</v>
      </c>
    </row>
    <row r="25" spans="1:4" ht="17.399999999999999" x14ac:dyDescent="0.3">
      <c r="A25" s="74" t="s">
        <v>138</v>
      </c>
      <c r="B25" s="75">
        <v>212</v>
      </c>
      <c r="C25" s="75">
        <v>205</v>
      </c>
      <c r="D25" s="74" t="s">
        <v>99</v>
      </c>
    </row>
    <row r="26" spans="1:4" ht="31.2" x14ac:dyDescent="0.3">
      <c r="A26" s="74" t="s">
        <v>139</v>
      </c>
      <c r="B26" s="75">
        <v>273</v>
      </c>
      <c r="C26" s="75">
        <v>256</v>
      </c>
      <c r="D26" s="74" t="s">
        <v>140</v>
      </c>
    </row>
    <row r="27" spans="1:4" ht="31.2" x14ac:dyDescent="0.3">
      <c r="A27" s="74" t="s">
        <v>141</v>
      </c>
      <c r="B27" s="75">
        <v>245</v>
      </c>
      <c r="C27" s="75">
        <v>237</v>
      </c>
      <c r="D27" s="74" t="s">
        <v>97</v>
      </c>
    </row>
    <row r="28" spans="1:4" x14ac:dyDescent="0.3">
      <c r="A28" s="74" t="s">
        <v>142</v>
      </c>
      <c r="B28" s="75">
        <v>212</v>
      </c>
      <c r="C28" s="75">
        <v>205</v>
      </c>
      <c r="D28" s="74" t="s">
        <v>99</v>
      </c>
    </row>
    <row r="29" spans="1:4" ht="31.2" x14ac:dyDescent="0.3">
      <c r="A29" s="74" t="s">
        <v>143</v>
      </c>
      <c r="B29" s="75">
        <v>204</v>
      </c>
      <c r="C29" s="75">
        <v>201</v>
      </c>
      <c r="D29" s="74" t="s">
        <v>144</v>
      </c>
    </row>
    <row r="30" spans="1:4" ht="31.2" x14ac:dyDescent="0.3">
      <c r="A30" s="74" t="s">
        <v>145</v>
      </c>
      <c r="B30" s="75">
        <v>204</v>
      </c>
      <c r="C30" s="75">
        <v>201</v>
      </c>
      <c r="D30" s="74" t="s">
        <v>144</v>
      </c>
    </row>
    <row r="31" spans="1:4" ht="31.2" x14ac:dyDescent="0.3">
      <c r="A31" s="74" t="s">
        <v>146</v>
      </c>
      <c r="B31" s="75">
        <v>213</v>
      </c>
      <c r="C31" s="75">
        <v>204</v>
      </c>
      <c r="D31" s="74" t="s">
        <v>147</v>
      </c>
    </row>
    <row r="33" spans="1:1" x14ac:dyDescent="0.3">
      <c r="A33" s="76"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baseline</vt:lpstr>
      <vt:lpstr>e-cooking</vt:lpstr>
      <vt:lpstr>Sheet1</vt:lpstr>
      <vt:lpstr>hh-profile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Bikash Sahu</dc:creator>
  <cp:lastModifiedBy>Vasudha</cp:lastModifiedBy>
  <dcterms:created xsi:type="dcterms:W3CDTF">2022-12-30T16:55:03Z</dcterms:created>
  <dcterms:modified xsi:type="dcterms:W3CDTF">2023-04-05T04:44:21Z</dcterms:modified>
</cp:coreProperties>
</file>