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bikash/Library/CloudStorage/GoogleDrive-bikash@vasudhaindia.org/My Drive/01-cooking/01-analysis-files/cooking-tool-lang/"/>
    </mc:Choice>
  </mc:AlternateContent>
  <xr:revisionPtr revIDLastSave="0" documentId="13_ncr:1_{76F3F37C-9D86-FC47-A9F1-AFEC2BE74575}" xr6:coauthVersionLast="47" xr6:coauthVersionMax="47" xr10:uidLastSave="{00000000-0000-0000-0000-000000000000}"/>
  <bookViews>
    <workbookView xWindow="0" yWindow="0" windowWidth="28800" windowHeight="18000" xr2:uid="{E40E22CB-8837-485E-9211-3FB4E597DAEA}"/>
  </bookViews>
  <sheets>
    <sheet name="cooking energy" sheetId="1" r:id="rId1"/>
    <sheet name="खाना पकाने की ऊर्जा" sheetId="8" r:id="rId2"/>
    <sheet name="electricity tariff" sheetId="2" r:id="rId3"/>
    <sheet name="बिजली दर" sheetId="9" r:id="rId4"/>
    <sheet name="e-cooking" sheetId="4" r:id="rId5"/>
    <sheet name="stoves" sheetId="5" r:id="rId6"/>
    <sheet name="चूल्हे" sheetId="10" r:id="rId7"/>
    <sheet name="backup" sheetId="7" r:id="rId8"/>
    <sheet name="water heater" sheetId="6" r:id="rId9"/>
    <sheet name="baseline" sheetId="3" r:id="rId10"/>
  </sheets>
  <externalReferences>
    <externalReference r:id="rId11"/>
  </externalReferences>
  <definedNames>
    <definedName name="_xlnm._FilterDatabase" localSheetId="9" hidden="1">baseline!$A$1:$H$31</definedName>
    <definedName name="_xlnm._FilterDatabase" localSheetId="0" hidden="1">'cooking energy'!$B$1:$E$13</definedName>
    <definedName name="_xlnm._FilterDatabase" localSheetId="4" hidden="1">'e-cooking'!$A$1:$H$55</definedName>
    <definedName name="_xlnm._FilterDatabase" localSheetId="5" hidden="1">stoves!$A$1:$N$53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1" i="10" l="1"/>
  <c r="I80" i="10"/>
  <c r="I78" i="10"/>
  <c r="I77" i="10"/>
  <c r="I75" i="10"/>
  <c r="I74" i="10"/>
  <c r="I72" i="10"/>
  <c r="I71" i="10"/>
  <c r="I69" i="10"/>
  <c r="I68" i="10"/>
  <c r="I66" i="10"/>
  <c r="I65" i="10"/>
  <c r="I63" i="10"/>
  <c r="I62" i="10"/>
  <c r="I60" i="10"/>
  <c r="I59" i="10"/>
  <c r="M57" i="10"/>
  <c r="I57" i="10"/>
  <c r="M56" i="10"/>
  <c r="I56" i="10"/>
  <c r="M55" i="10"/>
  <c r="J55" i="10"/>
  <c r="I55" i="10"/>
  <c r="M54" i="10"/>
  <c r="J54" i="10"/>
  <c r="I54" i="10"/>
  <c r="M53" i="10"/>
  <c r="I53" i="10"/>
  <c r="M52" i="10"/>
  <c r="I52" i="10"/>
  <c r="M51" i="10"/>
  <c r="I51" i="10"/>
  <c r="M50" i="10"/>
  <c r="I50" i="10"/>
  <c r="M49" i="10"/>
  <c r="M48" i="10"/>
  <c r="I48" i="10"/>
  <c r="M47" i="10"/>
  <c r="M46" i="10"/>
  <c r="I46" i="10"/>
  <c r="I45" i="10"/>
  <c r="I43" i="10"/>
  <c r="I42" i="10"/>
  <c r="I41" i="10"/>
  <c r="I39" i="10"/>
  <c r="I38" i="10"/>
  <c r="M37" i="10"/>
  <c r="I37" i="10"/>
  <c r="M36" i="10"/>
  <c r="I36" i="10"/>
  <c r="M35" i="10"/>
  <c r="I35" i="10"/>
  <c r="M34" i="10"/>
  <c r="I34" i="10"/>
  <c r="M33" i="10"/>
  <c r="J33" i="10"/>
  <c r="I33" i="10"/>
  <c r="M32" i="10"/>
  <c r="J32" i="10"/>
  <c r="J28" i="10" s="1"/>
  <c r="I32" i="10"/>
  <c r="M31" i="10"/>
  <c r="J31" i="10"/>
  <c r="J27" i="10" s="1"/>
  <c r="I31" i="10"/>
  <c r="M30" i="10"/>
  <c r="J30" i="10"/>
  <c r="J26" i="10" s="1"/>
  <c r="I30" i="10"/>
  <c r="M29" i="10"/>
  <c r="L29" i="10"/>
  <c r="J29" i="10"/>
  <c r="I29" i="10"/>
  <c r="M28" i="10"/>
  <c r="L28" i="10"/>
  <c r="I28" i="10"/>
  <c r="M27" i="10"/>
  <c r="I27" i="10"/>
  <c r="M26" i="10"/>
  <c r="I26" i="10"/>
  <c r="I25" i="10"/>
  <c r="I23" i="10"/>
  <c r="I22" i="10"/>
  <c r="I21" i="10"/>
  <c r="I19" i="10"/>
  <c r="I18" i="10"/>
  <c r="I17" i="10"/>
  <c r="I15" i="10"/>
  <c r="I14" i="10"/>
  <c r="I13" i="10"/>
  <c r="I12" i="10"/>
  <c r="I11" i="10"/>
  <c r="I10" i="10"/>
  <c r="I9" i="10"/>
  <c r="I8" i="10"/>
  <c r="I7" i="10"/>
  <c r="I6" i="10"/>
  <c r="I5" i="10"/>
  <c r="I4" i="10"/>
  <c r="I3" i="10"/>
  <c r="I2" i="10"/>
  <c r="I57" i="5"/>
  <c r="I56" i="5"/>
  <c r="I55" i="5"/>
  <c r="I54" i="5"/>
  <c r="I46" i="5"/>
  <c r="I34" i="5"/>
  <c r="I30" i="5"/>
  <c r="I26" i="5"/>
  <c r="I12" i="5"/>
  <c r="I8" i="5"/>
  <c r="I4" i="5"/>
  <c r="I45" i="5"/>
  <c r="I41" i="5"/>
  <c r="I25" i="5"/>
  <c r="I21" i="5"/>
  <c r="I17" i="5"/>
  <c r="I13" i="5"/>
  <c r="I9" i="5"/>
  <c r="I5" i="5"/>
  <c r="I43" i="5"/>
  <c r="I39" i="5"/>
  <c r="I23" i="5"/>
  <c r="I19" i="5"/>
  <c r="I15" i="5"/>
  <c r="I11" i="5"/>
  <c r="I7" i="5"/>
  <c r="I3" i="5"/>
  <c r="I42" i="5"/>
  <c r="I38" i="5"/>
  <c r="I22" i="5"/>
  <c r="I18" i="5"/>
  <c r="I14" i="5"/>
  <c r="I10" i="5"/>
  <c r="I6" i="5"/>
  <c r="I2" i="5"/>
  <c r="I81" i="5"/>
  <c r="I78" i="5"/>
  <c r="I75" i="5"/>
  <c r="I72" i="5"/>
  <c r="I69" i="5"/>
  <c r="I66" i="5"/>
  <c r="I63" i="5"/>
  <c r="I60" i="5"/>
  <c r="I80" i="5"/>
  <c r="I77" i="5"/>
  <c r="I74" i="5"/>
  <c r="I71" i="5"/>
  <c r="I68" i="5"/>
  <c r="I65" i="5"/>
  <c r="I62" i="5"/>
  <c r="I59" i="5"/>
  <c r="I53" i="5"/>
  <c r="I52" i="5"/>
  <c r="I51" i="5"/>
  <c r="I50" i="5"/>
  <c r="I48" i="5"/>
  <c r="M91" i="7"/>
  <c r="M90" i="7"/>
  <c r="M89" i="7"/>
  <c r="M88" i="7"/>
  <c r="I88" i="7"/>
  <c r="M87" i="7"/>
  <c r="I87" i="7"/>
  <c r="M86" i="7"/>
  <c r="I86" i="7"/>
  <c r="M85" i="7"/>
  <c r="I85" i="7"/>
  <c r="M84" i="7"/>
  <c r="I84" i="7"/>
  <c r="M83" i="7"/>
  <c r="I83" i="7"/>
  <c r="M82" i="7"/>
  <c r="I82" i="7"/>
  <c r="M81" i="7"/>
  <c r="I81" i="7"/>
  <c r="M80" i="7"/>
  <c r="I80" i="7"/>
  <c r="M79" i="7"/>
  <c r="M78" i="7"/>
  <c r="M77" i="7"/>
  <c r="M76" i="7"/>
  <c r="M75" i="7"/>
  <c r="M74" i="7"/>
  <c r="M73" i="7"/>
  <c r="M72" i="7"/>
  <c r="M71" i="7"/>
  <c r="M70" i="7"/>
  <c r="M69" i="7"/>
  <c r="M68" i="7"/>
  <c r="M66" i="7"/>
  <c r="M65" i="7"/>
  <c r="M64" i="7"/>
  <c r="M63" i="7"/>
  <c r="M62" i="7"/>
  <c r="M61" i="7"/>
  <c r="I54" i="7"/>
  <c r="M54" i="7"/>
  <c r="I55" i="7"/>
  <c r="M55" i="7"/>
  <c r="I56" i="7"/>
  <c r="M56" i="7"/>
  <c r="I57" i="7"/>
  <c r="M57" i="7"/>
  <c r="I58" i="7"/>
  <c r="M58" i="7"/>
  <c r="I59" i="7"/>
  <c r="M59" i="7"/>
  <c r="I47" i="7"/>
  <c r="J47" i="7"/>
  <c r="J39" i="7" s="1"/>
  <c r="M47" i="7"/>
  <c r="I48" i="7"/>
  <c r="J48" i="7"/>
  <c r="M48" i="7"/>
  <c r="I49" i="7"/>
  <c r="J49" i="7"/>
  <c r="M49" i="7"/>
  <c r="I50" i="7"/>
  <c r="M50" i="7"/>
  <c r="I51" i="7"/>
  <c r="M51" i="7"/>
  <c r="I52" i="7"/>
  <c r="M52" i="7"/>
  <c r="I39" i="7"/>
  <c r="L39" i="7"/>
  <c r="M39" i="7"/>
  <c r="I40" i="7"/>
  <c r="J40" i="7"/>
  <c r="L40" i="7"/>
  <c r="M40" i="7"/>
  <c r="I41" i="7"/>
  <c r="J41" i="7"/>
  <c r="L41" i="7"/>
  <c r="M41" i="7"/>
  <c r="I42" i="7"/>
  <c r="M42" i="7"/>
  <c r="I43" i="7"/>
  <c r="M43" i="7"/>
  <c r="I44" i="7"/>
  <c r="M44" i="7"/>
  <c r="F3" i="6"/>
  <c r="F4" i="6"/>
  <c r="F5" i="6"/>
  <c r="F6" i="6"/>
  <c r="F7" i="6"/>
  <c r="F8" i="6"/>
  <c r="F9" i="6"/>
  <c r="F10" i="6"/>
  <c r="F11" i="6"/>
  <c r="F12" i="6"/>
  <c r="F13" i="6"/>
  <c r="F14" i="6"/>
  <c r="F15" i="6"/>
  <c r="F16" i="6"/>
  <c r="F17" i="6"/>
  <c r="F18" i="6"/>
  <c r="F19" i="6"/>
  <c r="F20" i="6"/>
  <c r="F21" i="6"/>
  <c r="F22" i="6"/>
  <c r="F23" i="6"/>
  <c r="F24" i="6"/>
  <c r="F25" i="6"/>
  <c r="F2" i="6"/>
  <c r="E12" i="1"/>
  <c r="C12" i="1"/>
  <c r="M57" i="5"/>
  <c r="M56" i="5"/>
  <c r="M55" i="5"/>
  <c r="J55" i="5"/>
  <c r="M54" i="5"/>
  <c r="J54" i="5"/>
  <c r="M26" i="5"/>
  <c r="M27" i="5"/>
  <c r="M28" i="5"/>
  <c r="M29" i="5"/>
  <c r="M30" i="5"/>
  <c r="M31" i="5"/>
  <c r="M32" i="5"/>
  <c r="M33" i="5"/>
  <c r="M34" i="5"/>
  <c r="M35" i="5"/>
  <c r="M36" i="5"/>
  <c r="M37" i="5"/>
  <c r="M46" i="5"/>
  <c r="M47" i="5"/>
  <c r="M48" i="5"/>
  <c r="M49" i="5"/>
  <c r="M50" i="5"/>
  <c r="M51" i="5"/>
  <c r="M52" i="5"/>
  <c r="M53" i="5"/>
  <c r="L29" i="5"/>
  <c r="L28" i="5"/>
  <c r="J33" i="5"/>
  <c r="J29" i="5" s="1"/>
  <c r="J32" i="5"/>
  <c r="J28" i="5" s="1"/>
  <c r="J31" i="5"/>
  <c r="J27" i="5" s="1"/>
  <c r="J30" i="5"/>
  <c r="J26" i="5" s="1"/>
  <c r="I37" i="5"/>
  <c r="I36" i="5"/>
  <c r="I35" i="5"/>
  <c r="I33" i="5"/>
  <c r="I32" i="5"/>
  <c r="I31" i="5"/>
  <c r="I29" i="5"/>
  <c r="I28" i="5"/>
  <c r="I27" i="5"/>
  <c r="AB55" i="4"/>
  <c r="L55" i="4"/>
  <c r="M55" i="4" s="1"/>
  <c r="AB54" i="4"/>
  <c r="L54" i="4"/>
  <c r="M54" i="4" s="1"/>
  <c r="AB53" i="4"/>
  <c r="L53" i="4"/>
  <c r="M53" i="4" s="1"/>
  <c r="H53" i="4"/>
  <c r="G53" i="4"/>
  <c r="AB52" i="4"/>
  <c r="L52" i="4"/>
  <c r="M52" i="4" s="1"/>
  <c r="AA51" i="4"/>
  <c r="AB51" i="4" s="1"/>
  <c r="L51" i="4"/>
  <c r="M51" i="4" s="1"/>
  <c r="AB50" i="4"/>
  <c r="L50" i="4"/>
  <c r="M50" i="4" s="1"/>
  <c r="W50" i="4" s="1"/>
  <c r="H50" i="4"/>
  <c r="G50" i="4"/>
  <c r="AB49" i="4"/>
  <c r="L49" i="4"/>
  <c r="M49" i="4" s="1"/>
  <c r="W49" i="4" s="1"/>
  <c r="AB48" i="4"/>
  <c r="L48" i="4"/>
  <c r="M48" i="4" s="1"/>
  <c r="H48" i="4"/>
  <c r="G48" i="4"/>
  <c r="AB47" i="4"/>
  <c r="L47" i="4"/>
  <c r="M47" i="4" s="1"/>
  <c r="AB46" i="4"/>
  <c r="L46" i="4"/>
  <c r="M46" i="4" s="1"/>
  <c r="AB45" i="4"/>
  <c r="L45" i="4"/>
  <c r="M45" i="4" s="1"/>
  <c r="AB44" i="4"/>
  <c r="L44" i="4"/>
  <c r="M44" i="4" s="1"/>
  <c r="AB43" i="4"/>
  <c r="L43" i="4"/>
  <c r="M43" i="4" s="1"/>
  <c r="W43" i="4" s="1"/>
  <c r="AA42" i="4"/>
  <c r="AB42" i="4" s="1"/>
  <c r="L42" i="4"/>
  <c r="M42" i="4" s="1"/>
  <c r="W42" i="4" s="1"/>
  <c r="AB41" i="4"/>
  <c r="L41" i="4"/>
  <c r="M41" i="4" s="1"/>
  <c r="H41" i="4"/>
  <c r="G41" i="4"/>
  <c r="AB40" i="4"/>
  <c r="L40" i="4"/>
  <c r="M40" i="4" s="1"/>
  <c r="AB39" i="4"/>
  <c r="L39" i="4"/>
  <c r="M39" i="4" s="1"/>
  <c r="H39" i="4"/>
  <c r="G39" i="4"/>
  <c r="AB38" i="4"/>
  <c r="L38" i="4"/>
  <c r="M38" i="4" s="1"/>
  <c r="AB37" i="4"/>
  <c r="L37" i="4"/>
  <c r="M37" i="4" s="1"/>
  <c r="G37" i="4"/>
  <c r="G46" i="4" s="1"/>
  <c r="G55" i="4" s="1"/>
  <c r="AB36" i="4"/>
  <c r="L36" i="4"/>
  <c r="M36" i="4" s="1"/>
  <c r="G36" i="4"/>
  <c r="G45" i="4" s="1"/>
  <c r="G54" i="4" s="1"/>
  <c r="AB35" i="4"/>
  <c r="L35" i="4"/>
  <c r="M35" i="4" s="1"/>
  <c r="W35" i="4" s="1"/>
  <c r="G35" i="4"/>
  <c r="G44" i="4" s="1"/>
  <c r="AB34" i="4"/>
  <c r="L34" i="4"/>
  <c r="M34" i="4" s="1"/>
  <c r="G34" i="4"/>
  <c r="G43" i="4" s="1"/>
  <c r="AA33" i="4"/>
  <c r="AB33" i="4" s="1"/>
  <c r="L33" i="4"/>
  <c r="M33" i="4" s="1"/>
  <c r="G33" i="4"/>
  <c r="AB32" i="4"/>
  <c r="L32" i="4"/>
  <c r="M32" i="4" s="1"/>
  <c r="H32" i="4"/>
  <c r="AB31" i="4"/>
  <c r="L31" i="4"/>
  <c r="M31" i="4" s="1"/>
  <c r="G31" i="4"/>
  <c r="AB30" i="4"/>
  <c r="L30" i="4"/>
  <c r="M30" i="4" s="1"/>
  <c r="H30" i="4"/>
  <c r="AB29" i="4"/>
  <c r="L29" i="4"/>
  <c r="M29" i="4" s="1"/>
  <c r="G29" i="4"/>
  <c r="AB28" i="4"/>
  <c r="L28" i="4"/>
  <c r="M28" i="4" s="1"/>
  <c r="AB27" i="4"/>
  <c r="L27" i="4"/>
  <c r="M27" i="4" s="1"/>
  <c r="AB26" i="4"/>
  <c r="L26" i="4"/>
  <c r="M26" i="4" s="1"/>
  <c r="AB25" i="4"/>
  <c r="L25" i="4"/>
  <c r="M25" i="4" s="1"/>
  <c r="W25" i="4" s="1"/>
  <c r="AA24" i="4"/>
  <c r="AB24" i="4" s="1"/>
  <c r="L24" i="4"/>
  <c r="M24" i="4" s="1"/>
  <c r="P24" i="4" s="1"/>
  <c r="R24" i="4" s="1"/>
  <c r="AB23" i="4"/>
  <c r="L23" i="4"/>
  <c r="M23" i="4" s="1"/>
  <c r="H23" i="4"/>
  <c r="G23" i="4"/>
  <c r="AB22" i="4"/>
  <c r="L22" i="4"/>
  <c r="M22" i="4" s="1"/>
  <c r="AB21" i="4"/>
  <c r="L21" i="4"/>
  <c r="M21" i="4" s="1"/>
  <c r="H21" i="4"/>
  <c r="G21" i="4"/>
  <c r="AB20" i="4"/>
  <c r="L20" i="4"/>
  <c r="M20" i="4" s="1"/>
  <c r="AB19" i="4"/>
  <c r="L19" i="4"/>
  <c r="M19" i="4" s="1"/>
  <c r="G19" i="4"/>
  <c r="G28" i="4" s="1"/>
  <c r="AB18" i="4"/>
  <c r="L18" i="4"/>
  <c r="M18" i="4" s="1"/>
  <c r="G18" i="4"/>
  <c r="G27" i="4" s="1"/>
  <c r="AB17" i="4"/>
  <c r="L17" i="4"/>
  <c r="M17" i="4" s="1"/>
  <c r="G17" i="4"/>
  <c r="G26" i="4" s="1"/>
  <c r="AB16" i="4"/>
  <c r="L16" i="4"/>
  <c r="M16" i="4" s="1"/>
  <c r="W16" i="4" s="1"/>
  <c r="G16" i="4"/>
  <c r="G25" i="4" s="1"/>
  <c r="AA15" i="4"/>
  <c r="AB15" i="4" s="1"/>
  <c r="L15" i="4"/>
  <c r="M15" i="4" s="1"/>
  <c r="W15" i="4" s="1"/>
  <c r="G15" i="4"/>
  <c r="G24" i="4" s="1"/>
  <c r="AB14" i="4"/>
  <c r="L14" i="4"/>
  <c r="M14" i="4" s="1"/>
  <c r="H14" i="4"/>
  <c r="G14" i="4"/>
  <c r="AB13" i="4"/>
  <c r="L13" i="4"/>
  <c r="M13" i="4" s="1"/>
  <c r="AB12" i="4"/>
  <c r="L12" i="4"/>
  <c r="M12" i="4" s="1"/>
  <c r="H12" i="4"/>
  <c r="G12" i="4"/>
  <c r="AB11" i="4"/>
  <c r="L11" i="4"/>
  <c r="M11" i="4" s="1"/>
  <c r="AB10" i="4"/>
  <c r="L10" i="4"/>
  <c r="M10" i="4" s="1"/>
  <c r="AB9" i="4"/>
  <c r="L9" i="4"/>
  <c r="M9" i="4" s="1"/>
  <c r="AB8" i="4"/>
  <c r="L8" i="4"/>
  <c r="M8" i="4" s="1"/>
  <c r="AB7" i="4"/>
  <c r="L7" i="4"/>
  <c r="M7" i="4" s="1"/>
  <c r="AA6" i="4"/>
  <c r="AB6" i="4" s="1"/>
  <c r="L6" i="4"/>
  <c r="M6" i="4" s="1"/>
  <c r="AB5" i="4"/>
  <c r="L5" i="4"/>
  <c r="M5" i="4" s="1"/>
  <c r="H5" i="4"/>
  <c r="G5" i="4"/>
  <c r="G32" i="4" s="1"/>
  <c r="AB4" i="4"/>
  <c r="L4" i="4"/>
  <c r="M4" i="4" s="1"/>
  <c r="AB3" i="4"/>
  <c r="K3" i="4"/>
  <c r="L3" i="4" s="1"/>
  <c r="M3" i="4" s="1"/>
  <c r="H3" i="4"/>
  <c r="G3" i="4"/>
  <c r="G30" i="4" s="1"/>
  <c r="AB2" i="4"/>
  <c r="J2" i="4"/>
  <c r="L2" i="4" s="1"/>
  <c r="M2" i="4" s="1"/>
  <c r="AB31" i="3"/>
  <c r="L31" i="3"/>
  <c r="M31" i="3" s="1"/>
  <c r="H31" i="3"/>
  <c r="AB30" i="3"/>
  <c r="L30" i="3"/>
  <c r="M30" i="3" s="1"/>
  <c r="H30" i="3"/>
  <c r="AB29" i="3"/>
  <c r="L29" i="3"/>
  <c r="M29" i="3" s="1"/>
  <c r="P29" i="3" s="1"/>
  <c r="R29" i="3" s="1"/>
  <c r="H29" i="3"/>
  <c r="AB28" i="3"/>
  <c r="L28" i="3"/>
  <c r="M28" i="3" s="1"/>
  <c r="H28" i="3"/>
  <c r="AB27" i="3"/>
  <c r="P27" i="3"/>
  <c r="R27" i="3" s="1"/>
  <c r="H27" i="3"/>
  <c r="AB26" i="3"/>
  <c r="P26" i="3"/>
  <c r="R26" i="3" s="1"/>
  <c r="H26" i="3"/>
  <c r="AB25" i="3"/>
  <c r="P25" i="3"/>
  <c r="R25" i="3" s="1"/>
  <c r="H25" i="3"/>
  <c r="AB24" i="3"/>
  <c r="L24" i="3"/>
  <c r="M24" i="3" s="1"/>
  <c r="H24" i="3"/>
  <c r="AB23" i="3"/>
  <c r="L23" i="3"/>
  <c r="M23" i="3" s="1"/>
  <c r="H23" i="3"/>
  <c r="AB22" i="3"/>
  <c r="L22" i="3"/>
  <c r="M22" i="3" s="1"/>
  <c r="P22" i="3" s="1"/>
  <c r="R22" i="3" s="1"/>
  <c r="H22" i="3"/>
  <c r="AB21" i="3"/>
  <c r="J21" i="3"/>
  <c r="L21" i="3" s="1"/>
  <c r="M21" i="3" s="1"/>
  <c r="H21" i="3"/>
  <c r="AB20" i="3"/>
  <c r="J20" i="3"/>
  <c r="J10" i="3" s="1"/>
  <c r="L10" i="3" s="1"/>
  <c r="M10" i="3" s="1"/>
  <c r="H20" i="3"/>
  <c r="AB19" i="3"/>
  <c r="J19" i="3"/>
  <c r="J9" i="3" s="1"/>
  <c r="L9" i="3" s="1"/>
  <c r="M9" i="3" s="1"/>
  <c r="H19" i="3"/>
  <c r="AB18" i="3"/>
  <c r="J18" i="3"/>
  <c r="J8" i="3" s="1"/>
  <c r="H18" i="3"/>
  <c r="AB17" i="3"/>
  <c r="P17" i="3"/>
  <c r="R17" i="3" s="1"/>
  <c r="H17" i="3"/>
  <c r="AB16" i="3"/>
  <c r="P16" i="3"/>
  <c r="R16" i="3" s="1"/>
  <c r="H16" i="3"/>
  <c r="AB15" i="3"/>
  <c r="P15" i="3"/>
  <c r="R15" i="3" s="1"/>
  <c r="H15" i="3"/>
  <c r="AB14" i="3"/>
  <c r="J14" i="3"/>
  <c r="L14" i="3" s="1"/>
  <c r="M14" i="3" s="1"/>
  <c r="H14" i="3"/>
  <c r="AB13" i="3"/>
  <c r="J13" i="3"/>
  <c r="J3" i="3" s="1"/>
  <c r="H13" i="3"/>
  <c r="AB12" i="3"/>
  <c r="J12" i="3"/>
  <c r="L12" i="3" s="1"/>
  <c r="M12" i="3" s="1"/>
  <c r="H12" i="3"/>
  <c r="AA11" i="3"/>
  <c r="AB11" i="3" s="1"/>
  <c r="H11" i="3"/>
  <c r="AB10" i="3"/>
  <c r="AA10" i="3"/>
  <c r="H10" i="3"/>
  <c r="AB9" i="3"/>
  <c r="H9" i="3"/>
  <c r="AB8" i="3"/>
  <c r="K8" i="3"/>
  <c r="H8" i="3"/>
  <c r="P7" i="3"/>
  <c r="R7" i="3" s="1"/>
  <c r="H7" i="3"/>
  <c r="P6" i="3"/>
  <c r="R6" i="3" s="1"/>
  <c r="H6" i="3"/>
  <c r="P5" i="3"/>
  <c r="R5" i="3" s="1"/>
  <c r="K5" i="3"/>
  <c r="K6" i="3" s="1"/>
  <c r="H5" i="3"/>
  <c r="AB4" i="3"/>
  <c r="AA4" i="3"/>
  <c r="K4" i="3"/>
  <c r="H4" i="3"/>
  <c r="AB3" i="3"/>
  <c r="AA3" i="3"/>
  <c r="K3" i="3"/>
  <c r="H3" i="3"/>
  <c r="AA2" i="3"/>
  <c r="AB2" i="3" s="1"/>
  <c r="H2" i="3"/>
  <c r="E15" i="1"/>
  <c r="L3" i="3" l="1"/>
  <c r="M3" i="3" s="1"/>
  <c r="P27" i="4"/>
  <c r="R27" i="4" s="1"/>
  <c r="W27" i="4"/>
  <c r="P5" i="4"/>
  <c r="R5" i="4" s="1"/>
  <c r="W5" i="4"/>
  <c r="W36" i="4"/>
  <c r="P36" i="4"/>
  <c r="R36" i="4" s="1"/>
  <c r="W26" i="4"/>
  <c r="P26" i="4"/>
  <c r="R26" i="4" s="1"/>
  <c r="W37" i="4"/>
  <c r="P37" i="4"/>
  <c r="R37" i="4" s="1"/>
  <c r="W44" i="4"/>
  <c r="P44" i="4"/>
  <c r="R44" i="4" s="1"/>
  <c r="P51" i="4"/>
  <c r="R51" i="4" s="1"/>
  <c r="W51" i="4"/>
  <c r="W4" i="4"/>
  <c r="P4" i="4"/>
  <c r="R4" i="4" s="1"/>
  <c r="W9" i="4"/>
  <c r="P9" i="4"/>
  <c r="R9" i="4" s="1"/>
  <c r="W17" i="4"/>
  <c r="P17" i="4"/>
  <c r="R17" i="4" s="1"/>
  <c r="P18" i="4"/>
  <c r="R18" i="4" s="1"/>
  <c r="W18" i="4"/>
  <c r="J4" i="3"/>
  <c r="L4" i="3" s="1"/>
  <c r="M4" i="3" s="1"/>
  <c r="P4" i="3" s="1"/>
  <c r="R4" i="3" s="1"/>
  <c r="L8" i="3"/>
  <c r="M8" i="3" s="1"/>
  <c r="W8" i="3" s="1"/>
  <c r="L20" i="3"/>
  <c r="M20" i="3" s="1"/>
  <c r="P20" i="3" s="1"/>
  <c r="R20" i="3" s="1"/>
  <c r="J11" i="3"/>
  <c r="L11" i="3" s="1"/>
  <c r="M11" i="3" s="1"/>
  <c r="P11" i="3" s="1"/>
  <c r="R11" i="3" s="1"/>
  <c r="J2" i="3"/>
  <c r="L2" i="3" s="1"/>
  <c r="M2" i="3" s="1"/>
  <c r="P2" i="3" s="1"/>
  <c r="R2" i="3" s="1"/>
  <c r="L13" i="3"/>
  <c r="M13" i="3" s="1"/>
  <c r="P13" i="3" s="1"/>
  <c r="R13" i="3" s="1"/>
  <c r="L18" i="3"/>
  <c r="M18" i="3" s="1"/>
  <c r="W18" i="3" s="1"/>
  <c r="L19" i="3"/>
  <c r="M19" i="3" s="1"/>
  <c r="W19" i="3" s="1"/>
  <c r="P7" i="4"/>
  <c r="R7" i="4" s="1"/>
  <c r="W7" i="4"/>
  <c r="W13" i="4"/>
  <c r="P13" i="4"/>
  <c r="R13" i="4" s="1"/>
  <c r="W33" i="4"/>
  <c r="P33" i="4"/>
  <c r="R33" i="4" s="1"/>
  <c r="P41" i="4"/>
  <c r="R41" i="4" s="1"/>
  <c r="W41" i="4"/>
  <c r="W48" i="4"/>
  <c r="P48" i="4"/>
  <c r="R48" i="4" s="1"/>
  <c r="W21" i="4"/>
  <c r="P21" i="4"/>
  <c r="R21" i="4" s="1"/>
  <c r="W31" i="4"/>
  <c r="P31" i="4"/>
  <c r="R31" i="4" s="1"/>
  <c r="P52" i="4"/>
  <c r="R52" i="4" s="1"/>
  <c r="W52" i="4"/>
  <c r="W8" i="4"/>
  <c r="P8" i="4"/>
  <c r="R8" i="4" s="1"/>
  <c r="W12" i="4"/>
  <c r="P12" i="4"/>
  <c r="R12" i="4" s="1"/>
  <c r="W23" i="4"/>
  <c r="P23" i="4"/>
  <c r="R23" i="4" s="1"/>
  <c r="P30" i="4"/>
  <c r="R30" i="4" s="1"/>
  <c r="W30" i="4"/>
  <c r="P46" i="4"/>
  <c r="R46" i="4" s="1"/>
  <c r="W46" i="4"/>
  <c r="P19" i="4"/>
  <c r="R19" i="4" s="1"/>
  <c r="W19" i="4"/>
  <c r="P28" i="4"/>
  <c r="R28" i="4" s="1"/>
  <c r="W28" i="4"/>
  <c r="P38" i="4"/>
  <c r="R38" i="4" s="1"/>
  <c r="W38" i="4"/>
  <c r="W54" i="4"/>
  <c r="P54" i="4"/>
  <c r="R54" i="4" s="1"/>
  <c r="W34" i="4"/>
  <c r="P34" i="4"/>
  <c r="R34" i="4" s="1"/>
  <c r="W47" i="4"/>
  <c r="P47" i="4"/>
  <c r="R47" i="4" s="1"/>
  <c r="W2" i="4"/>
  <c r="P2" i="4"/>
  <c r="R2" i="4" s="1"/>
  <c r="W3" i="4"/>
  <c r="P3" i="4"/>
  <c r="R3" i="4" s="1"/>
  <c r="W20" i="4"/>
  <c r="P20" i="4"/>
  <c r="R20" i="4" s="1"/>
  <c r="W32" i="4"/>
  <c r="P32" i="4"/>
  <c r="R32" i="4" s="1"/>
  <c r="P10" i="4"/>
  <c r="R10" i="4" s="1"/>
  <c r="W10" i="4"/>
  <c r="P14" i="4"/>
  <c r="R14" i="4" s="1"/>
  <c r="W14" i="4"/>
  <c r="P6" i="4"/>
  <c r="R6" i="4" s="1"/>
  <c r="W6" i="4"/>
  <c r="W11" i="4"/>
  <c r="P11" i="4"/>
  <c r="R11" i="4" s="1"/>
  <c r="W22" i="4"/>
  <c r="P22" i="4"/>
  <c r="R22" i="4" s="1"/>
  <c r="P29" i="4"/>
  <c r="R29" i="4" s="1"/>
  <c r="W29" i="4"/>
  <c r="P53" i="4"/>
  <c r="R53" i="4" s="1"/>
  <c r="W53" i="4"/>
  <c r="P55" i="4"/>
  <c r="R55" i="4" s="1"/>
  <c r="W55" i="4"/>
  <c r="P40" i="4"/>
  <c r="R40" i="4" s="1"/>
  <c r="W40" i="4"/>
  <c r="P39" i="4"/>
  <c r="R39" i="4" s="1"/>
  <c r="W39" i="4"/>
  <c r="W45" i="4"/>
  <c r="P45" i="4"/>
  <c r="R45" i="4" s="1"/>
  <c r="W24" i="4"/>
  <c r="P42" i="4"/>
  <c r="R42" i="4" s="1"/>
  <c r="P43" i="4"/>
  <c r="R43" i="4" s="1"/>
  <c r="P49" i="4"/>
  <c r="R49" i="4" s="1"/>
  <c r="P50" i="4"/>
  <c r="R50" i="4" s="1"/>
  <c r="P16" i="4"/>
  <c r="R16" i="4" s="1"/>
  <c r="P35" i="4"/>
  <c r="R35" i="4" s="1"/>
  <c r="P15" i="4"/>
  <c r="R15" i="4" s="1"/>
  <c r="P25" i="4"/>
  <c r="R25" i="4" s="1"/>
  <c r="W24" i="3"/>
  <c r="P24" i="3"/>
  <c r="R24" i="3" s="1"/>
  <c r="W10" i="3"/>
  <c r="P10" i="3"/>
  <c r="R10" i="3" s="1"/>
  <c r="W3" i="3"/>
  <c r="P3" i="3"/>
  <c r="R3" i="3" s="1"/>
  <c r="W12" i="3"/>
  <c r="P12" i="3"/>
  <c r="R12" i="3" s="1"/>
  <c r="W2" i="3"/>
  <c r="W9" i="3"/>
  <c r="P9" i="3"/>
  <c r="R9" i="3" s="1"/>
  <c r="P23" i="3"/>
  <c r="R23" i="3" s="1"/>
  <c r="W23" i="3"/>
  <c r="P14" i="3"/>
  <c r="R14" i="3" s="1"/>
  <c r="W14" i="3"/>
  <c r="W30" i="3"/>
  <c r="P30" i="3"/>
  <c r="R30" i="3" s="1"/>
  <c r="P28" i="3"/>
  <c r="R28" i="3" s="1"/>
  <c r="W28" i="3"/>
  <c r="W21" i="3"/>
  <c r="P21" i="3"/>
  <c r="R21" i="3" s="1"/>
  <c r="W31" i="3"/>
  <c r="P31" i="3"/>
  <c r="R31" i="3" s="1"/>
  <c r="W22" i="3"/>
  <c r="W29" i="3"/>
  <c r="K7" i="3"/>
  <c r="P18" i="3" l="1"/>
  <c r="R18" i="3" s="1"/>
  <c r="W4" i="3"/>
  <c r="W13" i="3"/>
  <c r="P8" i="3"/>
  <c r="R8" i="3" s="1"/>
  <c r="W11" i="3"/>
  <c r="P19" i="3"/>
  <c r="R19" i="3" s="1"/>
  <c r="W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tc={9BA619FF-3C19-5A40-AE64-638F99986373}</author>
    <author>Vasudha</author>
    <author>tc={97E75658-2032-5A48-B9E9-3E149ADD0E02}</author>
    <author>tc={6896C51D-D664-1C46-AB93-FDF1DF613D18}</author>
    <author>tc={341AB3EF-3D67-A94B-ABBF-2E4095AA3B98}</author>
    <author>tc={1B08420B-DDD8-1143-87F3-A62A79D4BA09}</author>
    <author>tc={6BAC7EF8-8941-1D43-B8BF-75EC26C047D2}</author>
    <author>tc={F6744A25-AF72-2643-B033-706EE7AAD071}</author>
    <author>tc={3FD23F87-2617-0A40-A66D-29524E15D336}</author>
    <author>tc={B6779C4A-9F79-A149-A199-0F4A3C192FE6}</author>
    <author>tc={84D0CAC7-8E9D-1244-9C24-4D0F475159A3}</author>
    <author>tc={AE34C73B-5DCD-D844-86CC-60284B0D132D}</author>
    <author>tc={C0009B09-71D7-1343-BEF3-47C43DEA43CA}</author>
    <author>tc={197C25DF-8C5B-CE43-BA34-A7BD078D15C5}</author>
    <author>tc={EB56FD16-B619-724A-9557-77F7027C46A5}</author>
  </authors>
  <commentList>
    <comment ref="V2" authorId="0" shapeId="0" xr:uid="{9BA619FF-3C19-5A40-AE64-638F9998637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r>
      </text>
    </comment>
    <comment ref="AA2" authorId="1" shapeId="0" xr:uid="{BA3597C1-7E46-2C4B-961E-69947779C22C}">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 authorId="1" shapeId="0" xr:uid="{C6B43D91-12A4-D14F-8D5F-925406F35EAD}">
      <text>
        <r>
          <rPr>
            <b/>
            <sz val="9"/>
            <color indexed="81"/>
            <rFont val="Tahoma"/>
            <family val="2"/>
          </rPr>
          <t>Vasudha:</t>
        </r>
        <r>
          <rPr>
            <sz val="9"/>
            <color indexed="81"/>
            <rFont val="Tahoma"/>
            <family val="2"/>
          </rPr>
          <t xml:space="preserve">
95% of LPG</t>
        </r>
      </text>
    </comment>
    <comment ref="AA3" authorId="1" shapeId="0" xr:uid="{41C8FFD9-5EF2-1A4C-8513-8F1A04E478A1}">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AA6" authorId="1" shapeId="0" xr:uid="{D1E2A344-7C84-324A-A705-8FB3AB5558F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7" authorId="2" shapeId="0" xr:uid="{97E75658-2032-5A48-B9E9-3E149ADD0E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8" authorId="3" shapeId="0" xr:uid="{6896C51D-D664-1C46-AB93-FDF1DF613D1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9" authorId="4" shapeId="0" xr:uid="{341AB3EF-3D67-A94B-ABBF-2E4095AA3B9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Rural</t>
        </r>
      </text>
    </comment>
    <comment ref="AA15" authorId="1" shapeId="0" xr:uid="{102389B4-12B9-D248-BE43-CD1B8E607B4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16" authorId="5" shapeId="0" xr:uid="{1B08420B-DDD8-1143-87F3-A62A79D4BA0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17" authorId="6" shapeId="0" xr:uid="{6BAC7EF8-8941-1D43-B8BF-75EC26C047D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24" authorId="1" shapeId="0" xr:uid="{70B378A3-FDA2-A34E-A7BD-52132A75EF5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25" authorId="7" shapeId="0" xr:uid="{F6744A25-AF72-2643-B033-706EE7AAD07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26" authorId="8" shapeId="0" xr:uid="{3FD23F87-2617-0A40-A66D-29524E15D3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33" authorId="1" shapeId="0" xr:uid="{575D9C99-C9FA-5346-A7AE-742069D234B9}">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34" authorId="9" shapeId="0" xr:uid="{B6779C4A-9F79-A149-A199-0F4A3C192FE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35" authorId="10" shapeId="0" xr:uid="{84D0CAC7-8E9D-1244-9C24-4D0F475159A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42" authorId="1" shapeId="0" xr:uid="{ED46A2C8-B20B-C845-9052-D02AEB8C6556}">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43" authorId="11" shapeId="0" xr:uid="{AE34C73B-5DCD-D844-86CC-60284B0D13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44" authorId="12" shapeId="0" xr:uid="{C0009B09-71D7-1343-BEF3-47C43DEA43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51" authorId="1" shapeId="0" xr:uid="{D89E5BC0-C25E-D54A-A13A-C635B883684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52" authorId="13" shapeId="0" xr:uid="{197C25DF-8C5B-CE43-BA34-A7BD078D15C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53" authorId="14" shapeId="0" xr:uid="{EB56FD16-B619-724A-9557-77F7027C46A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tc={E96D9C05-DC2A-4EBA-B75A-7F42E3A5DC08}</author>
    <author>Vasudha</author>
    <author>Bikash Sahu</author>
    <author>tc={CABC94C2-98A4-4632-9084-270185BDFC5C}</author>
    <author>tc={BD8600A2-4AD7-4D33-9E08-F4B5A0B91018}</author>
    <author>tc={7E3A6431-EA22-4888-A91C-F244E0F0FBAC}</author>
    <author>tc={7EC7FDE6-CC78-4AD3-8331-C0BF48E0E6E5}</author>
    <author>tc={8BDA940D-6BBE-40BD-B766-87BCE85D0105}</author>
    <author>tc={D0395940-F957-3344-945E-1A0D77F53F2C}</author>
    <author>tc={C2897EBB-0ECA-0A42-81F7-6F1014299541}</author>
    <author>tc={F2AD0E3F-2D4F-DF4C-9833-141ADF59680B}</author>
    <author>tc={C07E013F-DD6E-3248-A59D-6C1263B8D716}</author>
  </authors>
  <commentList>
    <comment ref="K2" authorId="0" shapeId="0" xr:uid="{E96D9C05-DC2A-4EBA-B75A-7F42E3A5DC0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r>
      </text>
    </comment>
    <comment ref="L2" authorId="1" shapeId="0" xr:uid="{64BB5002-F4BC-4694-A563-EBE5CA0D550E}">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 authorId="1" shapeId="0" xr:uid="{9C849F77-999F-4090-9541-410F199C2BD4}">
      <text>
        <r>
          <rPr>
            <b/>
            <sz val="9"/>
            <color indexed="81"/>
            <rFont val="Tahoma"/>
            <family val="2"/>
          </rPr>
          <t>Vasudha:</t>
        </r>
        <r>
          <rPr>
            <sz val="9"/>
            <color indexed="81"/>
            <rFont val="Tahoma"/>
            <family val="2"/>
          </rPr>
          <t xml:space="preserve">
95% of LPG</t>
        </r>
      </text>
    </comment>
    <comment ref="L3" authorId="1" shapeId="0" xr:uid="{AC3C6257-57E2-478D-BAFC-ABA2AF6FCE0B}">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H13" authorId="2" shapeId="0" xr:uid="{6DC77B29-E464-0246-8A03-C8801B76B607}">
      <text>
        <r>
          <rPr>
            <b/>
            <sz val="10"/>
            <color rgb="FF000000"/>
            <rFont val="Tahoma"/>
            <family val="2"/>
          </rPr>
          <t>Bikash Sahu:</t>
        </r>
        <r>
          <rPr>
            <sz val="10"/>
            <color rgb="FF000000"/>
            <rFont val="Tahoma"/>
            <family val="2"/>
          </rPr>
          <t xml:space="preserve">
</t>
        </r>
        <r>
          <rPr>
            <sz val="10"/>
            <color rgb="FF000000"/>
            <rFont val="Tahoma"/>
            <family val="2"/>
          </rPr>
          <t xml:space="preserve">w/out storage
</t>
        </r>
        <r>
          <rPr>
            <sz val="10"/>
            <color rgb="FF000000"/>
            <rFont val="Tahoma"/>
            <family val="2"/>
          </rPr>
          <t xml:space="preserve">
</t>
        </r>
        <r>
          <rPr>
            <sz val="10"/>
            <color rgb="FF000000"/>
            <rFont val="Tahoma"/>
            <family val="2"/>
          </rPr>
          <t xml:space="preserve">Solar Panel: 2-3 kWp
</t>
        </r>
        <r>
          <rPr>
            <sz val="10"/>
            <color rgb="FF000000"/>
            <rFont val="Tahoma"/>
            <family val="2"/>
          </rPr>
          <t xml:space="preserve">Induction Cooktop: Double Burner i.e., 1,200W*2
</t>
        </r>
        <r>
          <rPr>
            <sz val="10"/>
            <color rgb="FF000000"/>
            <rFont val="Tahoma"/>
            <family val="2"/>
          </rPr>
          <t xml:space="preserve">
</t>
        </r>
        <r>
          <rPr>
            <sz val="10"/>
            <color rgb="FF000000"/>
            <rFont val="Tahoma"/>
            <family val="2"/>
          </rPr>
          <t>EESL estimated price - INR 1.4 lakhs</t>
        </r>
      </text>
    </comment>
    <comment ref="K26" authorId="3" shapeId="0" xr:uid="{CABC94C2-98A4-4632-9084-270185BDFC5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26" authorId="1" shapeId="0" xr:uid="{E4F2443C-3FC7-4CF0-A1E4-84654E0BACD3}">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27" authorId="1" shapeId="0" xr:uid="{2FBA453F-FB35-4AC6-B562-DB721F82AEC0}">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L28" authorId="1" shapeId="0" xr:uid="{E18FB224-407C-421F-AD99-9671AF77B2DA}">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29" authorId="1" shapeId="0" xr:uid="{6BC8FFD2-0631-4477-9619-2E5049FE8B56}">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K30" authorId="4" shapeId="0" xr:uid="{BD8600A2-4AD7-4D33-9E08-F4B5A0B9101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34" authorId="5" shapeId="0" xr:uid="{7E3A6431-EA22-4888-A91C-F244E0F0FBA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38" authorId="6" shapeId="0" xr:uid="{7EC7FDE6-CC78-4AD3-8331-C0BF48E0E6E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r>
      </text>
    </comment>
    <comment ref="L38" authorId="1" shapeId="0" xr:uid="{ABD62987-57EA-46BE-AE47-F0141FF61A6A}">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9" authorId="1" shapeId="0" xr:uid="{6BC1E6B8-E1C9-4F0C-80C4-A82080A91E30}">
      <text>
        <r>
          <rPr>
            <b/>
            <sz val="9"/>
            <color indexed="81"/>
            <rFont val="Tahoma"/>
            <family val="2"/>
          </rPr>
          <t>Vasudha:</t>
        </r>
        <r>
          <rPr>
            <sz val="9"/>
            <color indexed="81"/>
            <rFont val="Tahoma"/>
            <family val="2"/>
          </rPr>
          <t xml:space="preserve">
95% of LPG</t>
        </r>
      </text>
    </comment>
    <comment ref="L39" authorId="1" shapeId="0" xr:uid="{68BB68B8-EC8C-479C-B70B-B2CF94176AD8}">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K46" authorId="7" shapeId="0" xr:uid="{8BDA940D-6BBE-40BD-B766-87BCE85D010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46" authorId="1" shapeId="0" xr:uid="{91B93ABC-32DE-468D-A6A6-F45ECD9B975E}">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47" authorId="1" shapeId="0" xr:uid="{5B009348-51C8-4537-9BA4-5DD77A9AD50B}">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L48" authorId="1" shapeId="0" xr:uid="{41C6E4D9-E341-41AA-9715-65045307FBA3}">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49" authorId="1" shapeId="0" xr:uid="{BE074ABC-A9DC-4DA7-AE44-BA0281BB8B11}">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L50" authorId="1" shapeId="0" xr:uid="{328888BC-9001-4F39-BCDE-D2E817F2C689}">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53" authorId="1" shapeId="0" xr:uid="{14104C10-BDFC-4907-8FB4-F622EE0D9CCB}">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K54" authorId="8" shapeId="0" xr:uid="{D0395940-F957-3344-945E-1A0D77F53F2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54" authorId="1" shapeId="0" xr:uid="{8BF04CE0-5566-E842-B6CE-4C6C4E84FCD1}">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K55" authorId="9" shapeId="0" xr:uid="{C2897EBB-0ECA-0A42-81F7-6F101429954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56" authorId="10" shapeId="0" xr:uid="{F2AD0E3F-2D4F-DF4C-9833-141ADF59680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57" authorId="11" shapeId="0" xr:uid="{C07E013F-DD6E-3248-A59D-6C1263B8D71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57" authorId="1" shapeId="0" xr:uid="{9AA1DB67-32FA-CD4C-8F53-6002F76633BE}">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58" authorId="1" shapeId="0" xr:uid="{23286B6E-421F-3143-9E04-33029A634110}">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H59" authorId="2" shapeId="0" xr:uid="{E0E7C4DD-887A-8B4E-93A7-7B1ACCFB414F}">
      <text>
        <r>
          <rPr>
            <b/>
            <sz val="10"/>
            <color rgb="FF000000"/>
            <rFont val="Tahoma"/>
            <family val="2"/>
          </rPr>
          <t>Bikash Sahu:</t>
        </r>
        <r>
          <rPr>
            <sz val="10"/>
            <color rgb="FF000000"/>
            <rFont val="Tahoma"/>
            <family val="2"/>
          </rPr>
          <t xml:space="preserve">
</t>
        </r>
        <r>
          <rPr>
            <sz val="10"/>
            <color rgb="FF000000"/>
            <rFont val="Tahoma"/>
            <family val="2"/>
          </rPr>
          <t xml:space="preserve">https://www.jstor.org/stable/resrep21836.8
</t>
        </r>
        <r>
          <rPr>
            <sz val="10"/>
            <color rgb="FF000000"/>
            <rFont val="Tahoma"/>
            <family val="2"/>
          </rPr>
          <t xml:space="preserve">
</t>
        </r>
        <r>
          <rPr>
            <sz val="10"/>
            <color rgb="FF000000"/>
            <rFont val="Tahoma"/>
            <family val="2"/>
          </rPr>
          <t>900 to 2600 - cost rnage of improved cookstoves</t>
        </r>
      </text>
    </comment>
    <comment ref="L59" authorId="1" shapeId="0" xr:uid="{21ACB0D7-D83D-9647-B9B7-F04F83C4052D}">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60" authorId="1" shapeId="0" xr:uid="{97A4BD9B-31EA-694A-80C5-E528851BAAF1}">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67" authorId="1" shapeId="0" xr:uid="{1F30B440-F2DA-2E48-900E-E46FC8558BD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67" authorId="1" shapeId="0" xr:uid="{66426466-9118-5245-BA2D-324B7F69132B}">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68" authorId="1" shapeId="0" xr:uid="{77EFFE12-5250-AE47-B5A1-75B5B5DB83D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69" authorId="1" shapeId="0" xr:uid="{70738AC0-F41C-C046-8249-9336F95DB45A}">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70" authorId="1" shapeId="0" xr:uid="{8529A0B6-9388-D24F-8167-597082F605E8}">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70" authorId="1" shapeId="0" xr:uid="{AA696F66-61B5-9D43-B4A4-51C993AA6A3E}">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71" authorId="1" shapeId="0" xr:uid="{76A76946-11F3-5947-BEE7-8DD321421F1F}">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72" authorId="1" shapeId="0" xr:uid="{E4B89E15-BC61-E743-9B4B-8E32A8DA8293}">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79" authorId="1" shapeId="0" xr:uid="{F6270F0D-6C25-6A47-8F00-4F3089F8DD30}">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79" authorId="1" shapeId="0" xr:uid="{64DA41E5-B95B-9A41-8AC6-5823ADA32FB7}">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80" authorId="1" shapeId="0" xr:uid="{24617680-ADA5-1241-A1D7-A538FEFD890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81" authorId="1" shapeId="0" xr:uid="{32048EC9-1083-924F-85B5-8C9C4F6ECBA4}">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tc={F46AC8B0-5D61-42B0-A51B-50544D948DC8}</author>
    <author>Vasudha</author>
    <author>Bikash Sahu</author>
    <author>tc={26919EF3-1CCD-41DA-AA39-187709ABC044}</author>
    <author>tc={5086A3E7-AE6E-4D14-9295-FBD29D50A25F}</author>
    <author>tc={83A8F280-4944-4216-BA66-F24409E13D6E}</author>
    <author>tc={D8857FD1-AC97-42B0-AED9-CB35F3E00922}</author>
    <author>tc={2D83E58B-6D49-4D5C-A675-AE92FEF1CE9D}</author>
    <author>tc={E3E425DD-5D33-4BA9-A1C1-2F0FFA972EC3}</author>
    <author>tc={73F19309-A436-4FFD-B09C-048BA7854679}</author>
    <author>tc={54681FDF-DE5A-411B-9D22-19E4B8453763}</author>
    <author>tc={211C1F55-4239-4182-A8B0-29BCAD819B91}</author>
  </authors>
  <commentList>
    <comment ref="K2" authorId="0" shapeId="0" xr:uid="{F46AC8B0-5D61-42B0-A51B-50544D948DC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r>
      </text>
    </comment>
    <comment ref="L2" authorId="1" shapeId="0" xr:uid="{62213BC0-F10D-47E3-A7F6-6935DF083867}">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 authorId="1" shapeId="0" xr:uid="{D1C4432D-CC8C-4A0B-86D8-071D172C4B93}">
      <text>
        <r>
          <rPr>
            <b/>
            <sz val="9"/>
            <color indexed="81"/>
            <rFont val="Tahoma"/>
            <family val="2"/>
          </rPr>
          <t>Vasudha:</t>
        </r>
        <r>
          <rPr>
            <sz val="9"/>
            <color indexed="81"/>
            <rFont val="Tahoma"/>
            <family val="2"/>
          </rPr>
          <t xml:space="preserve">
95% of LPG</t>
        </r>
      </text>
    </comment>
    <comment ref="L3" authorId="1" shapeId="0" xr:uid="{8E4D2930-1C88-4F8C-9312-3427C36C433C}">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H13" authorId="2" shapeId="0" xr:uid="{C91288C9-3DB7-4126-8A20-995DC41E4281}">
      <text>
        <r>
          <rPr>
            <b/>
            <sz val="10"/>
            <color rgb="FF000000"/>
            <rFont val="Tahoma"/>
            <family val="2"/>
          </rPr>
          <t>Bikash Sahu:</t>
        </r>
        <r>
          <rPr>
            <sz val="10"/>
            <color rgb="FF000000"/>
            <rFont val="Tahoma"/>
            <family val="2"/>
          </rPr>
          <t xml:space="preserve">
</t>
        </r>
        <r>
          <rPr>
            <sz val="10"/>
            <color rgb="FF000000"/>
            <rFont val="Tahoma"/>
            <family val="2"/>
          </rPr>
          <t xml:space="preserve">w/out storage
</t>
        </r>
        <r>
          <rPr>
            <sz val="10"/>
            <color rgb="FF000000"/>
            <rFont val="Tahoma"/>
            <family val="2"/>
          </rPr>
          <t xml:space="preserve">
</t>
        </r>
        <r>
          <rPr>
            <sz val="10"/>
            <color rgb="FF000000"/>
            <rFont val="Tahoma"/>
            <family val="2"/>
          </rPr>
          <t xml:space="preserve">Solar Panel: 2-3 kWp
</t>
        </r>
        <r>
          <rPr>
            <sz val="10"/>
            <color rgb="FF000000"/>
            <rFont val="Tahoma"/>
            <family val="2"/>
          </rPr>
          <t xml:space="preserve">Induction Cooktop: Double Burner i.e., 1,200W*2
</t>
        </r>
        <r>
          <rPr>
            <sz val="10"/>
            <color rgb="FF000000"/>
            <rFont val="Tahoma"/>
            <family val="2"/>
          </rPr>
          <t xml:space="preserve">
</t>
        </r>
        <r>
          <rPr>
            <sz val="10"/>
            <color rgb="FF000000"/>
            <rFont val="Tahoma"/>
            <family val="2"/>
          </rPr>
          <t>EESL estimated price - INR 1.4 lakhs</t>
        </r>
      </text>
    </comment>
    <comment ref="K26" authorId="3" shapeId="0" xr:uid="{26919EF3-1CCD-41DA-AA39-187709ABC0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26" authorId="1" shapeId="0" xr:uid="{81A4FFBA-CA7F-4126-AF36-186DABE89ECB}">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27" authorId="1" shapeId="0" xr:uid="{E290A954-64D8-438A-8146-B48D3CC36D91}">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L28" authorId="1" shapeId="0" xr:uid="{DA702E42-CEED-401F-A799-8D97C9869535}">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29" authorId="1" shapeId="0" xr:uid="{68D1AA76-BC60-4F58-8D00-402CCC49E5BF}">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K30" authorId="4" shapeId="0" xr:uid="{5086A3E7-AE6E-4D14-9295-FBD29D50A25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34" authorId="5" shapeId="0" xr:uid="{83A8F280-4944-4216-BA66-F24409E13D6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38" authorId="6" shapeId="0" xr:uid="{D8857FD1-AC97-42B0-AED9-CB35F3E0092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r>
      </text>
    </comment>
    <comment ref="L38" authorId="1" shapeId="0" xr:uid="{045653D9-B171-467E-AA67-19D109E911E7}">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9" authorId="1" shapeId="0" xr:uid="{8AAC557C-CA76-4260-B24A-E9422D20EF38}">
      <text>
        <r>
          <rPr>
            <b/>
            <sz val="9"/>
            <color indexed="81"/>
            <rFont val="Tahoma"/>
            <family val="2"/>
          </rPr>
          <t>Vasudha:</t>
        </r>
        <r>
          <rPr>
            <sz val="9"/>
            <color indexed="81"/>
            <rFont val="Tahoma"/>
            <family val="2"/>
          </rPr>
          <t xml:space="preserve">
95% of LPG</t>
        </r>
      </text>
    </comment>
    <comment ref="L39" authorId="1" shapeId="0" xr:uid="{60018284-234A-49A6-8C13-4BEE95EB8621}">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K46" authorId="7" shapeId="0" xr:uid="{2D83E58B-6D49-4D5C-A675-AE92FEF1CE9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46" authorId="1" shapeId="0" xr:uid="{DA349F73-52E8-4746-BFE3-553CDAB69C0C}">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47" authorId="1" shapeId="0" xr:uid="{39919967-FE75-4402-898C-20628F4CFB13}">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L48" authorId="1" shapeId="0" xr:uid="{D168BD18-5D21-4BDC-ACE9-28603D2F275E}">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49" authorId="1" shapeId="0" xr:uid="{FF35A377-EA7A-46C2-AB66-EA061FBB5594}">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L50" authorId="1" shapeId="0" xr:uid="{FD3428F6-C399-4467-B3B1-48866210C9CE}">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53" authorId="1" shapeId="0" xr:uid="{83857035-D71F-44D4-8C55-1F590535E9C6}">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K54" authorId="8" shapeId="0" xr:uid="{E3E425DD-5D33-4BA9-A1C1-2F0FFA972EC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54" authorId="1" shapeId="0" xr:uid="{DCBF08C4-5D9D-4CAB-A021-0D9650A02DDA}">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K55" authorId="9" shapeId="0" xr:uid="{73F19309-A436-4FFD-B09C-048BA785467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56" authorId="10" shapeId="0" xr:uid="{54681FDF-DE5A-411B-9D22-19E4B845376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57" authorId="11" shapeId="0" xr:uid="{211C1F55-4239-4182-A8B0-29BCAD819B9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57" authorId="1" shapeId="0" xr:uid="{E8337E4C-BB9A-41A6-A12C-676B542D3A92}">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58" authorId="1" shapeId="0" xr:uid="{3B663063-5AF7-476D-BDE6-28501FCD32CC}">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H59" authorId="2" shapeId="0" xr:uid="{6B614199-5D25-4484-AD2C-F52A53D59CEA}">
      <text>
        <r>
          <rPr>
            <b/>
            <sz val="10"/>
            <color rgb="FF000000"/>
            <rFont val="Tahoma"/>
            <family val="2"/>
          </rPr>
          <t>Bikash Sahu:</t>
        </r>
        <r>
          <rPr>
            <sz val="10"/>
            <color rgb="FF000000"/>
            <rFont val="Tahoma"/>
            <family val="2"/>
          </rPr>
          <t xml:space="preserve">
</t>
        </r>
        <r>
          <rPr>
            <sz val="10"/>
            <color rgb="FF000000"/>
            <rFont val="Tahoma"/>
            <family val="2"/>
          </rPr>
          <t xml:space="preserve">https://www.jstor.org/stable/resrep21836.8
</t>
        </r>
        <r>
          <rPr>
            <sz val="10"/>
            <color rgb="FF000000"/>
            <rFont val="Tahoma"/>
            <family val="2"/>
          </rPr>
          <t xml:space="preserve">
</t>
        </r>
        <r>
          <rPr>
            <sz val="10"/>
            <color rgb="FF000000"/>
            <rFont val="Tahoma"/>
            <family val="2"/>
          </rPr>
          <t>900 to 2600 - cost rnage of improved cookstoves</t>
        </r>
      </text>
    </comment>
    <comment ref="L59" authorId="1" shapeId="0" xr:uid="{6C880129-9EDE-49B3-8F8A-89B6BB117865}">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60" authorId="1" shapeId="0" xr:uid="{CDFD1B5A-994C-46CB-B031-6439CC79593E}">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67" authorId="1" shapeId="0" xr:uid="{FA6C5B20-150F-46A4-84D5-BA2687E3DCFD}">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67" authorId="1" shapeId="0" xr:uid="{6422BB26-FB81-4530-8B11-681D10F27A80}">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68" authorId="1" shapeId="0" xr:uid="{4EEA8DE3-8EC2-4F82-8BF3-CD352CFAADCE}">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69" authorId="1" shapeId="0" xr:uid="{3E985773-A348-41B0-BF7B-8821DE4B321D}">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70" authorId="1" shapeId="0" xr:uid="{06D26BE2-44A6-4018-BBB7-5AFAC7C91DD0}">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70" authorId="1" shapeId="0" xr:uid="{33970BDA-B1F5-4574-8A06-93C05F4F2539}">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71" authorId="1" shapeId="0" xr:uid="{832CA8FA-7D91-4F0E-82E1-8A4EEBBB4318}">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72" authorId="1" shapeId="0" xr:uid="{2CB44DA8-A02C-4EFB-A6E8-8108863CE140}">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79" authorId="1" shapeId="0" xr:uid="{882FBD9B-5B6D-4D8A-82C9-C9AA53BB136F}">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79" authorId="1" shapeId="0" xr:uid="{9E31013C-9CF5-403C-8E60-F613A63F031C}">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80" authorId="1" shapeId="0" xr:uid="{EB31280F-93B7-449C-AA1F-1C9EA7506B7F}">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81" authorId="1" shapeId="0" xr:uid="{8CDB4FCB-87B6-4E46-B36D-8C2B6B8DEDB2}">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Vasudha</author>
  </authors>
  <commentList>
    <comment ref="AA2" authorId="0" shapeId="0" xr:uid="{A5981FE8-0D6E-D942-8EAC-202A1CA4C872}">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3" authorId="0" shapeId="0" xr:uid="{56386C79-F4DA-1F41-AB7E-DD87F03443C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4" authorId="0" shapeId="0" xr:uid="{4D1FABFE-5C04-BB43-9D86-11C229A2B2FC}">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5" authorId="0" shapeId="0" xr:uid="{3B94E17B-431F-274A-A549-49F25BD777F5}">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6" authorId="0" shapeId="0" xr:uid="{915B0797-0BAB-CF4C-B46A-F4E2B209985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7" authorId="0" shapeId="0" xr:uid="{F0E38898-235F-BD49-B8FE-8C478B5F59C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8" authorId="0" shapeId="0" xr:uid="{EDB75397-358E-5C48-9D3B-C4C6F2E42536}">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9" authorId="0" shapeId="0" xr:uid="{069EF9DE-4C92-1F47-BDB7-83F86501F00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0" authorId="0" shapeId="0" xr:uid="{C6FBD1EA-52A1-7A4D-A524-D8A3FC7655C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1" authorId="0" shapeId="0" xr:uid="{61820613-FD58-2844-9944-FA44C54550E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2" authorId="0" shapeId="0" xr:uid="{03A0424B-1D83-FE44-B9DF-5D56B6D100B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3" authorId="0" shapeId="0" xr:uid="{F51BCDFD-F827-8341-9E2B-551AD7E298F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0" authorId="0" shapeId="0" xr:uid="{86AF6F6D-EEFF-9C4D-928B-37F429CB61F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1" authorId="0" shapeId="0" xr:uid="{5ED9F379-02EB-3946-8170-E6C3DAE178A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2" authorId="0" shapeId="0" xr:uid="{58EB6626-6422-9446-BAF8-891187E934C3}">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3" authorId="0" shapeId="0" xr:uid="{C8C49E79-B91A-A34C-9563-A8F6C55C3B7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4" authorId="0" shapeId="0" xr:uid="{3D1E29ED-869F-7D41-9BEC-5064537DA71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5" authorId="0" shapeId="0" xr:uid="{F902A48F-134A-F44A-9705-F70D5916212C}">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6" authorId="0" shapeId="0" xr:uid="{93976A96-B0DE-D34D-97A5-75655CDDAAB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7" authorId="0" shapeId="0" xr:uid="{E113547C-F522-9749-8A82-BC9CA7F71793}">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8" authorId="0" shapeId="0" xr:uid="{277D9A5B-CCC8-9546-AE0D-4E3D11E53E03}">
      <text>
        <r>
          <rPr>
            <b/>
            <sz val="9"/>
            <color rgb="FF000000"/>
            <rFont val="Tahoma"/>
            <family val="2"/>
          </rPr>
          <t>Vasudha:</t>
        </r>
        <r>
          <rPr>
            <sz val="9"/>
            <color rgb="FF000000"/>
            <rFont val="Tahoma"/>
            <family val="2"/>
          </rPr>
          <t xml:space="preserve">
</t>
        </r>
        <r>
          <rPr>
            <sz val="9"/>
            <color rgb="FF000000"/>
            <rFont val="Tahoma"/>
            <family val="2"/>
          </rPr>
          <t>assuming IHAP for electric pressure cookers are 25% less compared to induction cooking as cooking is mostly enclosed within the pressure cooker.</t>
        </r>
      </text>
    </comment>
    <comment ref="L29" authorId="0" shapeId="0" xr:uid="{2BE1BD3B-47DC-3E45-BDFD-B2CC841BBD1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0" authorId="0" shapeId="0" xr:uid="{6F0D6566-E6D1-B64C-8B88-E86D7FB9FBC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1" authorId="0" shapeId="0" xr:uid="{03E93B45-199D-A146-806B-2CBE11E3527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2" authorId="0" shapeId="0" xr:uid="{F6AE7F42-D16C-1B43-B2AB-2A038C04D0B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3" authorId="0" shapeId="0" xr:uid="{3DBF42DF-D3D7-6E4A-B7B6-6E554D2B7D7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4" authorId="0" shapeId="0" xr:uid="{6ADBE19F-110F-5048-AC5F-2480B4D943D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5" authorId="0" shapeId="0" xr:uid="{D26B4C76-FC1E-314B-96AF-F175D3CBD144}">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9" authorId="0" shapeId="0" xr:uid="{9E8C469E-3C16-4E5C-A59A-E6A7036BF4BD}">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40" authorId="0" shapeId="0" xr:uid="{94BE10D2-5396-47BA-AF8C-20FA59197659}">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41" authorId="0" shapeId="0" xr:uid="{EEECEACD-13A1-4B70-A36F-504F5F0627F5}">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61" authorId="0" shapeId="0" xr:uid="{00F77BC2-DFD0-4EE9-A1F4-769704E721A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61" authorId="0" shapeId="0" xr:uid="{47EF53DB-4A48-4C8F-A3A9-0F3A5860AEFE}">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62" authorId="0" shapeId="0" xr:uid="{96D5710A-23C1-48C7-BC7D-F7D9399E626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63" authorId="0" shapeId="0" xr:uid="{D0078DF9-98F9-4800-875B-989AA1CC26FC}">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68" authorId="0" shapeId="0" xr:uid="{E11C76DA-F944-4674-B5D5-864F03EB8455}">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68" authorId="0" shapeId="0" xr:uid="{FB9E1E3D-8E34-4788-A2C5-A5D6993E76EB}">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69" authorId="0" shapeId="0" xr:uid="{90FA8BD1-FD68-4DD9-B3B6-F9ED8C89451D}">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70" authorId="0" shapeId="0" xr:uid="{5DBCDDC2-BA72-4A85-97A2-D2A35E47DF75}">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77" authorId="0" shapeId="0" xr:uid="{44972259-832B-4AA5-8C61-A31229BCB18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77" authorId="0" shapeId="0" xr:uid="{435AB03C-306F-4A11-A424-C33BC39B0392}">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78" authorId="0" shapeId="0" xr:uid="{88F02FEA-60C7-421D-9D84-70BD872B34F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79" authorId="0" shapeId="0" xr:uid="{95334A31-174F-4745-81AA-D00A9118F77C}">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Vasudha</author>
    <author>tc={C2AC5991-6209-634C-86E2-90A3DAC1B412}</author>
    <author>tc={1EFD69E9-89F2-704D-8193-882214D5C9EF}</author>
    <author>tc={07A3E6AD-DF81-D747-90A0-8955AA75C696}</author>
  </authors>
  <commentList>
    <comment ref="H1" authorId="0" shapeId="0" xr:uid="{3C7E4FD9-1263-7C40-8667-9CACBBC0FFCD}">
      <text>
        <r>
          <rPr>
            <b/>
            <sz val="9"/>
            <color rgb="FF000000"/>
            <rFont val="Tahoma"/>
            <family val="2"/>
          </rPr>
          <t>Vasudha:</t>
        </r>
        <r>
          <rPr>
            <sz val="9"/>
            <color rgb="FF000000"/>
            <rFont val="Tahoma"/>
            <family val="2"/>
          </rPr>
          <t xml:space="preserve">
</t>
        </r>
        <r>
          <rPr>
            <sz val="9"/>
            <color rgb="FF000000"/>
            <rFont val="Tahoma"/>
            <family val="2"/>
          </rPr>
          <t>10% of capex</t>
        </r>
      </text>
    </comment>
    <comment ref="F2" authorId="0" shapeId="0" xr:uid="{891AC1DD-44A4-F842-83C0-543104684225}">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AA2" authorId="0" shapeId="0" xr:uid="{39829A39-452C-FE42-BA50-433F826530D2}">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AB2" authorId="0" shapeId="0" xr:uid="{1CE089EF-5C0D-D044-B41A-F76744209404}">
      <text>
        <r>
          <rPr>
            <b/>
            <sz val="9"/>
            <color rgb="FF000000"/>
            <rFont val="Tahoma"/>
            <family val="2"/>
          </rPr>
          <t>Vasudha:</t>
        </r>
        <r>
          <rPr>
            <sz val="9"/>
            <color rgb="FF000000"/>
            <rFont val="Tahoma"/>
            <family val="2"/>
          </rPr>
          <t xml:space="preserve">
</t>
        </r>
        <r>
          <rPr>
            <sz val="9"/>
            <color rgb="FF000000"/>
            <rFont val="Tahoma"/>
            <family val="2"/>
          </rPr>
          <t>units in mg</t>
        </r>
      </text>
    </comment>
    <comment ref="AF2" authorId="0" shapeId="0" xr:uid="{18590FB3-E609-F840-A49A-7B7B4AC83A12}">
      <text>
        <r>
          <rPr>
            <b/>
            <sz val="9"/>
            <color rgb="FF000000"/>
            <rFont val="Tahoma"/>
            <family val="2"/>
          </rPr>
          <t>Vasudha:</t>
        </r>
        <r>
          <rPr>
            <sz val="9"/>
            <color rgb="FF000000"/>
            <rFont val="Tahoma"/>
            <family val="2"/>
          </rPr>
          <t xml:space="preserve">
</t>
        </r>
        <r>
          <rPr>
            <sz val="9"/>
            <color rgb="FF000000"/>
            <rFont val="Tahoma"/>
            <family val="2"/>
          </rPr>
          <t>https://journals.plos.org/plosone/article?id=10.1371/journal.pone.0231757</t>
        </r>
      </text>
    </comment>
    <comment ref="AA3" authorId="0" shapeId="0" xr:uid="{15C9EFDD-FF9D-B347-993E-3F32BBC85A92}">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AA4" authorId="0" shapeId="0" xr:uid="{657D9ED7-14FB-C547-A047-1B1276553818}">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V8" authorId="1" shapeId="0" xr:uid="{C2AC5991-6209-634C-86E2-90A3DAC1B4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AA8" authorId="0" shapeId="0" xr:uid="{A223FF5A-7D38-9A4C-BEAA-2E9743242237}">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AA9" authorId="0" shapeId="0" xr:uid="{928D99A2-0641-E447-8321-1B48B91B375F}">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AA10" authorId="0" shapeId="0" xr:uid="{EB816620-884E-4647-B6DC-8FE893CF534A}">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AA11" authorId="0" shapeId="0" xr:uid="{0791825B-A20B-2A45-950F-CBCC416E00DE}">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V18" authorId="2" shapeId="0" xr:uid="{1EFD69E9-89F2-704D-8193-882214D5C9E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V28" authorId="3" shapeId="0" xr:uid="{07A3E6AD-DF81-D747-90A0-8955AA75C69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List>
</comments>
</file>

<file path=xl/sharedStrings.xml><?xml version="1.0" encoding="utf-8"?>
<sst xmlns="http://schemas.openxmlformats.org/spreadsheetml/2006/main" count="2075" uniqueCount="230">
  <si>
    <t>Energy (kWh)</t>
  </si>
  <si>
    <t>quantity (grams)</t>
  </si>
  <si>
    <t>time (min)</t>
  </si>
  <si>
    <t>Dishes</t>
  </si>
  <si>
    <t>Rice</t>
  </si>
  <si>
    <t>Roti</t>
  </si>
  <si>
    <t>Dal</t>
  </si>
  <si>
    <t>Fried Items</t>
  </si>
  <si>
    <t>Snacks</t>
  </si>
  <si>
    <t>Idli</t>
  </si>
  <si>
    <t>Puri</t>
  </si>
  <si>
    <t xml:space="preserve">Milk </t>
  </si>
  <si>
    <t>Dry subji</t>
  </si>
  <si>
    <t>Pao bhaji</t>
  </si>
  <si>
    <t>State</t>
  </si>
  <si>
    <t>BoP</t>
  </si>
  <si>
    <t>Lower</t>
  </si>
  <si>
    <t>Middle</t>
  </si>
  <si>
    <t>Higher</t>
  </si>
  <si>
    <t>Andaman and Nicobar Islands</t>
  </si>
  <si>
    <t>Andhra Pradesh</t>
  </si>
  <si>
    <t>Assam</t>
  </si>
  <si>
    <t>Bihar</t>
  </si>
  <si>
    <t>Chandigarh</t>
  </si>
  <si>
    <t>Chhattisgarh</t>
  </si>
  <si>
    <t>Dadra and Nagar Haveli</t>
  </si>
  <si>
    <t>Daman and Diu</t>
  </si>
  <si>
    <t>Delhi</t>
  </si>
  <si>
    <t>Goa</t>
  </si>
  <si>
    <t>Gujarat</t>
  </si>
  <si>
    <t>Haryana</t>
  </si>
  <si>
    <t>Himachal Pradesh</t>
  </si>
  <si>
    <t>Jammu and Kashmir</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</si>
  <si>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</si>
  <si>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</si>
  <si>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</si>
  <si>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</si>
  <si>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</si>
  <si>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</si>
  <si>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</si>
  <si>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</si>
  <si>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</si>
  <si>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</si>
  <si>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</si>
  <si>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</si>
  <si>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</si>
  <si>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</si>
  <si>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</si>
  <si>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</si>
  <si>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</si>
  <si>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</si>
  <si>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</si>
  <si>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</si>
  <si>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</si>
  <si>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SN</t>
  </si>
  <si>
    <t>Arunachal Pradesh</t>
  </si>
  <si>
    <t>Area</t>
  </si>
  <si>
    <t>Fuel</t>
  </si>
  <si>
    <t>Stove</t>
  </si>
  <si>
    <t>Socio-Economic</t>
  </si>
  <si>
    <t>Life</t>
  </si>
  <si>
    <t>Thermal Efficiency</t>
  </si>
  <si>
    <t>Capex</t>
  </si>
  <si>
    <t>Overheads (Stove)</t>
  </si>
  <si>
    <t>Daily cooking duration</t>
  </si>
  <si>
    <t>Hourly consumption</t>
  </si>
  <si>
    <t>Daily consumption</t>
  </si>
  <si>
    <t>Annual consumption</t>
  </si>
  <si>
    <t>Unit cost</t>
  </si>
  <si>
    <t>Opex</t>
  </si>
  <si>
    <t>Overheads (Fuel)</t>
  </si>
  <si>
    <t>Total cost</t>
  </si>
  <si>
    <t>Annual Income</t>
  </si>
  <si>
    <t>Payback period</t>
  </si>
  <si>
    <t>Unit carbon emission</t>
  </si>
  <si>
    <t>Total carbon emissions (FS+EI*)</t>
  </si>
  <si>
    <t>Unit cost of carbon credit (CC)</t>
  </si>
  <si>
    <t>Total CC revenue possible</t>
  </si>
  <si>
    <t>Daily IHAP (PM2.5)</t>
  </si>
  <si>
    <t>Annual IHAP (PM2.5)</t>
  </si>
  <si>
    <t>Health Hazard</t>
  </si>
  <si>
    <t>Mortality Estimates</t>
  </si>
  <si>
    <t>Rural</t>
  </si>
  <si>
    <t>Firewood</t>
  </si>
  <si>
    <t>Traditional cook stove (TCS)</t>
  </si>
  <si>
    <t>-</t>
  </si>
  <si>
    <t>1) Respiratory problems - chronic bronchitis, pneumonia, and asthma.
2) Eye problems - eye irritation, dryness, and even blindness in severe cases.
3) Cardiovascular diseases - stroke and heart disease.
4) Lung cancer.
5) Burns and injuries.
6) Carbon monoxide poisoning.</t>
  </si>
  <si>
    <t>Ophthalmic, respiratory, cardiovascular, dermatological symptoms /conditions and history of adverse obstetric outcomes.</t>
  </si>
  <si>
    <t>Improved cook stove (ICS - Natural)</t>
  </si>
  <si>
    <t>Improved cook stove (ICS - Forced)</t>
  </si>
  <si>
    <t>Livestock Waste</t>
  </si>
  <si>
    <t>Biogas</t>
  </si>
  <si>
    <t>Biogas (2 burner)</t>
  </si>
  <si>
    <t>1) Fire and explosion hazards
2) Carbon monoxide poisoning
3) Methane gas leaks
4) Improper waste disposal</t>
  </si>
  <si>
    <t>LPG</t>
  </si>
  <si>
    <t>LPG (2 burner)</t>
  </si>
  <si>
    <t>1) Fire and explosion hazards
2) Carbon monoxide poisoning
3) Burns and injuries
4) Inhalation of toxic chemicals - nitrogen dioxide and formaldehyde</t>
  </si>
  <si>
    <t>Urban</t>
  </si>
  <si>
    <t>PNG</t>
  </si>
  <si>
    <t>PNG (2 burner)</t>
  </si>
  <si>
    <t>Grid electricity</t>
  </si>
  <si>
    <t>Electric Induction (1 burner)</t>
  </si>
  <si>
    <t>1) Electromagnetic radiation
2) Burns and injuries
3) Electric shock
4) Carbon monoxide poisoning (indirectly, due to poor ventilation)</t>
  </si>
  <si>
    <t>Electric Induction (2 burner)</t>
  </si>
  <si>
    <t>Electric Pressure Cooker</t>
  </si>
  <si>
    <t>1) Burns and injuries
2) Explosion hazards
3) Chemical leaching
4) Electrical hazards</t>
  </si>
  <si>
    <t>Microgrid</t>
  </si>
  <si>
    <t>Solar rooftop</t>
  </si>
  <si>
    <t>Solar rooftop (net metering)</t>
  </si>
  <si>
    <t>Electric Induction</t>
  </si>
  <si>
    <t>pbp</t>
  </si>
  <si>
    <t>elec investment</t>
  </si>
  <si>
    <t>annual saving</t>
  </si>
  <si>
    <t>Fuel type</t>
  </si>
  <si>
    <t>stoves</t>
  </si>
  <si>
    <t>time_conversion</t>
  </si>
  <si>
    <t>Dosa</t>
  </si>
  <si>
    <t>Veg Curry</t>
  </si>
  <si>
    <t>Non-Veg Curry</t>
  </si>
  <si>
    <t>Solar Electric Pressure Cooker</t>
  </si>
  <si>
    <t>Daily cooking duration2</t>
  </si>
  <si>
    <t>Firewood Traditional cook stove (TCS)</t>
  </si>
  <si>
    <t>Firewood Improved cook stove (ICS - Natural)</t>
  </si>
  <si>
    <t>Firewood Improved cook stove (ICS - Forced)</t>
  </si>
  <si>
    <t>Livestock Waste Traditional cook stove (TCS)</t>
  </si>
  <si>
    <t>Livestock Waste Improved cook stove (ICS - Natural)</t>
  </si>
  <si>
    <t>Livestock Waste Improved cook stove (ICS - Forced)</t>
  </si>
  <si>
    <t>Dry Subji</t>
  </si>
  <si>
    <t>Milk</t>
  </si>
  <si>
    <t>Traditional Solid Biomass</t>
  </si>
  <si>
    <t>Indoor Solar Cooking Solution (2 burner)</t>
  </si>
  <si>
    <t>Indoor Solar Cooking Solution (1 burner)</t>
  </si>
  <si>
    <t>व्यंजन</t>
  </si>
  <si>
    <t>मात्रा (ग्राम)</t>
  </si>
  <si>
    <t>ऊर्जा (kWh)</t>
  </si>
  <si>
    <t>चावल</t>
  </si>
  <si>
    <t>रोटी</t>
  </si>
  <si>
    <t>नाश्ता</t>
  </si>
  <si>
    <t>इडली</t>
  </si>
  <si>
    <t>पुरी</t>
  </si>
  <si>
    <t>दूध</t>
  </si>
  <si>
    <t xml:space="preserve">आंध्र प्रदेश             </t>
  </si>
  <si>
    <t xml:space="preserve">अरुणाचल प्रदेश           </t>
  </si>
  <si>
    <t xml:space="preserve">असम                      </t>
  </si>
  <si>
    <t xml:space="preserve">बिहार                     </t>
  </si>
  <si>
    <t xml:space="preserve">चंडीगढ़                   </t>
  </si>
  <si>
    <t xml:space="preserve">छत्तीसगढ़               </t>
  </si>
  <si>
    <t xml:space="preserve">दादरा और नगर हवेली      </t>
  </si>
  <si>
    <t xml:space="preserve">दमन और दीव                </t>
  </si>
  <si>
    <t xml:space="preserve">दिल्ली                     </t>
  </si>
  <si>
    <t xml:space="preserve">गोवा                      </t>
  </si>
  <si>
    <t xml:space="preserve">गुजरात                    </t>
  </si>
  <si>
    <t xml:space="preserve">हरियाणा                   </t>
  </si>
  <si>
    <t xml:space="preserve">हिमाचल प्रदेश             </t>
  </si>
  <si>
    <t xml:space="preserve">जम्मू और कश्मीर          </t>
  </si>
  <si>
    <t xml:space="preserve">झारखंड                    </t>
  </si>
  <si>
    <t xml:space="preserve">कर्नाटक                   </t>
  </si>
  <si>
    <t xml:space="preserve">केरल                      </t>
  </si>
  <si>
    <t xml:space="preserve">लक्षद्वीप                  </t>
  </si>
  <si>
    <t xml:space="preserve">मध्य प्रदेश               </t>
  </si>
  <si>
    <t xml:space="preserve">महाराष्ट्र                </t>
  </si>
  <si>
    <t xml:space="preserve">मणिपुर                    </t>
  </si>
  <si>
    <t xml:space="preserve">मेघालय                   </t>
  </si>
  <si>
    <t xml:space="preserve">मिजोरम                    </t>
  </si>
  <si>
    <t xml:space="preserve">नागालैंड                  </t>
  </si>
  <si>
    <t xml:space="preserve">उड़ीसा                    </t>
  </si>
  <si>
    <t xml:space="preserve">पुदुच्चेरी                </t>
  </si>
  <si>
    <t xml:space="preserve">पंजाब                    </t>
  </si>
  <si>
    <t xml:space="preserve">राजस्थान                  </t>
  </si>
  <si>
    <t xml:space="preserve">सिक्किम                   </t>
  </si>
  <si>
    <t xml:space="preserve">तमिलनाडु                 </t>
  </si>
  <si>
    <t xml:space="preserve">तेलंगाना                  </t>
  </si>
  <si>
    <t xml:space="preserve">त्रिपुरा                  </t>
  </si>
  <si>
    <t xml:space="preserve">उत्तर प्रदेश               </t>
  </si>
  <si>
    <t xml:space="preserve">उत्तराखंड                 </t>
  </si>
  <si>
    <t xml:space="preserve">पश्चिम बंगाल              </t>
  </si>
  <si>
    <t>अंडमान और निकोबार द्वीप समूह</t>
  </si>
  <si>
    <t>एस.एन.</t>
  </si>
  <si>
    <t>राज्य</t>
  </si>
  <si>
    <t>बॉप</t>
  </si>
  <si>
    <t>निचला</t>
  </si>
  <si>
    <t>मध्य</t>
  </si>
  <si>
    <t>उच्च</t>
  </si>
  <si>
    <t>ईंधन प्रकार</t>
  </si>
  <si>
    <t>क्षेत्र</t>
  </si>
  <si>
    <t>ईंधन</t>
  </si>
  <si>
    <t>स्टोव</t>
  </si>
  <si>
    <t>सामाजिक-आर्थिक</t>
  </si>
  <si>
    <t>ऊष्मीय दक्षता</t>
  </si>
  <si>
    <t>इकाई लागत</t>
  </si>
  <si>
    <t>कैपेक्स</t>
  </si>
  <si>
    <t>ओवरहेड्स (स्टोव)</t>
  </si>
  <si>
    <t>दैनिक खाना पकाने की अवधि</t>
  </si>
  <si>
    <t>एकक कार्बन उत्सर्जन</t>
  </si>
  <si>
    <t>दैनिक गणना (PM2.5)</t>
  </si>
  <si>
    <t>दैनिक खाना पकाने की अवधि 2</t>
  </si>
  <si>
    <t>ग्रिड बिजली</t>
  </si>
  <si>
    <t>ग्रामीण</t>
  </si>
  <si>
    <t>सौर छत</t>
  </si>
  <si>
    <t>इनडोर सौर खाना पकाने का समाधान (1 बर्नर)</t>
  </si>
  <si>
    <t>इनडोर सौर खाना पकाने का समाधान (2 बर्नर)</t>
  </si>
  <si>
    <t>शहरी</t>
  </si>
  <si>
    <t>बायोगैस</t>
  </si>
  <si>
    <t>बायोगैस (2 बर्नर)</t>
  </si>
  <si>
    <t>एलपीजी (2 बर्नर)</t>
  </si>
  <si>
    <t>पीएनजी (2 बर्नर)</t>
  </si>
  <si>
    <t>पारंपरिक ठोस बायोमास</t>
  </si>
  <si>
    <t>पारंपरिक कुक स्टोव (टीसीएस)</t>
  </si>
  <si>
    <t>बेहतर कुक स्टोव (आईसीएस - प्राकृतिक)</t>
  </si>
  <si>
    <t>बेहतर कुक स्टोव (आईसीएस - मजबूर)</t>
  </si>
  <si>
    <t>समय (मिनट)</t>
  </si>
  <si>
    <t xml:space="preserve">व्यंजन </t>
  </si>
  <si>
    <t>दाल</t>
  </si>
  <si>
    <t>दोसा</t>
  </si>
  <si>
    <t>चाय/कॉफी</t>
  </si>
  <si>
    <t>पीएनजी</t>
  </si>
  <si>
    <t>एलपीजी</t>
  </si>
  <si>
    <t>इंडक्शन स्टोव (1 बर्नर)</t>
  </si>
  <si>
    <t>इंडक्शन स्टोव (2 बर्नर)</t>
  </si>
  <si>
    <t>सब्जी करी</t>
  </si>
  <si>
    <t>मांस करी</t>
  </si>
  <si>
    <t>सूखी सब्जी</t>
  </si>
  <si>
    <t>तला हुआ खाना</t>
  </si>
  <si>
    <t>पाव भाजी</t>
  </si>
  <si>
    <t>Samosa</t>
  </si>
  <si>
    <t>समोसा</t>
  </si>
  <si>
    <t>Tea /Coffee</t>
  </si>
  <si>
    <t>Tea/Coffee</t>
  </si>
  <si>
    <t>Pakoda</t>
  </si>
  <si>
    <t>पकोड़ा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</si>
</sst>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
  </numFmts>
  <fonts count="1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2"/>
      <color rgb="FFFF0000"/>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b/>
      <sz val="9"/>
      <color indexed="81"/>
      <name val="Tahoma"/>
      <family val="2"/>
    </font>
    <font>
      <sz val="9"/>
      <color indexed="81"/>
      <name val="Tahoma"/>
      <family val="2"/>
    </font>
    <font>
      <sz val="11"/>
      <color theme="1"/>
      <name val="Calibri"/>
      <family val="2"/>
      <scheme val="minor"/>
    </font>
    <font>
      <sz val="10"/>
      <color rgb="FF000000"/>
      <name val="Tahoma"/>
      <family val="2"/>
    </font>
    <font>
      <b/>
      <sz val="10"/>
      <color rgb="FF000000"/>
      <name val="Tahoma"/>
      <family val="2"/>
    </font>
    <font>
      <sz val="11"/>
      <color theme="1"/>
      <name val="Calibri"/>
      <family val="2"/>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right/>
      <top/>
      <bottom style="thick">
        <color rgb="FFFF0000"/>
      </bottom>
      <diagonal/>
    </border>
    <border>
      <left/>
      <right style="thin">
        <color indexed="64"/>
      </right>
      <top/>
      <bottom style="thick">
        <color rgb="FFFF0000"/>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0" fontId="4" fillId="0" borderId="0"/>
    <xf numFmtId="44" fontId="4" fillId="0" borderId="0" applyFont="0" applyFill="0" applyBorder="0" applyAlignment="0" applyProtection="0"/>
    <xf numFmtId="9" fontId="14" fillId="0" borderId="0" applyFont="0" applyFill="0" applyBorder="0" applyAlignment="0" applyProtection="0"/>
  </cellStyleXfs>
  <cellXfs count="116">
    <xf numFmtId="0" fontId="0" fillId="0" borderId="0" xfId="0"/>
    <xf numFmtId="0" fontId="0" fillId="0" borderId="1" xfId="0" applyBorder="1"/>
    <xf numFmtId="0" fontId="5" fillId="0" borderId="1" xfId="0" applyFont="1" applyBorder="1" applyAlignment="1">
      <alignment horizontal="center"/>
    </xf>
    <xf numFmtId="2" fontId="0" fillId="0" borderId="1" xfId="0" applyNumberFormat="1" applyBorder="1" applyAlignment="1">
      <alignment horizontal="center"/>
    </xf>
    <xf numFmtId="0" fontId="5" fillId="0" borderId="1" xfId="0" applyFont="1" applyBorder="1" applyAlignment="1">
      <alignment horizontal="center" vertical="center"/>
    </xf>
    <xf numFmtId="0" fontId="0" fillId="0" borderId="1" xfId="0" applyBorder="1" applyAlignment="1">
      <alignment vertical="center"/>
    </xf>
    <xf numFmtId="2" fontId="0" fillId="0" borderId="1" xfId="0" applyNumberFormat="1" applyBorder="1" applyAlignment="1">
      <alignment horizontal="center" vertical="center"/>
    </xf>
    <xf numFmtId="0" fontId="0" fillId="0" borderId="1" xfId="0" applyBorder="1" applyAlignment="1">
      <alignment horizontal="center" vertical="center"/>
    </xf>
    <xf numFmtId="0" fontId="7" fillId="0" borderId="1" xfId="1" applyFont="1" applyBorder="1" applyAlignment="1">
      <alignment horizontal="center"/>
    </xf>
    <xf numFmtId="0" fontId="5" fillId="0" borderId="2" xfId="1" applyFont="1" applyBorder="1" applyAlignment="1">
      <alignment horizontal="center" vertical="center"/>
    </xf>
    <xf numFmtId="0" fontId="5" fillId="0" borderId="1" xfId="1" applyFont="1" applyBorder="1" applyAlignment="1">
      <alignment horizontal="center" vertical="center"/>
    </xf>
    <xf numFmtId="0" fontId="5" fillId="0" borderId="0" xfId="1" applyFont="1" applyAlignment="1">
      <alignment horizontal="center" vertical="center"/>
    </xf>
    <xf numFmtId="0" fontId="8" fillId="0" borderId="1" xfId="1" applyFont="1" applyBorder="1"/>
    <xf numFmtId="0" fontId="9" fillId="0" borderId="0" xfId="1" applyFont="1"/>
    <xf numFmtId="0" fontId="4" fillId="0" borderId="0" xfId="1"/>
    <xf numFmtId="0" fontId="4" fillId="0" borderId="1" xfId="1" applyBorder="1"/>
    <xf numFmtId="0" fontId="4" fillId="0" borderId="1" xfId="1" applyBorder="1" applyAlignment="1">
      <alignment horizontal="center"/>
    </xf>
    <xf numFmtId="9" fontId="4" fillId="0" borderId="1" xfId="1" applyNumberForma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Border="1" applyAlignment="1">
      <alignment horizontal="center"/>
    </xf>
    <xf numFmtId="165" fontId="9" fillId="0" borderId="1" xfId="1" applyNumberFormat="1" applyFont="1" applyBorder="1"/>
    <xf numFmtId="2" fontId="4" fillId="0" borderId="1" xfId="1" applyNumberFormat="1" applyBorder="1"/>
    <xf numFmtId="165" fontId="4" fillId="0" borderId="1" xfId="1" applyNumberFormat="1" applyBorder="1"/>
    <xf numFmtId="1" fontId="4" fillId="0" borderId="1" xfId="1" applyNumberFormat="1" applyBorder="1"/>
    <xf numFmtId="164" fontId="0" fillId="0" borderId="1" xfId="2" applyNumberFormat="1" applyFont="1" applyBorder="1"/>
    <xf numFmtId="164" fontId="4" fillId="0" borderId="1" xfId="1" applyNumberFormat="1" applyBorder="1"/>
    <xf numFmtId="0" fontId="4" fillId="0" borderId="1" xfId="1" applyBorder="1" applyAlignment="1">
      <alignment wrapText="1"/>
    </xf>
    <xf numFmtId="0" fontId="4" fillId="0" borderId="1" xfId="1" applyBorder="1" applyAlignment="1">
      <alignment vertical="center"/>
    </xf>
    <xf numFmtId="0" fontId="4" fillId="0" borderId="1" xfId="1" applyBorder="1" applyAlignment="1">
      <alignment horizontal="center" vertical="center"/>
    </xf>
    <xf numFmtId="0" fontId="6" fillId="0" borderId="1" xfId="1" applyFont="1" applyBorder="1"/>
    <xf numFmtId="0" fontId="4" fillId="0" borderId="2" xfId="1" applyBorder="1" applyAlignment="1">
      <alignment vertical="center"/>
    </xf>
    <xf numFmtId="0" fontId="4" fillId="0" borderId="3" xfId="1" applyBorder="1"/>
    <xf numFmtId="0" fontId="4" fillId="0" borderId="4" xfId="1" applyBorder="1" applyAlignment="1">
      <alignment vertical="center"/>
    </xf>
    <xf numFmtId="0" fontId="4" fillId="0" borderId="3" xfId="1" applyBorder="1" applyAlignment="1">
      <alignment vertical="center"/>
    </xf>
    <xf numFmtId="0" fontId="4" fillId="0" borderId="3" xfId="1" applyBorder="1" applyAlignment="1">
      <alignment horizontal="center" vertical="center"/>
    </xf>
    <xf numFmtId="9" fontId="4" fillId="0" borderId="3" xfId="1" applyNumberFormat="1" applyBorder="1" applyAlignment="1">
      <alignment horizontal="center"/>
    </xf>
    <xf numFmtId="164" fontId="0" fillId="0" borderId="3" xfId="2" applyNumberFormat="1" applyFont="1" applyBorder="1" applyAlignment="1">
      <alignment horizontal="center"/>
    </xf>
    <xf numFmtId="164" fontId="0" fillId="0" borderId="5" xfId="2" applyNumberFormat="1" applyFont="1" applyBorder="1" applyAlignment="1">
      <alignment horizontal="center"/>
    </xf>
    <xf numFmtId="165" fontId="4" fillId="0" borderId="3" xfId="1" applyNumberFormat="1" applyBorder="1"/>
    <xf numFmtId="2" fontId="4" fillId="0" borderId="3" xfId="1" applyNumberFormat="1" applyBorder="1"/>
    <xf numFmtId="1" fontId="4" fillId="0" borderId="3" xfId="1" applyNumberFormat="1" applyBorder="1"/>
    <xf numFmtId="0" fontId="4" fillId="0" borderId="5" xfId="1" applyBorder="1"/>
    <xf numFmtId="164" fontId="0" fillId="0" borderId="3" xfId="2" applyNumberFormat="1" applyFont="1" applyBorder="1"/>
    <xf numFmtId="164" fontId="4" fillId="0" borderId="3" xfId="1" applyNumberFormat="1" applyBorder="1"/>
    <xf numFmtId="0" fontId="4" fillId="0" borderId="6" xfId="1" applyBorder="1"/>
    <xf numFmtId="0" fontId="4" fillId="0" borderId="6" xfId="1" applyBorder="1" applyAlignment="1">
      <alignment horizontal="center"/>
    </xf>
    <xf numFmtId="9" fontId="4" fillId="0" borderId="6" xfId="1" applyNumberFormat="1" applyBorder="1" applyAlignment="1">
      <alignment horizontal="center"/>
    </xf>
    <xf numFmtId="164" fontId="0" fillId="0" borderId="6" xfId="2" applyNumberFormat="1" applyFont="1" applyBorder="1" applyAlignment="1">
      <alignment horizontal="center"/>
    </xf>
    <xf numFmtId="165" fontId="9" fillId="0" borderId="6" xfId="1" applyNumberFormat="1" applyFont="1" applyBorder="1"/>
    <xf numFmtId="2" fontId="4" fillId="0" borderId="6" xfId="1" applyNumberFormat="1" applyBorder="1"/>
    <xf numFmtId="165" fontId="4" fillId="0" borderId="6" xfId="1" applyNumberFormat="1" applyBorder="1"/>
    <xf numFmtId="1" fontId="4" fillId="0" borderId="6" xfId="1" applyNumberFormat="1" applyBorder="1"/>
    <xf numFmtId="164" fontId="0" fillId="0" borderId="6" xfId="2" applyNumberFormat="1" applyFont="1" applyBorder="1"/>
    <xf numFmtId="164" fontId="4" fillId="0" borderId="6" xfId="1" applyNumberFormat="1" applyBorder="1"/>
    <xf numFmtId="0" fontId="7" fillId="0" borderId="1" xfId="1" applyFont="1" applyBorder="1"/>
    <xf numFmtId="0" fontId="8" fillId="0" borderId="7" xfId="1" applyFont="1" applyBorder="1"/>
    <xf numFmtId="2" fontId="4" fillId="0" borderId="1" xfId="1" applyNumberFormat="1" applyBorder="1" applyAlignment="1">
      <alignment horizontal="center"/>
    </xf>
    <xf numFmtId="165" fontId="4" fillId="0" borderId="1" xfId="1" applyNumberFormat="1" applyBorder="1" applyAlignment="1">
      <alignment horizontal="center"/>
    </xf>
    <xf numFmtId="0" fontId="4" fillId="0" borderId="3" xfId="1" applyBorder="1" applyAlignment="1">
      <alignment horizontal="center"/>
    </xf>
    <xf numFmtId="2" fontId="4" fillId="0" borderId="3" xfId="1" applyNumberFormat="1" applyBorder="1" applyAlignment="1">
      <alignment horizontal="center"/>
    </xf>
    <xf numFmtId="0" fontId="4" fillId="0" borderId="8" xfId="1" applyBorder="1" applyAlignment="1">
      <alignment vertical="center"/>
    </xf>
    <xf numFmtId="0" fontId="4" fillId="0" borderId="9" xfId="1" applyBorder="1" applyAlignment="1">
      <alignment vertical="center"/>
    </xf>
    <xf numFmtId="0" fontId="4" fillId="0" borderId="9" xfId="1" applyBorder="1" applyAlignment="1">
      <alignment horizontal="center"/>
    </xf>
    <xf numFmtId="9" fontId="4" fillId="0" borderId="9" xfId="1" applyNumberFormat="1" applyBorder="1" applyAlignment="1">
      <alignment horizontal="center"/>
    </xf>
    <xf numFmtId="164" fontId="0" fillId="0" borderId="9" xfId="2" applyNumberFormat="1" applyFont="1" applyBorder="1" applyAlignment="1">
      <alignment horizontal="center"/>
    </xf>
    <xf numFmtId="0" fontId="4" fillId="0" borderId="10" xfId="1" applyBorder="1"/>
    <xf numFmtId="0" fontId="4" fillId="0" borderId="9" xfId="1" applyBorder="1"/>
    <xf numFmtId="0" fontId="4" fillId="0" borderId="11" xfId="1" applyBorder="1"/>
    <xf numFmtId="164" fontId="0" fillId="0" borderId="9" xfId="2" applyNumberFormat="1" applyFont="1" applyBorder="1"/>
    <xf numFmtId="2" fontId="4" fillId="0" borderId="9" xfId="1" applyNumberFormat="1" applyBorder="1" applyAlignment="1">
      <alignment horizontal="center"/>
    </xf>
    <xf numFmtId="0" fontId="4" fillId="0" borderId="12" xfId="1" applyBorder="1" applyAlignment="1">
      <alignment vertical="center"/>
    </xf>
    <xf numFmtId="0" fontId="4" fillId="0" borderId="6" xfId="1" applyBorder="1" applyAlignment="1">
      <alignment vertical="center"/>
    </xf>
    <xf numFmtId="2" fontId="4" fillId="0" borderId="6" xfId="1" applyNumberFormat="1" applyBorder="1" applyAlignment="1">
      <alignment horizontal="center"/>
    </xf>
    <xf numFmtId="0" fontId="0" fillId="0" borderId="0" xfId="0" applyAlignment="1">
      <alignment horizontal="center"/>
    </xf>
    <xf numFmtId="9" fontId="0" fillId="0" borderId="1" xfId="3" applyFont="1" applyBorder="1" applyAlignment="1">
      <alignment horizontal="center"/>
    </xf>
    <xf numFmtId="0" fontId="0" fillId="0" borderId="1" xfId="0" applyBorder="1" applyAlignment="1">
      <alignment horizontal="center"/>
    </xf>
    <xf numFmtId="2" fontId="6" fillId="0" borderId="1" xfId="1" applyNumberFormat="1" applyFont="1" applyBorder="1" applyAlignment="1">
      <alignment horizontal="center"/>
    </xf>
    <xf numFmtId="2" fontId="9" fillId="0" borderId="1" xfId="1" applyNumberFormat="1" applyFont="1" applyBorder="1" applyAlignment="1">
      <alignment horizontal="center"/>
    </xf>
    <xf numFmtId="164" fontId="0" fillId="0" borderId="1" xfId="2" applyNumberFormat="1" applyFont="1" applyBorder="1" applyAlignment="1"/>
    <xf numFmtId="0" fontId="0" fillId="0" borderId="13" xfId="0" applyBorder="1"/>
    <xf numFmtId="2" fontId="0" fillId="0" borderId="2" xfId="0" applyNumberFormat="1" applyBorder="1" applyAlignment="1">
      <alignment horizontal="center"/>
    </xf>
    <xf numFmtId="0" fontId="5" fillId="0" borderId="14" xfId="0" applyFont="1" applyBorder="1" applyAlignment="1">
      <alignment horizontal="center"/>
    </xf>
    <xf numFmtId="0" fontId="5" fillId="0" borderId="6" xfId="0" applyFont="1" applyBorder="1" applyAlignment="1">
      <alignment horizontal="center"/>
    </xf>
    <xf numFmtId="0" fontId="5" fillId="0" borderId="6" xfId="1" applyFont="1" applyBorder="1" applyAlignment="1">
      <alignment horizontal="center" vertical="center"/>
    </xf>
    <xf numFmtId="0" fontId="8" fillId="0" borderId="6" xfId="1" applyFont="1" applyBorder="1" applyAlignment="1">
      <alignment horizontal="center"/>
    </xf>
    <xf numFmtId="0" fontId="5" fillId="0" borderId="12" xfId="0" applyFont="1" applyBorder="1" applyAlignment="1">
      <alignment horizontal="center"/>
    </xf>
    <xf numFmtId="0" fontId="0" fillId="0" borderId="15" xfId="0" applyBorder="1"/>
    <xf numFmtId="0" fontId="0" fillId="0" borderId="7" xfId="0" applyBorder="1"/>
    <xf numFmtId="0" fontId="0" fillId="0" borderId="7" xfId="0" applyBorder="1" applyAlignment="1">
      <alignment horizontal="center"/>
    </xf>
    <xf numFmtId="2" fontId="4" fillId="0" borderId="7" xfId="1" applyNumberFormat="1" applyBorder="1" applyAlignment="1">
      <alignment horizontal="center"/>
    </xf>
    <xf numFmtId="2" fontId="9" fillId="0" borderId="7" xfId="1" applyNumberFormat="1" applyFont="1" applyBorder="1" applyAlignment="1">
      <alignment horizontal="center"/>
    </xf>
    <xf numFmtId="2" fontId="6" fillId="0" borderId="7" xfId="1" applyNumberFormat="1" applyFont="1" applyBorder="1" applyAlignment="1">
      <alignment horizontal="center"/>
    </xf>
    <xf numFmtId="2" fontId="0" fillId="0" borderId="7" xfId="0" applyNumberFormat="1" applyBorder="1" applyAlignment="1">
      <alignment horizontal="center"/>
    </xf>
    <xf numFmtId="2" fontId="0" fillId="0" borderId="16" xfId="0" applyNumberFormat="1" applyBorder="1" applyAlignment="1">
      <alignment horizontal="center"/>
    </xf>
    <xf numFmtId="2" fontId="3" fillId="0" borderId="1" xfId="1" applyNumberFormat="1" applyFont="1" applyBorder="1" applyAlignment="1">
      <alignment horizontal="center"/>
    </xf>
    <xf numFmtId="0" fontId="3" fillId="0" borderId="1" xfId="1" applyFont="1" applyBorder="1" applyAlignment="1">
      <alignment horizontal="center"/>
    </xf>
    <xf numFmtId="0" fontId="8" fillId="0" borderId="1" xfId="1" applyFont="1" applyBorder="1" applyAlignment="1">
      <alignment horizontal="center"/>
    </xf>
    <xf numFmtId="2" fontId="2" fillId="0" borderId="1" xfId="1" applyNumberFormat="1" applyFont="1" applyBorder="1" applyAlignment="1">
      <alignment horizontal="center"/>
    </xf>
    <xf numFmtId="0" fontId="2" fillId="0" borderId="1" xfId="1" applyFont="1" applyBorder="1" applyAlignment="1">
      <alignment horizontal="center"/>
    </xf>
    <xf numFmtId="2" fontId="1" fillId="0" borderId="1" xfId="1" applyNumberFormat="1" applyFont="1" applyBorder="1" applyAlignment="1">
      <alignment horizontal="center"/>
    </xf>
    <xf numFmtId="0" fontId="1" fillId="0" borderId="1" xfId="1" applyFont="1" applyBorder="1" applyAlignment="1">
      <alignment horizontal="center"/>
    </xf>
    <xf numFmtId="9" fontId="0" fillId="0" borderId="1" xfId="0" applyNumberFormat="1" applyBorder="1" applyAlignment="1">
      <alignment horizontal="center"/>
    </xf>
    <xf numFmtId="2" fontId="1" fillId="0" borderId="1" xfId="0" applyNumberFormat="1" applyFont="1" applyBorder="1" applyAlignment="1">
      <alignment horizontal="center"/>
    </xf>
    <xf numFmtId="164" fontId="0" fillId="0" borderId="1" xfId="0" applyNumberFormat="1" applyBorder="1" applyAlignment="1">
      <alignment horizontal="center"/>
    </xf>
    <xf numFmtId="164" fontId="0" fillId="0" borderId="1" xfId="0" applyNumberFormat="1" applyBorder="1"/>
    <xf numFmtId="2" fontId="9" fillId="0" borderId="1" xfId="0" applyNumberFormat="1" applyFont="1" applyBorder="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7" fillId="0" borderId="0" xfId="0" applyFont="1"/>
    <xf numFmtId="0" fontId="1" fillId="0" borderId="3" xfId="1" applyFont="1" applyBorder="1" applyAlignment="1">
      <alignment vertical="center"/>
    </xf>
    <xf numFmtId="2" fontId="0" fillId="0" borderId="1" xfId="3" applyNumberFormat="1" applyFont="1" applyBorder="1" applyAlignment="1">
      <alignment horizontal="center"/>
    </xf>
    <xf numFmtId="2" fontId="0" fillId="0" borderId="1" xfId="2" applyNumberFormat="1" applyFont="1" applyBorder="1" applyAlignment="1">
      <alignment horizontal="center"/>
    </xf>
    <xf numFmtId="2" fontId="0" fillId="0" borderId="1" xfId="2" applyNumberFormat="1" applyFont="1" applyBorder="1" applyAlignment="1"/>
    <xf numFmtId="2" fontId="0" fillId="0" borderId="7" xfId="2" applyNumberFormat="1" applyFont="1" applyBorder="1" applyAlignment="1"/>
    <xf numFmtId="2" fontId="0" fillId="0" borderId="7" xfId="3" applyNumberFormat="1" applyFont="1" applyBorder="1" applyAlignment="1">
      <alignment horizontal="center"/>
    </xf>
    <xf numFmtId="2" fontId="0" fillId="0" borderId="7" xfId="2" applyNumberFormat="1" applyFont="1" applyBorder="1" applyAlignment="1">
      <alignment horizontal="center"/>
    </xf>
  </cellXfs>
  <cellStyles count="4">
    <cellStyle name="Currency 2" xfId="2" xr:uid="{6E2A1750-F9E3-564E-90BC-3D6F4C7CAD81}"/>
    <cellStyle name="Normal" xfId="0" builtinId="0"/>
    <cellStyle name="Normal 2" xfId="1" xr:uid="{64B4F033-1956-0D4C-83B0-637420250677}"/>
    <cellStyle name="Per cent" xfId="3" builtinId="5"/>
  </cellStyles>
  <dxfs count="27">
    <dxf>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1"/>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rder>
    </dxf>
    <dxf>
      <numFmt numFmtId="2" formatCode="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FF0000"/>
        <name val="Calibri"/>
        <family val="2"/>
        <scheme val="minor"/>
      </font>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Calibri"/>
        <family val="2"/>
        <scheme val="minor"/>
      </font>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2" formatCode="0.00"/>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ikash/My%20Drive%20(bikash@vasudhaindia.org)/01-cooking/01-analysis-files/cooking-tool/cook-fuel-sto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line"/>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Bikash Sahu" id="{BDD520B6-5F3A-A947-B596-0D7D67BBCEC6}" userId="0fea70bdbb350f6d"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B9BD97-3B75-6A48-94C3-0941384692C7}" name="Table1" displayName="Table1" ref="A1:N81" totalsRowShown="0" headerRowBorderDxfId="26" tableBorderDxfId="25" totalsRowBorderDxfId="24">
  <tableColumns count="14">
    <tableColumn id="1" xr3:uid="{8DEE4B54-B590-3B42-AB05-CD5BB52AA8FB}" name="Fuel type" dataDxfId="23"/>
    <tableColumn id="2" xr3:uid="{F0DAACE5-5871-F446-808D-3A9028D14E92}" name="Area" dataDxfId="22"/>
    <tableColumn id="3" xr3:uid="{EBE7A100-B464-254B-9117-13B9510A7551}" name="Fuel" dataDxfId="21"/>
    <tableColumn id="4" xr3:uid="{85831FBE-5F65-8A4F-8164-0E57E83E9452}" name="stoves" dataDxfId="20"/>
    <tableColumn id="5" xr3:uid="{E47C7C5A-A002-EA4E-ACD3-129064FDE99C}" name="Socio-Economic" dataDxfId="19"/>
    <tableColumn id="6" xr3:uid="{6F339364-619C-3047-9CEB-3CAEF799A06C}" name="Thermal Efficiency" dataDxfId="18"/>
    <tableColumn id="7" xr3:uid="{D68FDC37-DC0E-ED4F-A80C-AA9D96095F4D}" name="Unit cost" dataDxfId="17" dataCellStyle="Normal 2"/>
    <tableColumn id="8" xr3:uid="{7888CE5E-AA76-7340-A19E-242585BF5C1A}" name="Capex" dataDxfId="16" dataCellStyle="Currency 2"/>
    <tableColumn id="9" xr3:uid="{339B2AF5-6829-D546-9D08-432B0607A6B5}" name="Overheads (Stove)" dataDxfId="15" dataCellStyle="Currency 2"/>
    <tableColumn id="10" xr3:uid="{6CDE43A2-D024-BA49-9373-75845020907A}" name="Daily cooking duration" dataDxfId="14" dataCellStyle="Normal 2"/>
    <tableColumn id="11" xr3:uid="{83F0E97B-F121-F044-9C77-E9CF3A5F199B}" name="Unit carbon emission" dataDxfId="13" dataCellStyle="Normal 2"/>
    <tableColumn id="12" xr3:uid="{49FE5C7F-7D7D-6045-8E7C-FC0928C3C43A}" name="Daily IHAP (PM2.5)" dataDxfId="12" dataCellStyle="Normal 2"/>
    <tableColumn id="13" xr3:uid="{D0AE2690-CC9A-8A41-BA60-6DDF9C3A41CA}" name="time_conversion" dataDxfId="11">
      <calculatedColumnFormula>N2/2.6</calculatedColumnFormula>
    </tableColumn>
    <tableColumn id="14" xr3:uid="{8F95219F-D1CE-DC44-83BF-031BC6424F5A}" name="Daily cooking duration2" dataDxfId="10"/>
  </tableColumns>
  <tableStyleInfo name="TableStyleLight2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E2499C-CED1-854B-BDE3-715860071B63}" name="Table2" displayName="Table2" ref="A1:N81" totalsRowShown="0">
  <tableColumns count="14">
    <tableColumn id="1" xr3:uid="{FC075F95-EC83-8C43-A3E3-CFA2298645A2}" name="ईंधन प्रकार"/>
    <tableColumn id="2" xr3:uid="{66A83EC1-ECE1-8B41-BC53-7B23195E2CD0}" name="क्षेत्र"/>
    <tableColumn id="3" xr3:uid="{BE65F848-737C-E647-9223-D157F3C482FC}" name="ईंधन"/>
    <tableColumn id="4" xr3:uid="{66E20856-B9C0-4240-8647-93DF742CBE49}" name="स्टोव"/>
    <tableColumn id="5" xr3:uid="{FEEB20E1-6773-3C4A-A912-B002E28F5830}" name="सामाजिक-आर्थिक" dataDxfId="9"/>
    <tableColumn id="6" xr3:uid="{D136930C-ADEA-474C-B9F8-AED2E6D1279C}" name="ऊष्मीय दक्षता" dataDxfId="8" dataCellStyle="Normal 2"/>
    <tableColumn id="7" xr3:uid="{918DEABB-E1B6-0E48-AF8D-313A4A28D80E}" name="इकाई लागत" dataDxfId="7" dataCellStyle="Normal 2"/>
    <tableColumn id="8" xr3:uid="{3B0208F8-4419-BF4D-A7B5-AEF0D0FBF9A6}" name="कैपेक्स" dataDxfId="6" dataCellStyle="Currency 2"/>
    <tableColumn id="9" xr3:uid="{3E7545CA-A0DE-E148-A149-9ED8AB9DAD9F}" name="ओवरहेड्स (स्टोव)" dataDxfId="5" dataCellStyle="Currency 2"/>
    <tableColumn id="10" xr3:uid="{46CD18D9-B63C-4148-B475-9C9CE5061F4C}" name="दैनिक खाना पकाने की अवधि" dataDxfId="4" dataCellStyle="Normal 2"/>
    <tableColumn id="11" xr3:uid="{7C9FA5B1-3D16-3D4C-9133-C3AA398511BB}" name="एकक कार्बन उत्सर्जन" dataDxfId="3" dataCellStyle="Normal 2"/>
    <tableColumn id="12" xr3:uid="{C878F962-6AF7-EB41-AB62-A8F05E441A7B}" name="दैनिक गणना (PM2.5)" dataDxfId="2" dataCellStyle="Normal 2"/>
    <tableColumn id="13" xr3:uid="{A567D48B-D862-ED47-9324-8B1074640E64}" name="time_conversion" dataDxfId="1"/>
    <tableColumn id="14" xr3:uid="{F3C6B303-3206-7947-81B5-9DD67A3C107F}" name="दैनिक खाना पकाने की अवधि 2" dataDxfId="0"/>
  </tableColumns>
  <tableStyleInfo name="TableStyleLight2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2" dT="2023-05-23T06:30:32.78" personId="{BDD520B6-5F3A-A947-B596-0D7D67BBCEC6}" id="{9BA619FF-3C19-5A40-AE64-638F99986373}">
    <text>https://cea.nic.in/wp-content/uploads/baseline/2023/01/Approved_report_emission__2021_22.pdf</text>
  </threadedComment>
  <threadedComment ref="B7" dT="2023-03-28T02:28:30.36" personId="{BDD520B6-5F3A-A947-B596-0D7D67BBCEC6}" id="{97E75658-2032-5A48-B9E9-3E149ADD0E02}">
    <text>Solar rooftop (capex)</text>
  </threadedComment>
  <threadedComment ref="B8" dT="2023-03-28T02:28:30.36" personId="{BDD520B6-5F3A-A947-B596-0D7D67BBCEC6}" id="{6896C51D-D664-1C46-AB93-FDF1DF613D18}">
    <text>Solar rooftop (capex)</text>
  </threadedComment>
  <threadedComment ref="A9" dT="2023-03-28T02:28:08.69" personId="{BDD520B6-5F3A-A947-B596-0D7D67BBCEC6}" id="{341AB3EF-3D67-A94B-ABBF-2E4095AA3B98}">
    <text>Rural</text>
  </threadedComment>
  <threadedComment ref="B16" dT="2023-03-28T02:28:30.36" personId="{BDD520B6-5F3A-A947-B596-0D7D67BBCEC6}" id="{1B08420B-DDD8-1143-87F3-A62A79D4BA09}">
    <text>Solar rooftop (capex)</text>
  </threadedComment>
  <threadedComment ref="B17" dT="2023-03-28T02:28:30.36" personId="{BDD520B6-5F3A-A947-B596-0D7D67BBCEC6}" id="{6BAC7EF8-8941-1D43-B8BF-75EC26C047D2}">
    <text>Solar rooftop (capex)</text>
  </threadedComment>
  <threadedComment ref="B25" dT="2023-03-28T02:28:30.36" personId="{BDD520B6-5F3A-A947-B596-0D7D67BBCEC6}" id="{F6744A25-AF72-2643-B033-706EE7AAD071}">
    <text>Solar rooftop (capex)</text>
  </threadedComment>
  <threadedComment ref="B26" dT="2023-03-28T02:28:30.36" personId="{BDD520B6-5F3A-A947-B596-0D7D67BBCEC6}" id="{3FD23F87-2617-0A40-A66D-29524E15D336}">
    <text>Solar rooftop (capex)</text>
  </threadedComment>
  <threadedComment ref="B34" dT="2023-03-28T02:28:30.36" personId="{BDD520B6-5F3A-A947-B596-0D7D67BBCEC6}" id="{B6779C4A-9F79-A149-A199-0F4A3C192FE6}">
    <text>Solar rooftop (capex)</text>
  </threadedComment>
  <threadedComment ref="B35" dT="2023-03-28T02:28:30.36" personId="{BDD520B6-5F3A-A947-B596-0D7D67BBCEC6}" id="{84D0CAC7-8E9D-1244-9C24-4D0F475159A3}">
    <text>Solar rooftop (capex)</text>
  </threadedComment>
  <threadedComment ref="B43" dT="2023-03-28T02:28:30.36" personId="{BDD520B6-5F3A-A947-B596-0D7D67BBCEC6}" id="{AE34C73B-5DCD-D844-86CC-60284B0D132D}">
    <text>Solar rooftop (capex)</text>
  </threadedComment>
  <threadedComment ref="B44" dT="2023-03-28T02:28:30.36" personId="{BDD520B6-5F3A-A947-B596-0D7D67BBCEC6}" id="{C0009B09-71D7-1343-BEF3-47C43DEA43CA}">
    <text>Solar rooftop (capex)</text>
  </threadedComment>
  <threadedComment ref="B52" dT="2023-03-28T02:28:30.36" personId="{BDD520B6-5F3A-A947-B596-0D7D67BBCEC6}" id="{197C25DF-8C5B-CE43-BA34-A7BD078D15C5}">
    <text>Solar rooftop (capex)</text>
  </threadedComment>
  <threadedComment ref="B53" dT="2023-03-28T02:28:30.36" personId="{BDD520B6-5F3A-A947-B596-0D7D67BBCEC6}" id="{EB56FD16-B619-724A-9557-77F7027C46A5}">
    <text>Solar rooftop (capex)</text>
  </threadedComment>
</ThreadedComments>
</file>

<file path=xl/threadedComments/threadedComment2.xml><?xml version="1.0" encoding="utf-8"?>
<ThreadedComments xmlns="http://schemas.microsoft.com/office/spreadsheetml/2018/threadedcomments" xmlns:x="http://schemas.openxmlformats.org/spreadsheetml/2006/main">
  <threadedComment ref="K2" dT="2023-05-23T06:30:32.78" personId="{BDD520B6-5F3A-A947-B596-0D7D67BBCEC6}" id="{E96D9C05-DC2A-4EBA-B75A-7F42E3A5DC08}">
    <text>https://cea.nic.in/wp-content/uploads/baseline/2023/01/Approved_report_emission__2021_22.pdf</text>
  </threadedComment>
  <threadedComment ref="K26" dT="2023-01-01T12:10:18.29" personId="{BDD520B6-5F3A-A947-B596-0D7D67BBCEC6}" id="{CABC94C2-98A4-4632-9084-270185BDFC5C}">
    <text>Check the emission factor</text>
  </threadedComment>
  <threadedComment ref="K30" dT="2023-01-01T12:10:18.29" personId="{BDD520B6-5F3A-A947-B596-0D7D67BBCEC6}" id="{BD8600A2-4AD7-4D33-9E08-F4B5A0B91018}">
    <text>Check the emission factor</text>
  </threadedComment>
  <threadedComment ref="K34" dT="2023-01-01T12:10:18.29" personId="{BDD520B6-5F3A-A947-B596-0D7D67BBCEC6}" id="{7E3A6431-EA22-4888-A91C-F244E0F0FBAC}">
    <text>Check the emission factor</text>
  </threadedComment>
  <threadedComment ref="K38" dT="2023-05-23T06:30:32.78" personId="{BDD520B6-5F3A-A947-B596-0D7D67BBCEC6}" id="{7EC7FDE6-CC78-4AD3-8331-C0BF48E0E6E5}">
    <text>https://cea.nic.in/wp-content/uploads/baseline/2023/01/Approved_report_emission__2021_22.pdf</text>
  </threadedComment>
  <threadedComment ref="K46" dT="2023-01-01T12:10:18.29" personId="{BDD520B6-5F3A-A947-B596-0D7D67BBCEC6}" id="{8BDA940D-6BBE-40BD-B766-87BCE85D0105}">
    <text>Check the emission factor</text>
  </threadedComment>
  <threadedComment ref="K54" dT="2023-01-01T12:10:18.29" personId="{BDD520B6-5F3A-A947-B596-0D7D67BBCEC6}" id="{D0395940-F957-3344-945E-1A0D77F53F2C}">
    <text>Check the emission factor</text>
  </threadedComment>
  <threadedComment ref="K55" dT="2023-01-01T12:10:18.29" personId="{BDD520B6-5F3A-A947-B596-0D7D67BBCEC6}" id="{C2897EBB-0ECA-0A42-81F7-6F1014299541}">
    <text>Check the emission factor</text>
  </threadedComment>
  <threadedComment ref="K56" dT="2023-01-01T12:10:18.29" personId="{BDD520B6-5F3A-A947-B596-0D7D67BBCEC6}" id="{F2AD0E3F-2D4F-DF4C-9833-141ADF59680B}">
    <text>Check the emission factor</text>
  </threadedComment>
  <threadedComment ref="K57" dT="2023-01-01T12:10:18.29" personId="{BDD520B6-5F3A-A947-B596-0D7D67BBCEC6}" id="{C07E013F-DD6E-3248-A59D-6C1263B8D716}">
    <text>Check the emission factor</text>
  </threadedComment>
</ThreadedComments>
</file>

<file path=xl/threadedComments/threadedComment3.xml><?xml version="1.0" encoding="utf-8"?>
<ThreadedComments xmlns="http://schemas.microsoft.com/office/spreadsheetml/2018/threadedcomments" xmlns:x="http://schemas.openxmlformats.org/spreadsheetml/2006/main">
  <threadedComment ref="K2" dT="2023-05-23T06:30:32.78" personId="{BDD520B6-5F3A-A947-B596-0D7D67BBCEC6}" id="{F46AC8B0-5D61-42B0-A51B-50544D948DC8}">
    <text>https://cea.nic.in/wp-content/uploads/baseline/2023/01/Approved_report_emission__2021_22.pdf</text>
  </threadedComment>
  <threadedComment ref="K26" dT="2023-01-01T12:10:18.29" personId="{BDD520B6-5F3A-A947-B596-0D7D67BBCEC6}" id="{26919EF3-1CCD-41DA-AA39-187709ABC044}">
    <text>Check the emission factor</text>
  </threadedComment>
  <threadedComment ref="K30" dT="2023-01-01T12:10:18.29" personId="{BDD520B6-5F3A-A947-B596-0D7D67BBCEC6}" id="{5086A3E7-AE6E-4D14-9295-FBD29D50A25F}">
    <text>Check the emission factor</text>
  </threadedComment>
  <threadedComment ref="K34" dT="2023-01-01T12:10:18.29" personId="{BDD520B6-5F3A-A947-B596-0D7D67BBCEC6}" id="{83A8F280-4944-4216-BA66-F24409E13D6E}">
    <text>Check the emission factor</text>
  </threadedComment>
  <threadedComment ref="K38" dT="2023-05-23T06:30:32.78" personId="{BDD520B6-5F3A-A947-B596-0D7D67BBCEC6}" id="{D8857FD1-AC97-42B0-AED9-CB35F3E00922}">
    <text>https://cea.nic.in/wp-content/uploads/baseline/2023/01/Approved_report_emission__2021_22.pdf</text>
  </threadedComment>
  <threadedComment ref="K46" dT="2023-01-01T12:10:18.29" personId="{BDD520B6-5F3A-A947-B596-0D7D67BBCEC6}" id="{2D83E58B-6D49-4D5C-A675-AE92FEF1CE9D}">
    <text>Check the emission factor</text>
  </threadedComment>
  <threadedComment ref="K54" dT="2023-01-01T12:10:18.29" personId="{BDD520B6-5F3A-A947-B596-0D7D67BBCEC6}" id="{E3E425DD-5D33-4BA9-A1C1-2F0FFA972EC3}">
    <text>Check the emission factor</text>
  </threadedComment>
  <threadedComment ref="K55" dT="2023-01-01T12:10:18.29" personId="{BDD520B6-5F3A-A947-B596-0D7D67BBCEC6}" id="{73F19309-A436-4FFD-B09C-048BA7854679}">
    <text>Check the emission factor</text>
  </threadedComment>
  <threadedComment ref="K56" dT="2023-01-01T12:10:18.29" personId="{BDD520B6-5F3A-A947-B596-0D7D67BBCEC6}" id="{54681FDF-DE5A-411B-9D22-19E4B8453763}">
    <text>Check the emission factor</text>
  </threadedComment>
  <threadedComment ref="K57" dT="2023-01-01T12:10:18.29" personId="{BDD520B6-5F3A-A947-B596-0D7D67BBCEC6}" id="{211C1F55-4239-4182-A8B0-29BCAD819B91}">
    <text>Check the emission factor</text>
  </threadedComment>
</ThreadedComments>
</file>

<file path=xl/threadedComments/threadedComment4.xml><?xml version="1.0" encoding="utf-8"?>
<ThreadedComments xmlns="http://schemas.microsoft.com/office/spreadsheetml/2018/threadedcomments" xmlns:x="http://schemas.openxmlformats.org/spreadsheetml/2006/main">
  <threadedComment ref="V8" dT="2023-01-01T12:10:18.29" personId="{BDD520B6-5F3A-A947-B596-0D7D67BBCEC6}" id="{C2AC5991-6209-634C-86E2-90A3DAC1B412}">
    <text>Check the emission factor</text>
  </threadedComment>
  <threadedComment ref="V18" dT="2023-01-01T12:10:18.29" personId="{BDD520B6-5F3A-A947-B596-0D7D67BBCEC6}" id="{1EFD69E9-89F2-704D-8193-882214D5C9EF}">
    <text>Check the emission factor</text>
  </threadedComment>
  <threadedComment ref="V28" dT="2023-01-01T12:10:18.29" personId="{BDD520B6-5F3A-A947-B596-0D7D67BBCEC6}" id="{07A3E6AD-DF81-D747-90A0-8955AA75C696}">
    <text>Check the emission factor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2.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8609C-4521-4F00-88F9-10B4C036E2FE}">
  <dimension ref="A1:E17"/>
  <sheetViews>
    <sheetView showGridLines="0" tabSelected="1" workbookViewId="0">
      <pane ySplit="1" topLeftCell="A2" activePane="bottomLeft" state="frozen"/>
      <selection pane="bottomLeft" activeCell="A16" sqref="A16"/>
    </sheetView>
  </sheetViews>
  <sheetFormatPr baseColWidth="10" defaultColWidth="8.83203125" defaultRowHeight="15" x14ac:dyDescent="0.2"/>
  <cols>
    <col min="1" max="1" width="11.83203125" customWidth="1"/>
    <col min="2" max="2" width="10" bestFit="1" customWidth="1"/>
    <col min="3" max="3" width="9.1640625" bestFit="1" customWidth="1"/>
    <col min="4" max="4" width="13.5" bestFit="1" customWidth="1"/>
    <col min="5" max="5" width="11.1640625" bestFit="1" customWidth="1"/>
  </cols>
  <sheetData>
    <row r="1" spans="1:5" x14ac:dyDescent="0.2">
      <c r="A1" s="4" t="s">
        <v>3</v>
      </c>
      <c r="B1" s="4" t="s">
        <v>3</v>
      </c>
      <c r="C1" s="4" t="s">
        <v>2</v>
      </c>
      <c r="D1" s="4" t="s">
        <v>1</v>
      </c>
      <c r="E1" s="4" t="s">
        <v>0</v>
      </c>
    </row>
    <row r="2" spans="1:5" ht="22.75" customHeight="1" x14ac:dyDescent="0.2">
      <c r="A2" s="5" t="s">
        <v>4</v>
      </c>
      <c r="B2" s="5" t="s">
        <v>4</v>
      </c>
      <c r="C2" s="7">
        <v>13.5</v>
      </c>
      <c r="D2" s="7">
        <v>250</v>
      </c>
      <c r="E2" s="6">
        <v>0.20249999999999999</v>
      </c>
    </row>
    <row r="3" spans="1:5" x14ac:dyDescent="0.2">
      <c r="A3" s="5" t="s">
        <v>5</v>
      </c>
      <c r="B3" s="5" t="s">
        <v>5</v>
      </c>
      <c r="C3" s="7">
        <v>20</v>
      </c>
      <c r="D3" s="7">
        <v>500</v>
      </c>
      <c r="E3" s="6">
        <v>0.15</v>
      </c>
    </row>
    <row r="4" spans="1:5" x14ac:dyDescent="0.2">
      <c r="A4" s="5" t="s">
        <v>6</v>
      </c>
      <c r="B4" s="5" t="s">
        <v>6</v>
      </c>
      <c r="C4" s="7">
        <v>25</v>
      </c>
      <c r="D4" s="7">
        <v>200</v>
      </c>
      <c r="E4" s="6">
        <v>0.32727272727272727</v>
      </c>
    </row>
    <row r="5" spans="1:5" x14ac:dyDescent="0.2">
      <c r="A5" s="5" t="s">
        <v>127</v>
      </c>
      <c r="B5" s="5" t="s">
        <v>12</v>
      </c>
      <c r="C5" s="7">
        <v>19</v>
      </c>
      <c r="D5" s="7">
        <v>500</v>
      </c>
      <c r="E5" s="6">
        <v>0.40714285714285708</v>
      </c>
    </row>
    <row r="6" spans="1:5" x14ac:dyDescent="0.2">
      <c r="A6" s="5" t="s">
        <v>7</v>
      </c>
      <c r="B6" s="5" t="s">
        <v>7</v>
      </c>
      <c r="C6" s="7">
        <v>20.5</v>
      </c>
      <c r="D6" s="7">
        <v>500</v>
      </c>
      <c r="E6" s="6">
        <v>0.43928571428571428</v>
      </c>
    </row>
    <row r="7" spans="1:5" x14ac:dyDescent="0.2">
      <c r="A7" s="5" t="s">
        <v>8</v>
      </c>
      <c r="B7" s="5" t="s">
        <v>8</v>
      </c>
      <c r="C7" s="7">
        <v>38</v>
      </c>
      <c r="D7" s="7">
        <v>500</v>
      </c>
      <c r="E7" s="6">
        <v>0.81428571428571428</v>
      </c>
    </row>
    <row r="8" spans="1:5" x14ac:dyDescent="0.2">
      <c r="A8" s="5" t="s">
        <v>9</v>
      </c>
      <c r="B8" s="5" t="s">
        <v>9</v>
      </c>
      <c r="C8" s="7">
        <v>15</v>
      </c>
      <c r="D8" s="7">
        <v>300</v>
      </c>
      <c r="E8" s="6">
        <v>0.24</v>
      </c>
    </row>
    <row r="9" spans="1:5" x14ac:dyDescent="0.2">
      <c r="A9" s="5" t="s">
        <v>10</v>
      </c>
      <c r="B9" s="5" t="s">
        <v>10</v>
      </c>
      <c r="C9" s="7">
        <v>20</v>
      </c>
      <c r="D9" s="7">
        <v>500</v>
      </c>
      <c r="E9" s="6">
        <v>0.15</v>
      </c>
    </row>
    <row r="10" spans="1:5" x14ac:dyDescent="0.2">
      <c r="A10" s="5" t="s">
        <v>116</v>
      </c>
      <c r="B10" s="5" t="s">
        <v>116</v>
      </c>
      <c r="C10" s="7">
        <v>20</v>
      </c>
      <c r="D10" s="7">
        <v>500</v>
      </c>
      <c r="E10" s="6">
        <v>0.15</v>
      </c>
    </row>
    <row r="11" spans="1:5" x14ac:dyDescent="0.2">
      <c r="A11" s="5" t="s">
        <v>117</v>
      </c>
      <c r="B11" s="5" t="s">
        <v>117</v>
      </c>
      <c r="C11" s="7">
        <v>37.5</v>
      </c>
      <c r="D11" s="7">
        <v>300</v>
      </c>
      <c r="E11" s="6">
        <v>0.6</v>
      </c>
    </row>
    <row r="12" spans="1:5" x14ac:dyDescent="0.2">
      <c r="A12" s="5" t="s">
        <v>118</v>
      </c>
      <c r="B12" s="5" t="s">
        <v>118</v>
      </c>
      <c r="C12" s="7">
        <f>37.5*1.5</f>
        <v>56.25</v>
      </c>
      <c r="D12" s="7">
        <v>300</v>
      </c>
      <c r="E12" s="6">
        <f>0.6*1.5</f>
        <v>0.89999999999999991</v>
      </c>
    </row>
    <row r="13" spans="1:5" x14ac:dyDescent="0.2">
      <c r="A13" s="5" t="s">
        <v>128</v>
      </c>
      <c r="B13" s="5" t="s">
        <v>11</v>
      </c>
      <c r="C13" s="7">
        <v>15</v>
      </c>
      <c r="D13" s="7">
        <v>1000</v>
      </c>
      <c r="E13" s="6">
        <v>0.33</v>
      </c>
    </row>
    <row r="14" spans="1:5" x14ac:dyDescent="0.2">
      <c r="A14" s="5" t="s">
        <v>227</v>
      </c>
      <c r="B14" s="5" t="s">
        <v>226</v>
      </c>
      <c r="C14" s="7">
        <v>15</v>
      </c>
      <c r="D14" s="7">
        <v>1000</v>
      </c>
      <c r="E14" s="6">
        <v>0.33</v>
      </c>
    </row>
    <row r="15" spans="1:5" x14ac:dyDescent="0.2">
      <c r="A15" s="5" t="s">
        <v>13</v>
      </c>
      <c r="B15" s="5" t="s">
        <v>13</v>
      </c>
      <c r="C15" s="7">
        <v>38</v>
      </c>
      <c r="D15" s="7">
        <v>500</v>
      </c>
      <c r="E15" s="6">
        <f t="shared" ref="E15" si="0">(0.3/14)*C15</f>
        <v>0.81428571428571428</v>
      </c>
    </row>
    <row r="16" spans="1:5" x14ac:dyDescent="0.2">
      <c r="A16" s="5" t="s">
        <v>224</v>
      </c>
      <c r="B16" s="5" t="s">
        <v>224</v>
      </c>
      <c r="C16" s="7">
        <v>20.5</v>
      </c>
      <c r="D16" s="7">
        <v>500</v>
      </c>
      <c r="E16" s="6">
        <v>0.43928571428571428</v>
      </c>
    </row>
    <row r="17" spans="1:5" x14ac:dyDescent="0.2">
      <c r="A17" s="5" t="s">
        <v>228</v>
      </c>
      <c r="B17" s="5" t="s">
        <v>228</v>
      </c>
      <c r="C17" s="7">
        <v>20.5</v>
      </c>
      <c r="D17" s="7">
        <v>500</v>
      </c>
      <c r="E17" s="6">
        <v>0.43928571428571428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5252A-997A-4D49-ACC9-7B370724202E}">
  <dimension ref="A1:AF32"/>
  <sheetViews>
    <sheetView showGridLines="0" topLeftCell="A2" zoomScale="62" zoomScaleNormal="90" workbookViewId="0">
      <pane xSplit="3" topLeftCell="D1" activePane="topRight" state="frozen"/>
      <selection pane="topRight" activeCell="X6" sqref="X6"/>
    </sheetView>
  </sheetViews>
  <sheetFormatPr baseColWidth="10" defaultColWidth="11.1640625" defaultRowHeight="16" outlineLevelCol="1" x14ac:dyDescent="0.2"/>
  <cols>
    <col min="1" max="1" width="11.1640625" style="14"/>
    <col min="2" max="2" width="10" style="14" customWidth="1"/>
    <col min="3" max="3" width="36" style="14" bestFit="1" customWidth="1"/>
    <col min="4" max="4" width="12.1640625" style="14" customWidth="1"/>
    <col min="5" max="5" width="10.83203125" style="14" customWidth="1" outlineLevel="1"/>
    <col min="6" max="6" width="15.6640625" style="14" customWidth="1" outlineLevel="1"/>
    <col min="7" max="7" width="11.5" style="14" customWidth="1" outlineLevel="1"/>
    <col min="8" max="8" width="15.83203125" style="14" customWidth="1" outlineLevel="1"/>
    <col min="9" max="9" width="4.5" style="14" customWidth="1"/>
    <col min="10" max="10" width="18.5" style="14" customWidth="1" outlineLevel="1"/>
    <col min="11" max="11" width="17" style="14" customWidth="1" outlineLevel="1"/>
    <col min="12" max="12" width="15.5" style="14" customWidth="1" outlineLevel="1"/>
    <col min="13" max="13" width="17.33203125" style="14" customWidth="1" outlineLevel="1"/>
    <col min="14" max="14" width="3.1640625" style="14" customWidth="1"/>
    <col min="15" max="18" width="10.83203125" style="14" customWidth="1" outlineLevel="1"/>
    <col min="19" max="19" width="11.1640625" style="14"/>
    <col min="20" max="20" width="18.83203125" style="14" customWidth="1" outlineLevel="1"/>
    <col min="21" max="21" width="13.6640625" style="14" customWidth="1" outlineLevel="1"/>
    <col min="22" max="22" width="18.6640625" style="14" customWidth="1" outlineLevel="1"/>
    <col min="23" max="23" width="27.83203125" style="14" customWidth="1" outlineLevel="1"/>
    <col min="24" max="24" width="26" style="14" customWidth="1" outlineLevel="1"/>
    <col min="25" max="25" width="22.5" style="14" customWidth="1" outlineLevel="1"/>
    <col min="26" max="26" width="11.1640625" style="14"/>
    <col min="27" max="27" width="17.1640625" style="14" customWidth="1" outlineLevel="1"/>
    <col min="28" max="28" width="18.5" style="14" customWidth="1" outlineLevel="1"/>
    <col min="29" max="29" width="13" style="14" customWidth="1" outlineLevel="1"/>
    <col min="30" max="30" width="17.1640625" style="14" customWidth="1" outlineLevel="1"/>
    <col min="31" max="16384" width="11.1640625" style="14"/>
  </cols>
  <sheetData>
    <row r="1" spans="1:32" x14ac:dyDescent="0.2">
      <c r="A1" s="8" t="s">
        <v>56</v>
      </c>
      <c r="B1" s="9" t="s">
        <v>57</v>
      </c>
      <c r="C1" s="10" t="s">
        <v>58</v>
      </c>
      <c r="D1" s="10" t="s">
        <v>59</v>
      </c>
      <c r="E1" s="10" t="s">
        <v>60</v>
      </c>
      <c r="F1" s="10" t="s">
        <v>61</v>
      </c>
      <c r="G1" s="10" t="s">
        <v>62</v>
      </c>
      <c r="H1" s="10" t="s">
        <v>63</v>
      </c>
      <c r="I1" s="10"/>
      <c r="J1" s="10" t="s">
        <v>64</v>
      </c>
      <c r="K1" s="10" t="s">
        <v>65</v>
      </c>
      <c r="L1" s="10" t="s">
        <v>66</v>
      </c>
      <c r="M1" s="10" t="s">
        <v>67</v>
      </c>
      <c r="N1" s="11"/>
      <c r="O1" s="12" t="s">
        <v>68</v>
      </c>
      <c r="P1" s="12" t="s">
        <v>69</v>
      </c>
      <c r="Q1" s="12" t="s">
        <v>70</v>
      </c>
      <c r="R1" s="12" t="s">
        <v>71</v>
      </c>
      <c r="S1" s="13"/>
      <c r="T1" s="12" t="s">
        <v>72</v>
      </c>
      <c r="U1" s="12" t="s">
        <v>73</v>
      </c>
      <c r="V1" s="12" t="s">
        <v>74</v>
      </c>
      <c r="W1" s="12" t="s">
        <v>75</v>
      </c>
      <c r="X1" s="12" t="s">
        <v>76</v>
      </c>
      <c r="Y1" s="12" t="s">
        <v>77</v>
      </c>
      <c r="AA1" s="12" t="s">
        <v>78</v>
      </c>
      <c r="AB1" s="12" t="s">
        <v>79</v>
      </c>
      <c r="AC1" s="12" t="s">
        <v>80</v>
      </c>
      <c r="AD1" s="12" t="s">
        <v>81</v>
      </c>
    </row>
    <row r="2" spans="1:32" ht="409.6" x14ac:dyDescent="0.2">
      <c r="A2" s="15" t="s">
        <v>82</v>
      </c>
      <c r="B2" s="15" t="s">
        <v>83</v>
      </c>
      <c r="C2" s="15" t="s">
        <v>84</v>
      </c>
      <c r="D2" s="15" t="s">
        <v>16</v>
      </c>
      <c r="E2" s="16">
        <v>1</v>
      </c>
      <c r="F2" s="17">
        <v>0.15</v>
      </c>
      <c r="G2" s="18">
        <v>0</v>
      </c>
      <c r="H2" s="18">
        <f>G2*0.1</f>
        <v>0</v>
      </c>
      <c r="I2" s="19"/>
      <c r="J2" s="20">
        <f>J12*0.95</f>
        <v>3.61</v>
      </c>
      <c r="K2" s="21">
        <v>4.43</v>
      </c>
      <c r="L2" s="22">
        <f>J2*K2</f>
        <v>15.992299999999998</v>
      </c>
      <c r="M2" s="23">
        <f>L2*330</f>
        <v>5277.4589999999998</v>
      </c>
      <c r="O2" s="15">
        <v>1.41</v>
      </c>
      <c r="P2" s="24">
        <f>O2*M2</f>
        <v>7441.2171899999994</v>
      </c>
      <c r="Q2" s="24">
        <v>500</v>
      </c>
      <c r="R2" s="25">
        <f>P2+Q2</f>
        <v>7941.2171899999994</v>
      </c>
      <c r="T2" s="18">
        <v>200000</v>
      </c>
      <c r="U2" s="15" t="s">
        <v>85</v>
      </c>
      <c r="V2" s="15">
        <v>0.4</v>
      </c>
      <c r="W2" s="21">
        <f>(M2*V2)/(10^3)</f>
        <v>2.1109836</v>
      </c>
      <c r="X2" s="24" t="s">
        <v>85</v>
      </c>
      <c r="Y2" s="24" t="s">
        <v>85</v>
      </c>
      <c r="AA2" s="15">
        <f>1230</f>
        <v>1230</v>
      </c>
      <c r="AB2" s="15">
        <f>(AA2*330)/1000</f>
        <v>405.9</v>
      </c>
      <c r="AC2" s="26" t="s">
        <v>86</v>
      </c>
      <c r="AD2" s="15"/>
      <c r="AF2" s="15" t="s">
        <v>87</v>
      </c>
    </row>
    <row r="3" spans="1:32" x14ac:dyDescent="0.2">
      <c r="A3" s="15" t="s">
        <v>82</v>
      </c>
      <c r="B3" s="15" t="s">
        <v>83</v>
      </c>
      <c r="C3" s="15" t="s">
        <v>88</v>
      </c>
      <c r="D3" s="15" t="s">
        <v>16</v>
      </c>
      <c r="E3" s="16">
        <v>3</v>
      </c>
      <c r="F3" s="17">
        <v>0.25</v>
      </c>
      <c r="G3" s="18">
        <v>750</v>
      </c>
      <c r="H3" s="18">
        <f t="shared" ref="H3:H10" si="0">G3*0.1</f>
        <v>75</v>
      </c>
      <c r="I3" s="19"/>
      <c r="J3" s="20">
        <f>J13*0.95</f>
        <v>3.1587499999999995</v>
      </c>
      <c r="K3" s="21">
        <f>K2*0.95</f>
        <v>4.2084999999999999</v>
      </c>
      <c r="L3" s="22">
        <f t="shared" ref="L3:L11" si="1">J3*K3</f>
        <v>13.293599374999998</v>
      </c>
      <c r="M3" s="23">
        <f t="shared" ref="M3:M31" si="2">L3*330</f>
        <v>4386.8877937499992</v>
      </c>
      <c r="O3" s="21">
        <v>1.34</v>
      </c>
      <c r="P3" s="24">
        <f t="shared" ref="P3:P11" si="3">O3*M3</f>
        <v>5878.4296436249997</v>
      </c>
      <c r="Q3" s="24">
        <v>750</v>
      </c>
      <c r="R3" s="25">
        <f t="shared" ref="R3:R11" si="4">P3+Q3</f>
        <v>6628.4296436249997</v>
      </c>
      <c r="T3" s="18">
        <v>200000</v>
      </c>
      <c r="U3" s="15" t="s">
        <v>85</v>
      </c>
      <c r="V3" s="15">
        <v>0.4</v>
      </c>
      <c r="W3" s="21">
        <f t="shared" ref="W3:W11" si="5">(M3*V3)/(10^3)</f>
        <v>1.7547551174999998</v>
      </c>
      <c r="X3" s="24" t="s">
        <v>85</v>
      </c>
      <c r="Y3" s="24" t="s">
        <v>85</v>
      </c>
      <c r="AA3" s="15">
        <f>410</f>
        <v>410</v>
      </c>
      <c r="AB3" s="15">
        <f t="shared" ref="AB3:AB31" si="6">(AA3*330)/1000</f>
        <v>135.30000000000001</v>
      </c>
      <c r="AC3" s="15" t="s">
        <v>86</v>
      </c>
      <c r="AD3" s="15"/>
    </row>
    <row r="4" spans="1:32" x14ac:dyDescent="0.2">
      <c r="A4" s="15" t="s">
        <v>82</v>
      </c>
      <c r="B4" s="15" t="s">
        <v>83</v>
      </c>
      <c r="C4" s="15" t="s">
        <v>89</v>
      </c>
      <c r="D4" s="15" t="s">
        <v>16</v>
      </c>
      <c r="E4" s="16">
        <v>3</v>
      </c>
      <c r="F4" s="17">
        <v>0.35</v>
      </c>
      <c r="G4" s="18">
        <v>1000</v>
      </c>
      <c r="H4" s="18">
        <f t="shared" si="0"/>
        <v>100</v>
      </c>
      <c r="I4" s="19"/>
      <c r="J4" s="20">
        <f>J14*0.95</f>
        <v>2.933125</v>
      </c>
      <c r="K4" s="21">
        <f>K2*0.9</f>
        <v>3.9869999999999997</v>
      </c>
      <c r="L4" s="22">
        <f t="shared" si="1"/>
        <v>11.694369374999999</v>
      </c>
      <c r="M4" s="23">
        <f t="shared" si="2"/>
        <v>3859.1418937499998</v>
      </c>
      <c r="O4" s="15">
        <v>1.27</v>
      </c>
      <c r="P4" s="24">
        <f t="shared" si="3"/>
        <v>4901.1102050624995</v>
      </c>
      <c r="Q4" s="24">
        <v>1000</v>
      </c>
      <c r="R4" s="25">
        <f t="shared" si="4"/>
        <v>5901.1102050624995</v>
      </c>
      <c r="T4" s="18">
        <v>200000</v>
      </c>
      <c r="U4" s="15" t="s">
        <v>85</v>
      </c>
      <c r="V4" s="15">
        <v>0.4</v>
      </c>
      <c r="W4" s="21">
        <f t="shared" si="5"/>
        <v>1.5436567575</v>
      </c>
      <c r="X4" s="24" t="s">
        <v>85</v>
      </c>
      <c r="Y4" s="24" t="s">
        <v>85</v>
      </c>
      <c r="Z4" s="13"/>
      <c r="AA4" s="15">
        <f>165</f>
        <v>165</v>
      </c>
      <c r="AB4" s="15">
        <f t="shared" si="6"/>
        <v>54.45</v>
      </c>
      <c r="AC4" s="15" t="s">
        <v>86</v>
      </c>
      <c r="AD4" s="15"/>
    </row>
    <row r="5" spans="1:32" x14ac:dyDescent="0.2">
      <c r="A5" s="15" t="s">
        <v>82</v>
      </c>
      <c r="B5" s="15" t="s">
        <v>90</v>
      </c>
      <c r="C5" s="15" t="s">
        <v>84</v>
      </c>
      <c r="D5" s="15" t="s">
        <v>16</v>
      </c>
      <c r="E5" s="16">
        <v>1</v>
      </c>
      <c r="F5" s="17">
        <v>0.15</v>
      </c>
      <c r="G5" s="18">
        <v>500</v>
      </c>
      <c r="H5" s="18">
        <f t="shared" si="0"/>
        <v>50</v>
      </c>
      <c r="I5" s="19"/>
      <c r="J5" s="20">
        <v>3.61</v>
      </c>
      <c r="K5" s="21">
        <f>K2*1.05</f>
        <v>4.6514999999999995</v>
      </c>
      <c r="L5" s="22">
        <v>3.61</v>
      </c>
      <c r="M5" s="23">
        <v>1191.3</v>
      </c>
      <c r="O5" s="15">
        <v>1.35</v>
      </c>
      <c r="P5" s="24">
        <f t="shared" si="3"/>
        <v>1608.2550000000001</v>
      </c>
      <c r="Q5" s="24">
        <v>500</v>
      </c>
      <c r="R5" s="25">
        <f>P5+Q5</f>
        <v>2108.2550000000001</v>
      </c>
      <c r="T5" s="18">
        <v>200000</v>
      </c>
      <c r="U5" s="15" t="s">
        <v>85</v>
      </c>
      <c r="V5" s="15">
        <v>0.4</v>
      </c>
      <c r="W5" s="21">
        <v>0.47652</v>
      </c>
      <c r="X5" s="24"/>
      <c r="Y5" s="24"/>
      <c r="Z5" s="13"/>
      <c r="AA5" s="15">
        <v>1230</v>
      </c>
      <c r="AB5" s="15">
        <v>405.9</v>
      </c>
      <c r="AC5" s="15" t="s">
        <v>86</v>
      </c>
      <c r="AD5" s="15"/>
    </row>
    <row r="6" spans="1:32" x14ac:dyDescent="0.2">
      <c r="A6" s="15" t="s">
        <v>82</v>
      </c>
      <c r="B6" s="15" t="s">
        <v>90</v>
      </c>
      <c r="C6" s="15" t="s">
        <v>88</v>
      </c>
      <c r="D6" s="15" t="s">
        <v>16</v>
      </c>
      <c r="E6" s="16">
        <v>3</v>
      </c>
      <c r="F6" s="17">
        <v>0.25</v>
      </c>
      <c r="G6" s="18">
        <v>750</v>
      </c>
      <c r="H6" s="18">
        <f t="shared" si="0"/>
        <v>75</v>
      </c>
      <c r="I6" s="19"/>
      <c r="J6" s="20">
        <v>3.1587499999999995</v>
      </c>
      <c r="K6" s="21">
        <f>K5*0.95</f>
        <v>4.4189249999999998</v>
      </c>
      <c r="L6" s="22">
        <v>3.1587499999999995</v>
      </c>
      <c r="M6" s="23">
        <v>1042.3874999999998</v>
      </c>
      <c r="O6" s="15">
        <v>1.28</v>
      </c>
      <c r="P6" s="24">
        <f t="shared" si="3"/>
        <v>1334.2559999999999</v>
      </c>
      <c r="Q6" s="24">
        <v>750</v>
      </c>
      <c r="R6" s="25">
        <f t="shared" ref="R6:R7" si="7">P6+Q6</f>
        <v>2084.2559999999999</v>
      </c>
      <c r="T6" s="18">
        <v>200000</v>
      </c>
      <c r="U6" s="15" t="s">
        <v>85</v>
      </c>
      <c r="V6" s="15">
        <v>0.4</v>
      </c>
      <c r="W6" s="21">
        <v>0.41695499999999991</v>
      </c>
      <c r="X6" s="24"/>
      <c r="Y6" s="24"/>
      <c r="Z6" s="13"/>
      <c r="AA6" s="15">
        <v>410</v>
      </c>
      <c r="AB6" s="15">
        <v>135.30000000000001</v>
      </c>
      <c r="AC6" s="15" t="s">
        <v>86</v>
      </c>
      <c r="AD6" s="15"/>
    </row>
    <row r="7" spans="1:32" x14ac:dyDescent="0.2">
      <c r="A7" s="15" t="s">
        <v>82</v>
      </c>
      <c r="B7" s="15" t="s">
        <v>90</v>
      </c>
      <c r="C7" s="15" t="s">
        <v>89</v>
      </c>
      <c r="D7" s="15" t="s">
        <v>16</v>
      </c>
      <c r="E7" s="16">
        <v>3</v>
      </c>
      <c r="F7" s="17">
        <v>0.35</v>
      </c>
      <c r="G7" s="18">
        <v>1000</v>
      </c>
      <c r="H7" s="18">
        <f t="shared" si="0"/>
        <v>100</v>
      </c>
      <c r="I7" s="19"/>
      <c r="J7" s="20">
        <v>2.933125</v>
      </c>
      <c r="K7" s="21">
        <f>K5*0.9</f>
        <v>4.18635</v>
      </c>
      <c r="L7" s="22">
        <v>2.933125</v>
      </c>
      <c r="M7" s="23">
        <v>967.93124999999998</v>
      </c>
      <c r="O7" s="15">
        <v>1.21</v>
      </c>
      <c r="P7" s="24">
        <f t="shared" si="3"/>
        <v>1171.1968124999999</v>
      </c>
      <c r="Q7" s="24">
        <v>1000</v>
      </c>
      <c r="R7" s="25">
        <f t="shared" si="7"/>
        <v>2171.1968124999999</v>
      </c>
      <c r="T7" s="18">
        <v>200000</v>
      </c>
      <c r="U7" s="15" t="s">
        <v>85</v>
      </c>
      <c r="V7" s="15">
        <v>0.4</v>
      </c>
      <c r="W7" s="21">
        <v>0.38717250000000003</v>
      </c>
      <c r="X7" s="24"/>
      <c r="Y7" s="24"/>
      <c r="Z7" s="13"/>
      <c r="AA7" s="15">
        <v>165</v>
      </c>
      <c r="AB7" s="15">
        <v>54.45</v>
      </c>
      <c r="AC7" s="15" t="s">
        <v>86</v>
      </c>
      <c r="AD7" s="15"/>
    </row>
    <row r="8" spans="1:32" ht="187" x14ac:dyDescent="0.2">
      <c r="A8" s="15" t="s">
        <v>82</v>
      </c>
      <c r="B8" s="27" t="s">
        <v>91</v>
      </c>
      <c r="C8" s="27" t="s">
        <v>92</v>
      </c>
      <c r="D8" s="15" t="s">
        <v>16</v>
      </c>
      <c r="E8" s="28">
        <v>10</v>
      </c>
      <c r="F8" s="17">
        <v>0.7</v>
      </c>
      <c r="G8" s="18">
        <v>40000</v>
      </c>
      <c r="H8" s="18">
        <f t="shared" si="0"/>
        <v>4000</v>
      </c>
      <c r="I8" s="19"/>
      <c r="J8" s="20">
        <f t="shared" ref="J8:J10" si="8">J18*0.95</f>
        <v>2.7074999999999996</v>
      </c>
      <c r="K8" s="21">
        <f>K9*1.1</f>
        <v>2.2000000000000002</v>
      </c>
      <c r="L8" s="22">
        <f t="shared" si="1"/>
        <v>5.9564999999999992</v>
      </c>
      <c r="M8" s="23">
        <f t="shared" si="2"/>
        <v>1965.6449999999998</v>
      </c>
      <c r="O8" s="15">
        <v>1.5</v>
      </c>
      <c r="P8" s="24">
        <f t="shared" si="3"/>
        <v>2948.4674999999997</v>
      </c>
      <c r="Q8" s="24">
        <v>1000</v>
      </c>
      <c r="R8" s="25">
        <f t="shared" si="4"/>
        <v>3948.4674999999997</v>
      </c>
      <c r="T8" s="18">
        <v>200000</v>
      </c>
      <c r="U8" s="15" t="s">
        <v>85</v>
      </c>
      <c r="V8" s="29">
        <v>0.15</v>
      </c>
      <c r="W8" s="21">
        <f t="shared" si="5"/>
        <v>0.29484674999999994</v>
      </c>
      <c r="X8" s="24" t="s">
        <v>85</v>
      </c>
      <c r="Y8" s="24" t="s">
        <v>85</v>
      </c>
      <c r="Z8" s="13"/>
      <c r="AA8" s="15">
        <v>60</v>
      </c>
      <c r="AB8" s="15">
        <f t="shared" si="6"/>
        <v>19.8</v>
      </c>
      <c r="AC8" s="26" t="s">
        <v>93</v>
      </c>
      <c r="AD8" s="15"/>
    </row>
    <row r="9" spans="1:32" x14ac:dyDescent="0.2">
      <c r="A9" s="15" t="s">
        <v>82</v>
      </c>
      <c r="B9" s="30" t="s">
        <v>94</v>
      </c>
      <c r="C9" s="27" t="s">
        <v>95</v>
      </c>
      <c r="D9" s="15" t="s">
        <v>16</v>
      </c>
      <c r="E9" s="28">
        <v>10</v>
      </c>
      <c r="F9" s="17">
        <v>0.7</v>
      </c>
      <c r="G9" s="18">
        <v>1000</v>
      </c>
      <c r="H9" s="18">
        <f t="shared" si="0"/>
        <v>100</v>
      </c>
      <c r="I9" s="19"/>
      <c r="J9" s="20">
        <f t="shared" si="8"/>
        <v>2.7074999999999996</v>
      </c>
      <c r="K9" s="21">
        <v>2</v>
      </c>
      <c r="L9" s="22">
        <f t="shared" si="1"/>
        <v>5.4149999999999991</v>
      </c>
      <c r="M9" s="23">
        <f t="shared" si="2"/>
        <v>1786.9499999999998</v>
      </c>
      <c r="O9" s="15">
        <v>6.38</v>
      </c>
      <c r="P9" s="24">
        <f t="shared" si="3"/>
        <v>11400.740999999998</v>
      </c>
      <c r="Q9" s="24">
        <v>1000</v>
      </c>
      <c r="R9" s="25">
        <f t="shared" si="4"/>
        <v>12400.740999999998</v>
      </c>
      <c r="T9" s="18">
        <v>200000</v>
      </c>
      <c r="U9" s="15" t="s">
        <v>85</v>
      </c>
      <c r="V9" s="15">
        <v>0.23</v>
      </c>
      <c r="W9" s="21">
        <f t="shared" si="5"/>
        <v>0.41099849999999999</v>
      </c>
      <c r="X9" s="24" t="s">
        <v>85</v>
      </c>
      <c r="Y9" s="24" t="s">
        <v>85</v>
      </c>
      <c r="Z9" s="13"/>
      <c r="AA9" s="15">
        <v>64</v>
      </c>
      <c r="AB9" s="15">
        <f t="shared" si="6"/>
        <v>21.12</v>
      </c>
      <c r="AC9" s="15" t="s">
        <v>96</v>
      </c>
      <c r="AD9" s="15"/>
    </row>
    <row r="10" spans="1:32" x14ac:dyDescent="0.2">
      <c r="A10" s="15" t="s">
        <v>97</v>
      </c>
      <c r="B10" s="30" t="s">
        <v>98</v>
      </c>
      <c r="C10" s="27" t="s">
        <v>99</v>
      </c>
      <c r="D10" s="15" t="s">
        <v>16</v>
      </c>
      <c r="E10" s="28">
        <v>10</v>
      </c>
      <c r="F10" s="17">
        <v>0.7</v>
      </c>
      <c r="G10" s="18">
        <v>1100</v>
      </c>
      <c r="H10" s="18">
        <f t="shared" si="0"/>
        <v>110</v>
      </c>
      <c r="I10" s="19"/>
      <c r="J10" s="20">
        <f t="shared" si="8"/>
        <v>2.7074999999999996</v>
      </c>
      <c r="K10" s="21">
        <v>2</v>
      </c>
      <c r="L10" s="22">
        <f t="shared" si="1"/>
        <v>5.4149999999999991</v>
      </c>
      <c r="M10" s="23">
        <f t="shared" si="2"/>
        <v>1786.9499999999998</v>
      </c>
      <c r="O10" s="15">
        <v>5.86</v>
      </c>
      <c r="P10" s="24">
        <f t="shared" si="3"/>
        <v>10471.527</v>
      </c>
      <c r="Q10" s="24">
        <v>1000</v>
      </c>
      <c r="R10" s="25">
        <f t="shared" si="4"/>
        <v>11471.527</v>
      </c>
      <c r="T10" s="18">
        <v>250000</v>
      </c>
      <c r="U10" s="15" t="s">
        <v>85</v>
      </c>
      <c r="V10" s="15">
        <v>0.2</v>
      </c>
      <c r="W10" s="21">
        <f t="shared" si="5"/>
        <v>0.35738999999999999</v>
      </c>
      <c r="X10" s="24" t="s">
        <v>85</v>
      </c>
      <c r="Y10" s="24" t="s">
        <v>85</v>
      </c>
      <c r="Z10" s="13"/>
      <c r="AA10" s="15">
        <f>47</f>
        <v>47</v>
      </c>
      <c r="AB10" s="15">
        <f t="shared" si="6"/>
        <v>15.51</v>
      </c>
      <c r="AC10" s="15" t="s">
        <v>96</v>
      </c>
      <c r="AD10" s="15"/>
    </row>
    <row r="11" spans="1:32" ht="17" thickBot="1" x14ac:dyDescent="0.25">
      <c r="A11" s="31" t="s">
        <v>97</v>
      </c>
      <c r="B11" s="32" t="s">
        <v>94</v>
      </c>
      <c r="C11" s="33" t="s">
        <v>95</v>
      </c>
      <c r="D11" s="31" t="s">
        <v>16</v>
      </c>
      <c r="E11" s="34">
        <v>10</v>
      </c>
      <c r="F11" s="35">
        <v>0.7</v>
      </c>
      <c r="G11" s="36">
        <v>1000</v>
      </c>
      <c r="H11" s="36">
        <f>G11*0.1</f>
        <v>100</v>
      </c>
      <c r="I11" s="37"/>
      <c r="J11" s="38">
        <f>0.95*J21</f>
        <v>2.7074999999999996</v>
      </c>
      <c r="K11" s="39">
        <v>2</v>
      </c>
      <c r="L11" s="38">
        <f t="shared" si="1"/>
        <v>5.4149999999999991</v>
      </c>
      <c r="M11" s="40">
        <f t="shared" si="2"/>
        <v>1786.9499999999998</v>
      </c>
      <c r="N11" s="41"/>
      <c r="O11" s="31">
        <v>6.38</v>
      </c>
      <c r="P11" s="42">
        <f t="shared" si="3"/>
        <v>11400.740999999998</v>
      </c>
      <c r="Q11" s="42">
        <v>1000</v>
      </c>
      <c r="R11" s="43">
        <f t="shared" si="4"/>
        <v>12400.740999999998</v>
      </c>
      <c r="S11" s="41"/>
      <c r="T11" s="36">
        <v>250000</v>
      </c>
      <c r="U11" s="31" t="s">
        <v>85</v>
      </c>
      <c r="V11" s="31">
        <v>0.23</v>
      </c>
      <c r="W11" s="39">
        <f t="shared" si="5"/>
        <v>0.41099849999999999</v>
      </c>
      <c r="X11" s="42" t="s">
        <v>85</v>
      </c>
      <c r="Y11" s="42" t="s">
        <v>85</v>
      </c>
      <c r="AA11" s="15">
        <f>64</f>
        <v>64</v>
      </c>
      <c r="AB11" s="15">
        <f t="shared" si="6"/>
        <v>21.12</v>
      </c>
      <c r="AC11" s="15" t="s">
        <v>96</v>
      </c>
      <c r="AD11" s="15"/>
    </row>
    <row r="12" spans="1:32" ht="17" thickTop="1" x14ac:dyDescent="0.2">
      <c r="A12" s="44" t="s">
        <v>82</v>
      </c>
      <c r="B12" s="44" t="s">
        <v>83</v>
      </c>
      <c r="C12" s="44" t="s">
        <v>84</v>
      </c>
      <c r="D12" s="44" t="s">
        <v>17</v>
      </c>
      <c r="E12" s="45">
        <v>1</v>
      </c>
      <c r="F12" s="46">
        <v>0.15</v>
      </c>
      <c r="G12" s="47">
        <v>0</v>
      </c>
      <c r="H12" s="47">
        <f>G12*0.1</f>
        <v>0</v>
      </c>
      <c r="I12" s="19"/>
      <c r="J12" s="48">
        <f>0.95*J22</f>
        <v>3.8</v>
      </c>
      <c r="K12" s="49">
        <v>4.43</v>
      </c>
      <c r="L12" s="50">
        <f>J12*K12</f>
        <v>16.834</v>
      </c>
      <c r="M12" s="51">
        <f>L12*330</f>
        <v>5555.22</v>
      </c>
      <c r="O12" s="44">
        <v>1.41</v>
      </c>
      <c r="P12" s="52">
        <f>O12*M12</f>
        <v>7832.8602000000001</v>
      </c>
      <c r="Q12" s="52">
        <v>750</v>
      </c>
      <c r="R12" s="53">
        <f>P12+Q12</f>
        <v>8582.8601999999992</v>
      </c>
      <c r="T12" s="47">
        <v>570000</v>
      </c>
      <c r="U12" s="44" t="s">
        <v>85</v>
      </c>
      <c r="V12" s="44">
        <v>0.4</v>
      </c>
      <c r="W12" s="49">
        <f>(M12*V12)/(10^3)</f>
        <v>2.2220880000000003</v>
      </c>
      <c r="X12" s="52" t="s">
        <v>85</v>
      </c>
      <c r="Y12" s="52" t="s">
        <v>85</v>
      </c>
      <c r="AA12" s="15">
        <v>1230</v>
      </c>
      <c r="AB12" s="15">
        <f t="shared" si="6"/>
        <v>405.9</v>
      </c>
      <c r="AC12" s="15" t="s">
        <v>86</v>
      </c>
      <c r="AD12" s="15"/>
    </row>
    <row r="13" spans="1:32" x14ac:dyDescent="0.2">
      <c r="A13" s="15" t="s">
        <v>82</v>
      </c>
      <c r="B13" s="15" t="s">
        <v>83</v>
      </c>
      <c r="C13" s="15" t="s">
        <v>88</v>
      </c>
      <c r="D13" s="15" t="s">
        <v>17</v>
      </c>
      <c r="E13" s="16">
        <v>3</v>
      </c>
      <c r="F13" s="17">
        <v>0.25</v>
      </c>
      <c r="G13" s="18">
        <v>800</v>
      </c>
      <c r="H13" s="18">
        <f>G13*0.1</f>
        <v>80</v>
      </c>
      <c r="I13" s="19"/>
      <c r="J13" s="48">
        <f>0.95*J23</f>
        <v>3.3249999999999997</v>
      </c>
      <c r="K13" s="21">
        <v>4.2084999999999999</v>
      </c>
      <c r="L13" s="22">
        <f t="shared" ref="L13:L21" si="9">J13*K13</f>
        <v>13.993262499999998</v>
      </c>
      <c r="M13" s="23">
        <f t="shared" si="2"/>
        <v>4617.7766249999995</v>
      </c>
      <c r="O13" s="15">
        <v>1.34</v>
      </c>
      <c r="P13" s="24">
        <f t="shared" ref="P13:P21" si="10">O13*M13</f>
        <v>6187.8206774999999</v>
      </c>
      <c r="Q13" s="24">
        <v>1000</v>
      </c>
      <c r="R13" s="25">
        <f t="shared" ref="R13:R21" si="11">P13+Q13</f>
        <v>7187.8206774999999</v>
      </c>
      <c r="T13" s="18">
        <v>570000</v>
      </c>
      <c r="U13" s="15" t="s">
        <v>85</v>
      </c>
      <c r="V13" s="15">
        <v>0.4</v>
      </c>
      <c r="W13" s="21">
        <f t="shared" ref="W13:W21" si="12">(M13*V13)/(10^3)</f>
        <v>1.8471106499999999</v>
      </c>
      <c r="X13" s="24" t="s">
        <v>85</v>
      </c>
      <c r="Y13" s="24" t="s">
        <v>85</v>
      </c>
      <c r="AA13" s="15">
        <v>410</v>
      </c>
      <c r="AB13" s="15">
        <f t="shared" si="6"/>
        <v>135.30000000000001</v>
      </c>
      <c r="AC13" s="15" t="s">
        <v>86</v>
      </c>
      <c r="AD13" s="15"/>
    </row>
    <row r="14" spans="1:32" x14ac:dyDescent="0.2">
      <c r="A14" s="15" t="s">
        <v>82</v>
      </c>
      <c r="B14" s="15" t="s">
        <v>83</v>
      </c>
      <c r="C14" s="15" t="s">
        <v>89</v>
      </c>
      <c r="D14" s="15" t="s">
        <v>17</v>
      </c>
      <c r="E14" s="16">
        <v>3</v>
      </c>
      <c r="F14" s="17">
        <v>0.35</v>
      </c>
      <c r="G14" s="18">
        <v>1000</v>
      </c>
      <c r="H14" s="18">
        <f t="shared" ref="H14:H20" si="13">G14*0.1</f>
        <v>100</v>
      </c>
      <c r="I14" s="19"/>
      <c r="J14" s="48">
        <f>0.95*J24</f>
        <v>3.0874999999999999</v>
      </c>
      <c r="K14" s="21">
        <v>3.9869999999999997</v>
      </c>
      <c r="L14" s="22">
        <f t="shared" si="9"/>
        <v>12.309862499999998</v>
      </c>
      <c r="M14" s="23">
        <f t="shared" si="2"/>
        <v>4062.2546249999991</v>
      </c>
      <c r="O14" s="15">
        <v>1.27</v>
      </c>
      <c r="P14" s="24">
        <f t="shared" si="10"/>
        <v>5159.0633737499993</v>
      </c>
      <c r="Q14" s="24">
        <v>1250</v>
      </c>
      <c r="R14" s="25">
        <f t="shared" si="11"/>
        <v>6409.0633737499993</v>
      </c>
      <c r="T14" s="18">
        <v>570000</v>
      </c>
      <c r="U14" s="15" t="s">
        <v>85</v>
      </c>
      <c r="V14" s="15">
        <v>0.4</v>
      </c>
      <c r="W14" s="21">
        <f t="shared" si="12"/>
        <v>1.6249018499999996</v>
      </c>
      <c r="X14" s="24" t="s">
        <v>85</v>
      </c>
      <c r="Y14" s="24" t="s">
        <v>85</v>
      </c>
      <c r="AA14" s="15">
        <v>165</v>
      </c>
      <c r="AB14" s="15">
        <f t="shared" si="6"/>
        <v>54.45</v>
      </c>
      <c r="AC14" s="15" t="s">
        <v>86</v>
      </c>
      <c r="AD14" s="15"/>
    </row>
    <row r="15" spans="1:32" x14ac:dyDescent="0.2">
      <c r="A15" s="15" t="s">
        <v>82</v>
      </c>
      <c r="B15" s="15" t="s">
        <v>90</v>
      </c>
      <c r="C15" s="15" t="s">
        <v>84</v>
      </c>
      <c r="D15" s="15" t="s">
        <v>17</v>
      </c>
      <c r="E15" s="16">
        <v>1</v>
      </c>
      <c r="F15" s="17">
        <v>0.15</v>
      </c>
      <c r="G15" s="18">
        <v>600</v>
      </c>
      <c r="H15" s="18">
        <f t="shared" si="13"/>
        <v>60</v>
      </c>
      <c r="I15" s="19"/>
      <c r="J15" s="48">
        <v>3.8</v>
      </c>
      <c r="K15" s="21">
        <v>4.6514999999999995</v>
      </c>
      <c r="L15" s="22">
        <v>3.8</v>
      </c>
      <c r="M15" s="23">
        <v>1254</v>
      </c>
      <c r="O15" s="15">
        <v>1.35</v>
      </c>
      <c r="P15" s="24">
        <f t="shared" si="10"/>
        <v>1692.9</v>
      </c>
      <c r="Q15" s="52">
        <v>750</v>
      </c>
      <c r="R15" s="25">
        <f>P15+Q15</f>
        <v>2442.9</v>
      </c>
      <c r="T15" s="18">
        <v>570000</v>
      </c>
      <c r="U15" s="15" t="s">
        <v>85</v>
      </c>
      <c r="V15" s="15">
        <v>0.4</v>
      </c>
      <c r="W15" s="21">
        <v>0.50160000000000005</v>
      </c>
      <c r="X15" s="24"/>
      <c r="Y15" s="24"/>
      <c r="AA15" s="15">
        <v>1230</v>
      </c>
      <c r="AB15" s="15">
        <f t="shared" si="6"/>
        <v>405.9</v>
      </c>
      <c r="AC15" s="15" t="s">
        <v>86</v>
      </c>
      <c r="AD15" s="15"/>
    </row>
    <row r="16" spans="1:32" x14ac:dyDescent="0.2">
      <c r="A16" s="15" t="s">
        <v>82</v>
      </c>
      <c r="B16" s="15" t="s">
        <v>90</v>
      </c>
      <c r="C16" s="15" t="s">
        <v>88</v>
      </c>
      <c r="D16" s="15" t="s">
        <v>17</v>
      </c>
      <c r="E16" s="16">
        <v>3</v>
      </c>
      <c r="F16" s="17">
        <v>0.25</v>
      </c>
      <c r="G16" s="18">
        <v>800</v>
      </c>
      <c r="H16" s="18">
        <f t="shared" si="13"/>
        <v>80</v>
      </c>
      <c r="I16" s="19"/>
      <c r="J16" s="48">
        <v>3.3249999999999997</v>
      </c>
      <c r="K16" s="21">
        <v>4.4189249999999998</v>
      </c>
      <c r="L16" s="22">
        <v>3.3249999999999997</v>
      </c>
      <c r="M16" s="23">
        <v>1097.25</v>
      </c>
      <c r="O16" s="15">
        <v>1.28</v>
      </c>
      <c r="P16" s="24">
        <f t="shared" si="10"/>
        <v>1404.48</v>
      </c>
      <c r="Q16" s="24">
        <v>1000</v>
      </c>
      <c r="R16" s="25">
        <f t="shared" ref="R16:R17" si="14">P16+Q16</f>
        <v>2404.48</v>
      </c>
      <c r="T16" s="18">
        <v>570000</v>
      </c>
      <c r="U16" s="15" t="s">
        <v>85</v>
      </c>
      <c r="V16" s="15">
        <v>0.4</v>
      </c>
      <c r="W16" s="21">
        <v>0.43890000000000001</v>
      </c>
      <c r="X16" s="24"/>
      <c r="Y16" s="24"/>
      <c r="AA16" s="15">
        <v>410</v>
      </c>
      <c r="AB16" s="15">
        <f t="shared" si="6"/>
        <v>135.30000000000001</v>
      </c>
      <c r="AC16" s="15" t="s">
        <v>86</v>
      </c>
      <c r="AD16" s="15"/>
    </row>
    <row r="17" spans="1:30" x14ac:dyDescent="0.2">
      <c r="A17" s="15" t="s">
        <v>82</v>
      </c>
      <c r="B17" s="15" t="s">
        <v>90</v>
      </c>
      <c r="C17" s="15" t="s">
        <v>89</v>
      </c>
      <c r="D17" s="15" t="s">
        <v>17</v>
      </c>
      <c r="E17" s="16">
        <v>3</v>
      </c>
      <c r="F17" s="17">
        <v>0.35</v>
      </c>
      <c r="G17" s="18">
        <v>1000</v>
      </c>
      <c r="H17" s="18">
        <f t="shared" si="13"/>
        <v>100</v>
      </c>
      <c r="I17" s="19"/>
      <c r="J17" s="48">
        <v>3.0874999999999999</v>
      </c>
      <c r="K17" s="21">
        <v>4.18635</v>
      </c>
      <c r="L17" s="22">
        <v>3.0874999999999999</v>
      </c>
      <c r="M17" s="23">
        <v>1018.875</v>
      </c>
      <c r="O17" s="15">
        <v>1.21</v>
      </c>
      <c r="P17" s="24">
        <f t="shared" si="10"/>
        <v>1232.8387499999999</v>
      </c>
      <c r="Q17" s="24">
        <v>1250</v>
      </c>
      <c r="R17" s="25">
        <f t="shared" si="14"/>
        <v>2482.8387499999999</v>
      </c>
      <c r="T17" s="18">
        <v>570000</v>
      </c>
      <c r="U17" s="15" t="s">
        <v>85</v>
      </c>
      <c r="V17" s="15">
        <v>0.4</v>
      </c>
      <c r="W17" s="21">
        <v>0.40755000000000002</v>
      </c>
      <c r="X17" s="24"/>
      <c r="Y17" s="24"/>
      <c r="AA17" s="15">
        <v>165</v>
      </c>
      <c r="AB17" s="15">
        <f t="shared" si="6"/>
        <v>54.45</v>
      </c>
      <c r="AC17" s="15" t="s">
        <v>86</v>
      </c>
      <c r="AD17" s="15"/>
    </row>
    <row r="18" spans="1:30" x14ac:dyDescent="0.2">
      <c r="A18" s="15" t="s">
        <v>82</v>
      </c>
      <c r="B18" s="27" t="s">
        <v>91</v>
      </c>
      <c r="C18" s="27" t="s">
        <v>92</v>
      </c>
      <c r="D18" s="15" t="s">
        <v>17</v>
      </c>
      <c r="E18" s="28">
        <v>10</v>
      </c>
      <c r="F18" s="17">
        <v>0.7</v>
      </c>
      <c r="G18" s="18">
        <v>50000</v>
      </c>
      <c r="H18" s="18">
        <f t="shared" si="13"/>
        <v>5000</v>
      </c>
      <c r="I18" s="19"/>
      <c r="J18" s="48">
        <f t="shared" ref="J18:J20" si="15">0.95*J28</f>
        <v>2.8499999999999996</v>
      </c>
      <c r="K18" s="21">
        <v>2.2000000000000002</v>
      </c>
      <c r="L18" s="22">
        <f t="shared" si="9"/>
        <v>6.27</v>
      </c>
      <c r="M18" s="23">
        <f t="shared" si="2"/>
        <v>2069.1</v>
      </c>
      <c r="O18" s="15">
        <v>1.5</v>
      </c>
      <c r="P18" s="24">
        <f t="shared" si="10"/>
        <v>3103.6499999999996</v>
      </c>
      <c r="Q18" s="24">
        <v>1250</v>
      </c>
      <c r="R18" s="25">
        <f t="shared" si="11"/>
        <v>4353.6499999999996</v>
      </c>
      <c r="T18" s="18">
        <v>570000</v>
      </c>
      <c r="U18" s="15" t="s">
        <v>85</v>
      </c>
      <c r="V18" s="29">
        <v>0.15</v>
      </c>
      <c r="W18" s="21">
        <f t="shared" si="12"/>
        <v>0.31036499999999995</v>
      </c>
      <c r="X18" s="24" t="s">
        <v>85</v>
      </c>
      <c r="Y18" s="24" t="s">
        <v>85</v>
      </c>
      <c r="AA18" s="15">
        <v>60</v>
      </c>
      <c r="AB18" s="15">
        <f t="shared" si="6"/>
        <v>19.8</v>
      </c>
      <c r="AC18" s="15" t="s">
        <v>93</v>
      </c>
      <c r="AD18" s="15"/>
    </row>
    <row r="19" spans="1:30" x14ac:dyDescent="0.2">
      <c r="A19" s="15" t="s">
        <v>82</v>
      </c>
      <c r="B19" s="30" t="s">
        <v>94</v>
      </c>
      <c r="C19" s="27" t="s">
        <v>95</v>
      </c>
      <c r="D19" s="15" t="s">
        <v>17</v>
      </c>
      <c r="E19" s="28">
        <v>10</v>
      </c>
      <c r="F19" s="17">
        <v>0.75</v>
      </c>
      <c r="G19" s="18">
        <v>1250</v>
      </c>
      <c r="H19" s="18">
        <f t="shared" si="13"/>
        <v>125</v>
      </c>
      <c r="I19" s="19"/>
      <c r="J19" s="48">
        <f t="shared" si="15"/>
        <v>2.8499999999999996</v>
      </c>
      <c r="K19" s="21">
        <v>2</v>
      </c>
      <c r="L19" s="22">
        <f t="shared" si="9"/>
        <v>5.6999999999999993</v>
      </c>
      <c r="M19" s="23">
        <f t="shared" si="2"/>
        <v>1880.9999999999998</v>
      </c>
      <c r="O19" s="15">
        <v>6.38</v>
      </c>
      <c r="P19" s="24">
        <f t="shared" si="10"/>
        <v>12000.779999999999</v>
      </c>
      <c r="Q19" s="24">
        <v>1250</v>
      </c>
      <c r="R19" s="25">
        <f t="shared" si="11"/>
        <v>13250.779999999999</v>
      </c>
      <c r="T19" s="18">
        <v>570000</v>
      </c>
      <c r="U19" s="15" t="s">
        <v>85</v>
      </c>
      <c r="V19" s="15">
        <v>0.23</v>
      </c>
      <c r="W19" s="21">
        <f t="shared" si="12"/>
        <v>0.43262999999999996</v>
      </c>
      <c r="X19" s="24" t="s">
        <v>85</v>
      </c>
      <c r="Y19" s="24" t="s">
        <v>85</v>
      </c>
      <c r="AA19" s="15">
        <v>64</v>
      </c>
      <c r="AB19" s="15">
        <f t="shared" si="6"/>
        <v>21.12</v>
      </c>
      <c r="AC19" s="15" t="s">
        <v>96</v>
      </c>
      <c r="AD19" s="15"/>
    </row>
    <row r="20" spans="1:30" x14ac:dyDescent="0.2">
      <c r="A20" s="15" t="s">
        <v>97</v>
      </c>
      <c r="B20" s="30" t="s">
        <v>98</v>
      </c>
      <c r="C20" s="27" t="s">
        <v>99</v>
      </c>
      <c r="D20" s="15" t="s">
        <v>17</v>
      </c>
      <c r="E20" s="28">
        <v>10</v>
      </c>
      <c r="F20" s="17">
        <v>0.75</v>
      </c>
      <c r="G20" s="18">
        <v>1300</v>
      </c>
      <c r="H20" s="18">
        <f t="shared" si="13"/>
        <v>130</v>
      </c>
      <c r="I20" s="19"/>
      <c r="J20" s="48">
        <f t="shared" si="15"/>
        <v>2.8499999999999996</v>
      </c>
      <c r="K20" s="21">
        <v>2</v>
      </c>
      <c r="L20" s="22">
        <f t="shared" si="9"/>
        <v>5.6999999999999993</v>
      </c>
      <c r="M20" s="23">
        <f t="shared" si="2"/>
        <v>1880.9999999999998</v>
      </c>
      <c r="O20" s="15">
        <v>5.86</v>
      </c>
      <c r="P20" s="24">
        <f t="shared" si="10"/>
        <v>11022.66</v>
      </c>
      <c r="Q20" s="24">
        <v>1250</v>
      </c>
      <c r="R20" s="25">
        <f t="shared" si="11"/>
        <v>12272.66</v>
      </c>
      <c r="T20" s="18">
        <v>712500</v>
      </c>
      <c r="U20" s="15" t="s">
        <v>85</v>
      </c>
      <c r="V20" s="15">
        <v>0.2</v>
      </c>
      <c r="W20" s="21">
        <f t="shared" si="12"/>
        <v>0.37619999999999998</v>
      </c>
      <c r="X20" s="24" t="s">
        <v>85</v>
      </c>
      <c r="Y20" s="24" t="s">
        <v>85</v>
      </c>
      <c r="AA20" s="15">
        <v>47</v>
      </c>
      <c r="AB20" s="15">
        <f t="shared" si="6"/>
        <v>15.51</v>
      </c>
      <c r="AC20" s="15" t="s">
        <v>96</v>
      </c>
      <c r="AD20" s="15"/>
    </row>
    <row r="21" spans="1:30" ht="17" thickBot="1" x14ac:dyDescent="0.25">
      <c r="A21" s="31" t="s">
        <v>97</v>
      </c>
      <c r="B21" s="32" t="s">
        <v>94</v>
      </c>
      <c r="C21" s="33" t="s">
        <v>95</v>
      </c>
      <c r="D21" s="31" t="s">
        <v>17</v>
      </c>
      <c r="E21" s="34">
        <v>10</v>
      </c>
      <c r="F21" s="35">
        <v>0.75</v>
      </c>
      <c r="G21" s="36">
        <v>1300</v>
      </c>
      <c r="H21" s="36">
        <f>G21*0.1</f>
        <v>130</v>
      </c>
      <c r="I21" s="37"/>
      <c r="J21" s="38">
        <f>0.95*J31</f>
        <v>2.8499999999999996</v>
      </c>
      <c r="K21" s="39">
        <v>2</v>
      </c>
      <c r="L21" s="38">
        <f t="shared" si="9"/>
        <v>5.6999999999999993</v>
      </c>
      <c r="M21" s="40">
        <f t="shared" si="2"/>
        <v>1880.9999999999998</v>
      </c>
      <c r="N21" s="41"/>
      <c r="O21" s="31">
        <v>6.38</v>
      </c>
      <c r="P21" s="42">
        <f t="shared" si="10"/>
        <v>12000.779999999999</v>
      </c>
      <c r="Q21" s="42">
        <v>1250</v>
      </c>
      <c r="R21" s="43">
        <f t="shared" si="11"/>
        <v>13250.779999999999</v>
      </c>
      <c r="S21" s="41"/>
      <c r="T21" s="36">
        <v>712500</v>
      </c>
      <c r="U21" s="31"/>
      <c r="V21" s="31">
        <v>0.23</v>
      </c>
      <c r="W21" s="39">
        <f t="shared" si="12"/>
        <v>0.43262999999999996</v>
      </c>
      <c r="X21" s="42" t="s">
        <v>85</v>
      </c>
      <c r="Y21" s="42" t="s">
        <v>85</v>
      </c>
      <c r="AA21" s="15">
        <v>64</v>
      </c>
      <c r="AB21" s="15">
        <f t="shared" si="6"/>
        <v>21.12</v>
      </c>
      <c r="AC21" s="15" t="s">
        <v>96</v>
      </c>
      <c r="AD21" s="15"/>
    </row>
    <row r="22" spans="1:30" ht="17" thickTop="1" x14ac:dyDescent="0.2">
      <c r="A22" s="44" t="s">
        <v>82</v>
      </c>
      <c r="B22" s="44" t="s">
        <v>83</v>
      </c>
      <c r="C22" s="44" t="s">
        <v>84</v>
      </c>
      <c r="D22" s="44" t="s">
        <v>18</v>
      </c>
      <c r="E22" s="45">
        <v>1</v>
      </c>
      <c r="F22" s="46">
        <v>0.15</v>
      </c>
      <c r="G22" s="47">
        <v>0</v>
      </c>
      <c r="H22" s="47">
        <f>G22*0.1</f>
        <v>0</v>
      </c>
      <c r="I22" s="19"/>
      <c r="J22" s="48">
        <v>4</v>
      </c>
      <c r="K22" s="49">
        <v>4.43</v>
      </c>
      <c r="L22" s="50">
        <f>J22*K22</f>
        <v>17.72</v>
      </c>
      <c r="M22" s="51">
        <f>L22*330</f>
        <v>5847.5999999999995</v>
      </c>
      <c r="O22" s="44">
        <v>1.41</v>
      </c>
      <c r="P22" s="52">
        <f>O22*M22</f>
        <v>8245.1159999999982</v>
      </c>
      <c r="Q22" s="52">
        <v>1000</v>
      </c>
      <c r="R22" s="53">
        <f>P22+Q22</f>
        <v>9245.1159999999982</v>
      </c>
      <c r="T22" s="47">
        <v>900000</v>
      </c>
      <c r="U22" s="44" t="s">
        <v>85</v>
      </c>
      <c r="V22" s="44">
        <v>0.4</v>
      </c>
      <c r="W22" s="49">
        <f>(M22*V22)/(10^3)</f>
        <v>2.3390399999999998</v>
      </c>
      <c r="X22" s="52" t="s">
        <v>85</v>
      </c>
      <c r="Y22" s="52" t="s">
        <v>85</v>
      </c>
      <c r="AA22" s="15">
        <v>1230</v>
      </c>
      <c r="AB22" s="15">
        <f t="shared" si="6"/>
        <v>405.9</v>
      </c>
      <c r="AC22" s="15" t="s">
        <v>86</v>
      </c>
      <c r="AD22" s="15"/>
    </row>
    <row r="23" spans="1:30" x14ac:dyDescent="0.2">
      <c r="A23" s="15" t="s">
        <v>82</v>
      </c>
      <c r="B23" s="15" t="s">
        <v>83</v>
      </c>
      <c r="C23" s="15" t="s">
        <v>88</v>
      </c>
      <c r="D23" s="15" t="s">
        <v>18</v>
      </c>
      <c r="E23" s="16">
        <v>3</v>
      </c>
      <c r="F23" s="17">
        <v>0.25</v>
      </c>
      <c r="G23" s="18">
        <v>900</v>
      </c>
      <c r="H23" s="18">
        <f>G23*0.1</f>
        <v>90</v>
      </c>
      <c r="I23" s="19"/>
      <c r="J23" s="20">
        <v>3.5</v>
      </c>
      <c r="K23" s="21">
        <v>4.2084999999999999</v>
      </c>
      <c r="L23" s="22">
        <f t="shared" ref="L23:L31" si="16">J23*K23</f>
        <v>14.729749999999999</v>
      </c>
      <c r="M23" s="23">
        <f t="shared" si="2"/>
        <v>4860.8175000000001</v>
      </c>
      <c r="O23" s="15">
        <v>1.34</v>
      </c>
      <c r="P23" s="24">
        <f t="shared" ref="P23:P31" si="17">O23*M23</f>
        <v>6513.4954500000003</v>
      </c>
      <c r="Q23" s="24">
        <v>1250</v>
      </c>
      <c r="R23" s="25">
        <f t="shared" ref="R23:R31" si="18">P23+Q23</f>
        <v>7763.4954500000003</v>
      </c>
      <c r="T23" s="18">
        <v>900000</v>
      </c>
      <c r="U23" s="15" t="s">
        <v>85</v>
      </c>
      <c r="V23" s="15">
        <v>0.4</v>
      </c>
      <c r="W23" s="21">
        <f t="shared" ref="W23:W31" si="19">(M23*V23)/(10^3)</f>
        <v>1.9443270000000001</v>
      </c>
      <c r="X23" s="24" t="s">
        <v>85</v>
      </c>
      <c r="Y23" s="24" t="s">
        <v>85</v>
      </c>
      <c r="AA23" s="15">
        <v>410</v>
      </c>
      <c r="AB23" s="15">
        <f t="shared" si="6"/>
        <v>135.30000000000001</v>
      </c>
      <c r="AC23" s="15" t="s">
        <v>86</v>
      </c>
      <c r="AD23" s="15"/>
    </row>
    <row r="24" spans="1:30" x14ac:dyDescent="0.2">
      <c r="A24" s="15" t="s">
        <v>82</v>
      </c>
      <c r="B24" s="15" t="s">
        <v>83</v>
      </c>
      <c r="C24" s="15" t="s">
        <v>89</v>
      </c>
      <c r="D24" s="15" t="s">
        <v>18</v>
      </c>
      <c r="E24" s="16">
        <v>3</v>
      </c>
      <c r="F24" s="17">
        <v>0.35</v>
      </c>
      <c r="G24" s="18">
        <v>1000</v>
      </c>
      <c r="H24" s="18">
        <f t="shared" ref="H24:H30" si="20">G24*0.1</f>
        <v>100</v>
      </c>
      <c r="I24" s="19"/>
      <c r="J24" s="20">
        <v>3.25</v>
      </c>
      <c r="K24" s="21">
        <v>3.9869999999999997</v>
      </c>
      <c r="L24" s="22">
        <f t="shared" si="16"/>
        <v>12.957749999999999</v>
      </c>
      <c r="M24" s="23">
        <f t="shared" si="2"/>
        <v>4276.0574999999999</v>
      </c>
      <c r="O24" s="15">
        <v>1.27</v>
      </c>
      <c r="P24" s="24">
        <f t="shared" si="17"/>
        <v>5430.5930250000001</v>
      </c>
      <c r="Q24" s="24">
        <v>1500</v>
      </c>
      <c r="R24" s="25">
        <f t="shared" si="18"/>
        <v>6930.5930250000001</v>
      </c>
      <c r="T24" s="18">
        <v>900000</v>
      </c>
      <c r="U24" s="15" t="s">
        <v>85</v>
      </c>
      <c r="V24" s="15">
        <v>0.4</v>
      </c>
      <c r="W24" s="21">
        <f t="shared" si="19"/>
        <v>1.710423</v>
      </c>
      <c r="X24" s="24" t="s">
        <v>85</v>
      </c>
      <c r="Y24" s="24" t="s">
        <v>85</v>
      </c>
      <c r="AA24" s="15">
        <v>165</v>
      </c>
      <c r="AB24" s="15">
        <f t="shared" si="6"/>
        <v>54.45</v>
      </c>
      <c r="AC24" s="15" t="s">
        <v>86</v>
      </c>
      <c r="AD24" s="15"/>
    </row>
    <row r="25" spans="1:30" x14ac:dyDescent="0.2">
      <c r="A25" s="15" t="s">
        <v>82</v>
      </c>
      <c r="B25" s="15" t="s">
        <v>90</v>
      </c>
      <c r="C25" s="15" t="s">
        <v>84</v>
      </c>
      <c r="D25" s="15" t="s">
        <v>18</v>
      </c>
      <c r="E25" s="16">
        <v>1</v>
      </c>
      <c r="F25" s="17">
        <v>0.15</v>
      </c>
      <c r="G25" s="18">
        <v>700</v>
      </c>
      <c r="H25" s="18">
        <f t="shared" si="20"/>
        <v>70</v>
      </c>
      <c r="I25" s="19"/>
      <c r="J25" s="20">
        <v>4</v>
      </c>
      <c r="K25" s="21">
        <v>4.6514999999999995</v>
      </c>
      <c r="L25" s="22">
        <v>4</v>
      </c>
      <c r="M25" s="23">
        <v>1320</v>
      </c>
      <c r="O25" s="15">
        <v>1.35</v>
      </c>
      <c r="P25" s="24">
        <f t="shared" si="17"/>
        <v>1782.0000000000002</v>
      </c>
      <c r="Q25" s="52">
        <v>1000</v>
      </c>
      <c r="R25" s="25">
        <f>P25+Q25</f>
        <v>2782</v>
      </c>
      <c r="T25" s="18">
        <v>900000</v>
      </c>
      <c r="U25" s="15" t="s">
        <v>85</v>
      </c>
      <c r="V25" s="15">
        <v>0.4</v>
      </c>
      <c r="W25" s="21">
        <v>0.52800000000000002</v>
      </c>
      <c r="X25" s="24"/>
      <c r="Y25" s="24"/>
      <c r="AA25" s="15">
        <v>1230</v>
      </c>
      <c r="AB25" s="15">
        <f t="shared" si="6"/>
        <v>405.9</v>
      </c>
      <c r="AC25" s="15" t="s">
        <v>86</v>
      </c>
      <c r="AD25" s="15"/>
    </row>
    <row r="26" spans="1:30" x14ac:dyDescent="0.2">
      <c r="A26" s="15" t="s">
        <v>82</v>
      </c>
      <c r="B26" s="15" t="s">
        <v>90</v>
      </c>
      <c r="C26" s="15" t="s">
        <v>88</v>
      </c>
      <c r="D26" s="15" t="s">
        <v>18</v>
      </c>
      <c r="E26" s="16">
        <v>3</v>
      </c>
      <c r="F26" s="17">
        <v>0.25</v>
      </c>
      <c r="G26" s="18">
        <v>900</v>
      </c>
      <c r="H26" s="18">
        <f t="shared" si="20"/>
        <v>90</v>
      </c>
      <c r="I26" s="19"/>
      <c r="J26" s="20">
        <v>3.5</v>
      </c>
      <c r="K26" s="21">
        <v>4.4189249999999998</v>
      </c>
      <c r="L26" s="22">
        <v>3.5</v>
      </c>
      <c r="M26" s="23">
        <v>1155</v>
      </c>
      <c r="O26" s="15">
        <v>1.28</v>
      </c>
      <c r="P26" s="24">
        <f t="shared" si="17"/>
        <v>1478.4</v>
      </c>
      <c r="Q26" s="24">
        <v>1250</v>
      </c>
      <c r="R26" s="25">
        <f t="shared" ref="R26:R27" si="21">P26+Q26</f>
        <v>2728.4</v>
      </c>
      <c r="T26" s="18">
        <v>900000</v>
      </c>
      <c r="U26" s="15" t="s">
        <v>85</v>
      </c>
      <c r="V26" s="15">
        <v>0.4</v>
      </c>
      <c r="W26" s="21">
        <v>0.46200000000000002</v>
      </c>
      <c r="X26" s="24"/>
      <c r="Y26" s="24"/>
      <c r="AA26" s="15">
        <v>410</v>
      </c>
      <c r="AB26" s="15">
        <f t="shared" si="6"/>
        <v>135.30000000000001</v>
      </c>
      <c r="AC26" s="15" t="s">
        <v>86</v>
      </c>
      <c r="AD26" s="15"/>
    </row>
    <row r="27" spans="1:30" x14ac:dyDescent="0.2">
      <c r="A27" s="15" t="s">
        <v>82</v>
      </c>
      <c r="B27" s="15" t="s">
        <v>90</v>
      </c>
      <c r="C27" s="15" t="s">
        <v>89</v>
      </c>
      <c r="D27" s="15" t="s">
        <v>18</v>
      </c>
      <c r="E27" s="16">
        <v>3</v>
      </c>
      <c r="F27" s="17">
        <v>0.35</v>
      </c>
      <c r="G27" s="18">
        <v>1000</v>
      </c>
      <c r="H27" s="18">
        <f t="shared" si="20"/>
        <v>100</v>
      </c>
      <c r="I27" s="19"/>
      <c r="J27" s="20">
        <v>3.25</v>
      </c>
      <c r="K27" s="21">
        <v>4.18635</v>
      </c>
      <c r="L27" s="22">
        <v>3.25</v>
      </c>
      <c r="M27" s="23">
        <v>1072.5</v>
      </c>
      <c r="O27" s="15">
        <v>1.21</v>
      </c>
      <c r="P27" s="24">
        <f t="shared" si="17"/>
        <v>1297.7249999999999</v>
      </c>
      <c r="Q27" s="24">
        <v>1500</v>
      </c>
      <c r="R27" s="25">
        <f t="shared" si="21"/>
        <v>2797.7249999999999</v>
      </c>
      <c r="T27" s="18">
        <v>900000</v>
      </c>
      <c r="U27" s="15" t="s">
        <v>85</v>
      </c>
      <c r="V27" s="15">
        <v>0.4</v>
      </c>
      <c r="W27" s="21">
        <v>0.42899999999999999</v>
      </c>
      <c r="X27" s="24"/>
      <c r="Y27" s="24"/>
      <c r="AA27" s="15">
        <v>165</v>
      </c>
      <c r="AB27" s="15">
        <f t="shared" si="6"/>
        <v>54.45</v>
      </c>
      <c r="AC27" s="15" t="s">
        <v>86</v>
      </c>
      <c r="AD27" s="15"/>
    </row>
    <row r="28" spans="1:30" x14ac:dyDescent="0.2">
      <c r="A28" s="15" t="s">
        <v>82</v>
      </c>
      <c r="B28" s="27" t="s">
        <v>91</v>
      </c>
      <c r="C28" s="27" t="s">
        <v>92</v>
      </c>
      <c r="D28" s="15" t="s">
        <v>18</v>
      </c>
      <c r="E28" s="28">
        <v>10</v>
      </c>
      <c r="F28" s="17">
        <v>0.7</v>
      </c>
      <c r="G28" s="18">
        <v>60000</v>
      </c>
      <c r="H28" s="18">
        <f t="shared" si="20"/>
        <v>6000</v>
      </c>
      <c r="I28" s="19"/>
      <c r="J28" s="22">
        <v>3</v>
      </c>
      <c r="K28" s="21">
        <v>2.2000000000000002</v>
      </c>
      <c r="L28" s="22">
        <f t="shared" si="16"/>
        <v>6.6000000000000005</v>
      </c>
      <c r="M28" s="23">
        <f t="shared" si="2"/>
        <v>2178</v>
      </c>
      <c r="O28" s="15">
        <v>1.5</v>
      </c>
      <c r="P28" s="24">
        <f t="shared" si="17"/>
        <v>3267</v>
      </c>
      <c r="Q28" s="24">
        <v>1500</v>
      </c>
      <c r="R28" s="25">
        <f t="shared" si="18"/>
        <v>4767</v>
      </c>
      <c r="T28" s="18">
        <v>900000</v>
      </c>
      <c r="U28" s="15" t="s">
        <v>85</v>
      </c>
      <c r="V28" s="29">
        <v>0.15</v>
      </c>
      <c r="W28" s="21">
        <f t="shared" si="19"/>
        <v>0.32669999999999999</v>
      </c>
      <c r="X28" s="24" t="s">
        <v>85</v>
      </c>
      <c r="Y28" s="24" t="s">
        <v>85</v>
      </c>
      <c r="AA28" s="15">
        <v>60</v>
      </c>
      <c r="AB28" s="15">
        <f t="shared" si="6"/>
        <v>19.8</v>
      </c>
      <c r="AC28" s="15" t="s">
        <v>93</v>
      </c>
      <c r="AD28" s="15"/>
    </row>
    <row r="29" spans="1:30" x14ac:dyDescent="0.2">
      <c r="A29" s="15" t="s">
        <v>82</v>
      </c>
      <c r="B29" s="30" t="s">
        <v>94</v>
      </c>
      <c r="C29" s="27" t="s">
        <v>95</v>
      </c>
      <c r="D29" s="15" t="s">
        <v>18</v>
      </c>
      <c r="E29" s="28">
        <v>10</v>
      </c>
      <c r="F29" s="17">
        <v>0.8</v>
      </c>
      <c r="G29" s="18">
        <v>2000</v>
      </c>
      <c r="H29" s="18">
        <f t="shared" si="20"/>
        <v>200</v>
      </c>
      <c r="I29" s="19"/>
      <c r="J29" s="22">
        <v>3</v>
      </c>
      <c r="K29" s="21">
        <v>2</v>
      </c>
      <c r="L29" s="22">
        <f t="shared" si="16"/>
        <v>6</v>
      </c>
      <c r="M29" s="23">
        <f t="shared" si="2"/>
        <v>1980</v>
      </c>
      <c r="O29" s="15">
        <v>6.38</v>
      </c>
      <c r="P29" s="24">
        <f t="shared" si="17"/>
        <v>12632.4</v>
      </c>
      <c r="Q29" s="24">
        <v>1500</v>
      </c>
      <c r="R29" s="25">
        <f t="shared" si="18"/>
        <v>14132.4</v>
      </c>
      <c r="T29" s="18">
        <v>900000</v>
      </c>
      <c r="U29" s="15" t="s">
        <v>85</v>
      </c>
      <c r="V29" s="15">
        <v>0.23</v>
      </c>
      <c r="W29" s="21">
        <f t="shared" si="19"/>
        <v>0.45540000000000003</v>
      </c>
      <c r="X29" s="24" t="s">
        <v>85</v>
      </c>
      <c r="Y29" s="24" t="s">
        <v>85</v>
      </c>
      <c r="AA29" s="15">
        <v>64</v>
      </c>
      <c r="AB29" s="15">
        <f t="shared" si="6"/>
        <v>21.12</v>
      </c>
      <c r="AC29" s="15" t="s">
        <v>96</v>
      </c>
      <c r="AD29" s="15"/>
    </row>
    <row r="30" spans="1:30" x14ac:dyDescent="0.2">
      <c r="A30" s="15" t="s">
        <v>97</v>
      </c>
      <c r="B30" s="30" t="s">
        <v>98</v>
      </c>
      <c r="C30" s="27" t="s">
        <v>99</v>
      </c>
      <c r="D30" s="15" t="s">
        <v>18</v>
      </c>
      <c r="E30" s="28">
        <v>10</v>
      </c>
      <c r="F30" s="17">
        <v>0.8</v>
      </c>
      <c r="G30" s="18">
        <v>2500</v>
      </c>
      <c r="H30" s="18">
        <f t="shared" si="20"/>
        <v>250</v>
      </c>
      <c r="I30" s="19"/>
      <c r="J30" s="22">
        <v>3</v>
      </c>
      <c r="K30" s="21">
        <v>2</v>
      </c>
      <c r="L30" s="22">
        <f t="shared" si="16"/>
        <v>6</v>
      </c>
      <c r="M30" s="23">
        <f t="shared" si="2"/>
        <v>1980</v>
      </c>
      <c r="O30" s="15">
        <v>5.86</v>
      </c>
      <c r="P30" s="24">
        <f t="shared" si="17"/>
        <v>11602.800000000001</v>
      </c>
      <c r="Q30" s="24">
        <v>1500</v>
      </c>
      <c r="R30" s="25">
        <f t="shared" si="18"/>
        <v>13102.800000000001</v>
      </c>
      <c r="T30" s="18">
        <v>1125000</v>
      </c>
      <c r="U30" s="15" t="s">
        <v>85</v>
      </c>
      <c r="V30" s="15">
        <v>0.2</v>
      </c>
      <c r="W30" s="21">
        <f t="shared" si="19"/>
        <v>0.39600000000000002</v>
      </c>
      <c r="X30" s="24" t="s">
        <v>85</v>
      </c>
      <c r="Y30" s="24" t="s">
        <v>85</v>
      </c>
      <c r="AA30" s="15">
        <v>47</v>
      </c>
      <c r="AB30" s="15">
        <f t="shared" si="6"/>
        <v>15.51</v>
      </c>
      <c r="AC30" s="15" t="s">
        <v>96</v>
      </c>
      <c r="AD30" s="15"/>
    </row>
    <row r="31" spans="1:30" ht="17" thickBot="1" x14ac:dyDescent="0.25">
      <c r="A31" s="31" t="s">
        <v>97</v>
      </c>
      <c r="B31" s="32" t="s">
        <v>94</v>
      </c>
      <c r="C31" s="33" t="s">
        <v>95</v>
      </c>
      <c r="D31" s="31" t="s">
        <v>18</v>
      </c>
      <c r="E31" s="34">
        <v>10</v>
      </c>
      <c r="F31" s="35">
        <v>0.8</v>
      </c>
      <c r="G31" s="36">
        <v>2000</v>
      </c>
      <c r="H31" s="36">
        <f>G31*0.1</f>
        <v>200</v>
      </c>
      <c r="I31" s="37"/>
      <c r="J31" s="38">
        <v>3</v>
      </c>
      <c r="K31" s="39">
        <v>2</v>
      </c>
      <c r="L31" s="38">
        <f t="shared" si="16"/>
        <v>6</v>
      </c>
      <c r="M31" s="40">
        <f t="shared" si="2"/>
        <v>1980</v>
      </c>
      <c r="N31" s="41"/>
      <c r="O31" s="31">
        <v>6.38</v>
      </c>
      <c r="P31" s="42">
        <f t="shared" si="17"/>
        <v>12632.4</v>
      </c>
      <c r="Q31" s="42">
        <v>1500</v>
      </c>
      <c r="R31" s="43">
        <f t="shared" si="18"/>
        <v>14132.4</v>
      </c>
      <c r="S31" s="41"/>
      <c r="T31" s="36">
        <v>1125000</v>
      </c>
      <c r="U31" s="31" t="s">
        <v>85</v>
      </c>
      <c r="V31" s="31">
        <v>0.23</v>
      </c>
      <c r="W31" s="39">
        <f t="shared" si="19"/>
        <v>0.45540000000000003</v>
      </c>
      <c r="X31" s="42" t="s">
        <v>85</v>
      </c>
      <c r="Y31" s="42" t="s">
        <v>85</v>
      </c>
      <c r="AA31" s="15">
        <v>64</v>
      </c>
      <c r="AB31" s="15">
        <f t="shared" si="6"/>
        <v>21.12</v>
      </c>
      <c r="AC31" s="15" t="s">
        <v>96</v>
      </c>
      <c r="AD31" s="15"/>
    </row>
    <row r="32" spans="1:30" ht="17" thickTop="1" x14ac:dyDescent="0.2"/>
  </sheetData>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26616-F711-4017-8C1E-B6FECBA0175D}">
  <dimension ref="A1:E17"/>
  <sheetViews>
    <sheetView workbookViewId="0">
      <selection activeCell="B17" sqref="B17"/>
    </sheetView>
  </sheetViews>
  <sheetFormatPr baseColWidth="10" defaultColWidth="8.83203125" defaultRowHeight="15" x14ac:dyDescent="0.2"/>
  <sheetData>
    <row r="1" spans="1:5" x14ac:dyDescent="0.2">
      <c r="A1" s="108" t="s">
        <v>211</v>
      </c>
      <c r="B1" s="108" t="s">
        <v>132</v>
      </c>
      <c r="C1" s="108" t="s">
        <v>210</v>
      </c>
      <c r="D1" s="108" t="s">
        <v>133</v>
      </c>
      <c r="E1" s="108" t="s">
        <v>134</v>
      </c>
    </row>
    <row r="2" spans="1:5" x14ac:dyDescent="0.2">
      <c r="A2" t="s">
        <v>135</v>
      </c>
      <c r="B2" t="s">
        <v>135</v>
      </c>
      <c r="C2" s="7">
        <v>13.5</v>
      </c>
      <c r="D2" s="7">
        <v>250</v>
      </c>
      <c r="E2" s="6">
        <v>0.20249999999999999</v>
      </c>
    </row>
    <row r="3" spans="1:5" x14ac:dyDescent="0.2">
      <c r="A3" t="s">
        <v>136</v>
      </c>
      <c r="B3" t="s">
        <v>136</v>
      </c>
      <c r="C3" s="7">
        <v>20</v>
      </c>
      <c r="D3" s="7">
        <v>500</v>
      </c>
      <c r="E3" s="6">
        <v>0.15</v>
      </c>
    </row>
    <row r="4" spans="1:5" x14ac:dyDescent="0.2">
      <c r="A4" t="s">
        <v>212</v>
      </c>
      <c r="B4" t="s">
        <v>212</v>
      </c>
      <c r="C4" s="7">
        <v>25</v>
      </c>
      <c r="D4" s="7">
        <v>200</v>
      </c>
      <c r="E4" s="6">
        <v>0.32727272727272727</v>
      </c>
    </row>
    <row r="5" spans="1:5" x14ac:dyDescent="0.2">
      <c r="A5" t="s">
        <v>221</v>
      </c>
      <c r="B5" t="s">
        <v>221</v>
      </c>
      <c r="C5" s="7">
        <v>19</v>
      </c>
      <c r="D5" s="7">
        <v>500</v>
      </c>
      <c r="E5" s="6">
        <v>0.40714285714285708</v>
      </c>
    </row>
    <row r="6" spans="1:5" x14ac:dyDescent="0.2">
      <c r="A6" t="s">
        <v>222</v>
      </c>
      <c r="B6" t="s">
        <v>222</v>
      </c>
      <c r="C6" s="7">
        <v>20.5</v>
      </c>
      <c r="D6" s="7">
        <v>500</v>
      </c>
      <c r="E6" s="6">
        <v>0.43928571428571428</v>
      </c>
    </row>
    <row r="7" spans="1:5" x14ac:dyDescent="0.2">
      <c r="A7" t="s">
        <v>137</v>
      </c>
      <c r="B7" t="s">
        <v>137</v>
      </c>
      <c r="C7" s="7">
        <v>38</v>
      </c>
      <c r="D7" s="7">
        <v>500</v>
      </c>
      <c r="E7" s="6">
        <v>0.81428571428571428</v>
      </c>
    </row>
    <row r="8" spans="1:5" x14ac:dyDescent="0.2">
      <c r="A8" t="s">
        <v>138</v>
      </c>
      <c r="B8" t="s">
        <v>138</v>
      </c>
      <c r="C8" s="7">
        <v>15</v>
      </c>
      <c r="D8" s="7">
        <v>300</v>
      </c>
      <c r="E8" s="6">
        <v>0.24</v>
      </c>
    </row>
    <row r="9" spans="1:5" x14ac:dyDescent="0.2">
      <c r="A9" t="s">
        <v>139</v>
      </c>
      <c r="B9" t="s">
        <v>139</v>
      </c>
      <c r="C9" s="7">
        <v>20</v>
      </c>
      <c r="D9" s="7">
        <v>500</v>
      </c>
      <c r="E9" s="6">
        <v>0.15</v>
      </c>
    </row>
    <row r="10" spans="1:5" x14ac:dyDescent="0.2">
      <c r="A10" t="s">
        <v>213</v>
      </c>
      <c r="B10" t="s">
        <v>213</v>
      </c>
      <c r="C10" s="7">
        <v>20</v>
      </c>
      <c r="D10" s="7">
        <v>500</v>
      </c>
      <c r="E10" s="6">
        <v>0.15</v>
      </c>
    </row>
    <row r="11" spans="1:5" x14ac:dyDescent="0.2">
      <c r="A11" t="s">
        <v>219</v>
      </c>
      <c r="B11" t="s">
        <v>219</v>
      </c>
      <c r="C11" s="7">
        <v>37.5</v>
      </c>
      <c r="D11" s="7">
        <v>300</v>
      </c>
      <c r="E11" s="6">
        <v>0.6</v>
      </c>
    </row>
    <row r="12" spans="1:5" x14ac:dyDescent="0.2">
      <c r="A12" t="s">
        <v>220</v>
      </c>
      <c r="B12" t="s">
        <v>220</v>
      </c>
      <c r="C12" s="7">
        <v>56.25</v>
      </c>
      <c r="D12" s="7">
        <v>300</v>
      </c>
      <c r="E12" s="6">
        <v>0.89999999999999991</v>
      </c>
    </row>
    <row r="13" spans="1:5" x14ac:dyDescent="0.2">
      <c r="A13" t="s">
        <v>140</v>
      </c>
      <c r="B13" t="s">
        <v>140</v>
      </c>
      <c r="C13" s="7">
        <v>15</v>
      </c>
      <c r="D13" s="7">
        <v>1000</v>
      </c>
      <c r="E13" s="6">
        <v>0.33</v>
      </c>
    </row>
    <row r="14" spans="1:5" x14ac:dyDescent="0.2">
      <c r="A14" t="s">
        <v>214</v>
      </c>
      <c r="B14" t="s">
        <v>214</v>
      </c>
      <c r="C14" s="7">
        <v>15</v>
      </c>
      <c r="D14" s="7">
        <v>1000</v>
      </c>
      <c r="E14" s="6">
        <v>0.33</v>
      </c>
    </row>
    <row r="15" spans="1:5" x14ac:dyDescent="0.2">
      <c r="A15" t="s">
        <v>223</v>
      </c>
      <c r="B15" t="s">
        <v>223</v>
      </c>
      <c r="C15" s="7">
        <v>38</v>
      </c>
      <c r="D15" s="7">
        <v>500</v>
      </c>
      <c r="E15" s="6">
        <v>0.81428571428571428</v>
      </c>
    </row>
    <row r="16" spans="1:5" x14ac:dyDescent="0.2">
      <c r="A16" t="s">
        <v>225</v>
      </c>
      <c r="B16" t="s">
        <v>225</v>
      </c>
      <c r="C16" s="7">
        <v>20.5</v>
      </c>
      <c r="D16" s="7">
        <v>500</v>
      </c>
      <c r="E16" s="6">
        <v>0.43928571428571428</v>
      </c>
    </row>
    <row r="17" spans="1:5" x14ac:dyDescent="0.2">
      <c r="A17" t="s">
        <v>229</v>
      </c>
      <c r="B17" t="s">
        <v>229</v>
      </c>
      <c r="C17" s="7">
        <v>20.5</v>
      </c>
      <c r="D17" s="7">
        <v>500</v>
      </c>
      <c r="E17" s="6">
        <v>0.43928571428571428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A91E-E896-4A38-A377-B92389BDF1C0}">
  <dimension ref="A1:F37"/>
  <sheetViews>
    <sheetView showGridLines="0" topLeftCell="A10" workbookViewId="0">
      <selection activeCell="C2" sqref="C2:F37"/>
    </sheetView>
  </sheetViews>
  <sheetFormatPr baseColWidth="10" defaultColWidth="8.83203125" defaultRowHeight="15" x14ac:dyDescent="0.2"/>
  <cols>
    <col min="1" max="1" width="25.83203125" customWidth="1"/>
    <col min="2" max="2" width="25.5" bestFit="1" customWidth="1"/>
  </cols>
  <sheetData>
    <row r="1" spans="1:6" x14ac:dyDescent="0.2">
      <c r="A1" s="2" t="s">
        <v>54</v>
      </c>
      <c r="B1" s="2" t="s">
        <v>14</v>
      </c>
      <c r="C1" s="2" t="s">
        <v>15</v>
      </c>
      <c r="D1" s="2" t="s">
        <v>16</v>
      </c>
      <c r="E1" s="2" t="s">
        <v>17</v>
      </c>
      <c r="F1" s="2" t="s">
        <v>18</v>
      </c>
    </row>
    <row r="2" spans="1:6" x14ac:dyDescent="0.2">
      <c r="A2" s="1" t="s">
        <v>19</v>
      </c>
      <c r="B2" s="1" t="s">
        <v>19</v>
      </c>
      <c r="C2" s="3">
        <v>2.1</v>
      </c>
      <c r="D2" s="3">
        <v>2.1</v>
      </c>
      <c r="E2" s="3">
        <v>2.5</v>
      </c>
      <c r="F2" s="3">
        <v>6.625</v>
      </c>
    </row>
    <row r="3" spans="1:6" x14ac:dyDescent="0.2">
      <c r="A3" s="1" t="s">
        <v>20</v>
      </c>
      <c r="B3" s="1" t="s">
        <v>20</v>
      </c>
      <c r="C3" s="3">
        <v>1.45</v>
      </c>
      <c r="D3" s="3">
        <v>1.45</v>
      </c>
      <c r="E3" s="3">
        <v>3</v>
      </c>
      <c r="F3" s="3">
        <v>7.2374999999999998</v>
      </c>
    </row>
    <row r="4" spans="1:6" x14ac:dyDescent="0.2">
      <c r="A4" s="1" t="s">
        <v>55</v>
      </c>
      <c r="B4" s="1" t="s">
        <v>55</v>
      </c>
      <c r="C4" s="3">
        <v>2.65</v>
      </c>
      <c r="D4" s="3">
        <v>2.65</v>
      </c>
      <c r="E4" s="3">
        <v>4</v>
      </c>
      <c r="F4" s="3">
        <v>4</v>
      </c>
    </row>
    <row r="5" spans="1:6" x14ac:dyDescent="0.2">
      <c r="A5" s="1" t="s">
        <v>21</v>
      </c>
      <c r="B5" s="1" t="s">
        <v>21</v>
      </c>
      <c r="C5" s="3">
        <v>4.6500000000000004</v>
      </c>
      <c r="D5" s="3">
        <v>4.25</v>
      </c>
      <c r="E5" s="3">
        <v>4.9000000000000004</v>
      </c>
      <c r="F5" s="3">
        <v>6.15</v>
      </c>
    </row>
    <row r="6" spans="1:6" x14ac:dyDescent="0.2">
      <c r="A6" s="1" t="s">
        <v>22</v>
      </c>
      <c r="B6" s="1" t="s">
        <v>22</v>
      </c>
      <c r="C6" s="3">
        <v>6.1</v>
      </c>
      <c r="D6" s="3">
        <v>6.1</v>
      </c>
      <c r="E6" s="3">
        <v>6.25</v>
      </c>
      <c r="F6" s="3">
        <v>6.7</v>
      </c>
    </row>
    <row r="7" spans="1:6" x14ac:dyDescent="0.2">
      <c r="A7" s="1" t="s">
        <v>23</v>
      </c>
      <c r="B7" s="1" t="s">
        <v>23</v>
      </c>
      <c r="C7" s="3">
        <v>2.5</v>
      </c>
      <c r="D7" s="3">
        <v>2.5</v>
      </c>
      <c r="E7" s="3">
        <v>2.5</v>
      </c>
      <c r="F7" s="3">
        <v>4.25</v>
      </c>
    </row>
    <row r="8" spans="1:6" x14ac:dyDescent="0.2">
      <c r="A8" s="1" t="s">
        <v>24</v>
      </c>
      <c r="B8" s="1" t="s">
        <v>24</v>
      </c>
      <c r="C8" s="3">
        <v>3.6</v>
      </c>
      <c r="D8" s="3">
        <v>3.6</v>
      </c>
      <c r="E8" s="3">
        <v>3.6</v>
      </c>
      <c r="F8" s="3">
        <v>4.5</v>
      </c>
    </row>
    <row r="9" spans="1:6" x14ac:dyDescent="0.2">
      <c r="A9" s="1" t="s">
        <v>25</v>
      </c>
      <c r="B9" s="1" t="s">
        <v>25</v>
      </c>
      <c r="C9" s="3">
        <v>1.4</v>
      </c>
      <c r="D9" s="3">
        <v>1.4</v>
      </c>
      <c r="E9" s="3">
        <v>1.75</v>
      </c>
      <c r="F9" s="3">
        <v>2.35</v>
      </c>
    </row>
    <row r="10" spans="1:6" x14ac:dyDescent="0.2">
      <c r="A10" s="1" t="s">
        <v>26</v>
      </c>
      <c r="B10" s="1" t="s">
        <v>26</v>
      </c>
      <c r="C10" s="3">
        <v>1.4</v>
      </c>
      <c r="D10" s="3">
        <v>1.4</v>
      </c>
      <c r="E10" s="3">
        <v>1.4</v>
      </c>
      <c r="F10" s="3">
        <v>2.25</v>
      </c>
    </row>
    <row r="11" spans="1:6" x14ac:dyDescent="0.2">
      <c r="A11" s="1" t="s">
        <v>27</v>
      </c>
      <c r="B11" s="1" t="s">
        <v>27</v>
      </c>
      <c r="C11" s="3">
        <v>3</v>
      </c>
      <c r="D11" s="3">
        <v>3</v>
      </c>
      <c r="E11" s="3">
        <v>3</v>
      </c>
      <c r="F11" s="3">
        <v>3.75</v>
      </c>
    </row>
    <row r="12" spans="1:6" x14ac:dyDescent="0.2">
      <c r="A12" s="1" t="s">
        <v>28</v>
      </c>
      <c r="B12" s="1" t="s">
        <v>28</v>
      </c>
      <c r="C12" s="3">
        <v>1.5</v>
      </c>
      <c r="D12" s="3">
        <v>1.5</v>
      </c>
      <c r="E12" s="3">
        <v>1.5</v>
      </c>
      <c r="F12" s="3">
        <v>2.25</v>
      </c>
    </row>
    <row r="13" spans="1:6" x14ac:dyDescent="0.2">
      <c r="A13" s="1" t="s">
        <v>29</v>
      </c>
      <c r="B13" s="1" t="s">
        <v>29</v>
      </c>
      <c r="C13" s="3">
        <v>1.5</v>
      </c>
      <c r="D13" s="3">
        <v>1.5</v>
      </c>
      <c r="E13" s="3">
        <v>3.335</v>
      </c>
      <c r="F13" s="3">
        <v>3.95</v>
      </c>
    </row>
    <row r="14" spans="1:6" x14ac:dyDescent="0.2">
      <c r="A14" s="1" t="s">
        <v>30</v>
      </c>
      <c r="B14" s="1" t="s">
        <v>30</v>
      </c>
      <c r="C14" s="3">
        <v>2</v>
      </c>
      <c r="D14" s="3">
        <v>2</v>
      </c>
      <c r="E14" s="3">
        <v>2.25</v>
      </c>
      <c r="F14" s="3">
        <v>5.25</v>
      </c>
    </row>
    <row r="15" spans="1:6" x14ac:dyDescent="0.2">
      <c r="A15" s="1" t="s">
        <v>31</v>
      </c>
      <c r="B15" s="1" t="s">
        <v>31</v>
      </c>
      <c r="C15" s="3">
        <v>3.3</v>
      </c>
      <c r="D15" s="3">
        <v>3.3</v>
      </c>
      <c r="E15" s="3">
        <v>3.95</v>
      </c>
      <c r="F15" s="3">
        <v>4.8499999999999996</v>
      </c>
    </row>
    <row r="16" spans="1:6" x14ac:dyDescent="0.2">
      <c r="A16" s="1" t="s">
        <v>32</v>
      </c>
      <c r="B16" s="1" t="s">
        <v>32</v>
      </c>
      <c r="C16" s="3">
        <v>1.25</v>
      </c>
      <c r="D16" s="3">
        <v>1.25</v>
      </c>
      <c r="E16" s="3">
        <v>1.69</v>
      </c>
      <c r="F16" s="3">
        <v>2.75</v>
      </c>
    </row>
    <row r="17" spans="1:6" x14ac:dyDescent="0.2">
      <c r="A17" s="1" t="s">
        <v>33</v>
      </c>
      <c r="B17" s="1" t="s">
        <v>33</v>
      </c>
      <c r="C17" s="3">
        <v>6</v>
      </c>
      <c r="D17" s="3">
        <v>6</v>
      </c>
      <c r="E17" s="3">
        <v>6</v>
      </c>
      <c r="F17" s="3">
        <v>6</v>
      </c>
    </row>
    <row r="18" spans="1:6" x14ac:dyDescent="0.2">
      <c r="A18" s="1" t="s">
        <v>34</v>
      </c>
      <c r="B18" s="1" t="s">
        <v>34</v>
      </c>
      <c r="C18" s="3">
        <v>4.01</v>
      </c>
      <c r="D18" s="3">
        <v>4.01</v>
      </c>
      <c r="E18" s="3">
        <v>4.7050000000000001</v>
      </c>
      <c r="F18" s="3">
        <v>6.95</v>
      </c>
    </row>
    <row r="19" spans="1:6" x14ac:dyDescent="0.2">
      <c r="A19" s="1" t="s">
        <v>35</v>
      </c>
      <c r="B19" s="1" t="s">
        <v>35</v>
      </c>
      <c r="C19" s="3">
        <v>1.5</v>
      </c>
      <c r="D19" s="3">
        <v>1.5</v>
      </c>
      <c r="E19" s="3">
        <v>3.85</v>
      </c>
      <c r="F19" s="3">
        <v>5.833333333333333</v>
      </c>
    </row>
    <row r="20" spans="1:6" x14ac:dyDescent="0.2">
      <c r="A20" s="1" t="s">
        <v>36</v>
      </c>
      <c r="B20" s="1" t="s">
        <v>36</v>
      </c>
      <c r="C20" s="3">
        <v>1</v>
      </c>
      <c r="D20" s="3">
        <v>1</v>
      </c>
      <c r="E20" s="3">
        <v>1.35</v>
      </c>
      <c r="F20" s="3">
        <v>4.1500000000000004</v>
      </c>
    </row>
    <row r="21" spans="1:6" x14ac:dyDescent="0.2">
      <c r="A21" s="1" t="s">
        <v>37</v>
      </c>
      <c r="B21" s="1" t="s">
        <v>37</v>
      </c>
      <c r="C21" s="3">
        <v>3.25</v>
      </c>
      <c r="D21" s="3">
        <v>3.25</v>
      </c>
      <c r="E21" s="3">
        <v>4.59</v>
      </c>
      <c r="F21" s="3">
        <v>5.9833333333333334</v>
      </c>
    </row>
    <row r="22" spans="1:6" x14ac:dyDescent="0.2">
      <c r="A22" s="1" t="s">
        <v>38</v>
      </c>
      <c r="B22" s="1" t="s">
        <v>38</v>
      </c>
      <c r="C22" s="3">
        <v>1.06</v>
      </c>
      <c r="D22" s="3">
        <v>1.06</v>
      </c>
      <c r="E22" s="3">
        <v>2.67</v>
      </c>
      <c r="F22" s="3">
        <v>6.38</v>
      </c>
    </row>
    <row r="23" spans="1:6" x14ac:dyDescent="0.2">
      <c r="A23" s="1" t="s">
        <v>39</v>
      </c>
      <c r="B23" s="1" t="s">
        <v>39</v>
      </c>
      <c r="C23" s="3">
        <v>2</v>
      </c>
      <c r="D23" s="3">
        <v>2</v>
      </c>
      <c r="E23" s="3">
        <v>4.2</v>
      </c>
      <c r="F23" s="3">
        <v>5.5</v>
      </c>
    </row>
    <row r="24" spans="1:6" x14ac:dyDescent="0.2">
      <c r="A24" s="1" t="s">
        <v>40</v>
      </c>
      <c r="B24" s="1" t="s">
        <v>40</v>
      </c>
      <c r="C24" s="3">
        <v>3.65</v>
      </c>
      <c r="D24" s="3">
        <v>3.65</v>
      </c>
      <c r="E24" s="3">
        <v>3.7</v>
      </c>
      <c r="F24" s="3">
        <v>4.2</v>
      </c>
    </row>
    <row r="25" spans="1:6" x14ac:dyDescent="0.2">
      <c r="A25" s="1" t="s">
        <v>41</v>
      </c>
      <c r="B25" s="1" t="s">
        <v>41</v>
      </c>
      <c r="C25" s="3">
        <v>2.5</v>
      </c>
      <c r="D25" s="3">
        <v>2.5</v>
      </c>
      <c r="E25" s="3">
        <v>4.8</v>
      </c>
      <c r="F25" s="3">
        <v>5.5</v>
      </c>
    </row>
    <row r="26" spans="1:6" x14ac:dyDescent="0.2">
      <c r="A26" s="1" t="s">
        <v>42</v>
      </c>
      <c r="B26" s="1" t="s">
        <v>42</v>
      </c>
      <c r="C26" s="3">
        <v>4.5</v>
      </c>
      <c r="D26" s="3">
        <v>4.5</v>
      </c>
      <c r="E26" s="3">
        <v>4.95</v>
      </c>
      <c r="F26" s="3">
        <v>6</v>
      </c>
    </row>
    <row r="27" spans="1:6" x14ac:dyDescent="0.2">
      <c r="A27" s="1" t="s">
        <v>43</v>
      </c>
      <c r="B27" s="1" t="s">
        <v>43</v>
      </c>
      <c r="C27" s="3">
        <v>3</v>
      </c>
      <c r="D27" s="3">
        <v>3</v>
      </c>
      <c r="E27" s="3">
        <v>3.9</v>
      </c>
      <c r="F27" s="3">
        <v>4.8</v>
      </c>
    </row>
    <row r="28" spans="1:6" x14ac:dyDescent="0.2">
      <c r="A28" s="1" t="s">
        <v>44</v>
      </c>
      <c r="B28" s="1" t="s">
        <v>44</v>
      </c>
      <c r="C28" s="3">
        <v>1</v>
      </c>
      <c r="D28" s="3">
        <v>1</v>
      </c>
      <c r="E28" s="3">
        <v>1.55</v>
      </c>
      <c r="F28" s="3">
        <v>2.6</v>
      </c>
    </row>
    <row r="29" spans="1:6" x14ac:dyDescent="0.2">
      <c r="A29" s="1" t="s">
        <v>45</v>
      </c>
      <c r="B29" s="1" t="s">
        <v>45</v>
      </c>
      <c r="C29" s="3">
        <v>4.6399999999999997</v>
      </c>
      <c r="D29" s="3">
        <v>4.6399999999999997</v>
      </c>
      <c r="E29" s="3">
        <v>4.6399999999999997</v>
      </c>
      <c r="F29" s="3">
        <v>6.5</v>
      </c>
    </row>
    <row r="30" spans="1:6" x14ac:dyDescent="0.2">
      <c r="A30" s="1" t="s">
        <v>46</v>
      </c>
      <c r="B30" s="1" t="s">
        <v>46</v>
      </c>
      <c r="C30" s="3">
        <v>3.5</v>
      </c>
      <c r="D30" s="3">
        <v>3.5</v>
      </c>
      <c r="E30" s="3">
        <v>5.625</v>
      </c>
      <c r="F30" s="3">
        <v>7.166666666666667</v>
      </c>
    </row>
    <row r="31" spans="1:6" x14ac:dyDescent="0.2">
      <c r="A31" s="1" t="s">
        <v>47</v>
      </c>
      <c r="B31" s="1" t="s">
        <v>47</v>
      </c>
      <c r="C31" s="3">
        <v>1</v>
      </c>
      <c r="D31" s="3">
        <v>1</v>
      </c>
      <c r="E31" s="3">
        <v>1.5</v>
      </c>
      <c r="F31" s="3">
        <v>3.3333333333333335</v>
      </c>
    </row>
    <row r="32" spans="1:6" x14ac:dyDescent="0.2">
      <c r="A32" s="1" t="s">
        <v>48</v>
      </c>
      <c r="B32" s="1" t="s">
        <v>48</v>
      </c>
      <c r="C32" s="3">
        <v>2.5</v>
      </c>
      <c r="D32" s="3">
        <v>2.5</v>
      </c>
      <c r="E32" s="3">
        <v>3</v>
      </c>
      <c r="F32" s="3">
        <v>4.5999999999999996</v>
      </c>
    </row>
    <row r="33" spans="1:6" x14ac:dyDescent="0.2">
      <c r="A33" s="1" t="s">
        <v>49</v>
      </c>
      <c r="B33" s="1" t="s">
        <v>49</v>
      </c>
      <c r="C33" s="3">
        <v>1.45</v>
      </c>
      <c r="D33" s="3">
        <v>1.45</v>
      </c>
      <c r="E33" s="3">
        <v>3.3</v>
      </c>
      <c r="F33" s="3">
        <v>6.666666666666667</v>
      </c>
    </row>
    <row r="34" spans="1:6" x14ac:dyDescent="0.2">
      <c r="A34" s="1" t="s">
        <v>50</v>
      </c>
      <c r="B34" s="1" t="s">
        <v>50</v>
      </c>
      <c r="C34" s="3">
        <v>4.03</v>
      </c>
      <c r="D34" s="3">
        <v>4.03</v>
      </c>
      <c r="E34" s="3">
        <v>5.41</v>
      </c>
      <c r="F34" s="3">
        <v>6.16</v>
      </c>
    </row>
    <row r="35" spans="1:6" x14ac:dyDescent="0.2">
      <c r="A35" s="1" t="s">
        <v>51</v>
      </c>
      <c r="B35" s="1" t="s">
        <v>51</v>
      </c>
      <c r="C35" s="3">
        <v>3</v>
      </c>
      <c r="D35" s="3">
        <v>3</v>
      </c>
      <c r="E35" s="3">
        <v>3.35</v>
      </c>
      <c r="F35" s="3">
        <v>4.7833333333333332</v>
      </c>
    </row>
    <row r="36" spans="1:6" x14ac:dyDescent="0.2">
      <c r="A36" s="1" t="s">
        <v>52</v>
      </c>
      <c r="B36" s="1" t="s">
        <v>52</v>
      </c>
      <c r="C36" s="3">
        <v>1.61</v>
      </c>
      <c r="D36" s="3">
        <v>1.61</v>
      </c>
      <c r="E36" s="3">
        <v>2.8</v>
      </c>
      <c r="F36" s="3">
        <v>4</v>
      </c>
    </row>
    <row r="37" spans="1:6" x14ac:dyDescent="0.2">
      <c r="A37" s="1" t="s">
        <v>53</v>
      </c>
      <c r="B37" s="1" t="s">
        <v>53</v>
      </c>
      <c r="C37" s="3">
        <v>3.63</v>
      </c>
      <c r="D37" s="3">
        <v>3.63</v>
      </c>
      <c r="E37" s="3">
        <v>5.28</v>
      </c>
      <c r="F37" s="3">
        <v>5.92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92BD4-037B-40AE-9286-0527D76F6AFF}">
  <dimension ref="A1:F37"/>
  <sheetViews>
    <sheetView zoomScale="80" zoomScaleNormal="25" workbookViewId="0">
      <selection activeCell="D6" sqref="D6"/>
    </sheetView>
  </sheetViews>
  <sheetFormatPr baseColWidth="10" defaultColWidth="8.83203125" defaultRowHeight="15" x14ac:dyDescent="0.2"/>
  <sheetData>
    <row r="1" spans="1:6" x14ac:dyDescent="0.2">
      <c r="A1" t="s">
        <v>177</v>
      </c>
      <c r="B1" t="s">
        <v>178</v>
      </c>
      <c r="C1" t="s">
        <v>179</v>
      </c>
      <c r="D1" t="s">
        <v>180</v>
      </c>
      <c r="E1" t="s">
        <v>181</v>
      </c>
      <c r="F1" t="s">
        <v>182</v>
      </c>
    </row>
    <row r="2" spans="1:6" x14ac:dyDescent="0.2">
      <c r="A2" t="s">
        <v>176</v>
      </c>
      <c r="B2" t="s">
        <v>176</v>
      </c>
      <c r="C2" s="3">
        <v>2.1</v>
      </c>
      <c r="D2" s="3">
        <v>2.1</v>
      </c>
      <c r="E2" s="3">
        <v>2.5</v>
      </c>
      <c r="F2" s="3">
        <v>6.625</v>
      </c>
    </row>
    <row r="3" spans="1:6" x14ac:dyDescent="0.2">
      <c r="A3" t="s">
        <v>141</v>
      </c>
      <c r="B3" t="s">
        <v>141</v>
      </c>
      <c r="C3" s="3">
        <v>1.45</v>
      </c>
      <c r="D3" s="3">
        <v>1.45</v>
      </c>
      <c r="E3" s="3">
        <v>3</v>
      </c>
      <c r="F3" s="3">
        <v>7.2374999999999998</v>
      </c>
    </row>
    <row r="4" spans="1:6" x14ac:dyDescent="0.2">
      <c r="A4" t="s">
        <v>142</v>
      </c>
      <c r="B4" t="s">
        <v>142</v>
      </c>
      <c r="C4" s="3">
        <v>2.65</v>
      </c>
      <c r="D4" s="3">
        <v>2.65</v>
      </c>
      <c r="E4" s="3">
        <v>4</v>
      </c>
      <c r="F4" s="3">
        <v>4</v>
      </c>
    </row>
    <row r="5" spans="1:6" x14ac:dyDescent="0.2">
      <c r="A5" t="s">
        <v>143</v>
      </c>
      <c r="B5" t="s">
        <v>143</v>
      </c>
      <c r="C5" s="3">
        <v>4.6500000000000004</v>
      </c>
      <c r="D5" s="3">
        <v>4.25</v>
      </c>
      <c r="E5" s="3">
        <v>4.9000000000000004</v>
      </c>
      <c r="F5" s="3">
        <v>6.15</v>
      </c>
    </row>
    <row r="6" spans="1:6" x14ac:dyDescent="0.2">
      <c r="A6" t="s">
        <v>144</v>
      </c>
      <c r="B6" t="s">
        <v>144</v>
      </c>
      <c r="C6" s="3">
        <v>6.1</v>
      </c>
      <c r="D6" s="3">
        <v>6.1</v>
      </c>
      <c r="E6" s="3">
        <v>6.25</v>
      </c>
      <c r="F6" s="3">
        <v>6.7</v>
      </c>
    </row>
    <row r="7" spans="1:6" x14ac:dyDescent="0.2">
      <c r="A7" t="s">
        <v>145</v>
      </c>
      <c r="B7" t="s">
        <v>145</v>
      </c>
      <c r="C7" s="3">
        <v>2.5</v>
      </c>
      <c r="D7" s="3">
        <v>2.5</v>
      </c>
      <c r="E7" s="3">
        <v>2.5</v>
      </c>
      <c r="F7" s="3">
        <v>4.25</v>
      </c>
    </row>
    <row r="8" spans="1:6" x14ac:dyDescent="0.2">
      <c r="A8" t="s">
        <v>146</v>
      </c>
      <c r="B8" t="s">
        <v>146</v>
      </c>
      <c r="C8" s="3">
        <v>3.6</v>
      </c>
      <c r="D8" s="3">
        <v>3.6</v>
      </c>
      <c r="E8" s="3">
        <v>3.6</v>
      </c>
      <c r="F8" s="3">
        <v>4.5</v>
      </c>
    </row>
    <row r="9" spans="1:6" x14ac:dyDescent="0.2">
      <c r="A9" t="s">
        <v>147</v>
      </c>
      <c r="B9" t="s">
        <v>147</v>
      </c>
      <c r="C9" s="3">
        <v>1.4</v>
      </c>
      <c r="D9" s="3">
        <v>1.4</v>
      </c>
      <c r="E9" s="3">
        <v>1.75</v>
      </c>
      <c r="F9" s="3">
        <v>2.35</v>
      </c>
    </row>
    <row r="10" spans="1:6" x14ac:dyDescent="0.2">
      <c r="A10" t="s">
        <v>148</v>
      </c>
      <c r="B10" t="s">
        <v>148</v>
      </c>
      <c r="C10" s="3">
        <v>1.4</v>
      </c>
      <c r="D10" s="3">
        <v>1.4</v>
      </c>
      <c r="E10" s="3">
        <v>1.4</v>
      </c>
      <c r="F10" s="3">
        <v>2.25</v>
      </c>
    </row>
    <row r="11" spans="1:6" x14ac:dyDescent="0.2">
      <c r="A11" t="s">
        <v>149</v>
      </c>
      <c r="B11" t="s">
        <v>149</v>
      </c>
      <c r="C11" s="3">
        <v>3</v>
      </c>
      <c r="D11" s="3">
        <v>3</v>
      </c>
      <c r="E11" s="3">
        <v>3</v>
      </c>
      <c r="F11" s="3">
        <v>3.75</v>
      </c>
    </row>
    <row r="12" spans="1:6" x14ac:dyDescent="0.2">
      <c r="A12" t="s">
        <v>150</v>
      </c>
      <c r="B12" t="s">
        <v>150</v>
      </c>
      <c r="C12" s="3">
        <v>1.5</v>
      </c>
      <c r="D12" s="3">
        <v>1.5</v>
      </c>
      <c r="E12" s="3">
        <v>1.5</v>
      </c>
      <c r="F12" s="3">
        <v>2.25</v>
      </c>
    </row>
    <row r="13" spans="1:6" x14ac:dyDescent="0.2">
      <c r="A13" t="s">
        <v>151</v>
      </c>
      <c r="B13" t="s">
        <v>151</v>
      </c>
      <c r="C13" s="3">
        <v>1.5</v>
      </c>
      <c r="D13" s="3">
        <v>1.5</v>
      </c>
      <c r="E13" s="3">
        <v>3.335</v>
      </c>
      <c r="F13" s="3">
        <v>3.95</v>
      </c>
    </row>
    <row r="14" spans="1:6" x14ac:dyDescent="0.2">
      <c r="A14" t="s">
        <v>152</v>
      </c>
      <c r="B14" t="s">
        <v>152</v>
      </c>
      <c r="C14" s="3">
        <v>2</v>
      </c>
      <c r="D14" s="3">
        <v>2</v>
      </c>
      <c r="E14" s="3">
        <v>2.25</v>
      </c>
      <c r="F14" s="3">
        <v>5.25</v>
      </c>
    </row>
    <row r="15" spans="1:6" x14ac:dyDescent="0.2">
      <c r="A15" t="s">
        <v>153</v>
      </c>
      <c r="B15" t="s">
        <v>153</v>
      </c>
      <c r="C15" s="3">
        <v>3.3</v>
      </c>
      <c r="D15" s="3">
        <v>3.3</v>
      </c>
      <c r="E15" s="3">
        <v>3.95</v>
      </c>
      <c r="F15" s="3">
        <v>4.8499999999999996</v>
      </c>
    </row>
    <row r="16" spans="1:6" x14ac:dyDescent="0.2">
      <c r="A16" t="s">
        <v>154</v>
      </c>
      <c r="B16" t="s">
        <v>154</v>
      </c>
      <c r="C16" s="3">
        <v>1.25</v>
      </c>
      <c r="D16" s="3">
        <v>1.25</v>
      </c>
      <c r="E16" s="3">
        <v>1.69</v>
      </c>
      <c r="F16" s="3">
        <v>2.75</v>
      </c>
    </row>
    <row r="17" spans="1:6" x14ac:dyDescent="0.2">
      <c r="A17" t="s">
        <v>155</v>
      </c>
      <c r="B17" t="s">
        <v>155</v>
      </c>
      <c r="C17" s="3">
        <v>6</v>
      </c>
      <c r="D17" s="3">
        <v>6</v>
      </c>
      <c r="E17" s="3">
        <v>6</v>
      </c>
      <c r="F17" s="3">
        <v>6</v>
      </c>
    </row>
    <row r="18" spans="1:6" x14ac:dyDescent="0.2">
      <c r="A18" t="s">
        <v>156</v>
      </c>
      <c r="B18" t="s">
        <v>156</v>
      </c>
      <c r="C18" s="3">
        <v>4.01</v>
      </c>
      <c r="D18" s="3">
        <v>4.01</v>
      </c>
      <c r="E18" s="3">
        <v>4.7050000000000001</v>
      </c>
      <c r="F18" s="3">
        <v>6.95</v>
      </c>
    </row>
    <row r="19" spans="1:6" x14ac:dyDescent="0.2">
      <c r="A19" t="s">
        <v>157</v>
      </c>
      <c r="B19" t="s">
        <v>157</v>
      </c>
      <c r="C19" s="3">
        <v>1.5</v>
      </c>
      <c r="D19" s="3">
        <v>1.5</v>
      </c>
      <c r="E19" s="3">
        <v>3.85</v>
      </c>
      <c r="F19" s="3">
        <v>5.833333333333333</v>
      </c>
    </row>
    <row r="20" spans="1:6" x14ac:dyDescent="0.2">
      <c r="A20" t="s">
        <v>158</v>
      </c>
      <c r="B20" t="s">
        <v>158</v>
      </c>
      <c r="C20" s="3">
        <v>1</v>
      </c>
      <c r="D20" s="3">
        <v>1</v>
      </c>
      <c r="E20" s="3">
        <v>1.35</v>
      </c>
      <c r="F20" s="3">
        <v>4.1500000000000004</v>
      </c>
    </row>
    <row r="21" spans="1:6" x14ac:dyDescent="0.2">
      <c r="A21" t="s">
        <v>159</v>
      </c>
      <c r="B21" t="s">
        <v>159</v>
      </c>
      <c r="C21" s="3">
        <v>3.25</v>
      </c>
      <c r="D21" s="3">
        <v>3.25</v>
      </c>
      <c r="E21" s="3">
        <v>4.59</v>
      </c>
      <c r="F21" s="3">
        <v>5.9833333333333334</v>
      </c>
    </row>
    <row r="22" spans="1:6" x14ac:dyDescent="0.2">
      <c r="A22" t="s">
        <v>160</v>
      </c>
      <c r="B22" t="s">
        <v>160</v>
      </c>
      <c r="C22" s="3">
        <v>1.06</v>
      </c>
      <c r="D22" s="3">
        <v>1.06</v>
      </c>
      <c r="E22" s="3">
        <v>2.67</v>
      </c>
      <c r="F22" s="3">
        <v>6.38</v>
      </c>
    </row>
    <row r="23" spans="1:6" x14ac:dyDescent="0.2">
      <c r="A23" t="s">
        <v>161</v>
      </c>
      <c r="B23" t="s">
        <v>161</v>
      </c>
      <c r="C23" s="3">
        <v>2</v>
      </c>
      <c r="D23" s="3">
        <v>2</v>
      </c>
      <c r="E23" s="3">
        <v>4.2</v>
      </c>
      <c r="F23" s="3">
        <v>5.5</v>
      </c>
    </row>
    <row r="24" spans="1:6" x14ac:dyDescent="0.2">
      <c r="A24" t="s">
        <v>162</v>
      </c>
      <c r="B24" t="s">
        <v>162</v>
      </c>
      <c r="C24" s="3">
        <v>3.65</v>
      </c>
      <c r="D24" s="3">
        <v>3.65</v>
      </c>
      <c r="E24" s="3">
        <v>3.7</v>
      </c>
      <c r="F24" s="3">
        <v>4.2</v>
      </c>
    </row>
    <row r="25" spans="1:6" x14ac:dyDescent="0.2">
      <c r="A25" t="s">
        <v>163</v>
      </c>
      <c r="B25" t="s">
        <v>163</v>
      </c>
      <c r="C25" s="3">
        <v>2.5</v>
      </c>
      <c r="D25" s="3">
        <v>2.5</v>
      </c>
      <c r="E25" s="3">
        <v>4.8</v>
      </c>
      <c r="F25" s="3">
        <v>5.5</v>
      </c>
    </row>
    <row r="26" spans="1:6" x14ac:dyDescent="0.2">
      <c r="A26" t="s">
        <v>164</v>
      </c>
      <c r="B26" t="s">
        <v>164</v>
      </c>
      <c r="C26" s="3">
        <v>4.5</v>
      </c>
      <c r="D26" s="3">
        <v>4.5</v>
      </c>
      <c r="E26" s="3">
        <v>4.95</v>
      </c>
      <c r="F26" s="3">
        <v>6</v>
      </c>
    </row>
    <row r="27" spans="1:6" x14ac:dyDescent="0.2">
      <c r="A27" t="s">
        <v>165</v>
      </c>
      <c r="B27" t="s">
        <v>165</v>
      </c>
      <c r="C27" s="3">
        <v>3</v>
      </c>
      <c r="D27" s="3">
        <v>3</v>
      </c>
      <c r="E27" s="3">
        <v>3.9</v>
      </c>
      <c r="F27" s="3">
        <v>4.8</v>
      </c>
    </row>
    <row r="28" spans="1:6" x14ac:dyDescent="0.2">
      <c r="A28" t="s">
        <v>166</v>
      </c>
      <c r="B28" t="s">
        <v>166</v>
      </c>
      <c r="C28" s="3">
        <v>1</v>
      </c>
      <c r="D28" s="3">
        <v>1</v>
      </c>
      <c r="E28" s="3">
        <v>1.55</v>
      </c>
      <c r="F28" s="3">
        <v>2.6</v>
      </c>
    </row>
    <row r="29" spans="1:6" x14ac:dyDescent="0.2">
      <c r="A29" t="s">
        <v>167</v>
      </c>
      <c r="B29" t="s">
        <v>167</v>
      </c>
      <c r="C29" s="3">
        <v>4.6399999999999997</v>
      </c>
      <c r="D29" s="3">
        <v>4.6399999999999997</v>
      </c>
      <c r="E29" s="3">
        <v>4.6399999999999997</v>
      </c>
      <c r="F29" s="3">
        <v>6.5</v>
      </c>
    </row>
    <row r="30" spans="1:6" x14ac:dyDescent="0.2">
      <c r="A30" t="s">
        <v>168</v>
      </c>
      <c r="B30" t="s">
        <v>168</v>
      </c>
      <c r="C30" s="3">
        <v>3.5</v>
      </c>
      <c r="D30" s="3">
        <v>3.5</v>
      </c>
      <c r="E30" s="3">
        <v>5.625</v>
      </c>
      <c r="F30" s="3">
        <v>7.166666666666667</v>
      </c>
    </row>
    <row r="31" spans="1:6" x14ac:dyDescent="0.2">
      <c r="A31" t="s">
        <v>169</v>
      </c>
      <c r="B31" t="s">
        <v>169</v>
      </c>
      <c r="C31" s="3">
        <v>1</v>
      </c>
      <c r="D31" s="3">
        <v>1</v>
      </c>
      <c r="E31" s="3">
        <v>1.5</v>
      </c>
      <c r="F31" s="3">
        <v>3.3333333333333335</v>
      </c>
    </row>
    <row r="32" spans="1:6" x14ac:dyDescent="0.2">
      <c r="A32" t="s">
        <v>170</v>
      </c>
      <c r="B32" t="s">
        <v>170</v>
      </c>
      <c r="C32" s="3">
        <v>2.5</v>
      </c>
      <c r="D32" s="3">
        <v>2.5</v>
      </c>
      <c r="E32" s="3">
        <v>3</v>
      </c>
      <c r="F32" s="3">
        <v>4.5999999999999996</v>
      </c>
    </row>
    <row r="33" spans="1:6" x14ac:dyDescent="0.2">
      <c r="A33" t="s">
        <v>171</v>
      </c>
      <c r="B33" t="s">
        <v>171</v>
      </c>
      <c r="C33" s="3">
        <v>1.45</v>
      </c>
      <c r="D33" s="3">
        <v>1.45</v>
      </c>
      <c r="E33" s="3">
        <v>3.3</v>
      </c>
      <c r="F33" s="3">
        <v>6.666666666666667</v>
      </c>
    </row>
    <row r="34" spans="1:6" x14ac:dyDescent="0.2">
      <c r="A34" t="s">
        <v>172</v>
      </c>
      <c r="B34" t="s">
        <v>172</v>
      </c>
      <c r="C34" s="3">
        <v>4.03</v>
      </c>
      <c r="D34" s="3">
        <v>4.03</v>
      </c>
      <c r="E34" s="3">
        <v>5.41</v>
      </c>
      <c r="F34" s="3">
        <v>6.16</v>
      </c>
    </row>
    <row r="35" spans="1:6" x14ac:dyDescent="0.2">
      <c r="A35" t="s">
        <v>173</v>
      </c>
      <c r="B35" t="s">
        <v>173</v>
      </c>
      <c r="C35" s="3">
        <v>3</v>
      </c>
      <c r="D35" s="3">
        <v>3</v>
      </c>
      <c r="E35" s="3">
        <v>3.35</v>
      </c>
      <c r="F35" s="3">
        <v>4.7833333333333332</v>
      </c>
    </row>
    <row r="36" spans="1:6" x14ac:dyDescent="0.2">
      <c r="A36" t="s">
        <v>174</v>
      </c>
      <c r="B36" t="s">
        <v>174</v>
      </c>
      <c r="C36" s="3">
        <v>1.61</v>
      </c>
      <c r="D36" s="3">
        <v>1.61</v>
      </c>
      <c r="E36" s="3">
        <v>2.8</v>
      </c>
      <c r="F36" s="3">
        <v>4</v>
      </c>
    </row>
    <row r="37" spans="1:6" x14ac:dyDescent="0.2">
      <c r="A37" t="s">
        <v>175</v>
      </c>
      <c r="B37" t="s">
        <v>175</v>
      </c>
      <c r="C37" s="3">
        <v>3.63</v>
      </c>
      <c r="D37" s="3">
        <v>3.63</v>
      </c>
      <c r="E37" s="3">
        <v>5.28</v>
      </c>
      <c r="F37" s="3">
        <v>5.92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D0A0-C6B6-3148-99BC-7BFD0D61931E}">
  <dimension ref="A1:AD62"/>
  <sheetViews>
    <sheetView showGridLines="0" zoomScale="140" workbookViewId="0">
      <pane xSplit="3" topLeftCell="N1" activePane="topRight" state="frozen"/>
      <selection pane="topRight" activeCell="O6" sqref="O6"/>
    </sheetView>
  </sheetViews>
  <sheetFormatPr baseColWidth="10" defaultColWidth="11.1640625" defaultRowHeight="16" outlineLevelCol="1" x14ac:dyDescent="0.2"/>
  <cols>
    <col min="1" max="1" width="11.1640625" style="14"/>
    <col min="2" max="2" width="24.6640625" style="14" bestFit="1" customWidth="1"/>
    <col min="3" max="3" width="25.1640625" style="14" customWidth="1"/>
    <col min="4" max="4" width="18.6640625" style="14" customWidth="1"/>
    <col min="5" max="5" width="4" style="14" customWidth="1" outlineLevel="1"/>
    <col min="6" max="6" width="15.1640625" style="14" customWidth="1" outlineLevel="1"/>
    <col min="7" max="7" width="11.5" style="14" customWidth="1" outlineLevel="1"/>
    <col min="8" max="8" width="15.33203125" style="14" customWidth="1" outlineLevel="1"/>
    <col min="9" max="9" width="5.33203125" style="14" customWidth="1"/>
    <col min="10" max="10" width="18.5" style="14" customWidth="1" outlineLevel="1"/>
    <col min="11" max="11" width="17" style="14" customWidth="1" outlineLevel="1"/>
    <col min="12" max="12" width="15.5" style="14" customWidth="1" outlineLevel="1"/>
    <col min="13" max="13" width="17.33203125" style="14" customWidth="1" outlineLevel="1"/>
    <col min="14" max="14" width="3.1640625" style="14" customWidth="1"/>
    <col min="15" max="18" width="10.83203125" style="14" customWidth="1" outlineLevel="1"/>
    <col min="19" max="19" width="2.6640625" style="14" customWidth="1"/>
    <col min="20" max="20" width="18.83203125" style="14" customWidth="1" outlineLevel="1"/>
    <col min="21" max="21" width="13.6640625" style="14" customWidth="1" outlineLevel="1"/>
    <col min="22" max="22" width="18.6640625" style="14" customWidth="1" outlineLevel="1"/>
    <col min="23" max="23" width="27.83203125" style="14" customWidth="1" outlineLevel="1"/>
    <col min="24" max="24" width="26" style="14" customWidth="1" outlineLevel="1"/>
    <col min="25" max="25" width="22.5" style="14" customWidth="1" outlineLevel="1"/>
    <col min="26" max="26" width="3.5" style="14" customWidth="1"/>
    <col min="27" max="27" width="17.1640625" style="14" customWidth="1" outlineLevel="1"/>
    <col min="28" max="28" width="18.5" style="14" customWidth="1" outlineLevel="1"/>
    <col min="29" max="29" width="13" style="14" customWidth="1" outlineLevel="1"/>
    <col min="30" max="30" width="17.1640625" style="14" customWidth="1" outlineLevel="1"/>
    <col min="31" max="16384" width="11.1640625" style="14"/>
  </cols>
  <sheetData>
    <row r="1" spans="1:30" x14ac:dyDescent="0.2">
      <c r="A1" s="54" t="s">
        <v>56</v>
      </c>
      <c r="B1" s="9" t="s">
        <v>57</v>
      </c>
      <c r="C1" s="10" t="s">
        <v>58</v>
      </c>
      <c r="D1" s="10" t="s">
        <v>59</v>
      </c>
      <c r="E1" s="10" t="s">
        <v>60</v>
      </c>
      <c r="F1" s="10" t="s">
        <v>61</v>
      </c>
      <c r="G1" s="10" t="s">
        <v>62</v>
      </c>
      <c r="H1" s="10" t="s">
        <v>63</v>
      </c>
      <c r="J1" s="10" t="s">
        <v>64</v>
      </c>
      <c r="K1" s="10" t="s">
        <v>65</v>
      </c>
      <c r="L1" s="10" t="s">
        <v>66</v>
      </c>
      <c r="M1" s="10" t="s">
        <v>67</v>
      </c>
      <c r="N1" s="11"/>
      <c r="O1" s="12" t="s">
        <v>68</v>
      </c>
      <c r="P1" s="12" t="s">
        <v>69</v>
      </c>
      <c r="Q1" s="12" t="s">
        <v>70</v>
      </c>
      <c r="R1" s="12" t="s">
        <v>71</v>
      </c>
      <c r="S1" s="13"/>
      <c r="T1" s="55" t="s">
        <v>72</v>
      </c>
      <c r="U1" s="55" t="s">
        <v>73</v>
      </c>
      <c r="V1" s="55" t="s">
        <v>74</v>
      </c>
      <c r="W1" s="55" t="s">
        <v>75</v>
      </c>
      <c r="X1" s="55" t="s">
        <v>76</v>
      </c>
      <c r="Y1" s="55" t="s">
        <v>77</v>
      </c>
      <c r="AA1" s="55" t="s">
        <v>78</v>
      </c>
      <c r="AB1" s="55" t="s">
        <v>79</v>
      </c>
      <c r="AC1" s="55" t="s">
        <v>80</v>
      </c>
      <c r="AD1" s="12" t="s">
        <v>81</v>
      </c>
    </row>
    <row r="2" spans="1:30" x14ac:dyDescent="0.2">
      <c r="A2" s="15" t="s">
        <v>82</v>
      </c>
      <c r="B2" s="30" t="s">
        <v>100</v>
      </c>
      <c r="C2" s="27" t="s">
        <v>101</v>
      </c>
      <c r="D2" s="27" t="s">
        <v>16</v>
      </c>
      <c r="E2" s="16">
        <v>10</v>
      </c>
      <c r="F2" s="17">
        <v>0.8</v>
      </c>
      <c r="G2" s="18">
        <v>1000</v>
      </c>
      <c r="H2" s="18">
        <v>100</v>
      </c>
      <c r="J2" s="15">
        <f>J3*1.5</f>
        <v>3.9000000000000004</v>
      </c>
      <c r="K2" s="16">
        <v>1.2</v>
      </c>
      <c r="L2" s="16">
        <f>J2*K2</f>
        <v>4.6800000000000006</v>
      </c>
      <c r="M2" s="16">
        <f>L2*330</f>
        <v>1544.4</v>
      </c>
      <c r="O2" s="15">
        <v>5</v>
      </c>
      <c r="P2" s="15">
        <f>O2*M2</f>
        <v>7722</v>
      </c>
      <c r="Q2" s="15">
        <v>500</v>
      </c>
      <c r="R2" s="15">
        <f>P2+Q2</f>
        <v>8222</v>
      </c>
      <c r="T2" s="24">
        <v>200000</v>
      </c>
      <c r="U2" s="15"/>
      <c r="V2" s="16">
        <v>0.71499999999999997</v>
      </c>
      <c r="W2" s="56">
        <f>(V2*M2)/(10^3)</f>
        <v>1.1042460000000001</v>
      </c>
      <c r="X2" s="24">
        <v>2000</v>
      </c>
      <c r="Y2" s="15"/>
      <c r="Z2" s="15"/>
      <c r="AA2" s="15">
        <v>47</v>
      </c>
      <c r="AB2" s="15">
        <f>(AA2*330)/(10^3)</f>
        <v>15.51</v>
      </c>
      <c r="AC2" s="15" t="s">
        <v>102</v>
      </c>
      <c r="AD2" s="15"/>
    </row>
    <row r="3" spans="1:30" x14ac:dyDescent="0.2">
      <c r="A3" s="15" t="s">
        <v>82</v>
      </c>
      <c r="B3" s="30" t="s">
        <v>100</v>
      </c>
      <c r="C3" s="27" t="s">
        <v>103</v>
      </c>
      <c r="D3" s="27" t="s">
        <v>16</v>
      </c>
      <c r="E3" s="16">
        <v>10</v>
      </c>
      <c r="F3" s="17">
        <v>0.8</v>
      </c>
      <c r="G3" s="18">
        <f>G2*2</f>
        <v>2000</v>
      </c>
      <c r="H3" s="18">
        <f>H2*2</f>
        <v>200</v>
      </c>
      <c r="J3" s="15">
        <v>2.6</v>
      </c>
      <c r="K3" s="16" t="e">
        <f>0.9*[1]baseline!K10</f>
        <v>#REF!</v>
      </c>
      <c r="L3" s="16" t="e">
        <f>J3*K3</f>
        <v>#REF!</v>
      </c>
      <c r="M3" s="16" t="e">
        <f>L3*330</f>
        <v>#REF!</v>
      </c>
      <c r="O3" s="15">
        <v>5</v>
      </c>
      <c r="P3" s="15" t="e">
        <f>O3*M3</f>
        <v>#REF!</v>
      </c>
      <c r="Q3" s="15">
        <v>500</v>
      </c>
      <c r="R3" s="15" t="e">
        <f>P3+Q3</f>
        <v>#REF!</v>
      </c>
      <c r="T3" s="24">
        <v>200000</v>
      </c>
      <c r="U3" s="15"/>
      <c r="V3" s="16">
        <v>0.71499999999999997</v>
      </c>
      <c r="W3" s="56" t="e">
        <f>(V3*M3)/(10^3)</f>
        <v>#REF!</v>
      </c>
      <c r="X3" s="24">
        <v>2000</v>
      </c>
      <c r="Y3" s="15"/>
      <c r="Z3" s="15"/>
      <c r="AA3" s="15">
        <v>47</v>
      </c>
      <c r="AB3" s="15">
        <f>(AA3*330)/(10^3)</f>
        <v>15.51</v>
      </c>
      <c r="AC3" s="15" t="s">
        <v>102</v>
      </c>
      <c r="AD3" s="15"/>
    </row>
    <row r="4" spans="1:30" x14ac:dyDescent="0.2">
      <c r="A4" s="15" t="s">
        <v>82</v>
      </c>
      <c r="B4" s="30" t="s">
        <v>106</v>
      </c>
      <c r="C4" s="27" t="s">
        <v>101</v>
      </c>
      <c r="D4" s="27" t="s">
        <v>16</v>
      </c>
      <c r="E4" s="16">
        <v>10</v>
      </c>
      <c r="F4" s="17">
        <v>0.8</v>
      </c>
      <c r="G4" s="18">
        <v>1000</v>
      </c>
      <c r="H4" s="18">
        <v>100</v>
      </c>
      <c r="J4" s="15">
        <v>3.9000000000000004</v>
      </c>
      <c r="K4" s="16">
        <v>1.2</v>
      </c>
      <c r="L4" s="16">
        <f t="shared" ref="L4:L10" si="0">J4*K4</f>
        <v>4.6800000000000006</v>
      </c>
      <c r="M4" s="16">
        <f t="shared" ref="M4:M55" si="1">L4*330</f>
        <v>1544.4</v>
      </c>
      <c r="O4" s="15">
        <v>20</v>
      </c>
      <c r="P4" s="15">
        <f t="shared" ref="P4:P9" si="2">O4*M4</f>
        <v>30888</v>
      </c>
      <c r="Q4" s="15">
        <v>250</v>
      </c>
      <c r="R4" s="15">
        <f t="shared" ref="R4:R9" si="3">P4+Q4</f>
        <v>31138</v>
      </c>
      <c r="T4" s="24">
        <v>200000</v>
      </c>
      <c r="U4" s="15"/>
      <c r="V4" s="57">
        <v>0</v>
      </c>
      <c r="W4" s="56">
        <f t="shared" ref="W4:W10" si="4">(V4*M4)/(10^3)</f>
        <v>0</v>
      </c>
      <c r="X4" s="24">
        <v>2000</v>
      </c>
      <c r="Y4" s="15"/>
      <c r="Z4" s="15"/>
      <c r="AA4" s="15">
        <v>47</v>
      </c>
      <c r="AB4" s="15">
        <f t="shared" ref="AB4:AB9" si="5">(AA4*330)/(10^3)</f>
        <v>15.51</v>
      </c>
      <c r="AC4" s="15" t="s">
        <v>102</v>
      </c>
      <c r="AD4" s="15"/>
    </row>
    <row r="5" spans="1:30" x14ac:dyDescent="0.2">
      <c r="A5" s="15" t="s">
        <v>82</v>
      </c>
      <c r="B5" s="30" t="s">
        <v>106</v>
      </c>
      <c r="C5" s="27" t="s">
        <v>103</v>
      </c>
      <c r="D5" s="27" t="s">
        <v>16</v>
      </c>
      <c r="E5" s="16">
        <v>10</v>
      </c>
      <c r="F5" s="17">
        <v>0.8</v>
      </c>
      <c r="G5" s="18">
        <f>G4*2</f>
        <v>2000</v>
      </c>
      <c r="H5" s="18">
        <f>H4*2</f>
        <v>200</v>
      </c>
      <c r="J5" s="15">
        <v>2.6</v>
      </c>
      <c r="K5" s="16">
        <v>1.8</v>
      </c>
      <c r="L5" s="16">
        <f t="shared" si="0"/>
        <v>4.6800000000000006</v>
      </c>
      <c r="M5" s="16">
        <f t="shared" si="1"/>
        <v>1544.4</v>
      </c>
      <c r="O5" s="15">
        <v>20</v>
      </c>
      <c r="P5" s="15">
        <f t="shared" si="2"/>
        <v>30888</v>
      </c>
      <c r="Q5" s="15">
        <v>250</v>
      </c>
      <c r="R5" s="15">
        <f t="shared" si="3"/>
        <v>31138</v>
      </c>
      <c r="T5" s="24">
        <v>200000</v>
      </c>
      <c r="U5" s="15"/>
      <c r="V5" s="57">
        <v>0</v>
      </c>
      <c r="W5" s="56">
        <f t="shared" si="4"/>
        <v>0</v>
      </c>
      <c r="X5" s="24">
        <v>2000</v>
      </c>
      <c r="Y5" s="15"/>
      <c r="Z5" s="15"/>
      <c r="AA5" s="15">
        <v>47</v>
      </c>
      <c r="AB5" s="15">
        <f t="shared" si="5"/>
        <v>15.51</v>
      </c>
      <c r="AC5" s="15" t="s">
        <v>102</v>
      </c>
      <c r="AD5" s="15"/>
    </row>
    <row r="6" spans="1:30" x14ac:dyDescent="0.2">
      <c r="A6" s="15" t="s">
        <v>82</v>
      </c>
      <c r="B6" s="30" t="s">
        <v>106</v>
      </c>
      <c r="C6" s="27" t="s">
        <v>104</v>
      </c>
      <c r="D6" s="27" t="s">
        <v>16</v>
      </c>
      <c r="E6" s="16">
        <v>10</v>
      </c>
      <c r="F6" s="17">
        <v>0.8</v>
      </c>
      <c r="G6" s="18">
        <v>5000</v>
      </c>
      <c r="H6" s="18">
        <v>100</v>
      </c>
      <c r="J6" s="15">
        <v>3.9000000000000004</v>
      </c>
      <c r="K6" s="16">
        <v>1.2</v>
      </c>
      <c r="L6" s="16">
        <f t="shared" si="0"/>
        <v>4.6800000000000006</v>
      </c>
      <c r="M6" s="16">
        <f t="shared" si="1"/>
        <v>1544.4</v>
      </c>
      <c r="O6" s="15">
        <v>20</v>
      </c>
      <c r="P6" s="15">
        <f t="shared" si="2"/>
        <v>30888</v>
      </c>
      <c r="Q6" s="15">
        <v>250</v>
      </c>
      <c r="R6" s="15">
        <f t="shared" si="3"/>
        <v>31138</v>
      </c>
      <c r="T6" s="24">
        <v>200000</v>
      </c>
      <c r="U6" s="15"/>
      <c r="V6" s="16">
        <v>0</v>
      </c>
      <c r="W6" s="56">
        <f t="shared" si="4"/>
        <v>0</v>
      </c>
      <c r="X6" s="24">
        <v>2000</v>
      </c>
      <c r="Y6" s="15"/>
      <c r="Z6" s="15"/>
      <c r="AA6" s="15">
        <f>ROUND(AA4*0.75,0)</f>
        <v>35</v>
      </c>
      <c r="AB6" s="15">
        <f t="shared" si="5"/>
        <v>11.55</v>
      </c>
      <c r="AC6" s="15" t="s">
        <v>105</v>
      </c>
      <c r="AD6" s="15"/>
    </row>
    <row r="7" spans="1:30" x14ac:dyDescent="0.2">
      <c r="A7" s="15" t="s">
        <v>82</v>
      </c>
      <c r="B7" s="30" t="s">
        <v>107</v>
      </c>
      <c r="C7" s="27" t="s">
        <v>101</v>
      </c>
      <c r="D7" s="27" t="s">
        <v>16</v>
      </c>
      <c r="E7" s="16">
        <v>10</v>
      </c>
      <c r="F7" s="17">
        <v>0.8</v>
      </c>
      <c r="G7" s="18">
        <v>15000</v>
      </c>
      <c r="H7" s="18">
        <v>100</v>
      </c>
      <c r="J7" s="15">
        <v>3.9000000000000004</v>
      </c>
      <c r="K7" s="16">
        <v>1.2</v>
      </c>
      <c r="L7" s="16">
        <f t="shared" si="0"/>
        <v>4.6800000000000006</v>
      </c>
      <c r="M7" s="16">
        <f t="shared" si="1"/>
        <v>1544.4</v>
      </c>
      <c r="O7" s="15">
        <v>0</v>
      </c>
      <c r="P7" s="15">
        <f t="shared" si="2"/>
        <v>0</v>
      </c>
      <c r="Q7" s="15">
        <v>500</v>
      </c>
      <c r="R7" s="15">
        <f t="shared" si="3"/>
        <v>500</v>
      </c>
      <c r="T7" s="24">
        <v>200000</v>
      </c>
      <c r="U7" s="15"/>
      <c r="V7" s="16">
        <v>0</v>
      </c>
      <c r="W7" s="56">
        <f t="shared" si="4"/>
        <v>0</v>
      </c>
      <c r="X7" s="24">
        <v>2000</v>
      </c>
      <c r="Y7" s="15"/>
      <c r="Z7" s="15"/>
      <c r="AA7" s="15">
        <v>47</v>
      </c>
      <c r="AB7" s="15">
        <f t="shared" si="5"/>
        <v>15.51</v>
      </c>
      <c r="AC7" s="15" t="s">
        <v>102</v>
      </c>
      <c r="AD7" s="15"/>
    </row>
    <row r="8" spans="1:30" x14ac:dyDescent="0.2">
      <c r="A8" s="15" t="s">
        <v>82</v>
      </c>
      <c r="B8" s="30" t="s">
        <v>107</v>
      </c>
      <c r="C8" s="27" t="s">
        <v>103</v>
      </c>
      <c r="D8" s="27" t="s">
        <v>16</v>
      </c>
      <c r="E8" s="16">
        <v>10</v>
      </c>
      <c r="F8" s="17">
        <v>0.8</v>
      </c>
      <c r="G8" s="18">
        <v>15000</v>
      </c>
      <c r="H8" s="18">
        <v>100</v>
      </c>
      <c r="J8" s="15">
        <v>2.6</v>
      </c>
      <c r="K8" s="16">
        <v>1.8</v>
      </c>
      <c r="L8" s="16">
        <f t="shared" si="0"/>
        <v>4.6800000000000006</v>
      </c>
      <c r="M8" s="16">
        <f t="shared" si="1"/>
        <v>1544.4</v>
      </c>
      <c r="O8" s="15">
        <v>0</v>
      </c>
      <c r="P8" s="15">
        <f t="shared" si="2"/>
        <v>0</v>
      </c>
      <c r="Q8" s="15">
        <v>500</v>
      </c>
      <c r="R8" s="15">
        <f t="shared" si="3"/>
        <v>500</v>
      </c>
      <c r="T8" s="24">
        <v>200000</v>
      </c>
      <c r="U8" s="15"/>
      <c r="V8" s="16">
        <v>0</v>
      </c>
      <c r="W8" s="56">
        <f t="shared" si="4"/>
        <v>0</v>
      </c>
      <c r="X8" s="24">
        <v>2000</v>
      </c>
      <c r="Y8" s="15"/>
      <c r="Z8" s="15"/>
      <c r="AA8" s="15">
        <v>47</v>
      </c>
      <c r="AB8" s="15">
        <f t="shared" si="5"/>
        <v>15.51</v>
      </c>
      <c r="AC8" s="15" t="s">
        <v>102</v>
      </c>
      <c r="AD8" s="15"/>
    </row>
    <row r="9" spans="1:30" x14ac:dyDescent="0.2">
      <c r="A9" s="15"/>
      <c r="B9" s="30" t="s">
        <v>108</v>
      </c>
      <c r="C9" s="27" t="s">
        <v>109</v>
      </c>
      <c r="D9" s="27" t="s">
        <v>16</v>
      </c>
      <c r="E9" s="16">
        <v>10</v>
      </c>
      <c r="F9" s="17">
        <v>0.8</v>
      </c>
      <c r="G9" s="18">
        <v>15000</v>
      </c>
      <c r="H9" s="18">
        <v>100</v>
      </c>
      <c r="J9" s="15">
        <v>2.6</v>
      </c>
      <c r="K9" s="16">
        <v>1.8</v>
      </c>
      <c r="L9" s="16">
        <f t="shared" si="0"/>
        <v>4.6800000000000006</v>
      </c>
      <c r="M9" s="16">
        <f t="shared" si="1"/>
        <v>1544.4</v>
      </c>
      <c r="O9" s="15">
        <v>-0.5</v>
      </c>
      <c r="P9" s="15">
        <f t="shared" si="2"/>
        <v>-772.2</v>
      </c>
      <c r="Q9" s="15">
        <v>900</v>
      </c>
      <c r="R9" s="15">
        <f t="shared" si="3"/>
        <v>127.79999999999995</v>
      </c>
      <c r="T9" s="24">
        <v>200000</v>
      </c>
      <c r="U9" s="15"/>
      <c r="V9" s="16">
        <v>0</v>
      </c>
      <c r="W9" s="56">
        <f t="shared" si="4"/>
        <v>0</v>
      </c>
      <c r="X9" s="24">
        <v>2000</v>
      </c>
      <c r="Y9" s="15"/>
      <c r="Z9" s="15"/>
      <c r="AA9" s="15">
        <v>47</v>
      </c>
      <c r="AB9" s="15">
        <f t="shared" si="5"/>
        <v>15.51</v>
      </c>
      <c r="AC9" s="15"/>
      <c r="AD9" s="15"/>
    </row>
    <row r="10" spans="1:30" ht="17" thickBot="1" x14ac:dyDescent="0.25">
      <c r="A10" s="15"/>
      <c r="B10" s="32" t="s">
        <v>108</v>
      </c>
      <c r="C10" s="109" t="s">
        <v>104</v>
      </c>
      <c r="D10" s="33" t="s">
        <v>16</v>
      </c>
      <c r="E10" s="58">
        <v>10</v>
      </c>
      <c r="F10" s="35">
        <v>0.8</v>
      </c>
      <c r="G10" s="36">
        <v>20000</v>
      </c>
      <c r="H10" s="36">
        <v>100</v>
      </c>
      <c r="I10" s="41"/>
      <c r="J10" s="31">
        <v>2.6</v>
      </c>
      <c r="K10" s="58">
        <v>1.8</v>
      </c>
      <c r="L10" s="58">
        <f t="shared" si="0"/>
        <v>4.6800000000000006</v>
      </c>
      <c r="M10" s="58">
        <f t="shared" si="1"/>
        <v>1544.4</v>
      </c>
      <c r="N10" s="41"/>
      <c r="O10" s="31">
        <v>-0.5</v>
      </c>
      <c r="P10" s="31">
        <f>O10*M10</f>
        <v>-772.2</v>
      </c>
      <c r="Q10" s="31">
        <v>900</v>
      </c>
      <c r="R10" s="31">
        <f>P10+Q10</f>
        <v>127.79999999999995</v>
      </c>
      <c r="S10" s="41"/>
      <c r="T10" s="42">
        <v>200000</v>
      </c>
      <c r="U10" s="31"/>
      <c r="V10" s="58">
        <v>0</v>
      </c>
      <c r="W10" s="59">
        <f t="shared" si="4"/>
        <v>0</v>
      </c>
      <c r="X10" s="42">
        <v>2000</v>
      </c>
      <c r="Y10" s="31"/>
      <c r="Z10" s="31"/>
      <c r="AA10" s="31">
        <v>35</v>
      </c>
      <c r="AB10" s="31">
        <f>(AA10*330)/(10^3)</f>
        <v>11.55</v>
      </c>
      <c r="AC10" s="31"/>
      <c r="AD10" s="31"/>
    </row>
    <row r="11" spans="1:30" ht="17" thickTop="1" x14ac:dyDescent="0.2">
      <c r="A11" s="15" t="s">
        <v>82</v>
      </c>
      <c r="B11" s="30" t="s">
        <v>100</v>
      </c>
      <c r="C11" s="27" t="s">
        <v>101</v>
      </c>
      <c r="D11" s="27" t="s">
        <v>17</v>
      </c>
      <c r="E11" s="16">
        <v>10</v>
      </c>
      <c r="F11" s="17">
        <v>0.85</v>
      </c>
      <c r="G11" s="18">
        <v>1700</v>
      </c>
      <c r="H11" s="18">
        <v>250</v>
      </c>
      <c r="J11" s="15">
        <v>4</v>
      </c>
      <c r="K11" s="16">
        <v>1.2</v>
      </c>
      <c r="L11" s="16">
        <f>J11*K11</f>
        <v>4.8</v>
      </c>
      <c r="M11" s="16">
        <f>L11*330</f>
        <v>1584</v>
      </c>
      <c r="O11" s="15">
        <v>6</v>
      </c>
      <c r="P11" s="15">
        <f>O11*M11</f>
        <v>9504</v>
      </c>
      <c r="Q11" s="15">
        <v>750</v>
      </c>
      <c r="R11" s="15">
        <f>P11+Q11</f>
        <v>10254</v>
      </c>
      <c r="T11" s="24">
        <v>570000</v>
      </c>
      <c r="U11" s="15"/>
      <c r="V11" s="16">
        <v>0.71499999999999997</v>
      </c>
      <c r="W11" s="56">
        <f>(V11*M11)/(10^3)</f>
        <v>1.13256</v>
      </c>
      <c r="X11" s="24">
        <v>2000</v>
      </c>
      <c r="Y11" s="15"/>
      <c r="Z11" s="15"/>
      <c r="AA11" s="15">
        <v>47</v>
      </c>
      <c r="AB11" s="15">
        <f>(AA11*330)/(10^3)</f>
        <v>15.51</v>
      </c>
      <c r="AC11" s="15" t="s">
        <v>102</v>
      </c>
      <c r="AD11" s="15"/>
    </row>
    <row r="12" spans="1:30" x14ac:dyDescent="0.2">
      <c r="A12" s="15" t="s">
        <v>82</v>
      </c>
      <c r="B12" s="30" t="s">
        <v>100</v>
      </c>
      <c r="C12" s="27" t="s">
        <v>103</v>
      </c>
      <c r="D12" s="27" t="s">
        <v>17</v>
      </c>
      <c r="E12" s="16">
        <v>10</v>
      </c>
      <c r="F12" s="17">
        <v>0.85</v>
      </c>
      <c r="G12" s="18">
        <f>G11*2</f>
        <v>3400</v>
      </c>
      <c r="H12" s="18">
        <f>H11*2</f>
        <v>500</v>
      </c>
      <c r="J12" s="15">
        <v>2.7</v>
      </c>
      <c r="K12" s="16">
        <v>1.8</v>
      </c>
      <c r="L12" s="16">
        <f>J12*K12</f>
        <v>4.8600000000000003</v>
      </c>
      <c r="M12" s="16">
        <f>L12*330</f>
        <v>1603.8000000000002</v>
      </c>
      <c r="O12" s="15">
        <v>6</v>
      </c>
      <c r="P12" s="15">
        <f>O12*M12</f>
        <v>9622.8000000000011</v>
      </c>
      <c r="Q12" s="15">
        <v>750</v>
      </c>
      <c r="R12" s="15">
        <f>P12+Q12</f>
        <v>10372.800000000001</v>
      </c>
      <c r="T12" s="24">
        <v>570000</v>
      </c>
      <c r="U12" s="15"/>
      <c r="V12" s="16">
        <v>0.71499999999999997</v>
      </c>
      <c r="W12" s="56">
        <f>(V12*M12)/(10^3)</f>
        <v>1.1467170000000002</v>
      </c>
      <c r="X12" s="24">
        <v>2000</v>
      </c>
      <c r="Y12" s="15"/>
      <c r="Z12" s="15"/>
      <c r="AA12" s="15">
        <v>47</v>
      </c>
      <c r="AB12" s="15">
        <f>(AA12*330)/(10^3)</f>
        <v>15.51</v>
      </c>
      <c r="AC12" s="15" t="s">
        <v>102</v>
      </c>
      <c r="AD12" s="15"/>
    </row>
    <row r="13" spans="1:30" x14ac:dyDescent="0.2">
      <c r="A13" s="15" t="s">
        <v>82</v>
      </c>
      <c r="B13" s="30" t="s">
        <v>106</v>
      </c>
      <c r="C13" s="27" t="s">
        <v>101</v>
      </c>
      <c r="D13" s="27" t="s">
        <v>17</v>
      </c>
      <c r="E13" s="16">
        <v>10</v>
      </c>
      <c r="F13" s="17">
        <v>0.85</v>
      </c>
      <c r="G13" s="18">
        <v>1700</v>
      </c>
      <c r="H13" s="18">
        <v>250</v>
      </c>
      <c r="J13" s="15">
        <v>4</v>
      </c>
      <c r="K13" s="16">
        <v>1.2</v>
      </c>
      <c r="L13" s="16">
        <f t="shared" ref="L13:L19" si="6">J13*K13</f>
        <v>4.8</v>
      </c>
      <c r="M13" s="16">
        <f t="shared" si="1"/>
        <v>1584</v>
      </c>
      <c r="O13" s="15">
        <v>25</v>
      </c>
      <c r="P13" s="15">
        <f t="shared" ref="P13:P18" si="7">O13*M13</f>
        <v>39600</v>
      </c>
      <c r="Q13" s="15">
        <v>350</v>
      </c>
      <c r="R13" s="15">
        <f t="shared" ref="R13:R18" si="8">P13+Q13</f>
        <v>39950</v>
      </c>
      <c r="T13" s="24">
        <v>570000</v>
      </c>
      <c r="U13" s="15"/>
      <c r="V13" s="16">
        <v>0</v>
      </c>
      <c r="W13" s="56">
        <f t="shared" ref="W13:W19" si="9">(V13*M13)/(10^3)</f>
        <v>0</v>
      </c>
      <c r="X13" s="24">
        <v>2000</v>
      </c>
      <c r="Y13" s="15"/>
      <c r="Z13" s="15"/>
      <c r="AA13" s="15">
        <v>47</v>
      </c>
      <c r="AB13" s="15">
        <f t="shared" ref="AB13:AB18" si="10">(AA13*330)/(10^3)</f>
        <v>15.51</v>
      </c>
      <c r="AC13" s="15" t="s">
        <v>102</v>
      </c>
      <c r="AD13" s="15"/>
    </row>
    <row r="14" spans="1:30" x14ac:dyDescent="0.2">
      <c r="A14" s="15" t="s">
        <v>82</v>
      </c>
      <c r="B14" s="30" t="s">
        <v>106</v>
      </c>
      <c r="C14" s="27" t="s">
        <v>103</v>
      </c>
      <c r="D14" s="27" t="s">
        <v>17</v>
      </c>
      <c r="E14" s="16">
        <v>10</v>
      </c>
      <c r="F14" s="17">
        <v>0.85</v>
      </c>
      <c r="G14" s="18">
        <f>G13*2</f>
        <v>3400</v>
      </c>
      <c r="H14" s="18">
        <f>H13*2</f>
        <v>500</v>
      </c>
      <c r="J14" s="15">
        <v>2.7</v>
      </c>
      <c r="K14" s="16">
        <v>1.8</v>
      </c>
      <c r="L14" s="16">
        <f t="shared" si="6"/>
        <v>4.8600000000000003</v>
      </c>
      <c r="M14" s="16">
        <f t="shared" si="1"/>
        <v>1603.8000000000002</v>
      </c>
      <c r="O14" s="15">
        <v>25</v>
      </c>
      <c r="P14" s="15">
        <f t="shared" si="7"/>
        <v>40095.000000000007</v>
      </c>
      <c r="Q14" s="15">
        <v>350</v>
      </c>
      <c r="R14" s="15">
        <f t="shared" si="8"/>
        <v>40445.000000000007</v>
      </c>
      <c r="T14" s="24">
        <v>570000</v>
      </c>
      <c r="U14" s="15"/>
      <c r="V14" s="16">
        <v>0</v>
      </c>
      <c r="W14" s="56">
        <f t="shared" si="9"/>
        <v>0</v>
      </c>
      <c r="X14" s="24">
        <v>2000</v>
      </c>
      <c r="Y14" s="15"/>
      <c r="Z14" s="15"/>
      <c r="AA14" s="15">
        <v>47</v>
      </c>
      <c r="AB14" s="15">
        <f t="shared" si="10"/>
        <v>15.51</v>
      </c>
      <c r="AC14" s="15" t="s">
        <v>102</v>
      </c>
      <c r="AD14" s="15"/>
    </row>
    <row r="15" spans="1:30" x14ac:dyDescent="0.2">
      <c r="A15" s="15" t="s">
        <v>82</v>
      </c>
      <c r="B15" s="30" t="s">
        <v>106</v>
      </c>
      <c r="C15" s="27" t="s">
        <v>104</v>
      </c>
      <c r="D15" s="27" t="s">
        <v>17</v>
      </c>
      <c r="E15" s="16">
        <v>10</v>
      </c>
      <c r="F15" s="17">
        <v>0.85</v>
      </c>
      <c r="G15" s="18">
        <f>G6*1.5</f>
        <v>7500</v>
      </c>
      <c r="H15" s="18">
        <v>250</v>
      </c>
      <c r="J15" s="15">
        <v>4</v>
      </c>
      <c r="K15" s="16">
        <v>1.2</v>
      </c>
      <c r="L15" s="16">
        <f t="shared" si="6"/>
        <v>4.8</v>
      </c>
      <c r="M15" s="16">
        <f t="shared" si="1"/>
        <v>1584</v>
      </c>
      <c r="O15" s="15">
        <v>25</v>
      </c>
      <c r="P15" s="15">
        <f t="shared" si="7"/>
        <v>39600</v>
      </c>
      <c r="Q15" s="15">
        <v>350</v>
      </c>
      <c r="R15" s="15">
        <f t="shared" si="8"/>
        <v>39950</v>
      </c>
      <c r="T15" s="24">
        <v>570000</v>
      </c>
      <c r="U15" s="15"/>
      <c r="V15" s="16">
        <v>0</v>
      </c>
      <c r="W15" s="56">
        <f t="shared" si="9"/>
        <v>0</v>
      </c>
      <c r="X15" s="24">
        <v>2000</v>
      </c>
      <c r="Y15" s="15"/>
      <c r="Z15" s="15"/>
      <c r="AA15" s="15">
        <f>ROUND(AA13*0.75,0)</f>
        <v>35</v>
      </c>
      <c r="AB15" s="15">
        <f t="shared" si="10"/>
        <v>11.55</v>
      </c>
      <c r="AC15" s="15" t="s">
        <v>105</v>
      </c>
      <c r="AD15" s="15"/>
    </row>
    <row r="16" spans="1:30" x14ac:dyDescent="0.2">
      <c r="A16" s="15" t="s">
        <v>82</v>
      </c>
      <c r="B16" s="30" t="s">
        <v>107</v>
      </c>
      <c r="C16" s="27" t="s">
        <v>101</v>
      </c>
      <c r="D16" s="27" t="s">
        <v>17</v>
      </c>
      <c r="E16" s="16">
        <v>10</v>
      </c>
      <c r="F16" s="17">
        <v>0.85</v>
      </c>
      <c r="G16" s="18">
        <f>G7*1.2</f>
        <v>18000</v>
      </c>
      <c r="H16" s="18">
        <v>250</v>
      </c>
      <c r="J16" s="15">
        <v>4</v>
      </c>
      <c r="K16" s="16">
        <v>1.2</v>
      </c>
      <c r="L16" s="16">
        <f t="shared" si="6"/>
        <v>4.8</v>
      </c>
      <c r="M16" s="16">
        <f t="shared" si="1"/>
        <v>1584</v>
      </c>
      <c r="O16" s="15">
        <v>0</v>
      </c>
      <c r="P16" s="15">
        <f t="shared" si="7"/>
        <v>0</v>
      </c>
      <c r="Q16" s="15">
        <v>750</v>
      </c>
      <c r="R16" s="15">
        <f t="shared" si="8"/>
        <v>750</v>
      </c>
      <c r="T16" s="24">
        <v>570000</v>
      </c>
      <c r="U16" s="15"/>
      <c r="V16" s="16">
        <v>0</v>
      </c>
      <c r="W16" s="56">
        <f t="shared" si="9"/>
        <v>0</v>
      </c>
      <c r="X16" s="24">
        <v>2000</v>
      </c>
      <c r="Y16" s="15"/>
      <c r="Z16" s="15"/>
      <c r="AA16" s="15">
        <v>47</v>
      </c>
      <c r="AB16" s="15">
        <f t="shared" si="10"/>
        <v>15.51</v>
      </c>
      <c r="AC16" s="15" t="s">
        <v>102</v>
      </c>
      <c r="AD16" s="15"/>
    </row>
    <row r="17" spans="1:30" x14ac:dyDescent="0.2">
      <c r="A17" s="15" t="s">
        <v>82</v>
      </c>
      <c r="B17" s="30" t="s">
        <v>107</v>
      </c>
      <c r="C17" s="27" t="s">
        <v>103</v>
      </c>
      <c r="D17" s="27" t="s">
        <v>17</v>
      </c>
      <c r="E17" s="16">
        <v>10</v>
      </c>
      <c r="F17" s="17">
        <v>0.85</v>
      </c>
      <c r="G17" s="18">
        <f>G8*1.2</f>
        <v>18000</v>
      </c>
      <c r="H17" s="18">
        <v>250</v>
      </c>
      <c r="J17" s="15">
        <v>2.7</v>
      </c>
      <c r="K17" s="16">
        <v>1.8</v>
      </c>
      <c r="L17" s="16">
        <f t="shared" si="6"/>
        <v>4.8600000000000003</v>
      </c>
      <c r="M17" s="16">
        <f t="shared" si="1"/>
        <v>1603.8000000000002</v>
      </c>
      <c r="O17" s="15">
        <v>0</v>
      </c>
      <c r="P17" s="15">
        <f t="shared" si="7"/>
        <v>0</v>
      </c>
      <c r="Q17" s="15">
        <v>750</v>
      </c>
      <c r="R17" s="15">
        <f t="shared" si="8"/>
        <v>750</v>
      </c>
      <c r="T17" s="24">
        <v>570000</v>
      </c>
      <c r="U17" s="15"/>
      <c r="V17" s="16">
        <v>0</v>
      </c>
      <c r="W17" s="56">
        <f t="shared" si="9"/>
        <v>0</v>
      </c>
      <c r="X17" s="24">
        <v>2000</v>
      </c>
      <c r="Y17" s="15"/>
      <c r="Z17" s="15"/>
      <c r="AA17" s="15">
        <v>47</v>
      </c>
      <c r="AB17" s="15">
        <f t="shared" si="10"/>
        <v>15.51</v>
      </c>
      <c r="AC17" s="15" t="s">
        <v>102</v>
      </c>
      <c r="AD17" s="15"/>
    </row>
    <row r="18" spans="1:30" x14ac:dyDescent="0.2">
      <c r="A18" s="15"/>
      <c r="B18" s="30" t="s">
        <v>108</v>
      </c>
      <c r="C18" s="27" t="s">
        <v>109</v>
      </c>
      <c r="D18" s="27" t="s">
        <v>17</v>
      </c>
      <c r="E18" s="16">
        <v>10</v>
      </c>
      <c r="F18" s="17">
        <v>0.85</v>
      </c>
      <c r="G18" s="18">
        <f>G9*1.2</f>
        <v>18000</v>
      </c>
      <c r="H18" s="18">
        <v>250</v>
      </c>
      <c r="J18" s="15">
        <v>2.7</v>
      </c>
      <c r="K18" s="16">
        <v>1.8</v>
      </c>
      <c r="L18" s="16">
        <f t="shared" si="6"/>
        <v>4.8600000000000003</v>
      </c>
      <c r="M18" s="16">
        <f t="shared" si="1"/>
        <v>1603.8000000000002</v>
      </c>
      <c r="O18" s="15">
        <v>-0.25</v>
      </c>
      <c r="P18" s="15">
        <f t="shared" si="7"/>
        <v>-400.95000000000005</v>
      </c>
      <c r="Q18" s="15">
        <v>1000</v>
      </c>
      <c r="R18" s="15">
        <f t="shared" si="8"/>
        <v>599.04999999999995</v>
      </c>
      <c r="T18" s="24">
        <v>570000</v>
      </c>
      <c r="U18" s="15"/>
      <c r="V18" s="16">
        <v>0</v>
      </c>
      <c r="W18" s="56">
        <f t="shared" si="9"/>
        <v>0</v>
      </c>
      <c r="X18" s="24">
        <v>2000</v>
      </c>
      <c r="Y18" s="15"/>
      <c r="Z18" s="15"/>
      <c r="AA18" s="15">
        <v>47</v>
      </c>
      <c r="AB18" s="15">
        <f t="shared" si="10"/>
        <v>15.51</v>
      </c>
      <c r="AC18" s="15"/>
      <c r="AD18" s="15"/>
    </row>
    <row r="19" spans="1:30" ht="17" thickBot="1" x14ac:dyDescent="0.25">
      <c r="A19" s="15"/>
      <c r="B19" s="32" t="s">
        <v>108</v>
      </c>
      <c r="C19" s="33" t="s">
        <v>104</v>
      </c>
      <c r="D19" s="33" t="s">
        <v>17</v>
      </c>
      <c r="E19" s="58">
        <v>10</v>
      </c>
      <c r="F19" s="35">
        <v>0.85</v>
      </c>
      <c r="G19" s="36">
        <f>G10*1.2</f>
        <v>24000</v>
      </c>
      <c r="H19" s="36">
        <v>250</v>
      </c>
      <c r="I19" s="41"/>
      <c r="J19" s="31">
        <v>2.7</v>
      </c>
      <c r="K19" s="58">
        <v>1.8</v>
      </c>
      <c r="L19" s="58">
        <f t="shared" si="6"/>
        <v>4.8600000000000003</v>
      </c>
      <c r="M19" s="58">
        <f t="shared" si="1"/>
        <v>1603.8000000000002</v>
      </c>
      <c r="N19" s="41"/>
      <c r="O19" s="31">
        <v>-0.25</v>
      </c>
      <c r="P19" s="31">
        <f>O19*M19</f>
        <v>-400.95000000000005</v>
      </c>
      <c r="Q19" s="31">
        <v>1000</v>
      </c>
      <c r="R19" s="31">
        <f>P19+Q19</f>
        <v>599.04999999999995</v>
      </c>
      <c r="S19" s="41"/>
      <c r="T19" s="42">
        <v>570000</v>
      </c>
      <c r="U19" s="31"/>
      <c r="V19" s="58">
        <v>0</v>
      </c>
      <c r="W19" s="59">
        <f t="shared" si="9"/>
        <v>0</v>
      </c>
      <c r="X19" s="42">
        <v>2000</v>
      </c>
      <c r="Y19" s="31"/>
      <c r="Z19" s="31"/>
      <c r="AA19" s="31">
        <v>35</v>
      </c>
      <c r="AB19" s="31">
        <f>(AA19*330)/(10^3)</f>
        <v>11.55</v>
      </c>
      <c r="AC19" s="31"/>
      <c r="AD19" s="31"/>
    </row>
    <row r="20" spans="1:30" ht="17" thickTop="1" x14ac:dyDescent="0.2">
      <c r="A20" s="15" t="s">
        <v>82</v>
      </c>
      <c r="B20" s="30" t="s">
        <v>100</v>
      </c>
      <c r="C20" s="27" t="s">
        <v>101</v>
      </c>
      <c r="D20" s="27" t="s">
        <v>18</v>
      </c>
      <c r="E20" s="16">
        <v>10</v>
      </c>
      <c r="F20" s="17">
        <v>0.9</v>
      </c>
      <c r="G20" s="18">
        <v>2900</v>
      </c>
      <c r="H20" s="18">
        <v>500</v>
      </c>
      <c r="J20" s="15">
        <v>4.0999999999999996</v>
      </c>
      <c r="K20" s="16">
        <v>1.2</v>
      </c>
      <c r="L20" s="16">
        <f>J20*K20</f>
        <v>4.919999999999999</v>
      </c>
      <c r="M20" s="16">
        <f>L20*330</f>
        <v>1623.5999999999997</v>
      </c>
      <c r="O20" s="15">
        <v>7</v>
      </c>
      <c r="P20" s="15">
        <f>O20*M20</f>
        <v>11365.199999999997</v>
      </c>
      <c r="Q20" s="15">
        <v>1000</v>
      </c>
      <c r="R20" s="15">
        <f>P20+Q20</f>
        <v>12365.199999999997</v>
      </c>
      <c r="T20" s="24">
        <v>900000</v>
      </c>
      <c r="U20" s="15"/>
      <c r="V20" s="16">
        <v>0.71499999999999997</v>
      </c>
      <c r="W20" s="56">
        <f>(V20*M20)/(10^3)</f>
        <v>1.1608739999999997</v>
      </c>
      <c r="X20" s="24">
        <v>2000</v>
      </c>
      <c r="Y20" s="15"/>
      <c r="Z20" s="15"/>
      <c r="AA20" s="15">
        <v>47</v>
      </c>
      <c r="AB20" s="15">
        <f>(AA20*330)/(10^3)</f>
        <v>15.51</v>
      </c>
      <c r="AC20" s="15" t="s">
        <v>102</v>
      </c>
      <c r="AD20" s="15"/>
    </row>
    <row r="21" spans="1:30" x14ac:dyDescent="0.2">
      <c r="A21" s="15" t="s">
        <v>82</v>
      </c>
      <c r="B21" s="30" t="s">
        <v>100</v>
      </c>
      <c r="C21" s="27" t="s">
        <v>103</v>
      </c>
      <c r="D21" s="27" t="s">
        <v>18</v>
      </c>
      <c r="E21" s="16">
        <v>10</v>
      </c>
      <c r="F21" s="17">
        <v>0.9</v>
      </c>
      <c r="G21" s="18">
        <f>G20*2</f>
        <v>5800</v>
      </c>
      <c r="H21" s="18">
        <f>H20*2</f>
        <v>1000</v>
      </c>
      <c r="J21" s="15">
        <v>2.8</v>
      </c>
      <c r="K21" s="16">
        <v>1.8</v>
      </c>
      <c r="L21" s="16">
        <f>J21*K21</f>
        <v>5.04</v>
      </c>
      <c r="M21" s="16">
        <f>L21*330</f>
        <v>1663.2</v>
      </c>
      <c r="O21" s="15">
        <v>7</v>
      </c>
      <c r="P21" s="15">
        <f>O21*M21</f>
        <v>11642.4</v>
      </c>
      <c r="Q21" s="15">
        <v>1000</v>
      </c>
      <c r="R21" s="15">
        <f>P21+Q21</f>
        <v>12642.4</v>
      </c>
      <c r="T21" s="24">
        <v>900000</v>
      </c>
      <c r="U21" s="15"/>
      <c r="V21" s="16">
        <v>0.71499999999999997</v>
      </c>
      <c r="W21" s="56">
        <f>(V21*M21)/(10^3)</f>
        <v>1.1891879999999999</v>
      </c>
      <c r="X21" s="24">
        <v>2000</v>
      </c>
      <c r="Y21" s="15"/>
      <c r="Z21" s="15"/>
      <c r="AA21" s="15">
        <v>47</v>
      </c>
      <c r="AB21" s="15">
        <f>(AA21*330)/(10^3)</f>
        <v>15.51</v>
      </c>
      <c r="AC21" s="15" t="s">
        <v>102</v>
      </c>
      <c r="AD21" s="15"/>
    </row>
    <row r="22" spans="1:30" x14ac:dyDescent="0.2">
      <c r="A22" s="15" t="s">
        <v>82</v>
      </c>
      <c r="B22" s="30" t="s">
        <v>106</v>
      </c>
      <c r="C22" s="27" t="s">
        <v>101</v>
      </c>
      <c r="D22" s="27" t="s">
        <v>18</v>
      </c>
      <c r="E22" s="16">
        <v>10</v>
      </c>
      <c r="F22" s="17">
        <v>0.9</v>
      </c>
      <c r="G22" s="18">
        <v>2900</v>
      </c>
      <c r="H22" s="18">
        <v>500</v>
      </c>
      <c r="J22" s="15">
        <v>4.0999999999999996</v>
      </c>
      <c r="K22" s="16">
        <v>1.2</v>
      </c>
      <c r="L22" s="16">
        <f t="shared" ref="L22:L28" si="11">J22*K22</f>
        <v>4.919999999999999</v>
      </c>
      <c r="M22" s="16">
        <f t="shared" si="1"/>
        <v>1623.5999999999997</v>
      </c>
      <c r="O22" s="15">
        <v>30</v>
      </c>
      <c r="P22" s="15">
        <f t="shared" ref="P22:P27" si="12">O22*M22</f>
        <v>48707.999999999993</v>
      </c>
      <c r="Q22" s="15">
        <v>500</v>
      </c>
      <c r="R22" s="15">
        <f t="shared" ref="R22:R55" si="13">P22+Q22</f>
        <v>49207.999999999993</v>
      </c>
      <c r="T22" s="24">
        <v>900000</v>
      </c>
      <c r="U22" s="15"/>
      <c r="V22" s="16">
        <v>0</v>
      </c>
      <c r="W22" s="56">
        <f t="shared" ref="W22:W28" si="14">(V22*M22)/(10^3)</f>
        <v>0</v>
      </c>
      <c r="X22" s="24">
        <v>2000</v>
      </c>
      <c r="Y22" s="15"/>
      <c r="Z22" s="15"/>
      <c r="AA22" s="15">
        <v>47</v>
      </c>
      <c r="AB22" s="15">
        <f t="shared" ref="AB22:AB27" si="15">(AA22*330)/(10^3)</f>
        <v>15.51</v>
      </c>
      <c r="AC22" s="15" t="s">
        <v>102</v>
      </c>
      <c r="AD22" s="15"/>
    </row>
    <row r="23" spans="1:30" x14ac:dyDescent="0.2">
      <c r="A23" s="15" t="s">
        <v>82</v>
      </c>
      <c r="B23" s="30" t="s">
        <v>106</v>
      </c>
      <c r="C23" s="27" t="s">
        <v>103</v>
      </c>
      <c r="D23" s="27" t="s">
        <v>18</v>
      </c>
      <c r="E23" s="16">
        <v>10</v>
      </c>
      <c r="F23" s="17">
        <v>0.9</v>
      </c>
      <c r="G23" s="18">
        <f>G22*2</f>
        <v>5800</v>
      </c>
      <c r="H23" s="18">
        <f>H22*2</f>
        <v>1000</v>
      </c>
      <c r="J23" s="15">
        <v>2.8</v>
      </c>
      <c r="K23" s="16">
        <v>1.8</v>
      </c>
      <c r="L23" s="16">
        <f t="shared" si="11"/>
        <v>5.04</v>
      </c>
      <c r="M23" s="16">
        <f t="shared" si="1"/>
        <v>1663.2</v>
      </c>
      <c r="O23" s="15">
        <v>30</v>
      </c>
      <c r="P23" s="15">
        <f t="shared" si="12"/>
        <v>49896</v>
      </c>
      <c r="Q23" s="15">
        <v>500</v>
      </c>
      <c r="R23" s="15">
        <f t="shared" si="13"/>
        <v>50396</v>
      </c>
      <c r="T23" s="24">
        <v>900000</v>
      </c>
      <c r="U23" s="15"/>
      <c r="V23" s="16">
        <v>0</v>
      </c>
      <c r="W23" s="56">
        <f t="shared" si="14"/>
        <v>0</v>
      </c>
      <c r="X23" s="24">
        <v>2000</v>
      </c>
      <c r="Y23" s="15"/>
      <c r="Z23" s="15"/>
      <c r="AA23" s="15">
        <v>47</v>
      </c>
      <c r="AB23" s="15">
        <f t="shared" si="15"/>
        <v>15.51</v>
      </c>
      <c r="AC23" s="15" t="s">
        <v>102</v>
      </c>
      <c r="AD23" s="15"/>
    </row>
    <row r="24" spans="1:30" x14ac:dyDescent="0.2">
      <c r="A24" s="15" t="s">
        <v>82</v>
      </c>
      <c r="B24" s="30" t="s">
        <v>106</v>
      </c>
      <c r="C24" s="27" t="s">
        <v>104</v>
      </c>
      <c r="D24" s="27" t="s">
        <v>18</v>
      </c>
      <c r="E24" s="16">
        <v>10</v>
      </c>
      <c r="F24" s="17">
        <v>0.9</v>
      </c>
      <c r="G24" s="18">
        <f>G15*1.34</f>
        <v>10050</v>
      </c>
      <c r="H24" s="18">
        <v>500</v>
      </c>
      <c r="J24" s="15">
        <v>4.0999999999999996</v>
      </c>
      <c r="K24" s="16">
        <v>1.2</v>
      </c>
      <c r="L24" s="16">
        <f t="shared" si="11"/>
        <v>4.919999999999999</v>
      </c>
      <c r="M24" s="16">
        <f t="shared" si="1"/>
        <v>1623.5999999999997</v>
      </c>
      <c r="O24" s="15">
        <v>30</v>
      </c>
      <c r="P24" s="15">
        <f t="shared" si="12"/>
        <v>48707.999999999993</v>
      </c>
      <c r="Q24" s="15">
        <v>500</v>
      </c>
      <c r="R24" s="15">
        <f t="shared" si="13"/>
        <v>49207.999999999993</v>
      </c>
      <c r="T24" s="24">
        <v>900000</v>
      </c>
      <c r="U24" s="15"/>
      <c r="V24" s="16">
        <v>0</v>
      </c>
      <c r="W24" s="56">
        <f t="shared" si="14"/>
        <v>0</v>
      </c>
      <c r="X24" s="24">
        <v>2000</v>
      </c>
      <c r="Y24" s="15"/>
      <c r="Z24" s="15"/>
      <c r="AA24" s="15">
        <f>ROUND(AA22*0.75,0)</f>
        <v>35</v>
      </c>
      <c r="AB24" s="15">
        <f t="shared" si="15"/>
        <v>11.55</v>
      </c>
      <c r="AC24" s="15" t="s">
        <v>105</v>
      </c>
      <c r="AD24" s="15"/>
    </row>
    <row r="25" spans="1:30" x14ac:dyDescent="0.2">
      <c r="A25" s="15" t="s">
        <v>82</v>
      </c>
      <c r="B25" s="30" t="s">
        <v>107</v>
      </c>
      <c r="C25" s="27" t="s">
        <v>101</v>
      </c>
      <c r="D25" s="27" t="s">
        <v>18</v>
      </c>
      <c r="E25" s="16">
        <v>10</v>
      </c>
      <c r="F25" s="17">
        <v>0.9</v>
      </c>
      <c r="G25" s="18">
        <f>G16*1.2</f>
        <v>21600</v>
      </c>
      <c r="H25" s="18">
        <v>500</v>
      </c>
      <c r="J25" s="15">
        <v>4.0999999999999996</v>
      </c>
      <c r="K25" s="16">
        <v>1.2</v>
      </c>
      <c r="L25" s="16">
        <f t="shared" si="11"/>
        <v>4.919999999999999</v>
      </c>
      <c r="M25" s="16">
        <f t="shared" si="1"/>
        <v>1623.5999999999997</v>
      </c>
      <c r="O25" s="15">
        <v>0</v>
      </c>
      <c r="P25" s="15">
        <f t="shared" si="12"/>
        <v>0</v>
      </c>
      <c r="Q25" s="15">
        <v>1000</v>
      </c>
      <c r="R25" s="15">
        <f t="shared" si="13"/>
        <v>1000</v>
      </c>
      <c r="T25" s="24">
        <v>900000</v>
      </c>
      <c r="U25" s="15"/>
      <c r="V25" s="16">
        <v>0</v>
      </c>
      <c r="W25" s="56">
        <f t="shared" si="14"/>
        <v>0</v>
      </c>
      <c r="X25" s="24">
        <v>2000</v>
      </c>
      <c r="Y25" s="15"/>
      <c r="Z25" s="15"/>
      <c r="AA25" s="15">
        <v>47</v>
      </c>
      <c r="AB25" s="15">
        <f t="shared" si="15"/>
        <v>15.51</v>
      </c>
      <c r="AC25" s="15" t="s">
        <v>102</v>
      </c>
      <c r="AD25" s="15"/>
    </row>
    <row r="26" spans="1:30" x14ac:dyDescent="0.2">
      <c r="A26" s="15" t="s">
        <v>82</v>
      </c>
      <c r="B26" s="30" t="s">
        <v>107</v>
      </c>
      <c r="C26" s="27" t="s">
        <v>103</v>
      </c>
      <c r="D26" s="27" t="s">
        <v>18</v>
      </c>
      <c r="E26" s="16">
        <v>10</v>
      </c>
      <c r="F26" s="17">
        <v>0.9</v>
      </c>
      <c r="G26" s="18">
        <f>G17*1.2</f>
        <v>21600</v>
      </c>
      <c r="H26" s="18">
        <v>500</v>
      </c>
      <c r="J26" s="15">
        <v>2.8</v>
      </c>
      <c r="K26" s="16">
        <v>1.8</v>
      </c>
      <c r="L26" s="16">
        <f t="shared" si="11"/>
        <v>5.04</v>
      </c>
      <c r="M26" s="16">
        <f t="shared" si="1"/>
        <v>1663.2</v>
      </c>
      <c r="O26" s="15">
        <v>0</v>
      </c>
      <c r="P26" s="15">
        <f t="shared" si="12"/>
        <v>0</v>
      </c>
      <c r="Q26" s="15">
        <v>1000</v>
      </c>
      <c r="R26" s="15">
        <f t="shared" si="13"/>
        <v>1000</v>
      </c>
      <c r="T26" s="24">
        <v>900000</v>
      </c>
      <c r="U26" s="15"/>
      <c r="V26" s="16">
        <v>0</v>
      </c>
      <c r="W26" s="56">
        <f t="shared" si="14"/>
        <v>0</v>
      </c>
      <c r="X26" s="24">
        <v>2000</v>
      </c>
      <c r="Y26" s="15"/>
      <c r="Z26" s="15"/>
      <c r="AA26" s="15">
        <v>47</v>
      </c>
      <c r="AB26" s="15">
        <f t="shared" si="15"/>
        <v>15.51</v>
      </c>
      <c r="AC26" s="15" t="s">
        <v>102</v>
      </c>
      <c r="AD26" s="15"/>
    </row>
    <row r="27" spans="1:30" x14ac:dyDescent="0.2">
      <c r="A27" s="15"/>
      <c r="B27" s="30" t="s">
        <v>108</v>
      </c>
      <c r="C27" s="27" t="s">
        <v>109</v>
      </c>
      <c r="D27" s="27" t="s">
        <v>18</v>
      </c>
      <c r="E27" s="16">
        <v>10</v>
      </c>
      <c r="F27" s="17">
        <v>0.9</v>
      </c>
      <c r="G27" s="18">
        <f>G18*1.2</f>
        <v>21600</v>
      </c>
      <c r="H27" s="18">
        <v>500</v>
      </c>
      <c r="J27" s="15">
        <v>2.9</v>
      </c>
      <c r="K27" s="16">
        <v>1.8</v>
      </c>
      <c r="L27" s="16">
        <f t="shared" si="11"/>
        <v>5.22</v>
      </c>
      <c r="M27" s="16">
        <f t="shared" si="1"/>
        <v>1722.6</v>
      </c>
      <c r="O27" s="15">
        <v>-0.1</v>
      </c>
      <c r="P27" s="15">
        <f t="shared" si="12"/>
        <v>-172.26</v>
      </c>
      <c r="Q27" s="15">
        <v>1500</v>
      </c>
      <c r="R27" s="15">
        <f t="shared" si="13"/>
        <v>1327.74</v>
      </c>
      <c r="T27" s="24">
        <v>900000</v>
      </c>
      <c r="U27" s="15"/>
      <c r="V27" s="16">
        <v>0</v>
      </c>
      <c r="W27" s="56">
        <f t="shared" si="14"/>
        <v>0</v>
      </c>
      <c r="X27" s="24">
        <v>2000</v>
      </c>
      <c r="Y27" s="15"/>
      <c r="Z27" s="15"/>
      <c r="AA27" s="15">
        <v>47</v>
      </c>
      <c r="AB27" s="15">
        <f t="shared" si="15"/>
        <v>15.51</v>
      </c>
      <c r="AC27" s="15"/>
      <c r="AD27" s="15"/>
    </row>
    <row r="28" spans="1:30" ht="17" thickBot="1" x14ac:dyDescent="0.25">
      <c r="A28" s="60"/>
      <c r="B28" s="60" t="s">
        <v>108</v>
      </c>
      <c r="C28" s="61" t="s">
        <v>104</v>
      </c>
      <c r="D28" s="61" t="s">
        <v>18</v>
      </c>
      <c r="E28" s="62">
        <v>10</v>
      </c>
      <c r="F28" s="63">
        <v>0.9</v>
      </c>
      <c r="G28" s="64">
        <f>G19*1.2</f>
        <v>28800</v>
      </c>
      <c r="H28" s="64">
        <v>500</v>
      </c>
      <c r="I28" s="65"/>
      <c r="J28" s="66">
        <v>2.9</v>
      </c>
      <c r="K28" s="62">
        <v>1.8</v>
      </c>
      <c r="L28" s="62">
        <f t="shared" si="11"/>
        <v>5.22</v>
      </c>
      <c r="M28" s="62">
        <f t="shared" si="1"/>
        <v>1722.6</v>
      </c>
      <c r="N28" s="65"/>
      <c r="O28" s="66">
        <v>-0.1</v>
      </c>
      <c r="P28" s="66">
        <f>O28*M28</f>
        <v>-172.26</v>
      </c>
      <c r="Q28" s="66">
        <v>1500</v>
      </c>
      <c r="R28" s="66">
        <f t="shared" si="13"/>
        <v>1327.74</v>
      </c>
      <c r="S28" s="67"/>
      <c r="T28" s="68">
        <v>900000</v>
      </c>
      <c r="U28" s="66"/>
      <c r="V28" s="62">
        <v>0</v>
      </c>
      <c r="W28" s="69">
        <f t="shared" si="14"/>
        <v>0</v>
      </c>
      <c r="X28" s="68">
        <v>2000</v>
      </c>
      <c r="Y28" s="66"/>
      <c r="Z28" s="66"/>
      <c r="AA28" s="66">
        <v>35</v>
      </c>
      <c r="AB28" s="66">
        <f>(AA28*330)/(10^3)</f>
        <v>11.55</v>
      </c>
      <c r="AC28" s="66"/>
      <c r="AD28" s="66"/>
    </row>
    <row r="29" spans="1:30" ht="17" thickTop="1" x14ac:dyDescent="0.2">
      <c r="A29" s="15" t="s">
        <v>97</v>
      </c>
      <c r="B29" s="70" t="s">
        <v>100</v>
      </c>
      <c r="C29" s="71" t="s">
        <v>101</v>
      </c>
      <c r="D29" s="71" t="s">
        <v>16</v>
      </c>
      <c r="E29" s="45">
        <v>10</v>
      </c>
      <c r="F29" s="46">
        <v>0.8</v>
      </c>
      <c r="G29" s="47">
        <f t="shared" ref="G29:G37" si="16">G2*110%</f>
        <v>1100</v>
      </c>
      <c r="H29" s="47">
        <v>150</v>
      </c>
      <c r="J29" s="15">
        <v>3.9000000000000004</v>
      </c>
      <c r="K29" s="16">
        <v>1.2</v>
      </c>
      <c r="L29" s="45">
        <f>J29*K29</f>
        <v>4.6800000000000006</v>
      </c>
      <c r="M29" s="45">
        <f>L29*330</f>
        <v>1544.4</v>
      </c>
      <c r="O29" s="44">
        <v>6</v>
      </c>
      <c r="P29" s="44">
        <f>M29*O29</f>
        <v>9266.4000000000015</v>
      </c>
      <c r="Q29" s="44">
        <v>600</v>
      </c>
      <c r="R29" s="44">
        <f t="shared" si="13"/>
        <v>9866.4000000000015</v>
      </c>
      <c r="T29" s="52">
        <v>250000</v>
      </c>
      <c r="U29" s="44"/>
      <c r="V29" s="16">
        <v>0.71499999999999997</v>
      </c>
      <c r="W29" s="72">
        <f>(V29*M29)/(10^3)</f>
        <v>1.1042460000000001</v>
      </c>
      <c r="X29" s="52">
        <v>2000</v>
      </c>
      <c r="Y29" s="44"/>
      <c r="Z29" s="44"/>
      <c r="AA29" s="44">
        <v>47</v>
      </c>
      <c r="AB29" s="44">
        <f>(AA29*330)/(10^3)</f>
        <v>15.51</v>
      </c>
      <c r="AC29" s="15" t="s">
        <v>102</v>
      </c>
      <c r="AD29" s="44"/>
    </row>
    <row r="30" spans="1:30" x14ac:dyDescent="0.2">
      <c r="A30" s="15" t="s">
        <v>97</v>
      </c>
      <c r="B30" s="70" t="s">
        <v>100</v>
      </c>
      <c r="C30" s="71" t="s">
        <v>103</v>
      </c>
      <c r="D30" s="71" t="s">
        <v>16</v>
      </c>
      <c r="E30" s="45">
        <v>10</v>
      </c>
      <c r="F30" s="46">
        <v>0.8</v>
      </c>
      <c r="G30" s="47">
        <f t="shared" si="16"/>
        <v>2200</v>
      </c>
      <c r="H30" s="47">
        <f>H29*2</f>
        <v>300</v>
      </c>
      <c r="J30" s="15">
        <v>2.6</v>
      </c>
      <c r="K30" s="16">
        <v>1.8</v>
      </c>
      <c r="L30" s="45">
        <f>J30*K30</f>
        <v>4.6800000000000006</v>
      </c>
      <c r="M30" s="45">
        <f>L30*330</f>
        <v>1544.4</v>
      </c>
      <c r="O30" s="44">
        <v>6</v>
      </c>
      <c r="P30" s="44">
        <f>M30*O30</f>
        <v>9266.4000000000015</v>
      </c>
      <c r="Q30" s="44">
        <v>600</v>
      </c>
      <c r="R30" s="44">
        <f t="shared" si="13"/>
        <v>9866.4000000000015</v>
      </c>
      <c r="T30" s="52">
        <v>250000</v>
      </c>
      <c r="U30" s="44"/>
      <c r="V30" s="16">
        <v>0.71499999999999997</v>
      </c>
      <c r="W30" s="72">
        <f>(V30*M30)/(10^3)</f>
        <v>1.1042460000000001</v>
      </c>
      <c r="X30" s="52">
        <v>2000</v>
      </c>
      <c r="Y30" s="44"/>
      <c r="Z30" s="44"/>
      <c r="AA30" s="44">
        <v>47</v>
      </c>
      <c r="AB30" s="44">
        <f>(AA30*330)/(10^3)</f>
        <v>15.51</v>
      </c>
      <c r="AC30" s="15" t="s">
        <v>102</v>
      </c>
      <c r="AD30" s="44"/>
    </row>
    <row r="31" spans="1:30" x14ac:dyDescent="0.2">
      <c r="A31" s="15" t="s">
        <v>97</v>
      </c>
      <c r="B31" s="30" t="s">
        <v>106</v>
      </c>
      <c r="C31" s="27" t="s">
        <v>101</v>
      </c>
      <c r="D31" s="27" t="s">
        <v>16</v>
      </c>
      <c r="E31" s="16">
        <v>10</v>
      </c>
      <c r="F31" s="17">
        <v>0.8</v>
      </c>
      <c r="G31" s="47">
        <f t="shared" si="16"/>
        <v>1100</v>
      </c>
      <c r="H31" s="18">
        <v>150</v>
      </c>
      <c r="J31" s="15">
        <v>3.9000000000000004</v>
      </c>
      <c r="K31" s="16">
        <v>1.2</v>
      </c>
      <c r="L31" s="16">
        <f t="shared" ref="L31:L37" si="17">J31*K31</f>
        <v>4.6800000000000006</v>
      </c>
      <c r="M31" s="16">
        <f t="shared" si="1"/>
        <v>1544.4</v>
      </c>
      <c r="O31" s="15">
        <v>20</v>
      </c>
      <c r="P31" s="44">
        <f t="shared" ref="P31:P36" si="18">M31*O31</f>
        <v>30888</v>
      </c>
      <c r="Q31" s="15">
        <v>350</v>
      </c>
      <c r="R31" s="15">
        <f t="shared" si="13"/>
        <v>31238</v>
      </c>
      <c r="T31" s="24">
        <v>250000</v>
      </c>
      <c r="U31" s="15"/>
      <c r="V31" s="16">
        <v>0</v>
      </c>
      <c r="W31" s="56">
        <f t="shared" ref="W31:W37" si="19">(V31*M31)/(10^3)</f>
        <v>0</v>
      </c>
      <c r="X31" s="24">
        <v>2000</v>
      </c>
      <c r="Y31" s="15"/>
      <c r="Z31" s="15"/>
      <c r="AA31" s="15">
        <v>47</v>
      </c>
      <c r="AB31" s="15">
        <f t="shared" ref="AB31:AB36" si="20">(AA31*330)/(10^3)</f>
        <v>15.51</v>
      </c>
      <c r="AC31" s="15" t="s">
        <v>102</v>
      </c>
      <c r="AD31" s="15"/>
    </row>
    <row r="32" spans="1:30" x14ac:dyDescent="0.2">
      <c r="A32" s="15" t="s">
        <v>97</v>
      </c>
      <c r="B32" s="30" t="s">
        <v>106</v>
      </c>
      <c r="C32" s="27" t="s">
        <v>103</v>
      </c>
      <c r="D32" s="27" t="s">
        <v>16</v>
      </c>
      <c r="E32" s="16">
        <v>10</v>
      </c>
      <c r="F32" s="17">
        <v>0.8</v>
      </c>
      <c r="G32" s="47">
        <f t="shared" si="16"/>
        <v>2200</v>
      </c>
      <c r="H32" s="18">
        <f>H31*2</f>
        <v>300</v>
      </c>
      <c r="J32" s="15">
        <v>2.6</v>
      </c>
      <c r="K32" s="16">
        <v>1.8</v>
      </c>
      <c r="L32" s="16">
        <f t="shared" si="17"/>
        <v>4.6800000000000006</v>
      </c>
      <c r="M32" s="16">
        <f t="shared" si="1"/>
        <v>1544.4</v>
      </c>
      <c r="O32" s="15">
        <v>20</v>
      </c>
      <c r="P32" s="44">
        <f t="shared" si="18"/>
        <v>30888</v>
      </c>
      <c r="Q32" s="15">
        <v>350</v>
      </c>
      <c r="R32" s="15">
        <f t="shared" si="13"/>
        <v>31238</v>
      </c>
      <c r="T32" s="24">
        <v>250000</v>
      </c>
      <c r="U32" s="15"/>
      <c r="V32" s="16">
        <v>0</v>
      </c>
      <c r="W32" s="56">
        <f t="shared" si="19"/>
        <v>0</v>
      </c>
      <c r="X32" s="24">
        <v>2000</v>
      </c>
      <c r="Y32" s="15"/>
      <c r="Z32" s="15"/>
      <c r="AA32" s="15">
        <v>47</v>
      </c>
      <c r="AB32" s="15">
        <f t="shared" si="20"/>
        <v>15.51</v>
      </c>
      <c r="AC32" s="15" t="s">
        <v>102</v>
      </c>
      <c r="AD32" s="15"/>
    </row>
    <row r="33" spans="1:30" x14ac:dyDescent="0.2">
      <c r="A33" s="15" t="s">
        <v>97</v>
      </c>
      <c r="B33" s="30" t="s">
        <v>106</v>
      </c>
      <c r="C33" s="27" t="s">
        <v>104</v>
      </c>
      <c r="D33" s="27" t="s">
        <v>16</v>
      </c>
      <c r="E33" s="16">
        <v>10</v>
      </c>
      <c r="F33" s="17">
        <v>0.8</v>
      </c>
      <c r="G33" s="47">
        <f t="shared" si="16"/>
        <v>5500</v>
      </c>
      <c r="H33" s="18">
        <v>150</v>
      </c>
      <c r="J33" s="15">
        <v>3.9000000000000004</v>
      </c>
      <c r="K33" s="16">
        <v>1.2</v>
      </c>
      <c r="L33" s="16">
        <f t="shared" si="17"/>
        <v>4.6800000000000006</v>
      </c>
      <c r="M33" s="16">
        <f t="shared" si="1"/>
        <v>1544.4</v>
      </c>
      <c r="O33" s="15">
        <v>20</v>
      </c>
      <c r="P33" s="44">
        <f t="shared" si="18"/>
        <v>30888</v>
      </c>
      <c r="Q33" s="15">
        <v>350</v>
      </c>
      <c r="R33" s="15">
        <f t="shared" si="13"/>
        <v>31238</v>
      </c>
      <c r="T33" s="24">
        <v>250000</v>
      </c>
      <c r="U33" s="15"/>
      <c r="V33" s="16">
        <v>0</v>
      </c>
      <c r="W33" s="56">
        <f t="shared" si="19"/>
        <v>0</v>
      </c>
      <c r="X33" s="24">
        <v>2000</v>
      </c>
      <c r="Y33" s="15"/>
      <c r="Z33" s="15"/>
      <c r="AA33" s="15">
        <f>ROUND(AA31*0.75,0)</f>
        <v>35</v>
      </c>
      <c r="AB33" s="15">
        <f t="shared" si="20"/>
        <v>11.55</v>
      </c>
      <c r="AC33" s="15" t="s">
        <v>105</v>
      </c>
      <c r="AD33" s="15"/>
    </row>
    <row r="34" spans="1:30" x14ac:dyDescent="0.2">
      <c r="A34" s="15" t="s">
        <v>97</v>
      </c>
      <c r="B34" s="30" t="s">
        <v>107</v>
      </c>
      <c r="C34" s="27" t="s">
        <v>101</v>
      </c>
      <c r="D34" s="27" t="s">
        <v>16</v>
      </c>
      <c r="E34" s="16">
        <v>10</v>
      </c>
      <c r="F34" s="17">
        <v>0.8</v>
      </c>
      <c r="G34" s="47">
        <f t="shared" si="16"/>
        <v>16500</v>
      </c>
      <c r="H34" s="18">
        <v>150</v>
      </c>
      <c r="J34" s="15">
        <v>3.9000000000000004</v>
      </c>
      <c r="K34" s="16">
        <v>1.2</v>
      </c>
      <c r="L34" s="16">
        <f t="shared" si="17"/>
        <v>4.6800000000000006</v>
      </c>
      <c r="M34" s="16">
        <f t="shared" si="1"/>
        <v>1544.4</v>
      </c>
      <c r="O34" s="15">
        <v>0</v>
      </c>
      <c r="P34" s="44">
        <f t="shared" si="18"/>
        <v>0</v>
      </c>
      <c r="Q34" s="15">
        <v>600</v>
      </c>
      <c r="R34" s="15">
        <f t="shared" si="13"/>
        <v>600</v>
      </c>
      <c r="T34" s="24">
        <v>250000</v>
      </c>
      <c r="U34" s="15"/>
      <c r="V34" s="16">
        <v>0</v>
      </c>
      <c r="W34" s="56">
        <f t="shared" si="19"/>
        <v>0</v>
      </c>
      <c r="X34" s="24">
        <v>2000</v>
      </c>
      <c r="Y34" s="15"/>
      <c r="Z34" s="15"/>
      <c r="AA34" s="15">
        <v>47</v>
      </c>
      <c r="AB34" s="15">
        <f t="shared" si="20"/>
        <v>15.51</v>
      </c>
      <c r="AC34" s="15" t="s">
        <v>102</v>
      </c>
      <c r="AD34" s="15"/>
    </row>
    <row r="35" spans="1:30" x14ac:dyDescent="0.2">
      <c r="A35" s="15" t="s">
        <v>97</v>
      </c>
      <c r="B35" s="30" t="s">
        <v>107</v>
      </c>
      <c r="C35" s="27" t="s">
        <v>103</v>
      </c>
      <c r="D35" s="27" t="s">
        <v>16</v>
      </c>
      <c r="E35" s="16">
        <v>10</v>
      </c>
      <c r="F35" s="17">
        <v>0.8</v>
      </c>
      <c r="G35" s="47">
        <f t="shared" si="16"/>
        <v>16500</v>
      </c>
      <c r="H35" s="18">
        <v>150</v>
      </c>
      <c r="J35" s="15">
        <v>2.6</v>
      </c>
      <c r="K35" s="16">
        <v>1.8</v>
      </c>
      <c r="L35" s="16">
        <f t="shared" si="17"/>
        <v>4.6800000000000006</v>
      </c>
      <c r="M35" s="16">
        <f t="shared" si="1"/>
        <v>1544.4</v>
      </c>
      <c r="O35" s="15">
        <v>0</v>
      </c>
      <c r="P35" s="44">
        <f t="shared" si="18"/>
        <v>0</v>
      </c>
      <c r="Q35" s="15">
        <v>600</v>
      </c>
      <c r="R35" s="15">
        <f t="shared" si="13"/>
        <v>600</v>
      </c>
      <c r="T35" s="24">
        <v>250000</v>
      </c>
      <c r="U35" s="15"/>
      <c r="V35" s="16">
        <v>0</v>
      </c>
      <c r="W35" s="56">
        <f t="shared" si="19"/>
        <v>0</v>
      </c>
      <c r="X35" s="24">
        <v>2000</v>
      </c>
      <c r="Y35" s="15"/>
      <c r="Z35" s="15"/>
      <c r="AA35" s="15">
        <v>47</v>
      </c>
      <c r="AB35" s="15">
        <f t="shared" si="20"/>
        <v>15.51</v>
      </c>
      <c r="AC35" s="15" t="s">
        <v>102</v>
      </c>
      <c r="AD35" s="15"/>
    </row>
    <row r="36" spans="1:30" x14ac:dyDescent="0.2">
      <c r="A36" s="15"/>
      <c r="B36" s="30" t="s">
        <v>108</v>
      </c>
      <c r="C36" s="27" t="s">
        <v>109</v>
      </c>
      <c r="D36" s="27" t="s">
        <v>16</v>
      </c>
      <c r="E36" s="16">
        <v>10</v>
      </c>
      <c r="F36" s="17">
        <v>0.8</v>
      </c>
      <c r="G36" s="47">
        <f t="shared" si="16"/>
        <v>16500</v>
      </c>
      <c r="H36" s="18">
        <v>150</v>
      </c>
      <c r="J36" s="15">
        <v>2.6</v>
      </c>
      <c r="K36" s="16">
        <v>1.8</v>
      </c>
      <c r="L36" s="16">
        <f t="shared" si="17"/>
        <v>4.6800000000000006</v>
      </c>
      <c r="M36" s="16">
        <f t="shared" si="1"/>
        <v>1544.4</v>
      </c>
      <c r="O36" s="15">
        <v>-0.5</v>
      </c>
      <c r="P36" s="44">
        <f t="shared" si="18"/>
        <v>-772.2</v>
      </c>
      <c r="Q36" s="15">
        <v>1000</v>
      </c>
      <c r="R36" s="15">
        <f t="shared" si="13"/>
        <v>227.79999999999995</v>
      </c>
      <c r="T36" s="24">
        <v>250000</v>
      </c>
      <c r="U36" s="15"/>
      <c r="V36" s="16">
        <v>0</v>
      </c>
      <c r="W36" s="56">
        <f t="shared" si="19"/>
        <v>0</v>
      </c>
      <c r="X36" s="24">
        <v>2000</v>
      </c>
      <c r="Y36" s="15"/>
      <c r="Z36" s="15"/>
      <c r="AA36" s="15">
        <v>47</v>
      </c>
      <c r="AB36" s="15">
        <f t="shared" si="20"/>
        <v>15.51</v>
      </c>
      <c r="AC36" s="15"/>
      <c r="AD36" s="15"/>
    </row>
    <row r="37" spans="1:30" ht="17" thickBot="1" x14ac:dyDescent="0.25">
      <c r="A37" s="15"/>
      <c r="B37" s="32" t="s">
        <v>108</v>
      </c>
      <c r="C37" s="33" t="s">
        <v>104</v>
      </c>
      <c r="D37" s="33" t="s">
        <v>16</v>
      </c>
      <c r="E37" s="58">
        <v>10</v>
      </c>
      <c r="F37" s="35">
        <v>0.8</v>
      </c>
      <c r="G37" s="36">
        <f t="shared" si="16"/>
        <v>22000</v>
      </c>
      <c r="H37" s="36">
        <v>150</v>
      </c>
      <c r="I37" s="41"/>
      <c r="J37" s="31">
        <v>2.6</v>
      </c>
      <c r="K37" s="58">
        <v>1.8</v>
      </c>
      <c r="L37" s="58">
        <f t="shared" si="17"/>
        <v>4.6800000000000006</v>
      </c>
      <c r="M37" s="58">
        <f t="shared" si="1"/>
        <v>1544.4</v>
      </c>
      <c r="N37" s="41"/>
      <c r="O37" s="31">
        <v>-0.5</v>
      </c>
      <c r="P37" s="31">
        <f>O37*M37</f>
        <v>-772.2</v>
      </c>
      <c r="Q37" s="31">
        <v>1000</v>
      </c>
      <c r="R37" s="31">
        <f t="shared" si="13"/>
        <v>227.79999999999995</v>
      </c>
      <c r="S37" s="41"/>
      <c r="T37" s="42">
        <v>250000</v>
      </c>
      <c r="U37" s="31"/>
      <c r="V37" s="58">
        <v>0</v>
      </c>
      <c r="W37" s="59">
        <f t="shared" si="19"/>
        <v>0</v>
      </c>
      <c r="X37" s="42">
        <v>2000</v>
      </c>
      <c r="Y37" s="31"/>
      <c r="Z37" s="31"/>
      <c r="AA37" s="31">
        <v>35</v>
      </c>
      <c r="AB37" s="31">
        <f>(AA37*330)/(10^3)</f>
        <v>11.55</v>
      </c>
      <c r="AC37" s="31"/>
      <c r="AD37" s="31"/>
    </row>
    <row r="38" spans="1:30" ht="17" thickTop="1" x14ac:dyDescent="0.2">
      <c r="A38" s="15" t="s">
        <v>97</v>
      </c>
      <c r="B38" s="30" t="s">
        <v>100</v>
      </c>
      <c r="C38" s="27" t="s">
        <v>101</v>
      </c>
      <c r="D38" s="27" t="s">
        <v>17</v>
      </c>
      <c r="E38" s="16">
        <v>10</v>
      </c>
      <c r="F38" s="17">
        <v>0.85</v>
      </c>
      <c r="G38" s="18">
        <v>1700</v>
      </c>
      <c r="H38" s="18">
        <v>400</v>
      </c>
      <c r="J38" s="15">
        <v>4</v>
      </c>
      <c r="K38" s="16">
        <v>1.2</v>
      </c>
      <c r="L38" s="16">
        <f>J38*K38</f>
        <v>4.8</v>
      </c>
      <c r="M38" s="16">
        <f>L38*330</f>
        <v>1584</v>
      </c>
      <c r="O38" s="15">
        <v>7</v>
      </c>
      <c r="P38" s="15">
        <f>O38*M38</f>
        <v>11088</v>
      </c>
      <c r="Q38" s="15">
        <v>850</v>
      </c>
      <c r="R38" s="15">
        <f t="shared" si="13"/>
        <v>11938</v>
      </c>
      <c r="T38" s="24">
        <v>712500</v>
      </c>
      <c r="U38" s="15"/>
      <c r="V38" s="16">
        <v>0.71499999999999997</v>
      </c>
      <c r="W38" s="56">
        <f>(V38*M38)/(10^3)</f>
        <v>1.13256</v>
      </c>
      <c r="X38" s="24">
        <v>2000</v>
      </c>
      <c r="Y38" s="15"/>
      <c r="Z38" s="15"/>
      <c r="AA38" s="15">
        <v>47</v>
      </c>
      <c r="AB38" s="15">
        <f>(AA38*330)/(10^3)</f>
        <v>15.51</v>
      </c>
      <c r="AC38" s="15" t="s">
        <v>102</v>
      </c>
      <c r="AD38" s="15"/>
    </row>
    <row r="39" spans="1:30" x14ac:dyDescent="0.2">
      <c r="A39" s="15" t="s">
        <v>97</v>
      </c>
      <c r="B39" s="30" t="s">
        <v>100</v>
      </c>
      <c r="C39" s="27" t="s">
        <v>103</v>
      </c>
      <c r="D39" s="27" t="s">
        <v>17</v>
      </c>
      <c r="E39" s="16">
        <v>10</v>
      </c>
      <c r="F39" s="17">
        <v>0.85</v>
      </c>
      <c r="G39" s="18">
        <f>G38*2</f>
        <v>3400</v>
      </c>
      <c r="H39" s="18">
        <f>H38*2</f>
        <v>800</v>
      </c>
      <c r="J39" s="15">
        <v>2.7</v>
      </c>
      <c r="K39" s="16">
        <v>1.8</v>
      </c>
      <c r="L39" s="16">
        <f>J39*K39</f>
        <v>4.8600000000000003</v>
      </c>
      <c r="M39" s="16">
        <f>L39*330</f>
        <v>1603.8000000000002</v>
      </c>
      <c r="O39" s="15">
        <v>7</v>
      </c>
      <c r="P39" s="15">
        <f>O39*M39</f>
        <v>11226.600000000002</v>
      </c>
      <c r="Q39" s="15">
        <v>850</v>
      </c>
      <c r="R39" s="15">
        <f t="shared" si="13"/>
        <v>12076.600000000002</v>
      </c>
      <c r="T39" s="24">
        <v>712500</v>
      </c>
      <c r="U39" s="15"/>
      <c r="V39" s="16">
        <v>0.71499999999999997</v>
      </c>
      <c r="W39" s="56">
        <f>(V39*M39)/(10^3)</f>
        <v>1.1467170000000002</v>
      </c>
      <c r="X39" s="24">
        <v>2000</v>
      </c>
      <c r="Y39" s="15"/>
      <c r="Z39" s="15"/>
      <c r="AA39" s="15">
        <v>47</v>
      </c>
      <c r="AB39" s="15">
        <f>(AA39*330)/(10^3)</f>
        <v>15.51</v>
      </c>
      <c r="AC39" s="15" t="s">
        <v>102</v>
      </c>
      <c r="AD39" s="15"/>
    </row>
    <row r="40" spans="1:30" x14ac:dyDescent="0.2">
      <c r="A40" s="15" t="s">
        <v>97</v>
      </c>
      <c r="B40" s="30" t="s">
        <v>106</v>
      </c>
      <c r="C40" s="27" t="s">
        <v>101</v>
      </c>
      <c r="D40" s="27" t="s">
        <v>17</v>
      </c>
      <c r="E40" s="16">
        <v>10</v>
      </c>
      <c r="F40" s="17">
        <v>0.85</v>
      </c>
      <c r="G40" s="18">
        <v>1700</v>
      </c>
      <c r="H40" s="18">
        <v>400</v>
      </c>
      <c r="J40" s="15">
        <v>4</v>
      </c>
      <c r="K40" s="16">
        <v>1.2</v>
      </c>
      <c r="L40" s="16">
        <f t="shared" ref="L40:L46" si="21">J40*K40</f>
        <v>4.8</v>
      </c>
      <c r="M40" s="16">
        <f t="shared" si="1"/>
        <v>1584</v>
      </c>
      <c r="O40" s="15">
        <v>25</v>
      </c>
      <c r="P40" s="15">
        <f t="shared" ref="P40:P45" si="22">O40*M40</f>
        <v>39600</v>
      </c>
      <c r="Q40" s="15">
        <v>450</v>
      </c>
      <c r="R40" s="15">
        <f t="shared" si="13"/>
        <v>40050</v>
      </c>
      <c r="T40" s="24">
        <v>712500</v>
      </c>
      <c r="U40" s="15"/>
      <c r="V40" s="16">
        <v>0</v>
      </c>
      <c r="W40" s="56">
        <f t="shared" ref="W40:W46" si="23">(V40*M40)/(10^3)</f>
        <v>0</v>
      </c>
      <c r="X40" s="24">
        <v>2000</v>
      </c>
      <c r="Y40" s="15"/>
      <c r="Z40" s="15"/>
      <c r="AA40" s="15">
        <v>47</v>
      </c>
      <c r="AB40" s="15">
        <f t="shared" ref="AB40:AB45" si="24">(AA40*330)/(10^3)</f>
        <v>15.51</v>
      </c>
      <c r="AC40" s="15" t="s">
        <v>102</v>
      </c>
      <c r="AD40" s="15"/>
    </row>
    <row r="41" spans="1:30" x14ac:dyDescent="0.2">
      <c r="A41" s="15" t="s">
        <v>97</v>
      </c>
      <c r="B41" s="30" t="s">
        <v>106</v>
      </c>
      <c r="C41" s="27" t="s">
        <v>103</v>
      </c>
      <c r="D41" s="27" t="s">
        <v>17</v>
      </c>
      <c r="E41" s="16">
        <v>10</v>
      </c>
      <c r="F41" s="17">
        <v>0.85</v>
      </c>
      <c r="G41" s="18">
        <f>G40*2</f>
        <v>3400</v>
      </c>
      <c r="H41" s="18">
        <f>H40*2</f>
        <v>800</v>
      </c>
      <c r="J41" s="15">
        <v>2.7</v>
      </c>
      <c r="K41" s="16">
        <v>1.8</v>
      </c>
      <c r="L41" s="16">
        <f t="shared" si="21"/>
        <v>4.8600000000000003</v>
      </c>
      <c r="M41" s="16">
        <f t="shared" si="1"/>
        <v>1603.8000000000002</v>
      </c>
      <c r="O41" s="15">
        <v>25</v>
      </c>
      <c r="P41" s="15">
        <f t="shared" si="22"/>
        <v>40095.000000000007</v>
      </c>
      <c r="Q41" s="15">
        <v>450</v>
      </c>
      <c r="R41" s="15">
        <f t="shared" si="13"/>
        <v>40545.000000000007</v>
      </c>
      <c r="T41" s="24">
        <v>712500</v>
      </c>
      <c r="U41" s="15"/>
      <c r="V41" s="16">
        <v>0</v>
      </c>
      <c r="W41" s="56">
        <f t="shared" si="23"/>
        <v>0</v>
      </c>
      <c r="X41" s="24">
        <v>2000</v>
      </c>
      <c r="Y41" s="15"/>
      <c r="Z41" s="15"/>
      <c r="AA41" s="15">
        <v>47</v>
      </c>
      <c r="AB41" s="15">
        <f t="shared" si="24"/>
        <v>15.51</v>
      </c>
      <c r="AC41" s="15" t="s">
        <v>102</v>
      </c>
      <c r="AD41" s="15"/>
    </row>
    <row r="42" spans="1:30" x14ac:dyDescent="0.2">
      <c r="A42" s="15" t="s">
        <v>97</v>
      </c>
      <c r="B42" s="30" t="s">
        <v>106</v>
      </c>
      <c r="C42" s="27" t="s">
        <v>104</v>
      </c>
      <c r="D42" s="27" t="s">
        <v>17</v>
      </c>
      <c r="E42" s="16">
        <v>10</v>
      </c>
      <c r="F42" s="17">
        <v>0.85</v>
      </c>
      <c r="G42" s="18">
        <v>7500</v>
      </c>
      <c r="H42" s="18">
        <v>400</v>
      </c>
      <c r="J42" s="15">
        <v>4</v>
      </c>
      <c r="K42" s="16">
        <v>1.2</v>
      </c>
      <c r="L42" s="16">
        <f t="shared" si="21"/>
        <v>4.8</v>
      </c>
      <c r="M42" s="16">
        <f t="shared" si="1"/>
        <v>1584</v>
      </c>
      <c r="O42" s="15">
        <v>25</v>
      </c>
      <c r="P42" s="15">
        <f t="shared" si="22"/>
        <v>39600</v>
      </c>
      <c r="Q42" s="15">
        <v>450</v>
      </c>
      <c r="R42" s="15">
        <f t="shared" si="13"/>
        <v>40050</v>
      </c>
      <c r="T42" s="24">
        <v>712500</v>
      </c>
      <c r="U42" s="15"/>
      <c r="V42" s="16">
        <v>0</v>
      </c>
      <c r="W42" s="56">
        <f t="shared" si="23"/>
        <v>0</v>
      </c>
      <c r="X42" s="24">
        <v>2000</v>
      </c>
      <c r="Y42" s="15"/>
      <c r="Z42" s="15"/>
      <c r="AA42" s="15">
        <f>ROUND(AA40*0.75,0)</f>
        <v>35</v>
      </c>
      <c r="AB42" s="15">
        <f t="shared" si="24"/>
        <v>11.55</v>
      </c>
      <c r="AC42" s="15" t="s">
        <v>105</v>
      </c>
      <c r="AD42" s="15"/>
    </row>
    <row r="43" spans="1:30" x14ac:dyDescent="0.2">
      <c r="A43" s="15" t="s">
        <v>97</v>
      </c>
      <c r="B43" s="30" t="s">
        <v>107</v>
      </c>
      <c r="C43" s="27" t="s">
        <v>101</v>
      </c>
      <c r="D43" s="27" t="s">
        <v>17</v>
      </c>
      <c r="E43" s="16">
        <v>10</v>
      </c>
      <c r="F43" s="17">
        <v>0.85</v>
      </c>
      <c r="G43" s="18">
        <f>G34*1.2</f>
        <v>19800</v>
      </c>
      <c r="H43" s="18">
        <v>400</v>
      </c>
      <c r="J43" s="15">
        <v>4</v>
      </c>
      <c r="K43" s="16">
        <v>1.2</v>
      </c>
      <c r="L43" s="16">
        <f t="shared" si="21"/>
        <v>4.8</v>
      </c>
      <c r="M43" s="16">
        <f t="shared" si="1"/>
        <v>1584</v>
      </c>
      <c r="O43" s="15">
        <v>0</v>
      </c>
      <c r="P43" s="15">
        <f t="shared" si="22"/>
        <v>0</v>
      </c>
      <c r="Q43" s="15">
        <v>850</v>
      </c>
      <c r="R43" s="15">
        <f t="shared" si="13"/>
        <v>850</v>
      </c>
      <c r="T43" s="24">
        <v>712500</v>
      </c>
      <c r="U43" s="15"/>
      <c r="V43" s="16">
        <v>0</v>
      </c>
      <c r="W43" s="56">
        <f t="shared" si="23"/>
        <v>0</v>
      </c>
      <c r="X43" s="24">
        <v>2000</v>
      </c>
      <c r="Y43" s="15"/>
      <c r="Z43" s="15"/>
      <c r="AA43" s="15">
        <v>47</v>
      </c>
      <c r="AB43" s="15">
        <f t="shared" si="24"/>
        <v>15.51</v>
      </c>
      <c r="AC43" s="15" t="s">
        <v>102</v>
      </c>
      <c r="AD43" s="15"/>
    </row>
    <row r="44" spans="1:30" x14ac:dyDescent="0.2">
      <c r="A44" s="15" t="s">
        <v>97</v>
      </c>
      <c r="B44" s="30" t="s">
        <v>107</v>
      </c>
      <c r="C44" s="27" t="s">
        <v>103</v>
      </c>
      <c r="D44" s="27" t="s">
        <v>17</v>
      </c>
      <c r="E44" s="16">
        <v>10</v>
      </c>
      <c r="F44" s="17">
        <v>0.85</v>
      </c>
      <c r="G44" s="18">
        <f>G35*1.2</f>
        <v>19800</v>
      </c>
      <c r="H44" s="18">
        <v>400</v>
      </c>
      <c r="J44" s="15">
        <v>2.7</v>
      </c>
      <c r="K44" s="16">
        <v>1.8</v>
      </c>
      <c r="L44" s="16">
        <f t="shared" si="21"/>
        <v>4.8600000000000003</v>
      </c>
      <c r="M44" s="16">
        <f t="shared" si="1"/>
        <v>1603.8000000000002</v>
      </c>
      <c r="O44" s="15">
        <v>0</v>
      </c>
      <c r="P44" s="15">
        <f t="shared" si="22"/>
        <v>0</v>
      </c>
      <c r="Q44" s="15">
        <v>850</v>
      </c>
      <c r="R44" s="15">
        <f t="shared" si="13"/>
        <v>850</v>
      </c>
      <c r="T44" s="24">
        <v>712500</v>
      </c>
      <c r="U44" s="15"/>
      <c r="V44" s="16">
        <v>0</v>
      </c>
      <c r="W44" s="56">
        <f t="shared" si="23"/>
        <v>0</v>
      </c>
      <c r="X44" s="24">
        <v>2000</v>
      </c>
      <c r="Y44" s="15"/>
      <c r="Z44" s="15"/>
      <c r="AA44" s="15">
        <v>47</v>
      </c>
      <c r="AB44" s="15">
        <f t="shared" si="24"/>
        <v>15.51</v>
      </c>
      <c r="AC44" s="15" t="s">
        <v>102</v>
      </c>
      <c r="AD44" s="15"/>
    </row>
    <row r="45" spans="1:30" x14ac:dyDescent="0.2">
      <c r="A45" s="15"/>
      <c r="B45" s="30" t="s">
        <v>108</v>
      </c>
      <c r="C45" s="27" t="s">
        <v>109</v>
      </c>
      <c r="D45" s="27" t="s">
        <v>17</v>
      </c>
      <c r="E45" s="16">
        <v>10</v>
      </c>
      <c r="F45" s="17">
        <v>0.85</v>
      </c>
      <c r="G45" s="18">
        <f>G36*1.2</f>
        <v>19800</v>
      </c>
      <c r="H45" s="18">
        <v>400</v>
      </c>
      <c r="J45" s="15">
        <v>2.7</v>
      </c>
      <c r="K45" s="16">
        <v>1.8</v>
      </c>
      <c r="L45" s="16">
        <f t="shared" si="21"/>
        <v>4.8600000000000003</v>
      </c>
      <c r="M45" s="16">
        <f t="shared" si="1"/>
        <v>1603.8000000000002</v>
      </c>
      <c r="O45" s="15">
        <v>-0.25</v>
      </c>
      <c r="P45" s="15">
        <f t="shared" si="22"/>
        <v>-400.95000000000005</v>
      </c>
      <c r="Q45" s="15">
        <v>1250</v>
      </c>
      <c r="R45" s="15">
        <f t="shared" si="13"/>
        <v>849.05</v>
      </c>
      <c r="T45" s="24">
        <v>712500</v>
      </c>
      <c r="U45" s="15"/>
      <c r="V45" s="16">
        <v>0</v>
      </c>
      <c r="W45" s="56">
        <f t="shared" si="23"/>
        <v>0</v>
      </c>
      <c r="X45" s="24">
        <v>2000</v>
      </c>
      <c r="Y45" s="15"/>
      <c r="Z45" s="15"/>
      <c r="AA45" s="15">
        <v>47</v>
      </c>
      <c r="AB45" s="15">
        <f t="shared" si="24"/>
        <v>15.51</v>
      </c>
      <c r="AC45" s="15"/>
      <c r="AD45" s="15"/>
    </row>
    <row r="46" spans="1:30" ht="17" thickBot="1" x14ac:dyDescent="0.25">
      <c r="A46" s="15"/>
      <c r="B46" s="32" t="s">
        <v>108</v>
      </c>
      <c r="C46" s="33" t="s">
        <v>104</v>
      </c>
      <c r="D46" s="33" t="s">
        <v>17</v>
      </c>
      <c r="E46" s="58">
        <v>10</v>
      </c>
      <c r="F46" s="35">
        <v>0.85</v>
      </c>
      <c r="G46" s="36">
        <f>G37*1.2</f>
        <v>26400</v>
      </c>
      <c r="H46" s="36">
        <v>400</v>
      </c>
      <c r="I46" s="41"/>
      <c r="J46" s="31">
        <v>2.7</v>
      </c>
      <c r="K46" s="58">
        <v>1.8</v>
      </c>
      <c r="L46" s="58">
        <f t="shared" si="21"/>
        <v>4.8600000000000003</v>
      </c>
      <c r="M46" s="58">
        <f t="shared" si="1"/>
        <v>1603.8000000000002</v>
      </c>
      <c r="N46" s="41"/>
      <c r="O46" s="31">
        <v>-0.25</v>
      </c>
      <c r="P46" s="31">
        <f>O46*M46</f>
        <v>-400.95000000000005</v>
      </c>
      <c r="Q46" s="31">
        <v>1250</v>
      </c>
      <c r="R46" s="31">
        <f t="shared" si="13"/>
        <v>849.05</v>
      </c>
      <c r="S46" s="41"/>
      <c r="T46" s="42">
        <v>712500</v>
      </c>
      <c r="U46" s="31"/>
      <c r="V46" s="58">
        <v>0</v>
      </c>
      <c r="W46" s="59">
        <f t="shared" si="23"/>
        <v>0</v>
      </c>
      <c r="X46" s="42">
        <v>2000</v>
      </c>
      <c r="Y46" s="31"/>
      <c r="Z46" s="31"/>
      <c r="AA46" s="31">
        <v>35</v>
      </c>
      <c r="AB46" s="31">
        <f>(AA46*330)/(10^3)</f>
        <v>11.55</v>
      </c>
      <c r="AC46" s="31"/>
      <c r="AD46" s="31"/>
    </row>
    <row r="47" spans="1:30" ht="17" thickTop="1" x14ac:dyDescent="0.2">
      <c r="A47" s="15" t="s">
        <v>97</v>
      </c>
      <c r="B47" s="30" t="s">
        <v>100</v>
      </c>
      <c r="C47" s="27" t="s">
        <v>101</v>
      </c>
      <c r="D47" s="27" t="s">
        <v>18</v>
      </c>
      <c r="E47" s="16">
        <v>10</v>
      </c>
      <c r="F47" s="17">
        <v>0.9</v>
      </c>
      <c r="G47" s="18">
        <v>2900</v>
      </c>
      <c r="H47" s="18">
        <v>800</v>
      </c>
      <c r="J47" s="15">
        <v>4.0999999999999996</v>
      </c>
      <c r="K47" s="16">
        <v>1.2</v>
      </c>
      <c r="L47" s="16">
        <f>J47*K47</f>
        <v>4.919999999999999</v>
      </c>
      <c r="M47" s="16">
        <f>L47*330</f>
        <v>1623.5999999999997</v>
      </c>
      <c r="O47" s="15">
        <v>8</v>
      </c>
      <c r="P47" s="15">
        <f>O47*M47</f>
        <v>12988.799999999997</v>
      </c>
      <c r="Q47" s="15">
        <v>1250</v>
      </c>
      <c r="R47" s="15">
        <f t="shared" si="13"/>
        <v>14238.799999999997</v>
      </c>
      <c r="T47" s="24">
        <v>1125000</v>
      </c>
      <c r="U47" s="15"/>
      <c r="V47" s="16">
        <v>0.71499999999999997</v>
      </c>
      <c r="W47" s="56">
        <f>(V47*M47)/(10^3)</f>
        <v>1.1608739999999997</v>
      </c>
      <c r="X47" s="24">
        <v>2000</v>
      </c>
      <c r="Y47" s="15"/>
      <c r="Z47" s="15"/>
      <c r="AA47" s="15">
        <v>47</v>
      </c>
      <c r="AB47" s="15">
        <f>(AA47*330)/(10^3)</f>
        <v>15.51</v>
      </c>
      <c r="AC47" s="15" t="s">
        <v>102</v>
      </c>
      <c r="AD47" s="15"/>
    </row>
    <row r="48" spans="1:30" x14ac:dyDescent="0.2">
      <c r="A48" s="15" t="s">
        <v>97</v>
      </c>
      <c r="B48" s="30" t="s">
        <v>100</v>
      </c>
      <c r="C48" s="27" t="s">
        <v>103</v>
      </c>
      <c r="D48" s="27" t="s">
        <v>18</v>
      </c>
      <c r="E48" s="16">
        <v>10</v>
      </c>
      <c r="F48" s="17">
        <v>0.9</v>
      </c>
      <c r="G48" s="18">
        <f>G47*2</f>
        <v>5800</v>
      </c>
      <c r="H48" s="18">
        <f>H47*2</f>
        <v>1600</v>
      </c>
      <c r="J48" s="15">
        <v>2.8</v>
      </c>
      <c r="K48" s="16">
        <v>1.8</v>
      </c>
      <c r="L48" s="16">
        <f>J48*K48</f>
        <v>5.04</v>
      </c>
      <c r="M48" s="16">
        <f>L48*330</f>
        <v>1663.2</v>
      </c>
      <c r="O48" s="15">
        <v>8</v>
      </c>
      <c r="P48" s="15">
        <f>O48*M48</f>
        <v>13305.6</v>
      </c>
      <c r="Q48" s="15">
        <v>1250</v>
      </c>
      <c r="R48" s="15">
        <f t="shared" si="13"/>
        <v>14555.6</v>
      </c>
      <c r="T48" s="24">
        <v>1125000</v>
      </c>
      <c r="U48" s="15"/>
      <c r="V48" s="16">
        <v>0.71499999999999997</v>
      </c>
      <c r="W48" s="56">
        <f>(V48*M48)/(10^3)</f>
        <v>1.1891879999999999</v>
      </c>
      <c r="X48" s="24">
        <v>2000</v>
      </c>
      <c r="Y48" s="15"/>
      <c r="Z48" s="15"/>
      <c r="AA48" s="15">
        <v>47</v>
      </c>
      <c r="AB48" s="15">
        <f>(AA48*330)/(10^3)</f>
        <v>15.51</v>
      </c>
      <c r="AC48" s="15" t="s">
        <v>102</v>
      </c>
      <c r="AD48" s="15"/>
    </row>
    <row r="49" spans="1:30" x14ac:dyDescent="0.2">
      <c r="A49" s="15" t="s">
        <v>97</v>
      </c>
      <c r="B49" s="30" t="s">
        <v>106</v>
      </c>
      <c r="C49" s="27" t="s">
        <v>101</v>
      </c>
      <c r="D49" s="27" t="s">
        <v>18</v>
      </c>
      <c r="E49" s="16">
        <v>10</v>
      </c>
      <c r="F49" s="17">
        <v>0.9</v>
      </c>
      <c r="G49" s="18">
        <v>2900</v>
      </c>
      <c r="H49" s="18">
        <v>800</v>
      </c>
      <c r="J49" s="15">
        <v>4.0999999999999996</v>
      </c>
      <c r="K49" s="16">
        <v>1.2</v>
      </c>
      <c r="L49" s="16">
        <f t="shared" ref="L49:L55" si="25">J49*K49</f>
        <v>4.919999999999999</v>
      </c>
      <c r="M49" s="16">
        <f t="shared" si="1"/>
        <v>1623.5999999999997</v>
      </c>
      <c r="O49" s="15">
        <v>50</v>
      </c>
      <c r="P49" s="15">
        <f t="shared" ref="P49:P54" si="26">O49*M49</f>
        <v>81179.999999999985</v>
      </c>
      <c r="Q49" s="15">
        <v>750</v>
      </c>
      <c r="R49" s="15">
        <f t="shared" si="13"/>
        <v>81929.999999999985</v>
      </c>
      <c r="T49" s="24">
        <v>1125000</v>
      </c>
      <c r="U49" s="15"/>
      <c r="V49" s="16">
        <v>0</v>
      </c>
      <c r="W49" s="56">
        <f t="shared" ref="W49:W55" si="27">(V49*M49)/(10^3)</f>
        <v>0</v>
      </c>
      <c r="X49" s="24">
        <v>2000</v>
      </c>
      <c r="Y49" s="15"/>
      <c r="Z49" s="15"/>
      <c r="AA49" s="15">
        <v>47</v>
      </c>
      <c r="AB49" s="15">
        <f t="shared" ref="AB49:AB54" si="28">(AA49*330)/(10^3)</f>
        <v>15.51</v>
      </c>
      <c r="AC49" s="15" t="s">
        <v>102</v>
      </c>
      <c r="AD49" s="15"/>
    </row>
    <row r="50" spans="1:30" x14ac:dyDescent="0.2">
      <c r="A50" s="15" t="s">
        <v>97</v>
      </c>
      <c r="B50" s="30" t="s">
        <v>106</v>
      </c>
      <c r="C50" s="27" t="s">
        <v>103</v>
      </c>
      <c r="D50" s="27" t="s">
        <v>18</v>
      </c>
      <c r="E50" s="16">
        <v>10</v>
      </c>
      <c r="F50" s="17">
        <v>0.9</v>
      </c>
      <c r="G50" s="18">
        <f>G49*2</f>
        <v>5800</v>
      </c>
      <c r="H50" s="18">
        <f>H49*2</f>
        <v>1600</v>
      </c>
      <c r="J50" s="15">
        <v>2.8</v>
      </c>
      <c r="K50" s="16">
        <v>1.8</v>
      </c>
      <c r="L50" s="16">
        <f t="shared" si="25"/>
        <v>5.04</v>
      </c>
      <c r="M50" s="16">
        <f t="shared" si="1"/>
        <v>1663.2</v>
      </c>
      <c r="O50" s="15">
        <v>50</v>
      </c>
      <c r="P50" s="15">
        <f t="shared" si="26"/>
        <v>83160</v>
      </c>
      <c r="Q50" s="15">
        <v>750</v>
      </c>
      <c r="R50" s="15">
        <f t="shared" si="13"/>
        <v>83910</v>
      </c>
      <c r="T50" s="24">
        <v>1125000</v>
      </c>
      <c r="U50" s="15"/>
      <c r="V50" s="16">
        <v>0</v>
      </c>
      <c r="W50" s="56">
        <f t="shared" si="27"/>
        <v>0</v>
      </c>
      <c r="X50" s="24">
        <v>2000</v>
      </c>
      <c r="Y50" s="15"/>
      <c r="Z50" s="15"/>
      <c r="AA50" s="15">
        <v>47</v>
      </c>
      <c r="AB50" s="15">
        <f t="shared" si="28"/>
        <v>15.51</v>
      </c>
      <c r="AC50" s="15" t="s">
        <v>102</v>
      </c>
      <c r="AD50" s="15"/>
    </row>
    <row r="51" spans="1:30" x14ac:dyDescent="0.2">
      <c r="A51" s="15" t="s">
        <v>97</v>
      </c>
      <c r="B51" s="30" t="s">
        <v>106</v>
      </c>
      <c r="C51" s="27" t="s">
        <v>104</v>
      </c>
      <c r="D51" s="27" t="s">
        <v>18</v>
      </c>
      <c r="E51" s="16">
        <v>10</v>
      </c>
      <c r="F51" s="17">
        <v>0.9</v>
      </c>
      <c r="G51" s="18">
        <v>10000</v>
      </c>
      <c r="H51" s="18">
        <v>800</v>
      </c>
      <c r="J51" s="15">
        <v>4.0999999999999996</v>
      </c>
      <c r="K51" s="16">
        <v>1.2</v>
      </c>
      <c r="L51" s="16">
        <f t="shared" si="25"/>
        <v>4.919999999999999</v>
      </c>
      <c r="M51" s="16">
        <f t="shared" si="1"/>
        <v>1623.5999999999997</v>
      </c>
      <c r="O51" s="15">
        <v>50</v>
      </c>
      <c r="P51" s="15">
        <f t="shared" si="26"/>
        <v>81179.999999999985</v>
      </c>
      <c r="Q51" s="15">
        <v>750</v>
      </c>
      <c r="R51" s="15">
        <f t="shared" si="13"/>
        <v>81929.999999999985</v>
      </c>
      <c r="T51" s="24">
        <v>1125000</v>
      </c>
      <c r="U51" s="15"/>
      <c r="V51" s="16">
        <v>0</v>
      </c>
      <c r="W51" s="56">
        <f t="shared" si="27"/>
        <v>0</v>
      </c>
      <c r="X51" s="24">
        <v>2000</v>
      </c>
      <c r="Y51" s="15"/>
      <c r="Z51" s="15"/>
      <c r="AA51" s="15">
        <f>ROUND(AA49*0.75,0)</f>
        <v>35</v>
      </c>
      <c r="AB51" s="15">
        <f t="shared" si="28"/>
        <v>11.55</v>
      </c>
      <c r="AC51" s="15" t="s">
        <v>105</v>
      </c>
      <c r="AD51" s="15"/>
    </row>
    <row r="52" spans="1:30" x14ac:dyDescent="0.2">
      <c r="A52" s="15" t="s">
        <v>97</v>
      </c>
      <c r="B52" s="30" t="s">
        <v>107</v>
      </c>
      <c r="C52" s="27" t="s">
        <v>101</v>
      </c>
      <c r="D52" s="27" t="s">
        <v>18</v>
      </c>
      <c r="E52" s="16">
        <v>10</v>
      </c>
      <c r="F52" s="17">
        <v>0.9</v>
      </c>
      <c r="G52" s="18">
        <v>2900</v>
      </c>
      <c r="H52" s="18">
        <v>800</v>
      </c>
      <c r="J52" s="15">
        <v>4.0999999999999996</v>
      </c>
      <c r="K52" s="16">
        <v>1.2</v>
      </c>
      <c r="L52" s="16">
        <f t="shared" si="25"/>
        <v>4.919999999999999</v>
      </c>
      <c r="M52" s="16">
        <f t="shared" si="1"/>
        <v>1623.5999999999997</v>
      </c>
      <c r="O52" s="15">
        <v>0</v>
      </c>
      <c r="P52" s="15">
        <f t="shared" si="26"/>
        <v>0</v>
      </c>
      <c r="Q52" s="15">
        <v>1250</v>
      </c>
      <c r="R52" s="15">
        <f t="shared" si="13"/>
        <v>1250</v>
      </c>
      <c r="T52" s="24">
        <v>1125000</v>
      </c>
      <c r="U52" s="15"/>
      <c r="V52" s="16">
        <v>0</v>
      </c>
      <c r="W52" s="56">
        <f t="shared" si="27"/>
        <v>0</v>
      </c>
      <c r="X52" s="24">
        <v>2000</v>
      </c>
      <c r="Y52" s="15"/>
      <c r="Z52" s="15"/>
      <c r="AA52" s="15">
        <v>47</v>
      </c>
      <c r="AB52" s="15">
        <f t="shared" si="28"/>
        <v>15.51</v>
      </c>
      <c r="AC52" s="15" t="s">
        <v>102</v>
      </c>
      <c r="AD52" s="15"/>
    </row>
    <row r="53" spans="1:30" x14ac:dyDescent="0.2">
      <c r="A53" s="15" t="s">
        <v>97</v>
      </c>
      <c r="B53" s="30" t="s">
        <v>107</v>
      </c>
      <c r="C53" s="27" t="s">
        <v>103</v>
      </c>
      <c r="D53" s="27" t="s">
        <v>18</v>
      </c>
      <c r="E53" s="16">
        <v>10</v>
      </c>
      <c r="F53" s="17">
        <v>0.9</v>
      </c>
      <c r="G53" s="18">
        <f>G52*2</f>
        <v>5800</v>
      </c>
      <c r="H53" s="18">
        <f>H52*2</f>
        <v>1600</v>
      </c>
      <c r="J53" s="15">
        <v>2.8</v>
      </c>
      <c r="K53" s="16">
        <v>1.8</v>
      </c>
      <c r="L53" s="16">
        <f t="shared" si="25"/>
        <v>5.04</v>
      </c>
      <c r="M53" s="16">
        <f t="shared" si="1"/>
        <v>1663.2</v>
      </c>
      <c r="O53" s="15">
        <v>0</v>
      </c>
      <c r="P53" s="15">
        <f t="shared" si="26"/>
        <v>0</v>
      </c>
      <c r="Q53" s="15">
        <v>1250</v>
      </c>
      <c r="R53" s="15">
        <f t="shared" si="13"/>
        <v>1250</v>
      </c>
      <c r="T53" s="24">
        <v>1125000</v>
      </c>
      <c r="U53" s="15"/>
      <c r="V53" s="16">
        <v>0</v>
      </c>
      <c r="W53" s="56">
        <f t="shared" si="27"/>
        <v>0</v>
      </c>
      <c r="X53" s="24">
        <v>2000</v>
      </c>
      <c r="Y53" s="15"/>
      <c r="Z53" s="15"/>
      <c r="AA53" s="15">
        <v>47</v>
      </c>
      <c r="AB53" s="15">
        <f t="shared" si="28"/>
        <v>15.51</v>
      </c>
      <c r="AC53" s="15" t="s">
        <v>102</v>
      </c>
      <c r="AD53" s="15"/>
    </row>
    <row r="54" spans="1:30" x14ac:dyDescent="0.2">
      <c r="A54" s="15"/>
      <c r="B54" s="30" t="s">
        <v>108</v>
      </c>
      <c r="C54" s="27" t="s">
        <v>109</v>
      </c>
      <c r="D54" s="27" t="s">
        <v>18</v>
      </c>
      <c r="E54" s="16">
        <v>10</v>
      </c>
      <c r="F54" s="17">
        <v>0.9</v>
      </c>
      <c r="G54" s="18">
        <f t="shared" ref="G54" si="29">G45*1.2</f>
        <v>23760</v>
      </c>
      <c r="H54" s="18">
        <v>800</v>
      </c>
      <c r="J54" s="15">
        <v>2.9</v>
      </c>
      <c r="K54" s="16">
        <v>1.8</v>
      </c>
      <c r="L54" s="16">
        <f t="shared" si="25"/>
        <v>5.22</v>
      </c>
      <c r="M54" s="16">
        <f t="shared" si="1"/>
        <v>1722.6</v>
      </c>
      <c r="O54" s="15">
        <v>-0.1</v>
      </c>
      <c r="P54" s="15">
        <f t="shared" si="26"/>
        <v>-172.26</v>
      </c>
      <c r="Q54" s="15">
        <v>1500</v>
      </c>
      <c r="R54" s="15">
        <f t="shared" si="13"/>
        <v>1327.74</v>
      </c>
      <c r="T54" s="24">
        <v>1125000</v>
      </c>
      <c r="U54" s="15"/>
      <c r="V54" s="16">
        <v>0</v>
      </c>
      <c r="W54" s="56">
        <f t="shared" si="27"/>
        <v>0</v>
      </c>
      <c r="X54" s="24">
        <v>2000</v>
      </c>
      <c r="Y54" s="15"/>
      <c r="Z54" s="15"/>
      <c r="AA54" s="15">
        <v>47</v>
      </c>
      <c r="AB54" s="15">
        <f t="shared" si="28"/>
        <v>15.51</v>
      </c>
      <c r="AC54" s="15"/>
      <c r="AD54" s="15"/>
    </row>
    <row r="55" spans="1:30" ht="17" thickBot="1" x14ac:dyDescent="0.25">
      <c r="A55" s="15"/>
      <c r="B55" s="32" t="s">
        <v>108</v>
      </c>
      <c r="C55" s="33" t="s">
        <v>104</v>
      </c>
      <c r="D55" s="33" t="s">
        <v>18</v>
      </c>
      <c r="E55" s="58">
        <v>10</v>
      </c>
      <c r="F55" s="35">
        <v>0.9</v>
      </c>
      <c r="G55" s="36">
        <f>G46*1.2</f>
        <v>31680</v>
      </c>
      <c r="H55" s="36">
        <v>800</v>
      </c>
      <c r="I55" s="41"/>
      <c r="J55" s="31">
        <v>2.9</v>
      </c>
      <c r="K55" s="58">
        <v>1.8</v>
      </c>
      <c r="L55" s="58">
        <f t="shared" si="25"/>
        <v>5.22</v>
      </c>
      <c r="M55" s="58">
        <f t="shared" si="1"/>
        <v>1722.6</v>
      </c>
      <c r="N55" s="41"/>
      <c r="O55" s="31">
        <v>-0.1</v>
      </c>
      <c r="P55" s="31">
        <f>O55*M55</f>
        <v>-172.26</v>
      </c>
      <c r="Q55" s="31">
        <v>1500</v>
      </c>
      <c r="R55" s="31">
        <f t="shared" si="13"/>
        <v>1327.74</v>
      </c>
      <c r="S55" s="41"/>
      <c r="T55" s="42">
        <v>1125000</v>
      </c>
      <c r="U55" s="31"/>
      <c r="V55" s="58">
        <v>0</v>
      </c>
      <c r="W55" s="59">
        <f t="shared" si="27"/>
        <v>0</v>
      </c>
      <c r="X55" s="42">
        <v>2000</v>
      </c>
      <c r="Y55" s="31"/>
      <c r="Z55" s="31"/>
      <c r="AA55" s="31">
        <v>35</v>
      </c>
      <c r="AB55" s="31">
        <f>(AA55*330)/(10^3)</f>
        <v>11.55</v>
      </c>
      <c r="AC55" s="31"/>
      <c r="AD55" s="31"/>
    </row>
    <row r="56" spans="1:30" ht="17" thickTop="1" x14ac:dyDescent="0.2"/>
    <row r="61" spans="1:30" x14ac:dyDescent="0.2">
      <c r="T61" s="14" t="s">
        <v>110</v>
      </c>
      <c r="U61" s="14" t="s">
        <v>111</v>
      </c>
    </row>
    <row r="62" spans="1:30" x14ac:dyDescent="0.2">
      <c r="U62" s="14" t="s">
        <v>112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4533-C657-4214-823E-030F0B5790EA}">
  <dimension ref="A1:N81"/>
  <sheetViews>
    <sheetView showGridLines="0" topLeftCell="F1" zoomScale="115" zoomScaleNormal="115" workbookViewId="0">
      <selection activeCell="F2" sqref="F2:N81"/>
    </sheetView>
  </sheetViews>
  <sheetFormatPr baseColWidth="10" defaultColWidth="8.83203125" defaultRowHeight="15" x14ac:dyDescent="0.2"/>
  <cols>
    <col min="1" max="1" width="21" customWidth="1"/>
    <col min="2" max="2" width="6.83203125" customWidth="1"/>
    <col min="3" max="3" width="20.83203125" customWidth="1"/>
    <col min="4" max="4" width="36" customWidth="1"/>
    <col min="5" max="5" width="36.6640625" customWidth="1"/>
    <col min="6" max="6" width="17.1640625" style="73" customWidth="1"/>
    <col min="7" max="7" width="10.6640625" customWidth="1"/>
    <col min="8" max="8" width="10.83203125" bestFit="1" customWidth="1"/>
    <col min="9" max="9" width="17.6640625" customWidth="1"/>
    <col min="10" max="10" width="20.5" customWidth="1"/>
    <col min="11" max="11" width="21.1640625" customWidth="1"/>
    <col min="12" max="12" width="18.6640625" style="73" customWidth="1"/>
    <col min="13" max="13" width="16.1640625" customWidth="1"/>
    <col min="14" max="14" width="21.5" customWidth="1"/>
  </cols>
  <sheetData>
    <row r="1" spans="1:14" ht="16" x14ac:dyDescent="0.2">
      <c r="A1" s="81" t="s">
        <v>113</v>
      </c>
      <c r="B1" s="82" t="s">
        <v>56</v>
      </c>
      <c r="C1" s="82" t="s">
        <v>57</v>
      </c>
      <c r="D1" s="82" t="s">
        <v>114</v>
      </c>
      <c r="E1" s="82" t="s">
        <v>59</v>
      </c>
      <c r="F1" s="83" t="s">
        <v>61</v>
      </c>
      <c r="G1" s="84" t="s">
        <v>68</v>
      </c>
      <c r="H1" s="83" t="s">
        <v>62</v>
      </c>
      <c r="I1" s="83" t="s">
        <v>63</v>
      </c>
      <c r="J1" s="83" t="s">
        <v>64</v>
      </c>
      <c r="K1" s="84" t="s">
        <v>74</v>
      </c>
      <c r="L1" s="84" t="s">
        <v>78</v>
      </c>
      <c r="M1" s="83" t="s">
        <v>115</v>
      </c>
      <c r="N1" s="85" t="s">
        <v>120</v>
      </c>
    </row>
    <row r="2" spans="1:14" ht="16" x14ac:dyDescent="0.2">
      <c r="A2" s="79" t="s">
        <v>100</v>
      </c>
      <c r="B2" s="1" t="s">
        <v>82</v>
      </c>
      <c r="C2" s="1" t="s">
        <v>100</v>
      </c>
      <c r="D2" s="1" t="s">
        <v>101</v>
      </c>
      <c r="E2" s="75" t="s">
        <v>16</v>
      </c>
      <c r="F2" s="110">
        <v>0.8</v>
      </c>
      <c r="G2" s="56">
        <v>5</v>
      </c>
      <c r="H2" s="111">
        <v>2000</v>
      </c>
      <c r="I2" s="112">
        <f>Table1[[#This Row],[Capex]]*0.1</f>
        <v>200</v>
      </c>
      <c r="J2" s="56">
        <v>3.9000000000000004</v>
      </c>
      <c r="K2" s="56">
        <v>0.71499999999999997</v>
      </c>
      <c r="L2" s="56">
        <v>47</v>
      </c>
      <c r="M2" s="3">
        <v>1</v>
      </c>
      <c r="N2" s="80">
        <v>3.9000000000000004</v>
      </c>
    </row>
    <row r="3" spans="1:14" ht="16" x14ac:dyDescent="0.2">
      <c r="A3" s="79" t="s">
        <v>100</v>
      </c>
      <c r="B3" s="1" t="s">
        <v>82</v>
      </c>
      <c r="C3" s="1" t="s">
        <v>100</v>
      </c>
      <c r="D3" s="1" t="s">
        <v>103</v>
      </c>
      <c r="E3" s="75" t="s">
        <v>16</v>
      </c>
      <c r="F3" s="110">
        <v>0.8</v>
      </c>
      <c r="G3" s="56">
        <v>5</v>
      </c>
      <c r="H3" s="111">
        <v>4000</v>
      </c>
      <c r="I3" s="112">
        <f>Table1[[#This Row],[Capex]]*0.1</f>
        <v>400</v>
      </c>
      <c r="J3" s="56">
        <v>2.6</v>
      </c>
      <c r="K3" s="56">
        <v>0.71499999999999997</v>
      </c>
      <c r="L3" s="56">
        <v>47</v>
      </c>
      <c r="M3" s="3">
        <v>1</v>
      </c>
      <c r="N3" s="80">
        <v>2.6</v>
      </c>
    </row>
    <row r="4" spans="1:14" ht="16" x14ac:dyDescent="0.2">
      <c r="A4" s="79" t="s">
        <v>107</v>
      </c>
      <c r="B4" s="1" t="s">
        <v>82</v>
      </c>
      <c r="C4" s="1" t="s">
        <v>107</v>
      </c>
      <c r="D4" s="1" t="s">
        <v>131</v>
      </c>
      <c r="E4" s="75" t="s">
        <v>16</v>
      </c>
      <c r="F4" s="110">
        <v>0.8</v>
      </c>
      <c r="G4" s="56">
        <v>0</v>
      </c>
      <c r="H4" s="111">
        <v>40000</v>
      </c>
      <c r="I4" s="112">
        <f>Table1[[#This Row],[Capex]]*0.005</f>
        <v>200</v>
      </c>
      <c r="J4" s="56">
        <v>3.9000000000000004</v>
      </c>
      <c r="K4" s="56">
        <v>0</v>
      </c>
      <c r="L4" s="56">
        <v>47</v>
      </c>
      <c r="M4" s="3">
        <v>1</v>
      </c>
      <c r="N4" s="80">
        <v>3.9000000000000004</v>
      </c>
    </row>
    <row r="5" spans="1:14" ht="16" x14ac:dyDescent="0.2">
      <c r="A5" s="79" t="s">
        <v>107</v>
      </c>
      <c r="B5" s="1" t="s">
        <v>82</v>
      </c>
      <c r="C5" s="1" t="s">
        <v>107</v>
      </c>
      <c r="D5" s="1" t="s">
        <v>130</v>
      </c>
      <c r="E5" s="75" t="s">
        <v>16</v>
      </c>
      <c r="F5" s="110">
        <v>0.8</v>
      </c>
      <c r="G5" s="56">
        <v>0</v>
      </c>
      <c r="H5" s="111">
        <v>100000</v>
      </c>
      <c r="I5" s="112">
        <f>Table1[[#This Row],[Capex]]*0.005</f>
        <v>500</v>
      </c>
      <c r="J5" s="56">
        <v>2.6</v>
      </c>
      <c r="K5" s="56">
        <v>0</v>
      </c>
      <c r="L5" s="56">
        <v>47</v>
      </c>
      <c r="M5" s="3">
        <v>1</v>
      </c>
      <c r="N5" s="80">
        <v>2.6</v>
      </c>
    </row>
    <row r="6" spans="1:14" ht="16" x14ac:dyDescent="0.2">
      <c r="A6" s="79" t="s">
        <v>100</v>
      </c>
      <c r="B6" s="1" t="s">
        <v>82</v>
      </c>
      <c r="C6" s="1" t="s">
        <v>100</v>
      </c>
      <c r="D6" s="1" t="s">
        <v>101</v>
      </c>
      <c r="E6" s="75" t="s">
        <v>17</v>
      </c>
      <c r="F6" s="110">
        <v>0.8</v>
      </c>
      <c r="G6" s="56">
        <v>6</v>
      </c>
      <c r="H6" s="111">
        <v>2000</v>
      </c>
      <c r="I6" s="112">
        <f>Table1[[#This Row],[Capex]]*0.1</f>
        <v>200</v>
      </c>
      <c r="J6" s="56">
        <v>4</v>
      </c>
      <c r="K6" s="56">
        <v>0.71499999999999997</v>
      </c>
      <c r="L6" s="56">
        <v>47</v>
      </c>
      <c r="M6" s="3">
        <v>1</v>
      </c>
      <c r="N6" s="80">
        <v>4</v>
      </c>
    </row>
    <row r="7" spans="1:14" ht="16" x14ac:dyDescent="0.2">
      <c r="A7" s="79" t="s">
        <v>100</v>
      </c>
      <c r="B7" s="1" t="s">
        <v>82</v>
      </c>
      <c r="C7" s="1" t="s">
        <v>100</v>
      </c>
      <c r="D7" s="1" t="s">
        <v>103</v>
      </c>
      <c r="E7" s="75" t="s">
        <v>17</v>
      </c>
      <c r="F7" s="110">
        <v>0.8</v>
      </c>
      <c r="G7" s="56">
        <v>6</v>
      </c>
      <c r="H7" s="111">
        <v>4000</v>
      </c>
      <c r="I7" s="112">
        <f>Table1[[#This Row],[Capex]]*0.1</f>
        <v>400</v>
      </c>
      <c r="J7" s="56">
        <v>2.7</v>
      </c>
      <c r="K7" s="56">
        <v>0.71499999999999997</v>
      </c>
      <c r="L7" s="56">
        <v>47</v>
      </c>
      <c r="M7" s="3">
        <v>1</v>
      </c>
      <c r="N7" s="80">
        <v>2.7</v>
      </c>
    </row>
    <row r="8" spans="1:14" ht="16" x14ac:dyDescent="0.2">
      <c r="A8" s="79" t="s">
        <v>107</v>
      </c>
      <c r="B8" s="1" t="s">
        <v>82</v>
      </c>
      <c r="C8" s="1" t="s">
        <v>107</v>
      </c>
      <c r="D8" s="1" t="s">
        <v>131</v>
      </c>
      <c r="E8" s="75" t="s">
        <v>17</v>
      </c>
      <c r="F8" s="110">
        <v>0.8</v>
      </c>
      <c r="G8" s="56">
        <v>0</v>
      </c>
      <c r="H8" s="111">
        <v>40000</v>
      </c>
      <c r="I8" s="112">
        <f>Table1[[#This Row],[Capex]]*0.005</f>
        <v>200</v>
      </c>
      <c r="J8" s="56">
        <v>4</v>
      </c>
      <c r="K8" s="56">
        <v>0</v>
      </c>
      <c r="L8" s="56">
        <v>47</v>
      </c>
      <c r="M8" s="3">
        <v>1</v>
      </c>
      <c r="N8" s="80">
        <v>4</v>
      </c>
    </row>
    <row r="9" spans="1:14" ht="16" x14ac:dyDescent="0.2">
      <c r="A9" s="79" t="s">
        <v>107</v>
      </c>
      <c r="B9" s="1" t="s">
        <v>82</v>
      </c>
      <c r="C9" s="1" t="s">
        <v>107</v>
      </c>
      <c r="D9" s="1" t="s">
        <v>130</v>
      </c>
      <c r="E9" s="75" t="s">
        <v>17</v>
      </c>
      <c r="F9" s="110">
        <v>0.8</v>
      </c>
      <c r="G9" s="56">
        <v>0</v>
      </c>
      <c r="H9" s="111">
        <v>100000</v>
      </c>
      <c r="I9" s="112">
        <f>Table1[[#This Row],[Capex]]*0.005</f>
        <v>500</v>
      </c>
      <c r="J9" s="56">
        <v>2.7</v>
      </c>
      <c r="K9" s="56">
        <v>0</v>
      </c>
      <c r="L9" s="56">
        <v>47</v>
      </c>
      <c r="M9" s="3">
        <v>1</v>
      </c>
      <c r="N9" s="80">
        <v>2.7</v>
      </c>
    </row>
    <row r="10" spans="1:14" ht="16" x14ac:dyDescent="0.2">
      <c r="A10" s="79" t="s">
        <v>100</v>
      </c>
      <c r="B10" s="1" t="s">
        <v>82</v>
      </c>
      <c r="C10" s="1" t="s">
        <v>100</v>
      </c>
      <c r="D10" s="1" t="s">
        <v>101</v>
      </c>
      <c r="E10" s="75" t="s">
        <v>18</v>
      </c>
      <c r="F10" s="110">
        <v>0.8</v>
      </c>
      <c r="G10" s="56">
        <v>7</v>
      </c>
      <c r="H10" s="111">
        <v>2000</v>
      </c>
      <c r="I10" s="112">
        <f>Table1[[#This Row],[Capex]]*0.1</f>
        <v>200</v>
      </c>
      <c r="J10" s="56">
        <v>4.0999999999999996</v>
      </c>
      <c r="K10" s="56">
        <v>0.71499999999999997</v>
      </c>
      <c r="L10" s="56">
        <v>47</v>
      </c>
      <c r="M10" s="3">
        <v>1</v>
      </c>
      <c r="N10" s="80">
        <v>4.0999999999999996</v>
      </c>
    </row>
    <row r="11" spans="1:14" ht="16" x14ac:dyDescent="0.2">
      <c r="A11" s="79" t="s">
        <v>100</v>
      </c>
      <c r="B11" s="1" t="s">
        <v>82</v>
      </c>
      <c r="C11" s="1" t="s">
        <v>100</v>
      </c>
      <c r="D11" s="1" t="s">
        <v>103</v>
      </c>
      <c r="E11" s="75" t="s">
        <v>18</v>
      </c>
      <c r="F11" s="110">
        <v>0.8</v>
      </c>
      <c r="G11" s="56">
        <v>7</v>
      </c>
      <c r="H11" s="111">
        <v>4000</v>
      </c>
      <c r="I11" s="112">
        <f>Table1[[#This Row],[Capex]]*0.1</f>
        <v>400</v>
      </c>
      <c r="J11" s="56">
        <v>2.8</v>
      </c>
      <c r="K11" s="56">
        <v>0.71499999999999997</v>
      </c>
      <c r="L11" s="56">
        <v>47</v>
      </c>
      <c r="M11" s="3">
        <v>1</v>
      </c>
      <c r="N11" s="80">
        <v>2.8</v>
      </c>
    </row>
    <row r="12" spans="1:14" ht="16" x14ac:dyDescent="0.2">
      <c r="A12" s="79" t="s">
        <v>107</v>
      </c>
      <c r="B12" s="1" t="s">
        <v>82</v>
      </c>
      <c r="C12" s="1" t="s">
        <v>107</v>
      </c>
      <c r="D12" s="1" t="s">
        <v>131</v>
      </c>
      <c r="E12" s="75" t="s">
        <v>18</v>
      </c>
      <c r="F12" s="110">
        <v>0.8</v>
      </c>
      <c r="G12" s="56">
        <v>0</v>
      </c>
      <c r="H12" s="111">
        <v>40000</v>
      </c>
      <c r="I12" s="112">
        <f>Table1[[#This Row],[Capex]]*0.005</f>
        <v>200</v>
      </c>
      <c r="J12" s="56">
        <v>4.0999999999999996</v>
      </c>
      <c r="K12" s="56">
        <v>0</v>
      </c>
      <c r="L12" s="56">
        <v>47</v>
      </c>
      <c r="M12" s="3">
        <v>1</v>
      </c>
      <c r="N12" s="80">
        <v>4.0999999999999996</v>
      </c>
    </row>
    <row r="13" spans="1:14" ht="16" x14ac:dyDescent="0.2">
      <c r="A13" s="79" t="s">
        <v>107</v>
      </c>
      <c r="B13" s="1" t="s">
        <v>82</v>
      </c>
      <c r="C13" s="1" t="s">
        <v>107</v>
      </c>
      <c r="D13" s="1" t="s">
        <v>130</v>
      </c>
      <c r="E13" s="75" t="s">
        <v>18</v>
      </c>
      <c r="F13" s="110">
        <v>0.8</v>
      </c>
      <c r="G13" s="56">
        <v>0</v>
      </c>
      <c r="H13" s="111">
        <v>100000</v>
      </c>
      <c r="I13" s="112">
        <f>Table1[[#This Row],[Capex]]*0.005</f>
        <v>500</v>
      </c>
      <c r="J13" s="56">
        <v>2.8</v>
      </c>
      <c r="K13" s="56">
        <v>0</v>
      </c>
      <c r="L13" s="56">
        <v>47</v>
      </c>
      <c r="M13" s="3">
        <v>1</v>
      </c>
      <c r="N13" s="80">
        <v>2.8</v>
      </c>
    </row>
    <row r="14" spans="1:14" ht="16" x14ac:dyDescent="0.2">
      <c r="A14" s="79" t="s">
        <v>100</v>
      </c>
      <c r="B14" s="1" t="s">
        <v>97</v>
      </c>
      <c r="C14" s="1" t="s">
        <v>100</v>
      </c>
      <c r="D14" s="1" t="s">
        <v>101</v>
      </c>
      <c r="E14" s="75" t="s">
        <v>16</v>
      </c>
      <c r="F14" s="110">
        <v>0.8</v>
      </c>
      <c r="G14" s="56">
        <v>6</v>
      </c>
      <c r="H14" s="111">
        <v>2000</v>
      </c>
      <c r="I14" s="112">
        <f>Table1[[#This Row],[Capex]]*0.1</f>
        <v>200</v>
      </c>
      <c r="J14" s="56">
        <v>3.9000000000000004</v>
      </c>
      <c r="K14" s="56">
        <v>0.71499999999999997</v>
      </c>
      <c r="L14" s="56">
        <v>47</v>
      </c>
      <c r="M14" s="3">
        <v>1</v>
      </c>
      <c r="N14" s="80">
        <v>3.9000000000000004</v>
      </c>
    </row>
    <row r="15" spans="1:14" ht="16" x14ac:dyDescent="0.2">
      <c r="A15" s="79" t="s">
        <v>100</v>
      </c>
      <c r="B15" s="1" t="s">
        <v>97</v>
      </c>
      <c r="C15" s="1" t="s">
        <v>100</v>
      </c>
      <c r="D15" s="1" t="s">
        <v>103</v>
      </c>
      <c r="E15" s="75" t="s">
        <v>16</v>
      </c>
      <c r="F15" s="110">
        <v>0.8</v>
      </c>
      <c r="G15" s="56">
        <v>6</v>
      </c>
      <c r="H15" s="111">
        <v>4000</v>
      </c>
      <c r="I15" s="112">
        <f>Table1[[#This Row],[Capex]]*0.1</f>
        <v>400</v>
      </c>
      <c r="J15" s="56">
        <v>2.6</v>
      </c>
      <c r="K15" s="56">
        <v>0.71499999999999997</v>
      </c>
      <c r="L15" s="56">
        <v>47</v>
      </c>
      <c r="M15" s="3">
        <v>1</v>
      </c>
      <c r="N15" s="80">
        <v>2.6</v>
      </c>
    </row>
    <row r="16" spans="1:14" ht="16" x14ac:dyDescent="0.2">
      <c r="A16" s="79" t="s">
        <v>107</v>
      </c>
      <c r="B16" s="1" t="s">
        <v>97</v>
      </c>
      <c r="C16" s="1" t="s">
        <v>107</v>
      </c>
      <c r="D16" s="1" t="s">
        <v>131</v>
      </c>
      <c r="E16" s="75" t="s">
        <v>16</v>
      </c>
      <c r="F16" s="110">
        <v>0.8</v>
      </c>
      <c r="G16" s="56">
        <v>0</v>
      </c>
      <c r="H16" s="111">
        <v>40000</v>
      </c>
      <c r="I16" s="112">
        <v>150</v>
      </c>
      <c r="J16" s="56">
        <v>3.9000000000000004</v>
      </c>
      <c r="K16" s="56">
        <v>0</v>
      </c>
      <c r="L16" s="56">
        <v>47</v>
      </c>
      <c r="M16" s="3">
        <v>1</v>
      </c>
      <c r="N16" s="80">
        <v>3.9000000000000004</v>
      </c>
    </row>
    <row r="17" spans="1:14" ht="16" x14ac:dyDescent="0.2">
      <c r="A17" s="79" t="s">
        <v>107</v>
      </c>
      <c r="B17" s="1" t="s">
        <v>97</v>
      </c>
      <c r="C17" s="1" t="s">
        <v>107</v>
      </c>
      <c r="D17" s="1" t="s">
        <v>130</v>
      </c>
      <c r="E17" s="75" t="s">
        <v>16</v>
      </c>
      <c r="F17" s="110">
        <v>0.8</v>
      </c>
      <c r="G17" s="56">
        <v>0</v>
      </c>
      <c r="H17" s="111">
        <v>100000</v>
      </c>
      <c r="I17" s="112">
        <f>Table1[[#This Row],[Capex]]*0.005</f>
        <v>500</v>
      </c>
      <c r="J17" s="56">
        <v>2.6</v>
      </c>
      <c r="K17" s="56">
        <v>0</v>
      </c>
      <c r="L17" s="56">
        <v>47</v>
      </c>
      <c r="M17" s="3">
        <v>1</v>
      </c>
      <c r="N17" s="80">
        <v>2.6</v>
      </c>
    </row>
    <row r="18" spans="1:14" ht="16" x14ac:dyDescent="0.2">
      <c r="A18" s="79" t="s">
        <v>100</v>
      </c>
      <c r="B18" s="1" t="s">
        <v>97</v>
      </c>
      <c r="C18" s="1" t="s">
        <v>100</v>
      </c>
      <c r="D18" s="1" t="s">
        <v>101</v>
      </c>
      <c r="E18" s="75" t="s">
        <v>17</v>
      </c>
      <c r="F18" s="110">
        <v>0.8</v>
      </c>
      <c r="G18" s="56">
        <v>7</v>
      </c>
      <c r="H18" s="111">
        <v>2000</v>
      </c>
      <c r="I18" s="112">
        <f>Table1[[#This Row],[Capex]]*0.1</f>
        <v>200</v>
      </c>
      <c r="J18" s="56">
        <v>4</v>
      </c>
      <c r="K18" s="56">
        <v>0.71499999999999997</v>
      </c>
      <c r="L18" s="56">
        <v>47</v>
      </c>
      <c r="M18" s="3">
        <v>1</v>
      </c>
      <c r="N18" s="80">
        <v>4</v>
      </c>
    </row>
    <row r="19" spans="1:14" ht="16" x14ac:dyDescent="0.2">
      <c r="A19" s="79" t="s">
        <v>100</v>
      </c>
      <c r="B19" s="1" t="s">
        <v>97</v>
      </c>
      <c r="C19" s="1" t="s">
        <v>100</v>
      </c>
      <c r="D19" s="1" t="s">
        <v>103</v>
      </c>
      <c r="E19" s="75" t="s">
        <v>17</v>
      </c>
      <c r="F19" s="110">
        <v>0.8</v>
      </c>
      <c r="G19" s="56">
        <v>7</v>
      </c>
      <c r="H19" s="111">
        <v>4000</v>
      </c>
      <c r="I19" s="112">
        <f>Table1[[#This Row],[Capex]]*0.1</f>
        <v>400</v>
      </c>
      <c r="J19" s="56">
        <v>2.7</v>
      </c>
      <c r="K19" s="56">
        <v>0.71499999999999997</v>
      </c>
      <c r="L19" s="56">
        <v>47</v>
      </c>
      <c r="M19" s="3">
        <v>1</v>
      </c>
      <c r="N19" s="80">
        <v>2.7</v>
      </c>
    </row>
    <row r="20" spans="1:14" ht="16" x14ac:dyDescent="0.2">
      <c r="A20" s="79" t="s">
        <v>107</v>
      </c>
      <c r="B20" s="1" t="s">
        <v>97</v>
      </c>
      <c r="C20" s="1" t="s">
        <v>107</v>
      </c>
      <c r="D20" s="1" t="s">
        <v>131</v>
      </c>
      <c r="E20" s="75" t="s">
        <v>17</v>
      </c>
      <c r="F20" s="110">
        <v>0.8</v>
      </c>
      <c r="G20" s="56">
        <v>0</v>
      </c>
      <c r="H20" s="111">
        <v>40000</v>
      </c>
      <c r="I20" s="112">
        <v>400</v>
      </c>
      <c r="J20" s="56">
        <v>4</v>
      </c>
      <c r="K20" s="56">
        <v>0</v>
      </c>
      <c r="L20" s="56">
        <v>47</v>
      </c>
      <c r="M20" s="3">
        <v>1</v>
      </c>
      <c r="N20" s="80">
        <v>4</v>
      </c>
    </row>
    <row r="21" spans="1:14" ht="16" x14ac:dyDescent="0.2">
      <c r="A21" s="79" t="s">
        <v>107</v>
      </c>
      <c r="B21" s="1" t="s">
        <v>97</v>
      </c>
      <c r="C21" s="1" t="s">
        <v>107</v>
      </c>
      <c r="D21" s="1" t="s">
        <v>130</v>
      </c>
      <c r="E21" s="75" t="s">
        <v>17</v>
      </c>
      <c r="F21" s="110">
        <v>0.8</v>
      </c>
      <c r="G21" s="56">
        <v>0</v>
      </c>
      <c r="H21" s="111">
        <v>100000</v>
      </c>
      <c r="I21" s="112">
        <f>Table1[[#This Row],[Capex]]*0.005</f>
        <v>500</v>
      </c>
      <c r="J21" s="56">
        <v>2.7</v>
      </c>
      <c r="K21" s="56">
        <v>0</v>
      </c>
      <c r="L21" s="56">
        <v>47</v>
      </c>
      <c r="M21" s="3">
        <v>1</v>
      </c>
      <c r="N21" s="80">
        <v>2.7</v>
      </c>
    </row>
    <row r="22" spans="1:14" ht="16" x14ac:dyDescent="0.2">
      <c r="A22" s="79" t="s">
        <v>100</v>
      </c>
      <c r="B22" s="1" t="s">
        <v>97</v>
      </c>
      <c r="C22" s="1" t="s">
        <v>100</v>
      </c>
      <c r="D22" s="1" t="s">
        <v>101</v>
      </c>
      <c r="E22" s="75" t="s">
        <v>18</v>
      </c>
      <c r="F22" s="110">
        <v>0.8</v>
      </c>
      <c r="G22" s="56">
        <v>8</v>
      </c>
      <c r="H22" s="111">
        <v>2000</v>
      </c>
      <c r="I22" s="112">
        <f>Table1[[#This Row],[Capex]]*0.1</f>
        <v>200</v>
      </c>
      <c r="J22" s="56">
        <v>4.0999999999999996</v>
      </c>
      <c r="K22" s="56">
        <v>0.71499999999999997</v>
      </c>
      <c r="L22" s="56">
        <v>47</v>
      </c>
      <c r="M22" s="3">
        <v>1</v>
      </c>
      <c r="N22" s="80">
        <v>4.0999999999999996</v>
      </c>
    </row>
    <row r="23" spans="1:14" ht="16" x14ac:dyDescent="0.2">
      <c r="A23" s="79" t="s">
        <v>100</v>
      </c>
      <c r="B23" s="1" t="s">
        <v>97</v>
      </c>
      <c r="C23" s="1" t="s">
        <v>100</v>
      </c>
      <c r="D23" s="1" t="s">
        <v>103</v>
      </c>
      <c r="E23" s="75" t="s">
        <v>18</v>
      </c>
      <c r="F23" s="110">
        <v>0.8</v>
      </c>
      <c r="G23" s="56">
        <v>8</v>
      </c>
      <c r="H23" s="111">
        <v>4000</v>
      </c>
      <c r="I23" s="112">
        <f>Table1[[#This Row],[Capex]]*0.1</f>
        <v>400</v>
      </c>
      <c r="J23" s="56">
        <v>2.8</v>
      </c>
      <c r="K23" s="56">
        <v>0.71499999999999997</v>
      </c>
      <c r="L23" s="56">
        <v>47</v>
      </c>
      <c r="M23" s="3">
        <v>1</v>
      </c>
      <c r="N23" s="80">
        <v>2.8</v>
      </c>
    </row>
    <row r="24" spans="1:14" ht="16" x14ac:dyDescent="0.2">
      <c r="A24" s="79" t="s">
        <v>107</v>
      </c>
      <c r="B24" s="1" t="s">
        <v>97</v>
      </c>
      <c r="C24" s="1" t="s">
        <v>107</v>
      </c>
      <c r="D24" s="1" t="s">
        <v>131</v>
      </c>
      <c r="E24" s="75" t="s">
        <v>18</v>
      </c>
      <c r="F24" s="110">
        <v>0.8</v>
      </c>
      <c r="G24" s="56">
        <v>0</v>
      </c>
      <c r="H24" s="111">
        <v>40000</v>
      </c>
      <c r="I24" s="112">
        <v>800</v>
      </c>
      <c r="J24" s="56">
        <v>4.0999999999999996</v>
      </c>
      <c r="K24" s="56">
        <v>0</v>
      </c>
      <c r="L24" s="56">
        <v>47</v>
      </c>
      <c r="M24" s="3">
        <v>1</v>
      </c>
      <c r="N24" s="80">
        <v>4.0999999999999996</v>
      </c>
    </row>
    <row r="25" spans="1:14" ht="16" x14ac:dyDescent="0.2">
      <c r="A25" s="79" t="s">
        <v>107</v>
      </c>
      <c r="B25" s="1" t="s">
        <v>97</v>
      </c>
      <c r="C25" s="1" t="s">
        <v>107</v>
      </c>
      <c r="D25" s="1" t="s">
        <v>130</v>
      </c>
      <c r="E25" s="75" t="s">
        <v>18</v>
      </c>
      <c r="F25" s="110">
        <v>0.8</v>
      </c>
      <c r="G25" s="56">
        <v>0</v>
      </c>
      <c r="H25" s="111">
        <v>100000</v>
      </c>
      <c r="I25" s="112">
        <f>Table1[[#This Row],[Capex]]*0.005</f>
        <v>500</v>
      </c>
      <c r="J25" s="56">
        <v>2.8</v>
      </c>
      <c r="K25" s="56">
        <v>0</v>
      </c>
      <c r="L25" s="56">
        <v>47</v>
      </c>
      <c r="M25" s="3">
        <v>1</v>
      </c>
      <c r="N25" s="80">
        <v>2.8</v>
      </c>
    </row>
    <row r="26" spans="1:14" ht="16" x14ac:dyDescent="0.2">
      <c r="A26" s="79" t="s">
        <v>91</v>
      </c>
      <c r="B26" s="1" t="s">
        <v>82</v>
      </c>
      <c r="C26" s="1" t="s">
        <v>91</v>
      </c>
      <c r="D26" s="1" t="s">
        <v>92</v>
      </c>
      <c r="E26" s="75" t="s">
        <v>16</v>
      </c>
      <c r="F26" s="110">
        <v>0.6</v>
      </c>
      <c r="G26" s="56">
        <v>1.5</v>
      </c>
      <c r="H26" s="111">
        <v>50000</v>
      </c>
      <c r="I26" s="112">
        <f>Table1[[#This Row],[Capex]]*0.005</f>
        <v>250</v>
      </c>
      <c r="J26" s="77">
        <f t="shared" ref="J26:J28" si="0">J30*0.95</f>
        <v>2.7074999999999996</v>
      </c>
      <c r="K26" s="76">
        <v>0.15</v>
      </c>
      <c r="L26" s="56">
        <v>60</v>
      </c>
      <c r="M26" s="3">
        <f t="shared" ref="M26:M37" si="1">N26/2.6</f>
        <v>1.0413461538461537</v>
      </c>
      <c r="N26" s="80">
        <v>2.7074999999999996</v>
      </c>
    </row>
    <row r="27" spans="1:14" ht="16" x14ac:dyDescent="0.2">
      <c r="A27" s="79" t="s">
        <v>94</v>
      </c>
      <c r="B27" s="1" t="s">
        <v>82</v>
      </c>
      <c r="C27" s="1" t="s">
        <v>94</v>
      </c>
      <c r="D27" s="1" t="s">
        <v>95</v>
      </c>
      <c r="E27" s="75" t="s">
        <v>16</v>
      </c>
      <c r="F27" s="110">
        <v>0.6</v>
      </c>
      <c r="G27" s="56">
        <v>4.9800000000000004</v>
      </c>
      <c r="H27" s="111">
        <v>1500</v>
      </c>
      <c r="I27" s="112">
        <f t="shared" ref="I27:I37" si="2">H27*0.1</f>
        <v>150</v>
      </c>
      <c r="J27" s="77">
        <f t="shared" si="0"/>
        <v>2.7074999999999996</v>
      </c>
      <c r="K27" s="56">
        <v>0.23</v>
      </c>
      <c r="L27" s="56">
        <v>64</v>
      </c>
      <c r="M27" s="3">
        <f t="shared" si="1"/>
        <v>1.0413461538461537</v>
      </c>
      <c r="N27" s="80">
        <v>2.7074999999999996</v>
      </c>
    </row>
    <row r="28" spans="1:14" ht="16" x14ac:dyDescent="0.2">
      <c r="A28" s="79" t="s">
        <v>98</v>
      </c>
      <c r="B28" s="1" t="s">
        <v>97</v>
      </c>
      <c r="C28" s="1" t="s">
        <v>98</v>
      </c>
      <c r="D28" s="1" t="s">
        <v>99</v>
      </c>
      <c r="E28" s="75" t="s">
        <v>16</v>
      </c>
      <c r="F28" s="110">
        <v>0.6</v>
      </c>
      <c r="G28" s="56">
        <v>4.7699999999999996</v>
      </c>
      <c r="H28" s="111">
        <v>2000</v>
      </c>
      <c r="I28" s="112">
        <f t="shared" si="2"/>
        <v>200</v>
      </c>
      <c r="J28" s="77">
        <f t="shared" si="0"/>
        <v>2.7074999999999996</v>
      </c>
      <c r="K28" s="56">
        <v>0.2</v>
      </c>
      <c r="L28" s="56">
        <f>47</f>
        <v>47</v>
      </c>
      <c r="M28" s="3">
        <f t="shared" si="1"/>
        <v>1.0413461538461537</v>
      </c>
      <c r="N28" s="80">
        <v>2.7074999999999996</v>
      </c>
    </row>
    <row r="29" spans="1:14" ht="16" x14ac:dyDescent="0.2">
      <c r="A29" s="79" t="s">
        <v>94</v>
      </c>
      <c r="B29" s="1" t="s">
        <v>97</v>
      </c>
      <c r="C29" s="1" t="s">
        <v>94</v>
      </c>
      <c r="D29" s="1" t="s">
        <v>95</v>
      </c>
      <c r="E29" s="75" t="s">
        <v>16</v>
      </c>
      <c r="F29" s="110">
        <v>0.6</v>
      </c>
      <c r="G29" s="56">
        <v>4.9800000000000004</v>
      </c>
      <c r="H29" s="111">
        <v>1500</v>
      </c>
      <c r="I29" s="112">
        <f t="shared" si="2"/>
        <v>150</v>
      </c>
      <c r="J29" s="56">
        <f>0.95*J33</f>
        <v>2.7074999999999996</v>
      </c>
      <c r="K29" s="56">
        <v>0.23</v>
      </c>
      <c r="L29" s="56">
        <f>64</f>
        <v>64</v>
      </c>
      <c r="M29" s="3">
        <f t="shared" si="1"/>
        <v>1.0413461538461537</v>
      </c>
      <c r="N29" s="80">
        <v>2.7074999999999996</v>
      </c>
    </row>
    <row r="30" spans="1:14" ht="16" x14ac:dyDescent="0.2">
      <c r="A30" s="79" t="s">
        <v>91</v>
      </c>
      <c r="B30" s="1" t="s">
        <v>82</v>
      </c>
      <c r="C30" s="1" t="s">
        <v>91</v>
      </c>
      <c r="D30" s="1" t="s">
        <v>92</v>
      </c>
      <c r="E30" s="75" t="s">
        <v>17</v>
      </c>
      <c r="F30" s="110">
        <v>0.6</v>
      </c>
      <c r="G30" s="56">
        <v>1.5</v>
      </c>
      <c r="H30" s="111">
        <v>50000</v>
      </c>
      <c r="I30" s="112">
        <f>Table1[[#This Row],[Capex]]*0.005</f>
        <v>250</v>
      </c>
      <c r="J30" s="77">
        <f t="shared" ref="J30:J32" si="3">0.95*J34</f>
        <v>2.8499999999999996</v>
      </c>
      <c r="K30" s="76">
        <v>0.15</v>
      </c>
      <c r="L30" s="56">
        <v>60</v>
      </c>
      <c r="M30" s="3">
        <f t="shared" si="1"/>
        <v>1.096153846153846</v>
      </c>
      <c r="N30" s="80">
        <v>2.8499999999999996</v>
      </c>
    </row>
    <row r="31" spans="1:14" ht="16" x14ac:dyDescent="0.2">
      <c r="A31" s="79" t="s">
        <v>94</v>
      </c>
      <c r="B31" s="1" t="s">
        <v>82</v>
      </c>
      <c r="C31" s="1" t="s">
        <v>94</v>
      </c>
      <c r="D31" s="1" t="s">
        <v>95</v>
      </c>
      <c r="E31" s="75" t="s">
        <v>17</v>
      </c>
      <c r="F31" s="110">
        <v>0.6</v>
      </c>
      <c r="G31" s="56">
        <v>4.9800000000000004</v>
      </c>
      <c r="H31" s="111">
        <v>1500</v>
      </c>
      <c r="I31" s="112">
        <f t="shared" si="2"/>
        <v>150</v>
      </c>
      <c r="J31" s="77">
        <f t="shared" si="3"/>
        <v>2.8499999999999996</v>
      </c>
      <c r="K31" s="56">
        <v>0.23</v>
      </c>
      <c r="L31" s="56">
        <v>64</v>
      </c>
      <c r="M31" s="3">
        <f t="shared" si="1"/>
        <v>1.096153846153846</v>
      </c>
      <c r="N31" s="80">
        <v>2.8499999999999996</v>
      </c>
    </row>
    <row r="32" spans="1:14" ht="16" x14ac:dyDescent="0.2">
      <c r="A32" s="79" t="s">
        <v>98</v>
      </c>
      <c r="B32" s="1" t="s">
        <v>97</v>
      </c>
      <c r="C32" s="1" t="s">
        <v>98</v>
      </c>
      <c r="D32" s="1" t="s">
        <v>99</v>
      </c>
      <c r="E32" s="75" t="s">
        <v>17</v>
      </c>
      <c r="F32" s="110">
        <v>0.6</v>
      </c>
      <c r="G32" s="56">
        <v>4.7699999999999996</v>
      </c>
      <c r="H32" s="111">
        <v>2000</v>
      </c>
      <c r="I32" s="112">
        <f t="shared" si="2"/>
        <v>200</v>
      </c>
      <c r="J32" s="77">
        <f t="shared" si="3"/>
        <v>2.8499999999999996</v>
      </c>
      <c r="K32" s="56">
        <v>0.2</v>
      </c>
      <c r="L32" s="56">
        <v>47</v>
      </c>
      <c r="M32" s="3">
        <f t="shared" si="1"/>
        <v>1.096153846153846</v>
      </c>
      <c r="N32" s="80">
        <v>2.8499999999999996</v>
      </c>
    </row>
    <row r="33" spans="1:14" ht="16" x14ac:dyDescent="0.2">
      <c r="A33" s="79" t="s">
        <v>94</v>
      </c>
      <c r="B33" s="1" t="s">
        <v>97</v>
      </c>
      <c r="C33" s="1" t="s">
        <v>94</v>
      </c>
      <c r="D33" s="1" t="s">
        <v>95</v>
      </c>
      <c r="E33" s="75" t="s">
        <v>17</v>
      </c>
      <c r="F33" s="110">
        <v>0.6</v>
      </c>
      <c r="G33" s="56">
        <v>4.9800000000000004</v>
      </c>
      <c r="H33" s="111">
        <v>1500</v>
      </c>
      <c r="I33" s="112">
        <f t="shared" si="2"/>
        <v>150</v>
      </c>
      <c r="J33" s="56">
        <f>0.95*J37</f>
        <v>2.8499999999999996</v>
      </c>
      <c r="K33" s="56">
        <v>0.23</v>
      </c>
      <c r="L33" s="56">
        <v>64</v>
      </c>
      <c r="M33" s="3">
        <f t="shared" si="1"/>
        <v>1.096153846153846</v>
      </c>
      <c r="N33" s="80">
        <v>2.8499999999999996</v>
      </c>
    </row>
    <row r="34" spans="1:14" ht="16" x14ac:dyDescent="0.2">
      <c r="A34" s="79" t="s">
        <v>91</v>
      </c>
      <c r="B34" s="1" t="s">
        <v>82</v>
      </c>
      <c r="C34" s="1" t="s">
        <v>91</v>
      </c>
      <c r="D34" s="1" t="s">
        <v>92</v>
      </c>
      <c r="E34" s="75" t="s">
        <v>18</v>
      </c>
      <c r="F34" s="110">
        <v>0.6</v>
      </c>
      <c r="G34" s="56">
        <v>1.5</v>
      </c>
      <c r="H34" s="111">
        <v>50000</v>
      </c>
      <c r="I34" s="112">
        <f>Table1[[#This Row],[Capex]]*0.005</f>
        <v>250</v>
      </c>
      <c r="J34" s="56">
        <v>3</v>
      </c>
      <c r="K34" s="76">
        <v>0.15</v>
      </c>
      <c r="L34" s="56">
        <v>60</v>
      </c>
      <c r="M34" s="3">
        <f t="shared" si="1"/>
        <v>1.1538461538461537</v>
      </c>
      <c r="N34" s="80">
        <v>3</v>
      </c>
    </row>
    <row r="35" spans="1:14" ht="16" x14ac:dyDescent="0.2">
      <c r="A35" s="79" t="s">
        <v>94</v>
      </c>
      <c r="B35" s="1" t="s">
        <v>82</v>
      </c>
      <c r="C35" s="1" t="s">
        <v>94</v>
      </c>
      <c r="D35" s="1" t="s">
        <v>95</v>
      </c>
      <c r="E35" s="75" t="s">
        <v>18</v>
      </c>
      <c r="F35" s="110">
        <v>0.6</v>
      </c>
      <c r="G35" s="56">
        <v>4.9800000000000004</v>
      </c>
      <c r="H35" s="111">
        <v>1500</v>
      </c>
      <c r="I35" s="112">
        <f t="shared" si="2"/>
        <v>150</v>
      </c>
      <c r="J35" s="56">
        <v>3</v>
      </c>
      <c r="K35" s="56">
        <v>0.23</v>
      </c>
      <c r="L35" s="56">
        <v>64</v>
      </c>
      <c r="M35" s="3">
        <f t="shared" si="1"/>
        <v>1.1538461538461537</v>
      </c>
      <c r="N35" s="80">
        <v>3</v>
      </c>
    </row>
    <row r="36" spans="1:14" ht="16" x14ac:dyDescent="0.2">
      <c r="A36" s="79" t="s">
        <v>98</v>
      </c>
      <c r="B36" s="1" t="s">
        <v>97</v>
      </c>
      <c r="C36" s="1" t="s">
        <v>98</v>
      </c>
      <c r="D36" s="1" t="s">
        <v>99</v>
      </c>
      <c r="E36" s="75" t="s">
        <v>18</v>
      </c>
      <c r="F36" s="110">
        <v>0.6</v>
      </c>
      <c r="G36" s="56">
        <v>4.7699999999999996</v>
      </c>
      <c r="H36" s="111">
        <v>2000</v>
      </c>
      <c r="I36" s="112">
        <f t="shared" si="2"/>
        <v>200</v>
      </c>
      <c r="J36" s="56">
        <v>3</v>
      </c>
      <c r="K36" s="56">
        <v>0.2</v>
      </c>
      <c r="L36" s="56">
        <v>47</v>
      </c>
      <c r="M36" s="3">
        <f t="shared" si="1"/>
        <v>1.1538461538461537</v>
      </c>
      <c r="N36" s="80">
        <v>3</v>
      </c>
    </row>
    <row r="37" spans="1:14" ht="16" x14ac:dyDescent="0.2">
      <c r="A37" s="79" t="s">
        <v>94</v>
      </c>
      <c r="B37" s="1" t="s">
        <v>97</v>
      </c>
      <c r="C37" s="1" t="s">
        <v>94</v>
      </c>
      <c r="D37" s="1" t="s">
        <v>95</v>
      </c>
      <c r="E37" s="75" t="s">
        <v>18</v>
      </c>
      <c r="F37" s="110">
        <v>0.6</v>
      </c>
      <c r="G37" s="56">
        <v>4.9800000000000004</v>
      </c>
      <c r="H37" s="111">
        <v>1500</v>
      </c>
      <c r="I37" s="112">
        <f t="shared" si="2"/>
        <v>150</v>
      </c>
      <c r="J37" s="56">
        <v>3</v>
      </c>
      <c r="K37" s="56">
        <v>0.23</v>
      </c>
      <c r="L37" s="56">
        <v>64</v>
      </c>
      <c r="M37" s="3">
        <f t="shared" si="1"/>
        <v>1.1538461538461537</v>
      </c>
      <c r="N37" s="80">
        <v>3</v>
      </c>
    </row>
    <row r="38" spans="1:14" ht="16" x14ac:dyDescent="0.2">
      <c r="A38" s="79" t="s">
        <v>100</v>
      </c>
      <c r="B38" s="1" t="s">
        <v>82</v>
      </c>
      <c r="C38" s="1" t="s">
        <v>100</v>
      </c>
      <c r="D38" s="1" t="s">
        <v>101</v>
      </c>
      <c r="E38" s="75" t="s">
        <v>15</v>
      </c>
      <c r="F38" s="110">
        <v>0.8</v>
      </c>
      <c r="G38" s="56">
        <v>5</v>
      </c>
      <c r="H38" s="111">
        <v>2000</v>
      </c>
      <c r="I38" s="112">
        <f>Table1[[#This Row],[Capex]]*0.1</f>
        <v>200</v>
      </c>
      <c r="J38" s="56">
        <v>3.9000000000000004</v>
      </c>
      <c r="K38" s="56">
        <v>0.71499999999999997</v>
      </c>
      <c r="L38" s="56">
        <v>47</v>
      </c>
      <c r="M38" s="3">
        <v>1</v>
      </c>
      <c r="N38" s="80">
        <v>3.9000000000000004</v>
      </c>
    </row>
    <row r="39" spans="1:14" ht="16" x14ac:dyDescent="0.2">
      <c r="A39" s="79" t="s">
        <v>100</v>
      </c>
      <c r="B39" s="1" t="s">
        <v>82</v>
      </c>
      <c r="C39" s="1" t="s">
        <v>100</v>
      </c>
      <c r="D39" s="1" t="s">
        <v>103</v>
      </c>
      <c r="E39" s="75" t="s">
        <v>15</v>
      </c>
      <c r="F39" s="110">
        <v>0.8</v>
      </c>
      <c r="G39" s="56">
        <v>5</v>
      </c>
      <c r="H39" s="111">
        <v>4000</v>
      </c>
      <c r="I39" s="112">
        <f>Table1[[#This Row],[Capex]]*0.1</f>
        <v>400</v>
      </c>
      <c r="J39" s="56">
        <v>2.6</v>
      </c>
      <c r="K39" s="56">
        <v>0.71499999999999997</v>
      </c>
      <c r="L39" s="56">
        <v>47</v>
      </c>
      <c r="M39" s="3">
        <v>1</v>
      </c>
      <c r="N39" s="80">
        <v>2.6</v>
      </c>
    </row>
    <row r="40" spans="1:14" ht="16" x14ac:dyDescent="0.2">
      <c r="A40" s="79" t="s">
        <v>107</v>
      </c>
      <c r="B40" s="1" t="s">
        <v>82</v>
      </c>
      <c r="C40" s="1" t="s">
        <v>107</v>
      </c>
      <c r="D40" s="1" t="s">
        <v>131</v>
      </c>
      <c r="E40" s="75" t="s">
        <v>15</v>
      </c>
      <c r="F40" s="110">
        <v>0.8</v>
      </c>
      <c r="G40" s="56">
        <v>0</v>
      </c>
      <c r="H40" s="111">
        <v>40000</v>
      </c>
      <c r="I40" s="112">
        <v>100</v>
      </c>
      <c r="J40" s="56">
        <v>3.9000000000000004</v>
      </c>
      <c r="K40" s="56">
        <v>0</v>
      </c>
      <c r="L40" s="56">
        <v>47</v>
      </c>
      <c r="M40" s="3">
        <v>1</v>
      </c>
      <c r="N40" s="80">
        <v>3.9000000000000004</v>
      </c>
    </row>
    <row r="41" spans="1:14" ht="16" x14ac:dyDescent="0.2">
      <c r="A41" s="79" t="s">
        <v>107</v>
      </c>
      <c r="B41" s="1" t="s">
        <v>82</v>
      </c>
      <c r="C41" s="1" t="s">
        <v>107</v>
      </c>
      <c r="D41" s="1" t="s">
        <v>130</v>
      </c>
      <c r="E41" s="75" t="s">
        <v>15</v>
      </c>
      <c r="F41" s="110">
        <v>0.8</v>
      </c>
      <c r="G41" s="56">
        <v>0</v>
      </c>
      <c r="H41" s="111">
        <v>100000</v>
      </c>
      <c r="I41" s="112">
        <f>Table1[[#This Row],[Capex]]*0.005</f>
        <v>500</v>
      </c>
      <c r="J41" s="56">
        <v>2.6</v>
      </c>
      <c r="K41" s="56">
        <v>0</v>
      </c>
      <c r="L41" s="56">
        <v>47</v>
      </c>
      <c r="M41" s="3">
        <v>1</v>
      </c>
      <c r="N41" s="80">
        <v>2.6</v>
      </c>
    </row>
    <row r="42" spans="1:14" ht="16" x14ac:dyDescent="0.2">
      <c r="A42" s="79" t="s">
        <v>100</v>
      </c>
      <c r="B42" s="1" t="s">
        <v>97</v>
      </c>
      <c r="C42" s="1" t="s">
        <v>100</v>
      </c>
      <c r="D42" s="1" t="s">
        <v>101</v>
      </c>
      <c r="E42" s="75" t="s">
        <v>15</v>
      </c>
      <c r="F42" s="110">
        <v>0.8</v>
      </c>
      <c r="G42" s="56">
        <v>6</v>
      </c>
      <c r="H42" s="111">
        <v>2000</v>
      </c>
      <c r="I42" s="112">
        <f>Table1[[#This Row],[Capex]]*0.1</f>
        <v>200</v>
      </c>
      <c r="J42" s="56">
        <v>3.9000000000000004</v>
      </c>
      <c r="K42" s="56">
        <v>0.71499999999999997</v>
      </c>
      <c r="L42" s="56">
        <v>47</v>
      </c>
      <c r="M42" s="3">
        <v>1</v>
      </c>
      <c r="N42" s="80">
        <v>3.9000000000000004</v>
      </c>
    </row>
    <row r="43" spans="1:14" ht="16" x14ac:dyDescent="0.2">
      <c r="A43" s="79" t="s">
        <v>100</v>
      </c>
      <c r="B43" s="1" t="s">
        <v>97</v>
      </c>
      <c r="C43" s="1" t="s">
        <v>100</v>
      </c>
      <c r="D43" s="1" t="s">
        <v>103</v>
      </c>
      <c r="E43" s="75" t="s">
        <v>15</v>
      </c>
      <c r="F43" s="110">
        <v>0.8</v>
      </c>
      <c r="G43" s="56">
        <v>6</v>
      </c>
      <c r="H43" s="111">
        <v>4000</v>
      </c>
      <c r="I43" s="112">
        <f>Table1[[#This Row],[Capex]]*0.1</f>
        <v>400</v>
      </c>
      <c r="J43" s="56">
        <v>2.6</v>
      </c>
      <c r="K43" s="56">
        <v>0.71499999999999997</v>
      </c>
      <c r="L43" s="56">
        <v>47</v>
      </c>
      <c r="M43" s="3">
        <v>1</v>
      </c>
      <c r="N43" s="80">
        <v>2.6</v>
      </c>
    </row>
    <row r="44" spans="1:14" ht="16" x14ac:dyDescent="0.2">
      <c r="A44" s="79" t="s">
        <v>107</v>
      </c>
      <c r="B44" s="1" t="s">
        <v>97</v>
      </c>
      <c r="C44" s="1" t="s">
        <v>107</v>
      </c>
      <c r="D44" s="1" t="s">
        <v>131</v>
      </c>
      <c r="E44" s="75" t="s">
        <v>15</v>
      </c>
      <c r="F44" s="110">
        <v>0.8</v>
      </c>
      <c r="G44" s="56">
        <v>0</v>
      </c>
      <c r="H44" s="111">
        <v>40000</v>
      </c>
      <c r="I44" s="112">
        <v>150</v>
      </c>
      <c r="J44" s="56">
        <v>3.9000000000000004</v>
      </c>
      <c r="K44" s="56">
        <v>0</v>
      </c>
      <c r="L44" s="56">
        <v>47</v>
      </c>
      <c r="M44" s="3">
        <v>1</v>
      </c>
      <c r="N44" s="80">
        <v>3.9000000000000004</v>
      </c>
    </row>
    <row r="45" spans="1:14" ht="16" x14ac:dyDescent="0.2">
      <c r="A45" s="79" t="s">
        <v>107</v>
      </c>
      <c r="B45" s="1" t="s">
        <v>97</v>
      </c>
      <c r="C45" s="1" t="s">
        <v>107</v>
      </c>
      <c r="D45" s="1" t="s">
        <v>130</v>
      </c>
      <c r="E45" s="75" t="s">
        <v>15</v>
      </c>
      <c r="F45" s="110">
        <v>0.8</v>
      </c>
      <c r="G45" s="56">
        <v>0</v>
      </c>
      <c r="H45" s="111">
        <v>100000</v>
      </c>
      <c r="I45" s="112">
        <f>Table1[[#This Row],[Capex]]*0.005</f>
        <v>500</v>
      </c>
      <c r="J45" s="56">
        <v>2.6</v>
      </c>
      <c r="K45" s="56">
        <v>0</v>
      </c>
      <c r="L45" s="56">
        <v>47</v>
      </c>
      <c r="M45" s="3">
        <v>1</v>
      </c>
      <c r="N45" s="80">
        <v>2.6</v>
      </c>
    </row>
    <row r="46" spans="1:14" ht="16" x14ac:dyDescent="0.2">
      <c r="A46" s="79" t="s">
        <v>91</v>
      </c>
      <c r="B46" s="1" t="s">
        <v>82</v>
      </c>
      <c r="C46" s="1" t="s">
        <v>91</v>
      </c>
      <c r="D46" s="1" t="s">
        <v>92</v>
      </c>
      <c r="E46" s="75" t="s">
        <v>15</v>
      </c>
      <c r="F46" s="56">
        <v>0.6</v>
      </c>
      <c r="G46" s="56">
        <v>1.5</v>
      </c>
      <c r="H46" s="111">
        <v>50000</v>
      </c>
      <c r="I46" s="112">
        <f>Table1[[#This Row],[Capex]]*0.005</f>
        <v>250</v>
      </c>
      <c r="J46" s="77">
        <v>2.7074999999999996</v>
      </c>
      <c r="K46" s="76">
        <v>0.15</v>
      </c>
      <c r="L46" s="56">
        <v>60</v>
      </c>
      <c r="M46" s="3">
        <f t="shared" ref="M46:M56" si="4">N46/2.6</f>
        <v>1.0413461538461537</v>
      </c>
      <c r="N46" s="80">
        <v>2.7074999999999996</v>
      </c>
    </row>
    <row r="47" spans="1:14" ht="16" x14ac:dyDescent="0.2">
      <c r="A47" s="79" t="s">
        <v>94</v>
      </c>
      <c r="B47" s="1" t="s">
        <v>82</v>
      </c>
      <c r="C47" s="1" t="s">
        <v>94</v>
      </c>
      <c r="D47" s="1" t="s">
        <v>95</v>
      </c>
      <c r="E47" s="75" t="s">
        <v>15</v>
      </c>
      <c r="F47" s="56">
        <v>0.6</v>
      </c>
      <c r="G47" s="56">
        <v>4.9800000000000004</v>
      </c>
      <c r="H47" s="111">
        <v>1500</v>
      </c>
      <c r="I47" s="112">
        <v>100</v>
      </c>
      <c r="J47" s="77">
        <v>2.7074999999999996</v>
      </c>
      <c r="K47" s="56">
        <v>0.23</v>
      </c>
      <c r="L47" s="56">
        <v>64</v>
      </c>
      <c r="M47" s="3">
        <f t="shared" si="4"/>
        <v>1.0413461538461537</v>
      </c>
      <c r="N47" s="80">
        <v>2.7074999999999996</v>
      </c>
    </row>
    <row r="48" spans="1:14" ht="16" x14ac:dyDescent="0.2">
      <c r="A48" s="79" t="s">
        <v>98</v>
      </c>
      <c r="B48" s="1" t="s">
        <v>97</v>
      </c>
      <c r="C48" s="1" t="s">
        <v>98</v>
      </c>
      <c r="D48" s="1" t="s">
        <v>99</v>
      </c>
      <c r="E48" s="75" t="s">
        <v>15</v>
      </c>
      <c r="F48" s="56">
        <v>0.6</v>
      </c>
      <c r="G48" s="56">
        <v>4.7699999999999996</v>
      </c>
      <c r="H48" s="111">
        <v>2000</v>
      </c>
      <c r="I48" s="112">
        <f>Table1[[#This Row],[Capex]]*0.1</f>
        <v>200</v>
      </c>
      <c r="J48" s="77">
        <v>2.7074999999999996</v>
      </c>
      <c r="K48" s="56">
        <v>0.2</v>
      </c>
      <c r="L48" s="56">
        <v>47</v>
      </c>
      <c r="M48" s="3">
        <f t="shared" si="4"/>
        <v>1.0413461538461537</v>
      </c>
      <c r="N48" s="80">
        <v>2.7074999999999996</v>
      </c>
    </row>
    <row r="49" spans="1:14" ht="16" x14ac:dyDescent="0.2">
      <c r="A49" s="79" t="s">
        <v>94</v>
      </c>
      <c r="B49" s="1" t="s">
        <v>97</v>
      </c>
      <c r="C49" s="1" t="s">
        <v>94</v>
      </c>
      <c r="D49" s="1" t="s">
        <v>95</v>
      </c>
      <c r="E49" s="75" t="s">
        <v>15</v>
      </c>
      <c r="F49" s="56">
        <v>0.6</v>
      </c>
      <c r="G49" s="56">
        <v>4.9800000000000004</v>
      </c>
      <c r="H49" s="111">
        <v>1500</v>
      </c>
      <c r="I49" s="112">
        <v>100</v>
      </c>
      <c r="J49" s="56">
        <v>2.7074999999999996</v>
      </c>
      <c r="K49" s="56">
        <v>0.23</v>
      </c>
      <c r="L49" s="56">
        <v>64</v>
      </c>
      <c r="M49" s="3">
        <f t="shared" si="4"/>
        <v>1.0413461538461537</v>
      </c>
      <c r="N49" s="80">
        <v>2.7074999999999996</v>
      </c>
    </row>
    <row r="50" spans="1:14" ht="16" x14ac:dyDescent="0.2">
      <c r="A50" s="79" t="s">
        <v>98</v>
      </c>
      <c r="B50" s="1" t="s">
        <v>82</v>
      </c>
      <c r="C50" s="1" t="s">
        <v>98</v>
      </c>
      <c r="D50" s="1" t="s">
        <v>99</v>
      </c>
      <c r="E50" s="75" t="s">
        <v>16</v>
      </c>
      <c r="F50" s="110">
        <v>0.6</v>
      </c>
      <c r="G50" s="56">
        <v>4.7699999999999996</v>
      </c>
      <c r="H50" s="111">
        <v>2000</v>
      </c>
      <c r="I50" s="112">
        <f>Table1[[#This Row],[Capex]]*0.1</f>
        <v>200</v>
      </c>
      <c r="J50" s="77">
        <v>2.7074999999999996</v>
      </c>
      <c r="K50" s="56">
        <v>0.2</v>
      </c>
      <c r="L50" s="56">
        <v>47</v>
      </c>
      <c r="M50" s="3">
        <f t="shared" si="4"/>
        <v>1.0413461538461537</v>
      </c>
      <c r="N50" s="80">
        <v>2.7074999999999996</v>
      </c>
    </row>
    <row r="51" spans="1:14" ht="16" x14ac:dyDescent="0.2">
      <c r="A51" s="79" t="s">
        <v>98</v>
      </c>
      <c r="B51" s="1" t="s">
        <v>82</v>
      </c>
      <c r="C51" s="1" t="s">
        <v>98</v>
      </c>
      <c r="D51" s="1" t="s">
        <v>99</v>
      </c>
      <c r="E51" s="75" t="s">
        <v>17</v>
      </c>
      <c r="F51" s="110">
        <v>0.6</v>
      </c>
      <c r="G51" s="56">
        <v>4.7699999999999996</v>
      </c>
      <c r="H51" s="111">
        <v>2000</v>
      </c>
      <c r="I51" s="112">
        <f>Table1[[#This Row],[Capex]]*0.1</f>
        <v>200</v>
      </c>
      <c r="J51" s="77">
        <v>2.8499999999999996</v>
      </c>
      <c r="K51" s="56">
        <v>0.2</v>
      </c>
      <c r="L51" s="56">
        <v>47</v>
      </c>
      <c r="M51" s="3">
        <f t="shared" si="4"/>
        <v>1.096153846153846</v>
      </c>
      <c r="N51" s="80">
        <v>2.8499999999999996</v>
      </c>
    </row>
    <row r="52" spans="1:14" ht="16" x14ac:dyDescent="0.2">
      <c r="A52" s="79" t="s">
        <v>98</v>
      </c>
      <c r="B52" s="1" t="s">
        <v>82</v>
      </c>
      <c r="C52" s="1" t="s">
        <v>98</v>
      </c>
      <c r="D52" s="1" t="s">
        <v>99</v>
      </c>
      <c r="E52" s="75" t="s">
        <v>18</v>
      </c>
      <c r="F52" s="110">
        <v>0.6</v>
      </c>
      <c r="G52" s="56">
        <v>4.7699999999999996</v>
      </c>
      <c r="H52" s="111">
        <v>2000</v>
      </c>
      <c r="I52" s="112">
        <f>Table1[[#This Row],[Capex]]*0.1</f>
        <v>200</v>
      </c>
      <c r="J52" s="56">
        <v>3</v>
      </c>
      <c r="K52" s="56">
        <v>0.2</v>
      </c>
      <c r="L52" s="56">
        <v>47</v>
      </c>
      <c r="M52" s="3">
        <f t="shared" si="4"/>
        <v>1.1538461538461537</v>
      </c>
      <c r="N52" s="80">
        <v>3</v>
      </c>
    </row>
    <row r="53" spans="1:14" ht="16" x14ac:dyDescent="0.2">
      <c r="A53" s="79" t="s">
        <v>98</v>
      </c>
      <c r="B53" s="1" t="s">
        <v>82</v>
      </c>
      <c r="C53" s="1" t="s">
        <v>98</v>
      </c>
      <c r="D53" s="1" t="s">
        <v>99</v>
      </c>
      <c r="E53" s="75" t="s">
        <v>15</v>
      </c>
      <c r="F53" s="110">
        <v>0.6</v>
      </c>
      <c r="G53" s="56">
        <v>4.7699999999999996</v>
      </c>
      <c r="H53" s="111">
        <v>2000</v>
      </c>
      <c r="I53" s="112">
        <f>Table1[[#This Row],[Capex]]*0.1</f>
        <v>200</v>
      </c>
      <c r="J53" s="77">
        <v>2.7074999999999996</v>
      </c>
      <c r="K53" s="56">
        <v>0.2</v>
      </c>
      <c r="L53" s="56">
        <v>47</v>
      </c>
      <c r="M53" s="3">
        <f t="shared" si="4"/>
        <v>1.0413461538461537</v>
      </c>
      <c r="N53" s="80">
        <v>2.7074999999999996</v>
      </c>
    </row>
    <row r="54" spans="1:14" ht="16" x14ac:dyDescent="0.2">
      <c r="A54" s="79" t="s">
        <v>91</v>
      </c>
      <c r="B54" s="1" t="s">
        <v>97</v>
      </c>
      <c r="C54" s="1" t="s">
        <v>91</v>
      </c>
      <c r="D54" s="1" t="s">
        <v>92</v>
      </c>
      <c r="E54" s="75" t="s">
        <v>16</v>
      </c>
      <c r="F54" s="110">
        <v>0.6</v>
      </c>
      <c r="G54" s="56">
        <v>1.5</v>
      </c>
      <c r="H54" s="111">
        <v>50000</v>
      </c>
      <c r="I54" s="112">
        <f>Table1[[#This Row],[Capex]]*0.005</f>
        <v>250</v>
      </c>
      <c r="J54" s="77">
        <f t="shared" ref="J54" si="5">J64*0.95</f>
        <v>3.8</v>
      </c>
      <c r="K54" s="76">
        <v>0.15</v>
      </c>
      <c r="L54" s="56">
        <v>60</v>
      </c>
      <c r="M54" s="3">
        <f t="shared" si="4"/>
        <v>1.0413461538461537</v>
      </c>
      <c r="N54" s="80">
        <v>2.7074999999999996</v>
      </c>
    </row>
    <row r="55" spans="1:14" ht="16" x14ac:dyDescent="0.2">
      <c r="A55" s="79" t="s">
        <v>91</v>
      </c>
      <c r="B55" s="1" t="s">
        <v>97</v>
      </c>
      <c r="C55" s="1" t="s">
        <v>91</v>
      </c>
      <c r="D55" s="1" t="s">
        <v>92</v>
      </c>
      <c r="E55" s="75" t="s">
        <v>17</v>
      </c>
      <c r="F55" s="110">
        <v>0.6</v>
      </c>
      <c r="G55" s="56">
        <v>1.5</v>
      </c>
      <c r="H55" s="111">
        <v>50000</v>
      </c>
      <c r="I55" s="112">
        <f>Table1[[#This Row],[Capex]]*0.005</f>
        <v>250</v>
      </c>
      <c r="J55" s="77">
        <f t="shared" ref="J55" si="6">0.95*J65</f>
        <v>3.3249999999999997</v>
      </c>
      <c r="K55" s="76">
        <v>0.15</v>
      </c>
      <c r="L55" s="56">
        <v>60</v>
      </c>
      <c r="M55" s="3">
        <f t="shared" si="4"/>
        <v>1.096153846153846</v>
      </c>
      <c r="N55" s="80">
        <v>2.8499999999999996</v>
      </c>
    </row>
    <row r="56" spans="1:14" ht="16" x14ac:dyDescent="0.2">
      <c r="A56" s="79" t="s">
        <v>91</v>
      </c>
      <c r="B56" s="1" t="s">
        <v>97</v>
      </c>
      <c r="C56" s="1" t="s">
        <v>91</v>
      </c>
      <c r="D56" s="1" t="s">
        <v>92</v>
      </c>
      <c r="E56" s="75" t="s">
        <v>18</v>
      </c>
      <c r="F56" s="110">
        <v>0.6</v>
      </c>
      <c r="G56" s="56">
        <v>1.5</v>
      </c>
      <c r="H56" s="111">
        <v>50000</v>
      </c>
      <c r="I56" s="112">
        <f>Table1[[#This Row],[Capex]]*0.005</f>
        <v>250</v>
      </c>
      <c r="J56" s="56">
        <v>3</v>
      </c>
      <c r="K56" s="76">
        <v>0.15</v>
      </c>
      <c r="L56" s="56">
        <v>60</v>
      </c>
      <c r="M56" s="3">
        <f t="shared" si="4"/>
        <v>1.1538461538461537</v>
      </c>
      <c r="N56" s="80">
        <v>3</v>
      </c>
    </row>
    <row r="57" spans="1:14" ht="16" x14ac:dyDescent="0.2">
      <c r="A57" s="86" t="s">
        <v>91</v>
      </c>
      <c r="B57" s="87" t="s">
        <v>97</v>
      </c>
      <c r="C57" s="87" t="s">
        <v>91</v>
      </c>
      <c r="D57" s="87" t="s">
        <v>92</v>
      </c>
      <c r="E57" s="88" t="s">
        <v>15</v>
      </c>
      <c r="F57" s="110">
        <v>0.6</v>
      </c>
      <c r="G57" s="89">
        <v>1.5</v>
      </c>
      <c r="H57" s="111">
        <v>50000</v>
      </c>
      <c r="I57" s="113">
        <f>Table1[[#This Row],[Capex]]*0.005</f>
        <v>250</v>
      </c>
      <c r="J57" s="90">
        <v>2.7074999999999996</v>
      </c>
      <c r="K57" s="91">
        <v>0.15</v>
      </c>
      <c r="L57" s="89">
        <v>60</v>
      </c>
      <c r="M57" s="92">
        <f t="shared" ref="M57" si="7">N57/2.6</f>
        <v>1.0413461538461537</v>
      </c>
      <c r="N57" s="93">
        <v>2.7074999999999996</v>
      </c>
    </row>
    <row r="58" spans="1:14" ht="16" x14ac:dyDescent="0.2">
      <c r="A58" s="79" t="s">
        <v>129</v>
      </c>
      <c r="B58" s="1" t="s">
        <v>82</v>
      </c>
      <c r="C58" s="79" t="s">
        <v>129</v>
      </c>
      <c r="D58" s="1" t="s">
        <v>84</v>
      </c>
      <c r="E58" s="75" t="s">
        <v>16</v>
      </c>
      <c r="F58" s="110">
        <v>0.15</v>
      </c>
      <c r="G58" s="56">
        <v>1.41</v>
      </c>
      <c r="H58" s="111">
        <v>0</v>
      </c>
      <c r="I58" s="112">
        <v>0</v>
      </c>
      <c r="J58" s="77">
        <v>3.61</v>
      </c>
      <c r="K58" s="76">
        <v>0.4</v>
      </c>
      <c r="L58" s="56">
        <v>1230</v>
      </c>
      <c r="M58" s="3">
        <v>1.3884615384615384</v>
      </c>
      <c r="N58" s="80">
        <v>3.61</v>
      </c>
    </row>
    <row r="59" spans="1:14" ht="16" x14ac:dyDescent="0.2">
      <c r="A59" s="79" t="s">
        <v>129</v>
      </c>
      <c r="B59" s="1" t="s">
        <v>82</v>
      </c>
      <c r="C59" s="79" t="s">
        <v>129</v>
      </c>
      <c r="D59" s="1" t="s">
        <v>88</v>
      </c>
      <c r="E59" s="75" t="s">
        <v>16</v>
      </c>
      <c r="F59" s="110">
        <v>0.2</v>
      </c>
      <c r="G59" s="56">
        <v>1.34</v>
      </c>
      <c r="H59" s="111">
        <v>1250</v>
      </c>
      <c r="I59" s="112">
        <f>Table1[[#This Row],[Capex]]*0.1</f>
        <v>125</v>
      </c>
      <c r="J59" s="77">
        <v>3.1587499999999995</v>
      </c>
      <c r="K59" s="76">
        <v>0.4</v>
      </c>
      <c r="L59" s="56">
        <v>410</v>
      </c>
      <c r="M59" s="3">
        <v>1.2149038461538459</v>
      </c>
      <c r="N59" s="80">
        <v>3.1587499999999995</v>
      </c>
    </row>
    <row r="60" spans="1:14" ht="16" x14ac:dyDescent="0.2">
      <c r="A60" s="79" t="s">
        <v>129</v>
      </c>
      <c r="B60" s="87" t="s">
        <v>82</v>
      </c>
      <c r="C60" s="79" t="s">
        <v>129</v>
      </c>
      <c r="D60" s="87" t="s">
        <v>89</v>
      </c>
      <c r="E60" s="88" t="s">
        <v>16</v>
      </c>
      <c r="F60" s="114">
        <v>0.3</v>
      </c>
      <c r="G60" s="89">
        <v>1.27</v>
      </c>
      <c r="H60" s="115">
        <v>2000</v>
      </c>
      <c r="I60" s="113">
        <f>Table1[[#This Row],[Capex]]*0.1</f>
        <v>200</v>
      </c>
      <c r="J60" s="90">
        <v>2.933125</v>
      </c>
      <c r="K60" s="91">
        <v>0.4</v>
      </c>
      <c r="L60" s="89">
        <v>165</v>
      </c>
      <c r="M60" s="92">
        <v>1.128125</v>
      </c>
      <c r="N60" s="93">
        <v>2.933125</v>
      </c>
    </row>
    <row r="61" spans="1:14" ht="16" x14ac:dyDescent="0.2">
      <c r="A61" s="79" t="s">
        <v>129</v>
      </c>
      <c r="B61" s="1" t="s">
        <v>82</v>
      </c>
      <c r="C61" s="79" t="s">
        <v>129</v>
      </c>
      <c r="D61" s="1" t="s">
        <v>84</v>
      </c>
      <c r="E61" s="75" t="s">
        <v>17</v>
      </c>
      <c r="F61" s="110">
        <v>0.15</v>
      </c>
      <c r="G61" s="56">
        <v>1.41</v>
      </c>
      <c r="H61" s="111">
        <v>0</v>
      </c>
      <c r="I61" s="112">
        <v>0</v>
      </c>
      <c r="J61" s="77">
        <v>3.8</v>
      </c>
      <c r="K61" s="56">
        <v>0.4</v>
      </c>
      <c r="L61" s="56">
        <v>1230</v>
      </c>
      <c r="M61" s="3">
        <v>1.4615384615384615</v>
      </c>
      <c r="N61" s="80">
        <v>3.8</v>
      </c>
    </row>
    <row r="62" spans="1:14" ht="16" x14ac:dyDescent="0.2">
      <c r="A62" s="79" t="s">
        <v>129</v>
      </c>
      <c r="B62" s="1" t="s">
        <v>82</v>
      </c>
      <c r="C62" s="79" t="s">
        <v>129</v>
      </c>
      <c r="D62" s="1" t="s">
        <v>88</v>
      </c>
      <c r="E62" s="75" t="s">
        <v>17</v>
      </c>
      <c r="F62" s="110">
        <v>0.2</v>
      </c>
      <c r="G62" s="56">
        <v>1.34</v>
      </c>
      <c r="H62" s="111">
        <v>1250</v>
      </c>
      <c r="I62" s="112">
        <f>Table1[[#This Row],[Capex]]*0.1</f>
        <v>125</v>
      </c>
      <c r="J62" s="77">
        <v>3.3249999999999997</v>
      </c>
      <c r="K62" s="56">
        <v>0.4</v>
      </c>
      <c r="L62" s="56">
        <v>410</v>
      </c>
      <c r="M62" s="3">
        <v>1.2788461538461537</v>
      </c>
      <c r="N62" s="80">
        <v>3.3249999999999997</v>
      </c>
    </row>
    <row r="63" spans="1:14" ht="16" x14ac:dyDescent="0.2">
      <c r="A63" s="79" t="s">
        <v>129</v>
      </c>
      <c r="B63" s="1" t="s">
        <v>82</v>
      </c>
      <c r="C63" s="79" t="s">
        <v>129</v>
      </c>
      <c r="D63" s="1" t="s">
        <v>89</v>
      </c>
      <c r="E63" s="75" t="s">
        <v>17</v>
      </c>
      <c r="F63" s="110">
        <v>0.3</v>
      </c>
      <c r="G63" s="56">
        <v>1.27</v>
      </c>
      <c r="H63" s="115">
        <v>2000</v>
      </c>
      <c r="I63" s="112">
        <f>Table1[[#This Row],[Capex]]*0.1</f>
        <v>200</v>
      </c>
      <c r="J63" s="77">
        <v>3.0874999999999999</v>
      </c>
      <c r="K63" s="56">
        <v>0.4</v>
      </c>
      <c r="L63" s="56">
        <v>165</v>
      </c>
      <c r="M63" s="3">
        <v>1.1875</v>
      </c>
      <c r="N63" s="80">
        <v>3.0874999999999999</v>
      </c>
    </row>
    <row r="64" spans="1:14" ht="16" x14ac:dyDescent="0.2">
      <c r="A64" s="79" t="s">
        <v>129</v>
      </c>
      <c r="B64" s="1" t="s">
        <v>82</v>
      </c>
      <c r="C64" s="79" t="s">
        <v>129</v>
      </c>
      <c r="D64" s="1" t="s">
        <v>84</v>
      </c>
      <c r="E64" s="75" t="s">
        <v>18</v>
      </c>
      <c r="F64" s="110">
        <v>0.15</v>
      </c>
      <c r="G64" s="56">
        <v>1.41</v>
      </c>
      <c r="H64" s="111">
        <v>0</v>
      </c>
      <c r="I64" s="112">
        <v>0</v>
      </c>
      <c r="J64" s="77">
        <v>4</v>
      </c>
      <c r="K64" s="56">
        <v>0.4</v>
      </c>
      <c r="L64" s="56">
        <v>1230</v>
      </c>
      <c r="M64" s="3">
        <v>1.5384615384615383</v>
      </c>
      <c r="N64" s="80">
        <v>4</v>
      </c>
    </row>
    <row r="65" spans="1:14" ht="16" x14ac:dyDescent="0.2">
      <c r="A65" s="79" t="s">
        <v>129</v>
      </c>
      <c r="B65" s="1" t="s">
        <v>82</v>
      </c>
      <c r="C65" s="79" t="s">
        <v>129</v>
      </c>
      <c r="D65" s="1" t="s">
        <v>88</v>
      </c>
      <c r="E65" s="75" t="s">
        <v>18</v>
      </c>
      <c r="F65" s="110">
        <v>0.2</v>
      </c>
      <c r="G65" s="56">
        <v>1.34</v>
      </c>
      <c r="H65" s="111">
        <v>1250</v>
      </c>
      <c r="I65" s="112">
        <f>Table1[[#This Row],[Capex]]*0.1</f>
        <v>125</v>
      </c>
      <c r="J65" s="77">
        <v>3.5</v>
      </c>
      <c r="K65" s="56">
        <v>0.4</v>
      </c>
      <c r="L65" s="56">
        <v>410</v>
      </c>
      <c r="M65" s="3">
        <v>1.346153846153846</v>
      </c>
      <c r="N65" s="80">
        <v>3.5</v>
      </c>
    </row>
    <row r="66" spans="1:14" ht="16" x14ac:dyDescent="0.2">
      <c r="A66" s="79" t="s">
        <v>129</v>
      </c>
      <c r="B66" s="1" t="s">
        <v>82</v>
      </c>
      <c r="C66" s="79" t="s">
        <v>129</v>
      </c>
      <c r="D66" s="1" t="s">
        <v>89</v>
      </c>
      <c r="E66" s="75" t="s">
        <v>18</v>
      </c>
      <c r="F66" s="110">
        <v>0.3</v>
      </c>
      <c r="G66" s="56">
        <v>1.27</v>
      </c>
      <c r="H66" s="115">
        <v>2000</v>
      </c>
      <c r="I66" s="112">
        <f>Table1[[#This Row],[Capex]]*0.1</f>
        <v>200</v>
      </c>
      <c r="J66" s="77">
        <v>3.25</v>
      </c>
      <c r="K66" s="56">
        <v>0.4</v>
      </c>
      <c r="L66" s="56">
        <v>165</v>
      </c>
      <c r="M66" s="3">
        <v>1.25</v>
      </c>
      <c r="N66" s="80">
        <v>3.25</v>
      </c>
    </row>
    <row r="67" spans="1:14" ht="16" x14ac:dyDescent="0.2">
      <c r="A67" s="79" t="s">
        <v>129</v>
      </c>
      <c r="B67" s="1" t="s">
        <v>82</v>
      </c>
      <c r="C67" s="79" t="s">
        <v>129</v>
      </c>
      <c r="D67" s="1" t="s">
        <v>84</v>
      </c>
      <c r="E67" s="75" t="s">
        <v>15</v>
      </c>
      <c r="F67" s="56">
        <v>0.15</v>
      </c>
      <c r="G67" s="56">
        <v>1.41</v>
      </c>
      <c r="H67" s="111">
        <v>0</v>
      </c>
      <c r="I67" s="112">
        <v>0</v>
      </c>
      <c r="J67" s="77">
        <v>3.61</v>
      </c>
      <c r="K67" s="56">
        <v>0.4</v>
      </c>
      <c r="L67" s="56">
        <v>1230</v>
      </c>
      <c r="M67" s="3">
        <v>1.3884615384615384</v>
      </c>
      <c r="N67" s="80">
        <v>3.61</v>
      </c>
    </row>
    <row r="68" spans="1:14" ht="16" x14ac:dyDescent="0.2">
      <c r="A68" s="79" t="s">
        <v>129</v>
      </c>
      <c r="B68" s="1" t="s">
        <v>82</v>
      </c>
      <c r="C68" s="79" t="s">
        <v>129</v>
      </c>
      <c r="D68" s="1" t="s">
        <v>88</v>
      </c>
      <c r="E68" s="75" t="s">
        <v>15</v>
      </c>
      <c r="F68" s="56">
        <v>0.2</v>
      </c>
      <c r="G68" s="56">
        <v>1.34</v>
      </c>
      <c r="H68" s="111">
        <v>1250</v>
      </c>
      <c r="I68" s="112">
        <f>Table1[[#This Row],[Capex]]*0.1</f>
        <v>125</v>
      </c>
      <c r="J68" s="77">
        <v>3.1587499999999995</v>
      </c>
      <c r="K68" s="56">
        <v>0.4</v>
      </c>
      <c r="L68" s="56">
        <v>410</v>
      </c>
      <c r="M68" s="3">
        <v>1.2149038461538459</v>
      </c>
      <c r="N68" s="80">
        <v>3.1587499999999995</v>
      </c>
    </row>
    <row r="69" spans="1:14" ht="16" x14ac:dyDescent="0.2">
      <c r="A69" s="79" t="s">
        <v>129</v>
      </c>
      <c r="B69" s="1" t="s">
        <v>82</v>
      </c>
      <c r="C69" s="79" t="s">
        <v>129</v>
      </c>
      <c r="D69" s="1" t="s">
        <v>89</v>
      </c>
      <c r="E69" s="75" t="s">
        <v>15</v>
      </c>
      <c r="F69" s="56">
        <v>0.3</v>
      </c>
      <c r="G69" s="56">
        <v>1.27</v>
      </c>
      <c r="H69" s="115">
        <v>2000</v>
      </c>
      <c r="I69" s="112">
        <f>Table1[[#This Row],[Capex]]*0.1</f>
        <v>200</v>
      </c>
      <c r="J69" s="77">
        <v>2.933125</v>
      </c>
      <c r="K69" s="56">
        <v>0.4</v>
      </c>
      <c r="L69" s="56">
        <v>165</v>
      </c>
      <c r="M69" s="3">
        <v>1.128125</v>
      </c>
      <c r="N69" s="80">
        <v>2.933125</v>
      </c>
    </row>
    <row r="70" spans="1:14" ht="16" x14ac:dyDescent="0.2">
      <c r="A70" s="79" t="s">
        <v>129</v>
      </c>
      <c r="B70" s="1" t="s">
        <v>97</v>
      </c>
      <c r="C70" s="79" t="s">
        <v>129</v>
      </c>
      <c r="D70" s="1" t="s">
        <v>84</v>
      </c>
      <c r="E70" s="75" t="s">
        <v>16</v>
      </c>
      <c r="F70" s="56">
        <v>0.15</v>
      </c>
      <c r="G70" s="56">
        <v>1.41</v>
      </c>
      <c r="H70" s="111">
        <v>0</v>
      </c>
      <c r="I70" s="112">
        <v>0</v>
      </c>
      <c r="J70" s="77">
        <v>3.61</v>
      </c>
      <c r="K70" s="56">
        <v>0.4</v>
      </c>
      <c r="L70" s="56">
        <v>1230</v>
      </c>
      <c r="M70" s="3">
        <v>1.3884615384615384</v>
      </c>
      <c r="N70" s="80">
        <v>3.61</v>
      </c>
    </row>
    <row r="71" spans="1:14" ht="16" x14ac:dyDescent="0.2">
      <c r="A71" s="79" t="s">
        <v>129</v>
      </c>
      <c r="B71" s="1" t="s">
        <v>97</v>
      </c>
      <c r="C71" s="79" t="s">
        <v>129</v>
      </c>
      <c r="D71" s="1" t="s">
        <v>88</v>
      </c>
      <c r="E71" s="75" t="s">
        <v>16</v>
      </c>
      <c r="F71" s="56">
        <v>0.2</v>
      </c>
      <c r="G71" s="56">
        <v>1.34</v>
      </c>
      <c r="H71" s="111">
        <v>1250</v>
      </c>
      <c r="I71" s="112">
        <f>Table1[[#This Row],[Capex]]*0.1</f>
        <v>125</v>
      </c>
      <c r="J71" s="77">
        <v>3.1587499999999995</v>
      </c>
      <c r="K71" s="56">
        <v>0.4</v>
      </c>
      <c r="L71" s="56">
        <v>410</v>
      </c>
      <c r="M71" s="3">
        <v>1.2149038461538459</v>
      </c>
      <c r="N71" s="80">
        <v>3.1587499999999995</v>
      </c>
    </row>
    <row r="72" spans="1:14" ht="16" x14ac:dyDescent="0.2">
      <c r="A72" s="79" t="s">
        <v>129</v>
      </c>
      <c r="B72" s="1" t="s">
        <v>97</v>
      </c>
      <c r="C72" s="79" t="s">
        <v>129</v>
      </c>
      <c r="D72" s="1" t="s">
        <v>89</v>
      </c>
      <c r="E72" s="75" t="s">
        <v>16</v>
      </c>
      <c r="F72" s="56">
        <v>0.3</v>
      </c>
      <c r="G72" s="56">
        <v>1.27</v>
      </c>
      <c r="H72" s="115">
        <v>2000</v>
      </c>
      <c r="I72" s="112">
        <f>Table1[[#This Row],[Capex]]*0.1</f>
        <v>200</v>
      </c>
      <c r="J72" s="77">
        <v>2.933125</v>
      </c>
      <c r="K72" s="56">
        <v>0.4</v>
      </c>
      <c r="L72" s="56">
        <v>165</v>
      </c>
      <c r="M72" s="3">
        <v>1.128125</v>
      </c>
      <c r="N72" s="80">
        <v>2.933125</v>
      </c>
    </row>
    <row r="73" spans="1:14" ht="16" x14ac:dyDescent="0.2">
      <c r="A73" s="79" t="s">
        <v>129</v>
      </c>
      <c r="B73" s="1" t="s">
        <v>97</v>
      </c>
      <c r="C73" s="79" t="s">
        <v>129</v>
      </c>
      <c r="D73" s="1" t="s">
        <v>84</v>
      </c>
      <c r="E73" s="75" t="s">
        <v>17</v>
      </c>
      <c r="F73" s="56">
        <v>0.15</v>
      </c>
      <c r="G73" s="56">
        <v>1.41</v>
      </c>
      <c r="H73" s="111">
        <v>0</v>
      </c>
      <c r="I73" s="112">
        <v>0</v>
      </c>
      <c r="J73" s="77">
        <v>3.8</v>
      </c>
      <c r="K73" s="56">
        <v>0.4</v>
      </c>
      <c r="L73" s="56">
        <v>1230</v>
      </c>
      <c r="M73" s="3">
        <v>1.4615384615384615</v>
      </c>
      <c r="N73" s="80">
        <v>3.8</v>
      </c>
    </row>
    <row r="74" spans="1:14" ht="16" x14ac:dyDescent="0.2">
      <c r="A74" s="79" t="s">
        <v>129</v>
      </c>
      <c r="B74" s="1" t="s">
        <v>97</v>
      </c>
      <c r="C74" s="79" t="s">
        <v>129</v>
      </c>
      <c r="D74" s="1" t="s">
        <v>88</v>
      </c>
      <c r="E74" s="75" t="s">
        <v>17</v>
      </c>
      <c r="F74" s="56">
        <v>0.2</v>
      </c>
      <c r="G74" s="56">
        <v>1.34</v>
      </c>
      <c r="H74" s="111">
        <v>1250</v>
      </c>
      <c r="I74" s="112">
        <f>Table1[[#This Row],[Capex]]*0.1</f>
        <v>125</v>
      </c>
      <c r="J74" s="77">
        <v>3.3249999999999997</v>
      </c>
      <c r="K74" s="56">
        <v>0.4</v>
      </c>
      <c r="L74" s="56">
        <v>410</v>
      </c>
      <c r="M74" s="3">
        <v>1.2788461538461537</v>
      </c>
      <c r="N74" s="80">
        <v>3.3249999999999997</v>
      </c>
    </row>
    <row r="75" spans="1:14" ht="16" x14ac:dyDescent="0.2">
      <c r="A75" s="79" t="s">
        <v>129</v>
      </c>
      <c r="B75" s="1" t="s">
        <v>97</v>
      </c>
      <c r="C75" s="79" t="s">
        <v>129</v>
      </c>
      <c r="D75" s="1" t="s">
        <v>89</v>
      </c>
      <c r="E75" s="75" t="s">
        <v>17</v>
      </c>
      <c r="F75" s="56">
        <v>0.3</v>
      </c>
      <c r="G75" s="56">
        <v>1.27</v>
      </c>
      <c r="H75" s="115">
        <v>2000</v>
      </c>
      <c r="I75" s="112">
        <f>Table1[[#This Row],[Capex]]*0.1</f>
        <v>200</v>
      </c>
      <c r="J75" s="77">
        <v>3.0874999999999999</v>
      </c>
      <c r="K75" s="56">
        <v>0.4</v>
      </c>
      <c r="L75" s="56">
        <v>165</v>
      </c>
      <c r="M75" s="3">
        <v>1.1875</v>
      </c>
      <c r="N75" s="80">
        <v>3.0874999999999999</v>
      </c>
    </row>
    <row r="76" spans="1:14" ht="16" x14ac:dyDescent="0.2">
      <c r="A76" s="79" t="s">
        <v>129</v>
      </c>
      <c r="B76" s="1" t="s">
        <v>97</v>
      </c>
      <c r="C76" s="79" t="s">
        <v>129</v>
      </c>
      <c r="D76" s="1" t="s">
        <v>84</v>
      </c>
      <c r="E76" s="75" t="s">
        <v>18</v>
      </c>
      <c r="F76" s="56">
        <v>0.15</v>
      </c>
      <c r="G76" s="56">
        <v>1.41</v>
      </c>
      <c r="H76" s="111">
        <v>0</v>
      </c>
      <c r="I76" s="112">
        <v>0</v>
      </c>
      <c r="J76" s="77">
        <v>4</v>
      </c>
      <c r="K76" s="56">
        <v>0.4</v>
      </c>
      <c r="L76" s="56">
        <v>1230</v>
      </c>
      <c r="M76" s="3">
        <v>1.5384615384615383</v>
      </c>
      <c r="N76" s="80">
        <v>4</v>
      </c>
    </row>
    <row r="77" spans="1:14" ht="16" x14ac:dyDescent="0.2">
      <c r="A77" s="79" t="s">
        <v>129</v>
      </c>
      <c r="B77" s="1" t="s">
        <v>97</v>
      </c>
      <c r="C77" s="79" t="s">
        <v>129</v>
      </c>
      <c r="D77" s="1" t="s">
        <v>88</v>
      </c>
      <c r="E77" s="75" t="s">
        <v>18</v>
      </c>
      <c r="F77" s="56">
        <v>0.2</v>
      </c>
      <c r="G77" s="56">
        <v>1.34</v>
      </c>
      <c r="H77" s="111">
        <v>1250</v>
      </c>
      <c r="I77" s="112">
        <f>Table1[[#This Row],[Capex]]*0.1</f>
        <v>125</v>
      </c>
      <c r="J77" s="77">
        <v>3.5</v>
      </c>
      <c r="K77" s="56">
        <v>0.4</v>
      </c>
      <c r="L77" s="56">
        <v>410</v>
      </c>
      <c r="M77" s="3">
        <v>1.346153846153846</v>
      </c>
      <c r="N77" s="80">
        <v>3.5</v>
      </c>
    </row>
    <row r="78" spans="1:14" ht="16" x14ac:dyDescent="0.2">
      <c r="A78" s="79" t="s">
        <v>129</v>
      </c>
      <c r="B78" s="1" t="s">
        <v>97</v>
      </c>
      <c r="C78" s="79" t="s">
        <v>129</v>
      </c>
      <c r="D78" s="1" t="s">
        <v>89</v>
      </c>
      <c r="E78" s="75" t="s">
        <v>18</v>
      </c>
      <c r="F78" s="56">
        <v>0.3</v>
      </c>
      <c r="G78" s="56">
        <v>1.27</v>
      </c>
      <c r="H78" s="115">
        <v>2000</v>
      </c>
      <c r="I78" s="112">
        <f>Table1[[#This Row],[Capex]]*0.1</f>
        <v>200</v>
      </c>
      <c r="J78" s="77">
        <v>3.25</v>
      </c>
      <c r="K78" s="56">
        <v>0.4</v>
      </c>
      <c r="L78" s="56">
        <v>165</v>
      </c>
      <c r="M78" s="3">
        <v>1.25</v>
      </c>
      <c r="N78" s="80">
        <v>3.25</v>
      </c>
    </row>
    <row r="79" spans="1:14" ht="16" x14ac:dyDescent="0.2">
      <c r="A79" s="79" t="s">
        <v>129</v>
      </c>
      <c r="B79" s="1" t="s">
        <v>97</v>
      </c>
      <c r="C79" s="79" t="s">
        <v>129</v>
      </c>
      <c r="D79" s="1" t="s">
        <v>84</v>
      </c>
      <c r="E79" s="75" t="s">
        <v>15</v>
      </c>
      <c r="F79" s="56">
        <v>0.15</v>
      </c>
      <c r="G79" s="56">
        <v>1.41</v>
      </c>
      <c r="H79" s="111">
        <v>0</v>
      </c>
      <c r="I79" s="112">
        <v>0</v>
      </c>
      <c r="J79" s="77">
        <v>3.61</v>
      </c>
      <c r="K79" s="56">
        <v>0.4</v>
      </c>
      <c r="L79" s="56">
        <v>1230</v>
      </c>
      <c r="M79" s="3">
        <v>1.3884615384615384</v>
      </c>
      <c r="N79" s="80">
        <v>3.61</v>
      </c>
    </row>
    <row r="80" spans="1:14" ht="16" x14ac:dyDescent="0.2">
      <c r="A80" s="79" t="s">
        <v>129</v>
      </c>
      <c r="B80" s="1" t="s">
        <v>97</v>
      </c>
      <c r="C80" s="79" t="s">
        <v>129</v>
      </c>
      <c r="D80" s="1" t="s">
        <v>88</v>
      </c>
      <c r="E80" s="75" t="s">
        <v>15</v>
      </c>
      <c r="F80" s="56">
        <v>0.2</v>
      </c>
      <c r="G80" s="56">
        <v>1.34</v>
      </c>
      <c r="H80" s="111">
        <v>1250</v>
      </c>
      <c r="I80" s="112">
        <f>Table1[[#This Row],[Capex]]*0.1</f>
        <v>125</v>
      </c>
      <c r="J80" s="77">
        <v>3.1587499999999995</v>
      </c>
      <c r="K80" s="56">
        <v>0.4</v>
      </c>
      <c r="L80" s="56">
        <v>410</v>
      </c>
      <c r="M80" s="3">
        <v>1.2149038461538459</v>
      </c>
      <c r="N80" s="80">
        <v>3.1587499999999995</v>
      </c>
    </row>
    <row r="81" spans="1:14" ht="16" x14ac:dyDescent="0.2">
      <c r="A81" s="79" t="s">
        <v>129</v>
      </c>
      <c r="B81" s="1" t="s">
        <v>97</v>
      </c>
      <c r="C81" s="79" t="s">
        <v>129</v>
      </c>
      <c r="D81" s="1" t="s">
        <v>89</v>
      </c>
      <c r="E81" s="75" t="s">
        <v>15</v>
      </c>
      <c r="F81" s="56">
        <v>0.3</v>
      </c>
      <c r="G81" s="56">
        <v>1.27</v>
      </c>
      <c r="H81" s="115">
        <v>2000</v>
      </c>
      <c r="I81" s="112">
        <f>Table1[[#This Row],[Capex]]*0.1</f>
        <v>200</v>
      </c>
      <c r="J81" s="77">
        <v>2.933125</v>
      </c>
      <c r="K81" s="56">
        <v>0.4</v>
      </c>
      <c r="L81" s="56">
        <v>165</v>
      </c>
      <c r="M81" s="3">
        <v>1.128125</v>
      </c>
      <c r="N81" s="80">
        <v>2.933125</v>
      </c>
    </row>
  </sheetData>
  <pageMargins left="0.7" right="0.7" top="0.75" bottom="0.75" header="0.3" footer="0.3"/>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4BAC9-DA4C-4721-84DA-3BC6834D3898}">
  <dimension ref="A1:N81"/>
  <sheetViews>
    <sheetView workbookViewId="0">
      <selection activeCell="F11" sqref="F11"/>
    </sheetView>
  </sheetViews>
  <sheetFormatPr baseColWidth="10" defaultColWidth="8.83203125" defaultRowHeight="15" x14ac:dyDescent="0.2"/>
  <cols>
    <col min="1" max="1" width="12.1640625" customWidth="1"/>
    <col min="4" max="4" width="36.83203125" bestFit="1" customWidth="1"/>
    <col min="5" max="5" width="17.33203125" customWidth="1"/>
    <col min="6" max="6" width="14.6640625" customWidth="1"/>
    <col min="7" max="7" width="12.1640625" customWidth="1"/>
    <col min="8" max="8" width="9.5" bestFit="1" customWidth="1"/>
    <col min="9" max="9" width="16.1640625" customWidth="1"/>
    <col min="10" max="10" width="23.5" customWidth="1"/>
    <col min="11" max="11" width="20.5" customWidth="1"/>
    <col min="12" max="12" width="19" customWidth="1"/>
    <col min="13" max="13" width="16.5" customWidth="1"/>
    <col min="14" max="14" width="24.83203125" customWidth="1"/>
  </cols>
  <sheetData>
    <row r="1" spans="1:14" x14ac:dyDescent="0.2">
      <c r="A1" t="s">
        <v>183</v>
      </c>
      <c r="B1" t="s">
        <v>184</v>
      </c>
      <c r="C1" t="s">
        <v>185</v>
      </c>
      <c r="D1" t="s">
        <v>186</v>
      </c>
      <c r="E1" t="s">
        <v>187</v>
      </c>
      <c r="F1" t="s">
        <v>188</v>
      </c>
      <c r="G1" t="s">
        <v>189</v>
      </c>
      <c r="H1" t="s">
        <v>190</v>
      </c>
      <c r="I1" t="s">
        <v>191</v>
      </c>
      <c r="J1" t="s">
        <v>192</v>
      </c>
      <c r="K1" t="s">
        <v>193</v>
      </c>
      <c r="L1" t="s">
        <v>194</v>
      </c>
      <c r="M1" t="s">
        <v>115</v>
      </c>
      <c r="N1" t="s">
        <v>195</v>
      </c>
    </row>
    <row r="2" spans="1:14" ht="16" x14ac:dyDescent="0.2">
      <c r="A2" t="s">
        <v>196</v>
      </c>
      <c r="B2" t="s">
        <v>197</v>
      </c>
      <c r="C2" t="s">
        <v>196</v>
      </c>
      <c r="D2" t="s">
        <v>217</v>
      </c>
      <c r="E2" t="s">
        <v>180</v>
      </c>
      <c r="F2" s="110">
        <v>0.8</v>
      </c>
      <c r="G2" s="56">
        <v>5</v>
      </c>
      <c r="H2" s="111">
        <v>2000</v>
      </c>
      <c r="I2" s="112">
        <f>Table1[[#This Row],[Capex]]*0.1</f>
        <v>200</v>
      </c>
      <c r="J2" s="56">
        <v>3.9000000000000004</v>
      </c>
      <c r="K2" s="56">
        <v>0.71499999999999997</v>
      </c>
      <c r="L2" s="56">
        <v>47</v>
      </c>
      <c r="M2" s="3">
        <v>1</v>
      </c>
      <c r="N2" s="80">
        <v>3.9000000000000004</v>
      </c>
    </row>
    <row r="3" spans="1:14" ht="16" x14ac:dyDescent="0.2">
      <c r="A3" t="s">
        <v>196</v>
      </c>
      <c r="B3" t="s">
        <v>197</v>
      </c>
      <c r="C3" t="s">
        <v>196</v>
      </c>
      <c r="D3" t="s">
        <v>218</v>
      </c>
      <c r="E3" t="s">
        <v>180</v>
      </c>
      <c r="F3" s="110">
        <v>0.8</v>
      </c>
      <c r="G3" s="56">
        <v>5</v>
      </c>
      <c r="H3" s="111">
        <v>4000</v>
      </c>
      <c r="I3" s="112">
        <f>Table1[[#This Row],[Capex]]*0.1</f>
        <v>400</v>
      </c>
      <c r="J3" s="56">
        <v>2.6</v>
      </c>
      <c r="K3" s="56">
        <v>0.71499999999999997</v>
      </c>
      <c r="L3" s="56">
        <v>47</v>
      </c>
      <c r="M3" s="3">
        <v>1</v>
      </c>
      <c r="N3" s="80">
        <v>2.6</v>
      </c>
    </row>
    <row r="4" spans="1:14" ht="16" x14ac:dyDescent="0.2">
      <c r="A4" t="s">
        <v>198</v>
      </c>
      <c r="B4" t="s">
        <v>197</v>
      </c>
      <c r="C4" t="s">
        <v>198</v>
      </c>
      <c r="D4" t="s">
        <v>199</v>
      </c>
      <c r="E4" t="s">
        <v>180</v>
      </c>
      <c r="F4" s="110">
        <v>0.8</v>
      </c>
      <c r="G4" s="56">
        <v>0</v>
      </c>
      <c r="H4" s="111">
        <v>40000</v>
      </c>
      <c r="I4" s="112">
        <f>Table1[[#This Row],[Capex]]*0.005</f>
        <v>200</v>
      </c>
      <c r="J4" s="56">
        <v>3.9000000000000004</v>
      </c>
      <c r="K4" s="56">
        <v>0</v>
      </c>
      <c r="L4" s="56">
        <v>47</v>
      </c>
      <c r="M4" s="3">
        <v>1</v>
      </c>
      <c r="N4" s="80">
        <v>3.9000000000000004</v>
      </c>
    </row>
    <row r="5" spans="1:14" ht="16" x14ac:dyDescent="0.2">
      <c r="A5" t="s">
        <v>198</v>
      </c>
      <c r="B5" t="s">
        <v>197</v>
      </c>
      <c r="C5" t="s">
        <v>198</v>
      </c>
      <c r="D5" t="s">
        <v>200</v>
      </c>
      <c r="E5" t="s">
        <v>180</v>
      </c>
      <c r="F5" s="110">
        <v>0.8</v>
      </c>
      <c r="G5" s="56">
        <v>0</v>
      </c>
      <c r="H5" s="111">
        <v>100000</v>
      </c>
      <c r="I5" s="112">
        <f>Table1[[#This Row],[Capex]]*0.005</f>
        <v>500</v>
      </c>
      <c r="J5" s="56">
        <v>2.6</v>
      </c>
      <c r="K5" s="56">
        <v>0</v>
      </c>
      <c r="L5" s="56">
        <v>47</v>
      </c>
      <c r="M5" s="3">
        <v>1</v>
      </c>
      <c r="N5" s="80">
        <v>2.6</v>
      </c>
    </row>
    <row r="6" spans="1:14" ht="16" x14ac:dyDescent="0.2">
      <c r="A6" t="s">
        <v>196</v>
      </c>
      <c r="B6" t="s">
        <v>197</v>
      </c>
      <c r="C6" t="s">
        <v>196</v>
      </c>
      <c r="D6" t="s">
        <v>217</v>
      </c>
      <c r="E6" t="s">
        <v>181</v>
      </c>
      <c r="F6" s="110">
        <v>0.8</v>
      </c>
      <c r="G6" s="56">
        <v>6</v>
      </c>
      <c r="H6" s="111">
        <v>2000</v>
      </c>
      <c r="I6" s="112">
        <f>Table1[[#This Row],[Capex]]*0.1</f>
        <v>200</v>
      </c>
      <c r="J6" s="56">
        <v>4</v>
      </c>
      <c r="K6" s="56">
        <v>0.71499999999999997</v>
      </c>
      <c r="L6" s="56">
        <v>47</v>
      </c>
      <c r="M6" s="3">
        <v>1</v>
      </c>
      <c r="N6" s="80">
        <v>4</v>
      </c>
    </row>
    <row r="7" spans="1:14" ht="16" x14ac:dyDescent="0.2">
      <c r="A7" t="s">
        <v>196</v>
      </c>
      <c r="B7" t="s">
        <v>197</v>
      </c>
      <c r="C7" t="s">
        <v>196</v>
      </c>
      <c r="D7" t="s">
        <v>218</v>
      </c>
      <c r="E7" t="s">
        <v>181</v>
      </c>
      <c r="F7" s="110">
        <v>0.8</v>
      </c>
      <c r="G7" s="56">
        <v>6</v>
      </c>
      <c r="H7" s="111">
        <v>4000</v>
      </c>
      <c r="I7" s="112">
        <f>Table1[[#This Row],[Capex]]*0.1</f>
        <v>400</v>
      </c>
      <c r="J7" s="56">
        <v>2.7</v>
      </c>
      <c r="K7" s="56">
        <v>0.71499999999999997</v>
      </c>
      <c r="L7" s="56">
        <v>47</v>
      </c>
      <c r="M7" s="3">
        <v>1</v>
      </c>
      <c r="N7" s="80">
        <v>2.7</v>
      </c>
    </row>
    <row r="8" spans="1:14" ht="16" x14ac:dyDescent="0.2">
      <c r="A8" t="s">
        <v>198</v>
      </c>
      <c r="B8" t="s">
        <v>197</v>
      </c>
      <c r="C8" t="s">
        <v>198</v>
      </c>
      <c r="D8" t="s">
        <v>199</v>
      </c>
      <c r="E8" t="s">
        <v>181</v>
      </c>
      <c r="F8" s="110">
        <v>0.8</v>
      </c>
      <c r="G8" s="56">
        <v>0</v>
      </c>
      <c r="H8" s="111">
        <v>40000</v>
      </c>
      <c r="I8" s="112">
        <f>Table1[[#This Row],[Capex]]*0.005</f>
        <v>200</v>
      </c>
      <c r="J8" s="56">
        <v>4</v>
      </c>
      <c r="K8" s="56">
        <v>0</v>
      </c>
      <c r="L8" s="56">
        <v>47</v>
      </c>
      <c r="M8" s="3">
        <v>1</v>
      </c>
      <c r="N8" s="80">
        <v>4</v>
      </c>
    </row>
    <row r="9" spans="1:14" ht="16" x14ac:dyDescent="0.2">
      <c r="A9" t="s">
        <v>198</v>
      </c>
      <c r="B9" t="s">
        <v>197</v>
      </c>
      <c r="C9" t="s">
        <v>198</v>
      </c>
      <c r="D9" t="s">
        <v>200</v>
      </c>
      <c r="E9" t="s">
        <v>181</v>
      </c>
      <c r="F9" s="110">
        <v>0.8</v>
      </c>
      <c r="G9" s="56">
        <v>0</v>
      </c>
      <c r="H9" s="111">
        <v>100000</v>
      </c>
      <c r="I9" s="112">
        <f>Table1[[#This Row],[Capex]]*0.005</f>
        <v>500</v>
      </c>
      <c r="J9" s="56">
        <v>2.7</v>
      </c>
      <c r="K9" s="56">
        <v>0</v>
      </c>
      <c r="L9" s="56">
        <v>47</v>
      </c>
      <c r="M9" s="3">
        <v>1</v>
      </c>
      <c r="N9" s="80">
        <v>2.7</v>
      </c>
    </row>
    <row r="10" spans="1:14" ht="16" x14ac:dyDescent="0.2">
      <c r="A10" t="s">
        <v>196</v>
      </c>
      <c r="B10" t="s">
        <v>197</v>
      </c>
      <c r="C10" t="s">
        <v>196</v>
      </c>
      <c r="D10" t="s">
        <v>217</v>
      </c>
      <c r="E10" t="s">
        <v>182</v>
      </c>
      <c r="F10" s="110">
        <v>0.8</v>
      </c>
      <c r="G10" s="56">
        <v>7</v>
      </c>
      <c r="H10" s="111">
        <v>2000</v>
      </c>
      <c r="I10" s="112">
        <f>Table1[[#This Row],[Capex]]*0.1</f>
        <v>200</v>
      </c>
      <c r="J10" s="56">
        <v>4.0999999999999996</v>
      </c>
      <c r="K10" s="56">
        <v>0.71499999999999997</v>
      </c>
      <c r="L10" s="56">
        <v>47</v>
      </c>
      <c r="M10" s="3">
        <v>1</v>
      </c>
      <c r="N10" s="80">
        <v>4.0999999999999996</v>
      </c>
    </row>
    <row r="11" spans="1:14" ht="16" x14ac:dyDescent="0.2">
      <c r="A11" t="s">
        <v>196</v>
      </c>
      <c r="B11" t="s">
        <v>197</v>
      </c>
      <c r="C11" t="s">
        <v>196</v>
      </c>
      <c r="D11" t="s">
        <v>218</v>
      </c>
      <c r="E11" t="s">
        <v>182</v>
      </c>
      <c r="F11" s="110">
        <v>0.8</v>
      </c>
      <c r="G11" s="56">
        <v>7</v>
      </c>
      <c r="H11" s="111">
        <v>4000</v>
      </c>
      <c r="I11" s="112">
        <f>Table1[[#This Row],[Capex]]*0.1</f>
        <v>400</v>
      </c>
      <c r="J11" s="56">
        <v>2.8</v>
      </c>
      <c r="K11" s="56">
        <v>0.71499999999999997</v>
      </c>
      <c r="L11" s="56">
        <v>47</v>
      </c>
      <c r="M11" s="3">
        <v>1</v>
      </c>
      <c r="N11" s="80">
        <v>2.8</v>
      </c>
    </row>
    <row r="12" spans="1:14" ht="16" x14ac:dyDescent="0.2">
      <c r="A12" t="s">
        <v>198</v>
      </c>
      <c r="B12" t="s">
        <v>197</v>
      </c>
      <c r="C12" t="s">
        <v>198</v>
      </c>
      <c r="D12" t="s">
        <v>199</v>
      </c>
      <c r="E12" t="s">
        <v>182</v>
      </c>
      <c r="F12" s="110">
        <v>0.8</v>
      </c>
      <c r="G12" s="56">
        <v>0</v>
      </c>
      <c r="H12" s="111">
        <v>40000</v>
      </c>
      <c r="I12" s="112">
        <f>Table1[[#This Row],[Capex]]*0.005</f>
        <v>200</v>
      </c>
      <c r="J12" s="56">
        <v>4.0999999999999996</v>
      </c>
      <c r="K12" s="56">
        <v>0</v>
      </c>
      <c r="L12" s="56">
        <v>47</v>
      </c>
      <c r="M12" s="3">
        <v>1</v>
      </c>
      <c r="N12" s="80">
        <v>4.0999999999999996</v>
      </c>
    </row>
    <row r="13" spans="1:14" ht="16" x14ac:dyDescent="0.2">
      <c r="A13" t="s">
        <v>198</v>
      </c>
      <c r="B13" t="s">
        <v>197</v>
      </c>
      <c r="C13" t="s">
        <v>198</v>
      </c>
      <c r="D13" t="s">
        <v>200</v>
      </c>
      <c r="E13" t="s">
        <v>182</v>
      </c>
      <c r="F13" s="110">
        <v>0.8</v>
      </c>
      <c r="G13" s="56">
        <v>0</v>
      </c>
      <c r="H13" s="111">
        <v>100000</v>
      </c>
      <c r="I13" s="112">
        <f>Table1[[#This Row],[Capex]]*0.005</f>
        <v>500</v>
      </c>
      <c r="J13" s="56">
        <v>2.8</v>
      </c>
      <c r="K13" s="56">
        <v>0</v>
      </c>
      <c r="L13" s="56">
        <v>47</v>
      </c>
      <c r="M13" s="3">
        <v>1</v>
      </c>
      <c r="N13" s="80">
        <v>2.8</v>
      </c>
    </row>
    <row r="14" spans="1:14" ht="16" x14ac:dyDescent="0.2">
      <c r="A14" t="s">
        <v>196</v>
      </c>
      <c r="B14" t="s">
        <v>201</v>
      </c>
      <c r="C14" t="s">
        <v>196</v>
      </c>
      <c r="D14" t="s">
        <v>217</v>
      </c>
      <c r="E14" t="s">
        <v>180</v>
      </c>
      <c r="F14" s="110">
        <v>0.8</v>
      </c>
      <c r="G14" s="56">
        <v>6</v>
      </c>
      <c r="H14" s="111">
        <v>2000</v>
      </c>
      <c r="I14" s="112">
        <f>Table1[[#This Row],[Capex]]*0.1</f>
        <v>200</v>
      </c>
      <c r="J14" s="56">
        <v>3.9000000000000004</v>
      </c>
      <c r="K14" s="56">
        <v>0.71499999999999997</v>
      </c>
      <c r="L14" s="56">
        <v>47</v>
      </c>
      <c r="M14" s="3">
        <v>1</v>
      </c>
      <c r="N14" s="80">
        <v>3.9000000000000004</v>
      </c>
    </row>
    <row r="15" spans="1:14" ht="16" x14ac:dyDescent="0.2">
      <c r="A15" t="s">
        <v>196</v>
      </c>
      <c r="B15" t="s">
        <v>201</v>
      </c>
      <c r="C15" t="s">
        <v>196</v>
      </c>
      <c r="D15" t="s">
        <v>218</v>
      </c>
      <c r="E15" t="s">
        <v>180</v>
      </c>
      <c r="F15" s="110">
        <v>0.8</v>
      </c>
      <c r="G15" s="56">
        <v>6</v>
      </c>
      <c r="H15" s="111">
        <v>4000</v>
      </c>
      <c r="I15" s="112">
        <f>Table1[[#This Row],[Capex]]*0.1</f>
        <v>400</v>
      </c>
      <c r="J15" s="56">
        <v>2.6</v>
      </c>
      <c r="K15" s="56">
        <v>0.71499999999999997</v>
      </c>
      <c r="L15" s="56">
        <v>47</v>
      </c>
      <c r="M15" s="3">
        <v>1</v>
      </c>
      <c r="N15" s="80">
        <v>2.6</v>
      </c>
    </row>
    <row r="16" spans="1:14" ht="16" x14ac:dyDescent="0.2">
      <c r="A16" t="s">
        <v>198</v>
      </c>
      <c r="B16" t="s">
        <v>201</v>
      </c>
      <c r="C16" t="s">
        <v>198</v>
      </c>
      <c r="D16" t="s">
        <v>199</v>
      </c>
      <c r="E16" t="s">
        <v>180</v>
      </c>
      <c r="F16" s="110">
        <v>0.8</v>
      </c>
      <c r="G16" s="56">
        <v>0</v>
      </c>
      <c r="H16" s="111">
        <v>40000</v>
      </c>
      <c r="I16" s="112">
        <v>150</v>
      </c>
      <c r="J16" s="56">
        <v>3.9000000000000004</v>
      </c>
      <c r="K16" s="56">
        <v>0</v>
      </c>
      <c r="L16" s="56">
        <v>47</v>
      </c>
      <c r="M16" s="3">
        <v>1</v>
      </c>
      <c r="N16" s="80">
        <v>3.9000000000000004</v>
      </c>
    </row>
    <row r="17" spans="1:14" ht="16" x14ac:dyDescent="0.2">
      <c r="A17" t="s">
        <v>198</v>
      </c>
      <c r="B17" t="s">
        <v>201</v>
      </c>
      <c r="C17" t="s">
        <v>198</v>
      </c>
      <c r="D17" t="s">
        <v>200</v>
      </c>
      <c r="E17" t="s">
        <v>180</v>
      </c>
      <c r="F17" s="110">
        <v>0.8</v>
      </c>
      <c r="G17" s="56">
        <v>0</v>
      </c>
      <c r="H17" s="111">
        <v>100000</v>
      </c>
      <c r="I17" s="112">
        <f>Table1[[#This Row],[Capex]]*0.005</f>
        <v>500</v>
      </c>
      <c r="J17" s="56">
        <v>2.6</v>
      </c>
      <c r="K17" s="56">
        <v>0</v>
      </c>
      <c r="L17" s="56">
        <v>47</v>
      </c>
      <c r="M17" s="3">
        <v>1</v>
      </c>
      <c r="N17" s="80">
        <v>2.6</v>
      </c>
    </row>
    <row r="18" spans="1:14" ht="16" x14ac:dyDescent="0.2">
      <c r="A18" t="s">
        <v>196</v>
      </c>
      <c r="B18" t="s">
        <v>201</v>
      </c>
      <c r="C18" t="s">
        <v>196</v>
      </c>
      <c r="D18" t="s">
        <v>217</v>
      </c>
      <c r="E18" t="s">
        <v>181</v>
      </c>
      <c r="F18" s="110">
        <v>0.8</v>
      </c>
      <c r="G18" s="56">
        <v>7</v>
      </c>
      <c r="H18" s="111">
        <v>2000</v>
      </c>
      <c r="I18" s="112">
        <f>Table1[[#This Row],[Capex]]*0.1</f>
        <v>200</v>
      </c>
      <c r="J18" s="56">
        <v>4</v>
      </c>
      <c r="K18" s="56">
        <v>0.71499999999999997</v>
      </c>
      <c r="L18" s="56">
        <v>47</v>
      </c>
      <c r="M18" s="3">
        <v>1</v>
      </c>
      <c r="N18" s="80">
        <v>4</v>
      </c>
    </row>
    <row r="19" spans="1:14" ht="16" x14ac:dyDescent="0.2">
      <c r="A19" t="s">
        <v>196</v>
      </c>
      <c r="B19" t="s">
        <v>201</v>
      </c>
      <c r="C19" t="s">
        <v>196</v>
      </c>
      <c r="D19" t="s">
        <v>218</v>
      </c>
      <c r="E19" t="s">
        <v>181</v>
      </c>
      <c r="F19" s="110">
        <v>0.8</v>
      </c>
      <c r="G19" s="56">
        <v>7</v>
      </c>
      <c r="H19" s="111">
        <v>4000</v>
      </c>
      <c r="I19" s="112">
        <f>Table1[[#This Row],[Capex]]*0.1</f>
        <v>400</v>
      </c>
      <c r="J19" s="56">
        <v>2.7</v>
      </c>
      <c r="K19" s="56">
        <v>0.71499999999999997</v>
      </c>
      <c r="L19" s="56">
        <v>47</v>
      </c>
      <c r="M19" s="3">
        <v>1</v>
      </c>
      <c r="N19" s="80">
        <v>2.7</v>
      </c>
    </row>
    <row r="20" spans="1:14" ht="16" x14ac:dyDescent="0.2">
      <c r="A20" t="s">
        <v>198</v>
      </c>
      <c r="B20" t="s">
        <v>201</v>
      </c>
      <c r="C20" t="s">
        <v>198</v>
      </c>
      <c r="D20" t="s">
        <v>199</v>
      </c>
      <c r="E20" t="s">
        <v>181</v>
      </c>
      <c r="F20" s="110">
        <v>0.8</v>
      </c>
      <c r="G20" s="56">
        <v>0</v>
      </c>
      <c r="H20" s="111">
        <v>40000</v>
      </c>
      <c r="I20" s="112">
        <v>400</v>
      </c>
      <c r="J20" s="56">
        <v>4</v>
      </c>
      <c r="K20" s="56">
        <v>0</v>
      </c>
      <c r="L20" s="56">
        <v>47</v>
      </c>
      <c r="M20" s="3">
        <v>1</v>
      </c>
      <c r="N20" s="80">
        <v>4</v>
      </c>
    </row>
    <row r="21" spans="1:14" ht="16" x14ac:dyDescent="0.2">
      <c r="A21" t="s">
        <v>198</v>
      </c>
      <c r="B21" t="s">
        <v>201</v>
      </c>
      <c r="C21" t="s">
        <v>198</v>
      </c>
      <c r="D21" t="s">
        <v>200</v>
      </c>
      <c r="E21" t="s">
        <v>181</v>
      </c>
      <c r="F21" s="110">
        <v>0.8</v>
      </c>
      <c r="G21" s="56">
        <v>0</v>
      </c>
      <c r="H21" s="111">
        <v>100000</v>
      </c>
      <c r="I21" s="112">
        <f>Table1[[#This Row],[Capex]]*0.005</f>
        <v>500</v>
      </c>
      <c r="J21" s="56">
        <v>2.7</v>
      </c>
      <c r="K21" s="56">
        <v>0</v>
      </c>
      <c r="L21" s="56">
        <v>47</v>
      </c>
      <c r="M21" s="3">
        <v>1</v>
      </c>
      <c r="N21" s="80">
        <v>2.7</v>
      </c>
    </row>
    <row r="22" spans="1:14" ht="16" x14ac:dyDescent="0.2">
      <c r="A22" t="s">
        <v>196</v>
      </c>
      <c r="B22" t="s">
        <v>201</v>
      </c>
      <c r="C22" t="s">
        <v>196</v>
      </c>
      <c r="D22" t="s">
        <v>217</v>
      </c>
      <c r="E22" t="s">
        <v>182</v>
      </c>
      <c r="F22" s="110">
        <v>0.8</v>
      </c>
      <c r="G22" s="56">
        <v>8</v>
      </c>
      <c r="H22" s="111">
        <v>2000</v>
      </c>
      <c r="I22" s="112">
        <f>Table1[[#This Row],[Capex]]*0.1</f>
        <v>200</v>
      </c>
      <c r="J22" s="56">
        <v>4.0999999999999996</v>
      </c>
      <c r="K22" s="56">
        <v>0.71499999999999997</v>
      </c>
      <c r="L22" s="56">
        <v>47</v>
      </c>
      <c r="M22" s="3">
        <v>1</v>
      </c>
      <c r="N22" s="80">
        <v>4.0999999999999996</v>
      </c>
    </row>
    <row r="23" spans="1:14" ht="16" x14ac:dyDescent="0.2">
      <c r="A23" t="s">
        <v>196</v>
      </c>
      <c r="B23" t="s">
        <v>201</v>
      </c>
      <c r="C23" t="s">
        <v>196</v>
      </c>
      <c r="D23" t="s">
        <v>218</v>
      </c>
      <c r="E23" t="s">
        <v>182</v>
      </c>
      <c r="F23" s="110">
        <v>0.8</v>
      </c>
      <c r="G23" s="56">
        <v>8</v>
      </c>
      <c r="H23" s="111">
        <v>4000</v>
      </c>
      <c r="I23" s="112">
        <f>Table1[[#This Row],[Capex]]*0.1</f>
        <v>400</v>
      </c>
      <c r="J23" s="56">
        <v>2.8</v>
      </c>
      <c r="K23" s="56">
        <v>0.71499999999999997</v>
      </c>
      <c r="L23" s="56">
        <v>47</v>
      </c>
      <c r="M23" s="3">
        <v>1</v>
      </c>
      <c r="N23" s="80">
        <v>2.8</v>
      </c>
    </row>
    <row r="24" spans="1:14" ht="16" x14ac:dyDescent="0.2">
      <c r="A24" t="s">
        <v>198</v>
      </c>
      <c r="B24" t="s">
        <v>201</v>
      </c>
      <c r="C24" t="s">
        <v>198</v>
      </c>
      <c r="D24" t="s">
        <v>199</v>
      </c>
      <c r="E24" t="s">
        <v>182</v>
      </c>
      <c r="F24" s="110">
        <v>0.8</v>
      </c>
      <c r="G24" s="56">
        <v>0</v>
      </c>
      <c r="H24" s="111">
        <v>40000</v>
      </c>
      <c r="I24" s="112">
        <v>800</v>
      </c>
      <c r="J24" s="56">
        <v>4.0999999999999996</v>
      </c>
      <c r="K24" s="56">
        <v>0</v>
      </c>
      <c r="L24" s="56">
        <v>47</v>
      </c>
      <c r="M24" s="3">
        <v>1</v>
      </c>
      <c r="N24" s="80">
        <v>4.0999999999999996</v>
      </c>
    </row>
    <row r="25" spans="1:14" ht="16" x14ac:dyDescent="0.2">
      <c r="A25" t="s">
        <v>198</v>
      </c>
      <c r="B25" t="s">
        <v>201</v>
      </c>
      <c r="C25" t="s">
        <v>198</v>
      </c>
      <c r="D25" t="s">
        <v>200</v>
      </c>
      <c r="E25" t="s">
        <v>182</v>
      </c>
      <c r="F25" s="110">
        <v>0.8</v>
      </c>
      <c r="G25" s="56">
        <v>0</v>
      </c>
      <c r="H25" s="111">
        <v>100000</v>
      </c>
      <c r="I25" s="112">
        <f>Table1[[#This Row],[Capex]]*0.005</f>
        <v>500</v>
      </c>
      <c r="J25" s="56">
        <v>2.8</v>
      </c>
      <c r="K25" s="56">
        <v>0</v>
      </c>
      <c r="L25" s="56">
        <v>47</v>
      </c>
      <c r="M25" s="3">
        <v>1</v>
      </c>
      <c r="N25" s="80">
        <v>2.8</v>
      </c>
    </row>
    <row r="26" spans="1:14" ht="16" x14ac:dyDescent="0.2">
      <c r="A26" t="s">
        <v>202</v>
      </c>
      <c r="B26" t="s">
        <v>197</v>
      </c>
      <c r="C26" t="s">
        <v>202</v>
      </c>
      <c r="D26" t="s">
        <v>203</v>
      </c>
      <c r="E26" t="s">
        <v>180</v>
      </c>
      <c r="F26" s="110">
        <v>0.6</v>
      </c>
      <c r="G26" s="56">
        <v>1.5</v>
      </c>
      <c r="H26" s="111">
        <v>50000</v>
      </c>
      <c r="I26" s="112">
        <f>Table1[[#This Row],[Capex]]*0.005</f>
        <v>250</v>
      </c>
      <c r="J26" s="77">
        <f t="shared" ref="J26:J28" si="0">J30*0.95</f>
        <v>2.7074999999999996</v>
      </c>
      <c r="K26" s="76">
        <v>0.15</v>
      </c>
      <c r="L26" s="56">
        <v>60</v>
      </c>
      <c r="M26" s="3">
        <f t="shared" ref="M26:M37" si="1">N26/2.6</f>
        <v>1.0413461538461537</v>
      </c>
      <c r="N26" s="80">
        <v>2.7074999999999996</v>
      </c>
    </row>
    <row r="27" spans="1:14" ht="16" x14ac:dyDescent="0.2">
      <c r="A27" t="s">
        <v>216</v>
      </c>
      <c r="B27" t="s">
        <v>197</v>
      </c>
      <c r="C27" t="s">
        <v>216</v>
      </c>
      <c r="D27" t="s">
        <v>204</v>
      </c>
      <c r="E27" t="s">
        <v>180</v>
      </c>
      <c r="F27" s="110">
        <v>0.6</v>
      </c>
      <c r="G27" s="56">
        <v>4.9800000000000004</v>
      </c>
      <c r="H27" s="111">
        <v>1500</v>
      </c>
      <c r="I27" s="112">
        <f t="shared" ref="I27:I37" si="2">H27*0.1</f>
        <v>150</v>
      </c>
      <c r="J27" s="77">
        <f t="shared" si="0"/>
        <v>2.7074999999999996</v>
      </c>
      <c r="K27" s="56">
        <v>0.23</v>
      </c>
      <c r="L27" s="56">
        <v>64</v>
      </c>
      <c r="M27" s="3">
        <f t="shared" si="1"/>
        <v>1.0413461538461537</v>
      </c>
      <c r="N27" s="80">
        <v>2.7074999999999996</v>
      </c>
    </row>
    <row r="28" spans="1:14" ht="16" x14ac:dyDescent="0.2">
      <c r="A28" t="s">
        <v>215</v>
      </c>
      <c r="B28" t="s">
        <v>201</v>
      </c>
      <c r="C28" t="s">
        <v>215</v>
      </c>
      <c r="D28" t="s">
        <v>205</v>
      </c>
      <c r="E28" t="s">
        <v>180</v>
      </c>
      <c r="F28" s="110">
        <v>0.6</v>
      </c>
      <c r="G28" s="56">
        <v>4.7699999999999996</v>
      </c>
      <c r="H28" s="111">
        <v>2000</v>
      </c>
      <c r="I28" s="112">
        <f t="shared" si="2"/>
        <v>200</v>
      </c>
      <c r="J28" s="77">
        <f t="shared" si="0"/>
        <v>2.7074999999999996</v>
      </c>
      <c r="K28" s="56">
        <v>0.2</v>
      </c>
      <c r="L28" s="56">
        <f>47</f>
        <v>47</v>
      </c>
      <c r="M28" s="3">
        <f t="shared" si="1"/>
        <v>1.0413461538461537</v>
      </c>
      <c r="N28" s="80">
        <v>2.7074999999999996</v>
      </c>
    </row>
    <row r="29" spans="1:14" ht="16" x14ac:dyDescent="0.2">
      <c r="A29" t="s">
        <v>216</v>
      </c>
      <c r="B29" t="s">
        <v>201</v>
      </c>
      <c r="C29" t="s">
        <v>216</v>
      </c>
      <c r="D29" t="s">
        <v>204</v>
      </c>
      <c r="E29" t="s">
        <v>180</v>
      </c>
      <c r="F29" s="110">
        <v>0.6</v>
      </c>
      <c r="G29" s="56">
        <v>4.9800000000000004</v>
      </c>
      <c r="H29" s="111">
        <v>1500</v>
      </c>
      <c r="I29" s="112">
        <f t="shared" si="2"/>
        <v>150</v>
      </c>
      <c r="J29" s="56">
        <f>0.95*J33</f>
        <v>2.7074999999999996</v>
      </c>
      <c r="K29" s="56">
        <v>0.23</v>
      </c>
      <c r="L29" s="56">
        <f>64</f>
        <v>64</v>
      </c>
      <c r="M29" s="3">
        <f t="shared" si="1"/>
        <v>1.0413461538461537</v>
      </c>
      <c r="N29" s="80">
        <v>2.7074999999999996</v>
      </c>
    </row>
    <row r="30" spans="1:14" ht="16" x14ac:dyDescent="0.2">
      <c r="A30" t="s">
        <v>202</v>
      </c>
      <c r="B30" t="s">
        <v>197</v>
      </c>
      <c r="C30" t="s">
        <v>202</v>
      </c>
      <c r="D30" t="s">
        <v>203</v>
      </c>
      <c r="E30" t="s">
        <v>181</v>
      </c>
      <c r="F30" s="110">
        <v>0.6</v>
      </c>
      <c r="G30" s="56">
        <v>1.5</v>
      </c>
      <c r="H30" s="111">
        <v>50000</v>
      </c>
      <c r="I30" s="112">
        <f>Table1[[#This Row],[Capex]]*0.005</f>
        <v>250</v>
      </c>
      <c r="J30" s="77">
        <f t="shared" ref="J30:J32" si="3">0.95*J34</f>
        <v>2.8499999999999996</v>
      </c>
      <c r="K30" s="76">
        <v>0.15</v>
      </c>
      <c r="L30" s="56">
        <v>60</v>
      </c>
      <c r="M30" s="3">
        <f t="shared" si="1"/>
        <v>1.096153846153846</v>
      </c>
      <c r="N30" s="80">
        <v>2.8499999999999996</v>
      </c>
    </row>
    <row r="31" spans="1:14" ht="16" x14ac:dyDescent="0.2">
      <c r="A31" t="s">
        <v>216</v>
      </c>
      <c r="B31" t="s">
        <v>197</v>
      </c>
      <c r="C31" t="s">
        <v>216</v>
      </c>
      <c r="D31" t="s">
        <v>204</v>
      </c>
      <c r="E31" t="s">
        <v>181</v>
      </c>
      <c r="F31" s="110">
        <v>0.6</v>
      </c>
      <c r="G31" s="56">
        <v>4.9800000000000004</v>
      </c>
      <c r="H31" s="111">
        <v>1500</v>
      </c>
      <c r="I31" s="112">
        <f t="shared" si="2"/>
        <v>150</v>
      </c>
      <c r="J31" s="77">
        <f t="shared" si="3"/>
        <v>2.8499999999999996</v>
      </c>
      <c r="K31" s="56">
        <v>0.23</v>
      </c>
      <c r="L31" s="56">
        <v>64</v>
      </c>
      <c r="M31" s="3">
        <f t="shared" si="1"/>
        <v>1.096153846153846</v>
      </c>
      <c r="N31" s="80">
        <v>2.8499999999999996</v>
      </c>
    </row>
    <row r="32" spans="1:14" ht="16" x14ac:dyDescent="0.2">
      <c r="A32" t="s">
        <v>215</v>
      </c>
      <c r="B32" t="s">
        <v>201</v>
      </c>
      <c r="C32" t="s">
        <v>215</v>
      </c>
      <c r="D32" t="s">
        <v>205</v>
      </c>
      <c r="E32" t="s">
        <v>181</v>
      </c>
      <c r="F32" s="110">
        <v>0.6</v>
      </c>
      <c r="G32" s="56">
        <v>4.7699999999999996</v>
      </c>
      <c r="H32" s="111">
        <v>2000</v>
      </c>
      <c r="I32" s="112">
        <f t="shared" si="2"/>
        <v>200</v>
      </c>
      <c r="J32" s="77">
        <f t="shared" si="3"/>
        <v>2.8499999999999996</v>
      </c>
      <c r="K32" s="56">
        <v>0.2</v>
      </c>
      <c r="L32" s="56">
        <v>47</v>
      </c>
      <c r="M32" s="3">
        <f t="shared" si="1"/>
        <v>1.096153846153846</v>
      </c>
      <c r="N32" s="80">
        <v>2.8499999999999996</v>
      </c>
    </row>
    <row r="33" spans="1:14" ht="16" x14ac:dyDescent="0.2">
      <c r="A33" t="s">
        <v>216</v>
      </c>
      <c r="B33" t="s">
        <v>201</v>
      </c>
      <c r="C33" t="s">
        <v>216</v>
      </c>
      <c r="D33" t="s">
        <v>204</v>
      </c>
      <c r="E33" t="s">
        <v>181</v>
      </c>
      <c r="F33" s="110">
        <v>0.6</v>
      </c>
      <c r="G33" s="56">
        <v>4.9800000000000004</v>
      </c>
      <c r="H33" s="111">
        <v>1500</v>
      </c>
      <c r="I33" s="112">
        <f t="shared" si="2"/>
        <v>150</v>
      </c>
      <c r="J33" s="56">
        <f>0.95*J37</f>
        <v>2.8499999999999996</v>
      </c>
      <c r="K33" s="56">
        <v>0.23</v>
      </c>
      <c r="L33" s="56">
        <v>64</v>
      </c>
      <c r="M33" s="3">
        <f t="shared" si="1"/>
        <v>1.096153846153846</v>
      </c>
      <c r="N33" s="80">
        <v>2.8499999999999996</v>
      </c>
    </row>
    <row r="34" spans="1:14" ht="16" x14ac:dyDescent="0.2">
      <c r="A34" t="s">
        <v>202</v>
      </c>
      <c r="B34" t="s">
        <v>197</v>
      </c>
      <c r="C34" t="s">
        <v>202</v>
      </c>
      <c r="D34" t="s">
        <v>203</v>
      </c>
      <c r="E34" t="s">
        <v>182</v>
      </c>
      <c r="F34" s="110">
        <v>0.6</v>
      </c>
      <c r="G34" s="56">
        <v>1.5</v>
      </c>
      <c r="H34" s="111">
        <v>50000</v>
      </c>
      <c r="I34" s="112">
        <f>Table1[[#This Row],[Capex]]*0.005</f>
        <v>250</v>
      </c>
      <c r="J34" s="56">
        <v>3</v>
      </c>
      <c r="K34" s="76">
        <v>0.15</v>
      </c>
      <c r="L34" s="56">
        <v>60</v>
      </c>
      <c r="M34" s="3">
        <f t="shared" si="1"/>
        <v>1.1538461538461537</v>
      </c>
      <c r="N34" s="80">
        <v>3</v>
      </c>
    </row>
    <row r="35" spans="1:14" ht="16" x14ac:dyDescent="0.2">
      <c r="A35" t="s">
        <v>216</v>
      </c>
      <c r="B35" t="s">
        <v>197</v>
      </c>
      <c r="C35" t="s">
        <v>216</v>
      </c>
      <c r="D35" t="s">
        <v>204</v>
      </c>
      <c r="E35" t="s">
        <v>182</v>
      </c>
      <c r="F35" s="110">
        <v>0.6</v>
      </c>
      <c r="G35" s="56">
        <v>4.9800000000000004</v>
      </c>
      <c r="H35" s="111">
        <v>1500</v>
      </c>
      <c r="I35" s="112">
        <f t="shared" si="2"/>
        <v>150</v>
      </c>
      <c r="J35" s="56">
        <v>3</v>
      </c>
      <c r="K35" s="56">
        <v>0.23</v>
      </c>
      <c r="L35" s="56">
        <v>64</v>
      </c>
      <c r="M35" s="3">
        <f t="shared" si="1"/>
        <v>1.1538461538461537</v>
      </c>
      <c r="N35" s="80">
        <v>3</v>
      </c>
    </row>
    <row r="36" spans="1:14" ht="16" x14ac:dyDescent="0.2">
      <c r="A36" t="s">
        <v>215</v>
      </c>
      <c r="B36" t="s">
        <v>201</v>
      </c>
      <c r="C36" t="s">
        <v>215</v>
      </c>
      <c r="D36" t="s">
        <v>205</v>
      </c>
      <c r="E36" t="s">
        <v>182</v>
      </c>
      <c r="F36" s="110">
        <v>0.6</v>
      </c>
      <c r="G36" s="56">
        <v>4.7699999999999996</v>
      </c>
      <c r="H36" s="111">
        <v>2000</v>
      </c>
      <c r="I36" s="112">
        <f t="shared" si="2"/>
        <v>200</v>
      </c>
      <c r="J36" s="56">
        <v>3</v>
      </c>
      <c r="K36" s="56">
        <v>0.2</v>
      </c>
      <c r="L36" s="56">
        <v>47</v>
      </c>
      <c r="M36" s="3">
        <f t="shared" si="1"/>
        <v>1.1538461538461537</v>
      </c>
      <c r="N36" s="80">
        <v>3</v>
      </c>
    </row>
    <row r="37" spans="1:14" ht="16" x14ac:dyDescent="0.2">
      <c r="A37" t="s">
        <v>216</v>
      </c>
      <c r="B37" t="s">
        <v>201</v>
      </c>
      <c r="C37" t="s">
        <v>216</v>
      </c>
      <c r="D37" t="s">
        <v>204</v>
      </c>
      <c r="E37" t="s">
        <v>182</v>
      </c>
      <c r="F37" s="110">
        <v>0.6</v>
      </c>
      <c r="G37" s="56">
        <v>4.9800000000000004</v>
      </c>
      <c r="H37" s="111">
        <v>1500</v>
      </c>
      <c r="I37" s="112">
        <f t="shared" si="2"/>
        <v>150</v>
      </c>
      <c r="J37" s="56">
        <v>3</v>
      </c>
      <c r="K37" s="56">
        <v>0.23</v>
      </c>
      <c r="L37" s="56">
        <v>64</v>
      </c>
      <c r="M37" s="3">
        <f t="shared" si="1"/>
        <v>1.1538461538461537</v>
      </c>
      <c r="N37" s="80">
        <v>3</v>
      </c>
    </row>
    <row r="38" spans="1:14" ht="16" x14ac:dyDescent="0.2">
      <c r="A38" t="s">
        <v>196</v>
      </c>
      <c r="B38" t="s">
        <v>197</v>
      </c>
      <c r="C38" t="s">
        <v>196</v>
      </c>
      <c r="D38" t="s">
        <v>217</v>
      </c>
      <c r="E38" t="s">
        <v>179</v>
      </c>
      <c r="F38" s="110">
        <v>0.8</v>
      </c>
      <c r="G38" s="56">
        <v>5</v>
      </c>
      <c r="H38" s="111">
        <v>2000</v>
      </c>
      <c r="I38" s="112">
        <f>Table1[[#This Row],[Capex]]*0.1</f>
        <v>200</v>
      </c>
      <c r="J38" s="56">
        <v>3.9000000000000004</v>
      </c>
      <c r="K38" s="56">
        <v>0.71499999999999997</v>
      </c>
      <c r="L38" s="56">
        <v>47</v>
      </c>
      <c r="M38" s="3">
        <v>1</v>
      </c>
      <c r="N38" s="80">
        <v>3.9000000000000004</v>
      </c>
    </row>
    <row r="39" spans="1:14" ht="16" x14ac:dyDescent="0.2">
      <c r="A39" t="s">
        <v>196</v>
      </c>
      <c r="B39" t="s">
        <v>197</v>
      </c>
      <c r="C39" t="s">
        <v>196</v>
      </c>
      <c r="D39" t="s">
        <v>218</v>
      </c>
      <c r="E39" t="s">
        <v>179</v>
      </c>
      <c r="F39" s="110">
        <v>0.8</v>
      </c>
      <c r="G39" s="56">
        <v>5</v>
      </c>
      <c r="H39" s="111">
        <v>4000</v>
      </c>
      <c r="I39" s="112">
        <f>Table1[[#This Row],[Capex]]*0.1</f>
        <v>400</v>
      </c>
      <c r="J39" s="56">
        <v>2.6</v>
      </c>
      <c r="K39" s="56">
        <v>0.71499999999999997</v>
      </c>
      <c r="L39" s="56">
        <v>47</v>
      </c>
      <c r="M39" s="3">
        <v>1</v>
      </c>
      <c r="N39" s="80">
        <v>2.6</v>
      </c>
    </row>
    <row r="40" spans="1:14" ht="16" x14ac:dyDescent="0.2">
      <c r="A40" t="s">
        <v>198</v>
      </c>
      <c r="B40" t="s">
        <v>197</v>
      </c>
      <c r="C40" t="s">
        <v>198</v>
      </c>
      <c r="D40" t="s">
        <v>199</v>
      </c>
      <c r="E40" t="s">
        <v>179</v>
      </c>
      <c r="F40" s="110">
        <v>0.8</v>
      </c>
      <c r="G40" s="56">
        <v>0</v>
      </c>
      <c r="H40" s="111">
        <v>40000</v>
      </c>
      <c r="I40" s="112">
        <v>100</v>
      </c>
      <c r="J40" s="56">
        <v>3.9000000000000004</v>
      </c>
      <c r="K40" s="56">
        <v>0</v>
      </c>
      <c r="L40" s="56">
        <v>47</v>
      </c>
      <c r="M40" s="3">
        <v>1</v>
      </c>
      <c r="N40" s="80">
        <v>3.9000000000000004</v>
      </c>
    </row>
    <row r="41" spans="1:14" ht="16" x14ac:dyDescent="0.2">
      <c r="A41" t="s">
        <v>198</v>
      </c>
      <c r="B41" t="s">
        <v>197</v>
      </c>
      <c r="C41" t="s">
        <v>198</v>
      </c>
      <c r="D41" t="s">
        <v>200</v>
      </c>
      <c r="E41" t="s">
        <v>179</v>
      </c>
      <c r="F41" s="110">
        <v>0.8</v>
      </c>
      <c r="G41" s="56">
        <v>0</v>
      </c>
      <c r="H41" s="111">
        <v>100000</v>
      </c>
      <c r="I41" s="112">
        <f>Table1[[#This Row],[Capex]]*0.005</f>
        <v>500</v>
      </c>
      <c r="J41" s="56">
        <v>2.6</v>
      </c>
      <c r="K41" s="56">
        <v>0</v>
      </c>
      <c r="L41" s="56">
        <v>47</v>
      </c>
      <c r="M41" s="3">
        <v>1</v>
      </c>
      <c r="N41" s="80">
        <v>2.6</v>
      </c>
    </row>
    <row r="42" spans="1:14" ht="16" x14ac:dyDescent="0.2">
      <c r="A42" t="s">
        <v>196</v>
      </c>
      <c r="B42" t="s">
        <v>201</v>
      </c>
      <c r="C42" t="s">
        <v>196</v>
      </c>
      <c r="D42" t="s">
        <v>217</v>
      </c>
      <c r="E42" t="s">
        <v>179</v>
      </c>
      <c r="F42" s="110">
        <v>0.8</v>
      </c>
      <c r="G42" s="56">
        <v>6</v>
      </c>
      <c r="H42" s="111">
        <v>2000</v>
      </c>
      <c r="I42" s="112">
        <f>Table1[[#This Row],[Capex]]*0.1</f>
        <v>200</v>
      </c>
      <c r="J42" s="56">
        <v>3.9000000000000004</v>
      </c>
      <c r="K42" s="56">
        <v>0.71499999999999997</v>
      </c>
      <c r="L42" s="56">
        <v>47</v>
      </c>
      <c r="M42" s="3">
        <v>1</v>
      </c>
      <c r="N42" s="80">
        <v>3.9000000000000004</v>
      </c>
    </row>
    <row r="43" spans="1:14" ht="16" x14ac:dyDescent="0.2">
      <c r="A43" t="s">
        <v>196</v>
      </c>
      <c r="B43" t="s">
        <v>201</v>
      </c>
      <c r="C43" t="s">
        <v>196</v>
      </c>
      <c r="D43" t="s">
        <v>218</v>
      </c>
      <c r="E43" t="s">
        <v>179</v>
      </c>
      <c r="F43" s="110">
        <v>0.8</v>
      </c>
      <c r="G43" s="56">
        <v>6</v>
      </c>
      <c r="H43" s="111">
        <v>4000</v>
      </c>
      <c r="I43" s="112">
        <f>Table1[[#This Row],[Capex]]*0.1</f>
        <v>400</v>
      </c>
      <c r="J43" s="56">
        <v>2.6</v>
      </c>
      <c r="K43" s="56">
        <v>0.71499999999999997</v>
      </c>
      <c r="L43" s="56">
        <v>47</v>
      </c>
      <c r="M43" s="3">
        <v>1</v>
      </c>
      <c r="N43" s="80">
        <v>2.6</v>
      </c>
    </row>
    <row r="44" spans="1:14" ht="16" x14ac:dyDescent="0.2">
      <c r="A44" t="s">
        <v>198</v>
      </c>
      <c r="B44" t="s">
        <v>201</v>
      </c>
      <c r="C44" t="s">
        <v>198</v>
      </c>
      <c r="D44" t="s">
        <v>199</v>
      </c>
      <c r="E44" t="s">
        <v>179</v>
      </c>
      <c r="F44" s="110">
        <v>0.8</v>
      </c>
      <c r="G44" s="56">
        <v>0</v>
      </c>
      <c r="H44" s="111">
        <v>40000</v>
      </c>
      <c r="I44" s="112">
        <v>150</v>
      </c>
      <c r="J44" s="56">
        <v>3.9000000000000004</v>
      </c>
      <c r="K44" s="56">
        <v>0</v>
      </c>
      <c r="L44" s="56">
        <v>47</v>
      </c>
      <c r="M44" s="3">
        <v>1</v>
      </c>
      <c r="N44" s="80">
        <v>3.9000000000000004</v>
      </c>
    </row>
    <row r="45" spans="1:14" ht="16" x14ac:dyDescent="0.2">
      <c r="A45" t="s">
        <v>198</v>
      </c>
      <c r="B45" t="s">
        <v>201</v>
      </c>
      <c r="C45" t="s">
        <v>198</v>
      </c>
      <c r="D45" t="s">
        <v>200</v>
      </c>
      <c r="E45" t="s">
        <v>179</v>
      </c>
      <c r="F45" s="110">
        <v>0.8</v>
      </c>
      <c r="G45" s="56">
        <v>0</v>
      </c>
      <c r="H45" s="111">
        <v>100000</v>
      </c>
      <c r="I45" s="112">
        <f>Table1[[#This Row],[Capex]]*0.005</f>
        <v>500</v>
      </c>
      <c r="J45" s="56">
        <v>2.6</v>
      </c>
      <c r="K45" s="56">
        <v>0</v>
      </c>
      <c r="L45" s="56">
        <v>47</v>
      </c>
      <c r="M45" s="3">
        <v>1</v>
      </c>
      <c r="N45" s="80">
        <v>2.6</v>
      </c>
    </row>
    <row r="46" spans="1:14" ht="16" x14ac:dyDescent="0.2">
      <c r="A46" t="s">
        <v>202</v>
      </c>
      <c r="B46" t="s">
        <v>197</v>
      </c>
      <c r="C46" t="s">
        <v>202</v>
      </c>
      <c r="D46" t="s">
        <v>203</v>
      </c>
      <c r="E46" t="s">
        <v>179</v>
      </c>
      <c r="F46" s="56">
        <v>0.6</v>
      </c>
      <c r="G46" s="56">
        <v>1.5</v>
      </c>
      <c r="H46" s="111">
        <v>50000</v>
      </c>
      <c r="I46" s="112">
        <f>Table1[[#This Row],[Capex]]*0.005</f>
        <v>250</v>
      </c>
      <c r="J46" s="77">
        <v>2.7074999999999996</v>
      </c>
      <c r="K46" s="76">
        <v>0.15</v>
      </c>
      <c r="L46" s="56">
        <v>60</v>
      </c>
      <c r="M46" s="3">
        <f t="shared" ref="M46:M57" si="4">N46/2.6</f>
        <v>1.0413461538461537</v>
      </c>
      <c r="N46" s="80">
        <v>2.7074999999999996</v>
      </c>
    </row>
    <row r="47" spans="1:14" ht="16" x14ac:dyDescent="0.2">
      <c r="A47" t="s">
        <v>216</v>
      </c>
      <c r="B47" t="s">
        <v>197</v>
      </c>
      <c r="C47" t="s">
        <v>216</v>
      </c>
      <c r="D47" t="s">
        <v>204</v>
      </c>
      <c r="E47" t="s">
        <v>179</v>
      </c>
      <c r="F47" s="56">
        <v>0.6</v>
      </c>
      <c r="G47" s="56">
        <v>4.9800000000000004</v>
      </c>
      <c r="H47" s="111">
        <v>1500</v>
      </c>
      <c r="I47" s="112">
        <v>100</v>
      </c>
      <c r="J47" s="77">
        <v>2.7074999999999996</v>
      </c>
      <c r="K47" s="56">
        <v>0.23</v>
      </c>
      <c r="L47" s="56">
        <v>64</v>
      </c>
      <c r="M47" s="3">
        <f t="shared" si="4"/>
        <v>1.0413461538461537</v>
      </c>
      <c r="N47" s="80">
        <v>2.7074999999999996</v>
      </c>
    </row>
    <row r="48" spans="1:14" ht="16" x14ac:dyDescent="0.2">
      <c r="A48" t="s">
        <v>215</v>
      </c>
      <c r="B48" t="s">
        <v>201</v>
      </c>
      <c r="C48" t="s">
        <v>215</v>
      </c>
      <c r="D48" t="s">
        <v>205</v>
      </c>
      <c r="E48" t="s">
        <v>179</v>
      </c>
      <c r="F48" s="56">
        <v>0.6</v>
      </c>
      <c r="G48" s="56">
        <v>4.7699999999999996</v>
      </c>
      <c r="H48" s="111">
        <v>2000</v>
      </c>
      <c r="I48" s="112">
        <f>Table1[[#This Row],[Capex]]*0.1</f>
        <v>200</v>
      </c>
      <c r="J48" s="77">
        <v>2.7074999999999996</v>
      </c>
      <c r="K48" s="56">
        <v>0.2</v>
      </c>
      <c r="L48" s="56">
        <v>47</v>
      </c>
      <c r="M48" s="3">
        <f t="shared" si="4"/>
        <v>1.0413461538461537</v>
      </c>
      <c r="N48" s="80">
        <v>2.7074999999999996</v>
      </c>
    </row>
    <row r="49" spans="1:14" ht="16" x14ac:dyDescent="0.2">
      <c r="A49" t="s">
        <v>216</v>
      </c>
      <c r="B49" t="s">
        <v>201</v>
      </c>
      <c r="C49" t="s">
        <v>216</v>
      </c>
      <c r="D49" t="s">
        <v>204</v>
      </c>
      <c r="E49" t="s">
        <v>179</v>
      </c>
      <c r="F49" s="56">
        <v>0.6</v>
      </c>
      <c r="G49" s="56">
        <v>4.9800000000000004</v>
      </c>
      <c r="H49" s="111">
        <v>1500</v>
      </c>
      <c r="I49" s="112">
        <v>100</v>
      </c>
      <c r="J49" s="56">
        <v>2.7074999999999996</v>
      </c>
      <c r="K49" s="56">
        <v>0.23</v>
      </c>
      <c r="L49" s="56">
        <v>64</v>
      </c>
      <c r="M49" s="3">
        <f t="shared" si="4"/>
        <v>1.0413461538461537</v>
      </c>
      <c r="N49" s="80">
        <v>2.7074999999999996</v>
      </c>
    </row>
    <row r="50" spans="1:14" ht="16" x14ac:dyDescent="0.2">
      <c r="A50" t="s">
        <v>215</v>
      </c>
      <c r="B50" t="s">
        <v>197</v>
      </c>
      <c r="C50" t="s">
        <v>215</v>
      </c>
      <c r="D50" t="s">
        <v>205</v>
      </c>
      <c r="E50" t="s">
        <v>180</v>
      </c>
      <c r="F50" s="110">
        <v>0.6</v>
      </c>
      <c r="G50" s="56">
        <v>4.7699999999999996</v>
      </c>
      <c r="H50" s="111">
        <v>2000</v>
      </c>
      <c r="I50" s="112">
        <f>Table1[[#This Row],[Capex]]*0.1</f>
        <v>200</v>
      </c>
      <c r="J50" s="77">
        <v>2.7074999999999996</v>
      </c>
      <c r="K50" s="56">
        <v>0.2</v>
      </c>
      <c r="L50" s="56">
        <v>47</v>
      </c>
      <c r="M50" s="3">
        <f t="shared" si="4"/>
        <v>1.0413461538461537</v>
      </c>
      <c r="N50" s="80">
        <v>2.7074999999999996</v>
      </c>
    </row>
    <row r="51" spans="1:14" ht="16" x14ac:dyDescent="0.2">
      <c r="A51" t="s">
        <v>215</v>
      </c>
      <c r="B51" t="s">
        <v>197</v>
      </c>
      <c r="C51" t="s">
        <v>215</v>
      </c>
      <c r="D51" t="s">
        <v>205</v>
      </c>
      <c r="E51" t="s">
        <v>181</v>
      </c>
      <c r="F51" s="110">
        <v>0.6</v>
      </c>
      <c r="G51" s="56">
        <v>4.7699999999999996</v>
      </c>
      <c r="H51" s="111">
        <v>2000</v>
      </c>
      <c r="I51" s="112">
        <f>Table1[[#This Row],[Capex]]*0.1</f>
        <v>200</v>
      </c>
      <c r="J51" s="77">
        <v>2.8499999999999996</v>
      </c>
      <c r="K51" s="56">
        <v>0.2</v>
      </c>
      <c r="L51" s="56">
        <v>47</v>
      </c>
      <c r="M51" s="3">
        <f t="shared" si="4"/>
        <v>1.096153846153846</v>
      </c>
      <c r="N51" s="80">
        <v>2.8499999999999996</v>
      </c>
    </row>
    <row r="52" spans="1:14" ht="16" x14ac:dyDescent="0.2">
      <c r="A52" t="s">
        <v>215</v>
      </c>
      <c r="B52" t="s">
        <v>197</v>
      </c>
      <c r="C52" t="s">
        <v>215</v>
      </c>
      <c r="D52" t="s">
        <v>205</v>
      </c>
      <c r="E52" t="s">
        <v>182</v>
      </c>
      <c r="F52" s="110">
        <v>0.6</v>
      </c>
      <c r="G52" s="56">
        <v>4.7699999999999996</v>
      </c>
      <c r="H52" s="111">
        <v>2000</v>
      </c>
      <c r="I52" s="112">
        <f>Table1[[#This Row],[Capex]]*0.1</f>
        <v>200</v>
      </c>
      <c r="J52" s="56">
        <v>3</v>
      </c>
      <c r="K52" s="56">
        <v>0.2</v>
      </c>
      <c r="L52" s="56">
        <v>47</v>
      </c>
      <c r="M52" s="3">
        <f t="shared" si="4"/>
        <v>1.1538461538461537</v>
      </c>
      <c r="N52" s="80">
        <v>3</v>
      </c>
    </row>
    <row r="53" spans="1:14" ht="16" x14ac:dyDescent="0.2">
      <c r="A53" t="s">
        <v>215</v>
      </c>
      <c r="B53" t="s">
        <v>197</v>
      </c>
      <c r="C53" t="s">
        <v>215</v>
      </c>
      <c r="D53" t="s">
        <v>205</v>
      </c>
      <c r="E53" t="s">
        <v>179</v>
      </c>
      <c r="F53" s="110">
        <v>0.6</v>
      </c>
      <c r="G53" s="56">
        <v>4.7699999999999996</v>
      </c>
      <c r="H53" s="111">
        <v>2000</v>
      </c>
      <c r="I53" s="112">
        <f>Table1[[#This Row],[Capex]]*0.1</f>
        <v>200</v>
      </c>
      <c r="J53" s="77">
        <v>2.7074999999999996</v>
      </c>
      <c r="K53" s="56">
        <v>0.2</v>
      </c>
      <c r="L53" s="56">
        <v>47</v>
      </c>
      <c r="M53" s="3">
        <f t="shared" si="4"/>
        <v>1.0413461538461537</v>
      </c>
      <c r="N53" s="80">
        <v>2.7074999999999996</v>
      </c>
    </row>
    <row r="54" spans="1:14" ht="16" x14ac:dyDescent="0.2">
      <c r="A54" t="s">
        <v>202</v>
      </c>
      <c r="B54" t="s">
        <v>201</v>
      </c>
      <c r="C54" t="s">
        <v>202</v>
      </c>
      <c r="D54" t="s">
        <v>203</v>
      </c>
      <c r="E54" t="s">
        <v>180</v>
      </c>
      <c r="F54" s="110">
        <v>0.6</v>
      </c>
      <c r="G54" s="56">
        <v>1.5</v>
      </c>
      <c r="H54" s="111">
        <v>50000</v>
      </c>
      <c r="I54" s="112">
        <f>Table1[[#This Row],[Capex]]*0.005</f>
        <v>250</v>
      </c>
      <c r="J54" s="77">
        <f t="shared" ref="J54" si="5">J64*0.95</f>
        <v>3.8</v>
      </c>
      <c r="K54" s="76">
        <v>0.15</v>
      </c>
      <c r="L54" s="56">
        <v>60</v>
      </c>
      <c r="M54" s="3">
        <f t="shared" si="4"/>
        <v>1.0413461538461537</v>
      </c>
      <c r="N54" s="80">
        <v>2.7074999999999996</v>
      </c>
    </row>
    <row r="55" spans="1:14" ht="16" x14ac:dyDescent="0.2">
      <c r="A55" t="s">
        <v>202</v>
      </c>
      <c r="B55" t="s">
        <v>201</v>
      </c>
      <c r="C55" t="s">
        <v>202</v>
      </c>
      <c r="D55" t="s">
        <v>203</v>
      </c>
      <c r="E55" t="s">
        <v>181</v>
      </c>
      <c r="F55" s="110">
        <v>0.6</v>
      </c>
      <c r="G55" s="56">
        <v>1.5</v>
      </c>
      <c r="H55" s="111">
        <v>50000</v>
      </c>
      <c r="I55" s="112">
        <f>Table1[[#This Row],[Capex]]*0.005</f>
        <v>250</v>
      </c>
      <c r="J55" s="77">
        <f t="shared" ref="J55" si="6">0.95*J65</f>
        <v>3.3249999999999997</v>
      </c>
      <c r="K55" s="76">
        <v>0.15</v>
      </c>
      <c r="L55" s="56">
        <v>60</v>
      </c>
      <c r="M55" s="3">
        <f t="shared" si="4"/>
        <v>1.096153846153846</v>
      </c>
      <c r="N55" s="80">
        <v>2.8499999999999996</v>
      </c>
    </row>
    <row r="56" spans="1:14" ht="16" x14ac:dyDescent="0.2">
      <c r="A56" t="s">
        <v>202</v>
      </c>
      <c r="B56" t="s">
        <v>201</v>
      </c>
      <c r="C56" t="s">
        <v>202</v>
      </c>
      <c r="D56" t="s">
        <v>203</v>
      </c>
      <c r="E56" t="s">
        <v>182</v>
      </c>
      <c r="F56" s="110">
        <v>0.6</v>
      </c>
      <c r="G56" s="56">
        <v>1.5</v>
      </c>
      <c r="H56" s="111">
        <v>50000</v>
      </c>
      <c r="I56" s="112">
        <f>Table1[[#This Row],[Capex]]*0.005</f>
        <v>250</v>
      </c>
      <c r="J56" s="56">
        <v>3</v>
      </c>
      <c r="K56" s="76">
        <v>0.15</v>
      </c>
      <c r="L56" s="56">
        <v>60</v>
      </c>
      <c r="M56" s="3">
        <f t="shared" si="4"/>
        <v>1.1538461538461537</v>
      </c>
      <c r="N56" s="80">
        <v>3</v>
      </c>
    </row>
    <row r="57" spans="1:14" ht="16" x14ac:dyDescent="0.2">
      <c r="A57" t="s">
        <v>202</v>
      </c>
      <c r="B57" t="s">
        <v>201</v>
      </c>
      <c r="C57" t="s">
        <v>202</v>
      </c>
      <c r="D57" t="s">
        <v>203</v>
      </c>
      <c r="E57" t="s">
        <v>179</v>
      </c>
      <c r="F57" s="110">
        <v>0.6</v>
      </c>
      <c r="G57" s="89">
        <v>1.5</v>
      </c>
      <c r="H57" s="111">
        <v>50000</v>
      </c>
      <c r="I57" s="113">
        <f>Table1[[#This Row],[Capex]]*0.005</f>
        <v>250</v>
      </c>
      <c r="J57" s="90">
        <v>2.7074999999999996</v>
      </c>
      <c r="K57" s="91">
        <v>0.15</v>
      </c>
      <c r="L57" s="89">
        <v>60</v>
      </c>
      <c r="M57" s="92">
        <f t="shared" si="4"/>
        <v>1.0413461538461537</v>
      </c>
      <c r="N57" s="93">
        <v>2.7074999999999996</v>
      </c>
    </row>
    <row r="58" spans="1:14" ht="16" x14ac:dyDescent="0.2">
      <c r="A58" t="s">
        <v>206</v>
      </c>
      <c r="B58" t="s">
        <v>197</v>
      </c>
      <c r="C58" t="s">
        <v>206</v>
      </c>
      <c r="D58" t="s">
        <v>207</v>
      </c>
      <c r="E58" t="s">
        <v>180</v>
      </c>
      <c r="F58" s="110">
        <v>0.15</v>
      </c>
      <c r="G58" s="56">
        <v>1.41</v>
      </c>
      <c r="H58" s="111">
        <v>0</v>
      </c>
      <c r="I58" s="112">
        <v>0</v>
      </c>
      <c r="J58" s="77">
        <v>3.61</v>
      </c>
      <c r="K58" s="76">
        <v>0.4</v>
      </c>
      <c r="L58" s="56">
        <v>1230</v>
      </c>
      <c r="M58" s="3">
        <v>1.3884615384615384</v>
      </c>
      <c r="N58" s="80">
        <v>3.61</v>
      </c>
    </row>
    <row r="59" spans="1:14" ht="16" x14ac:dyDescent="0.2">
      <c r="A59" t="s">
        <v>206</v>
      </c>
      <c r="B59" t="s">
        <v>197</v>
      </c>
      <c r="C59" t="s">
        <v>206</v>
      </c>
      <c r="D59" t="s">
        <v>208</v>
      </c>
      <c r="E59" t="s">
        <v>180</v>
      </c>
      <c r="F59" s="110">
        <v>0.2</v>
      </c>
      <c r="G59" s="56">
        <v>1.34</v>
      </c>
      <c r="H59" s="111">
        <v>1250</v>
      </c>
      <c r="I59" s="112">
        <f>Table1[[#This Row],[Capex]]*0.1</f>
        <v>125</v>
      </c>
      <c r="J59" s="77">
        <v>3.1587499999999995</v>
      </c>
      <c r="K59" s="76">
        <v>0.4</v>
      </c>
      <c r="L59" s="56">
        <v>410</v>
      </c>
      <c r="M59" s="3">
        <v>1.2149038461538459</v>
      </c>
      <c r="N59" s="80">
        <v>3.1587499999999995</v>
      </c>
    </row>
    <row r="60" spans="1:14" ht="16" x14ac:dyDescent="0.2">
      <c r="A60" t="s">
        <v>206</v>
      </c>
      <c r="B60" t="s">
        <v>197</v>
      </c>
      <c r="C60" t="s">
        <v>206</v>
      </c>
      <c r="D60" t="s">
        <v>209</v>
      </c>
      <c r="E60" t="s">
        <v>180</v>
      </c>
      <c r="F60" s="114">
        <v>0.3</v>
      </c>
      <c r="G60" s="89">
        <v>1.27</v>
      </c>
      <c r="H60" s="115">
        <v>2000</v>
      </c>
      <c r="I60" s="113">
        <f>Table1[[#This Row],[Capex]]*0.1</f>
        <v>200</v>
      </c>
      <c r="J60" s="90">
        <v>2.933125</v>
      </c>
      <c r="K60" s="91">
        <v>0.4</v>
      </c>
      <c r="L60" s="89">
        <v>165</v>
      </c>
      <c r="M60" s="92">
        <v>1.128125</v>
      </c>
      <c r="N60" s="93">
        <v>2.933125</v>
      </c>
    </row>
    <row r="61" spans="1:14" ht="16" x14ac:dyDescent="0.2">
      <c r="A61" t="s">
        <v>206</v>
      </c>
      <c r="B61" t="s">
        <v>197</v>
      </c>
      <c r="C61" t="s">
        <v>206</v>
      </c>
      <c r="D61" t="s">
        <v>207</v>
      </c>
      <c r="E61" t="s">
        <v>181</v>
      </c>
      <c r="F61" s="110">
        <v>0.15</v>
      </c>
      <c r="G61" s="56">
        <v>1.41</v>
      </c>
      <c r="H61" s="111">
        <v>0</v>
      </c>
      <c r="I61" s="112">
        <v>0</v>
      </c>
      <c r="J61" s="77">
        <v>3.8</v>
      </c>
      <c r="K61" s="56">
        <v>0.4</v>
      </c>
      <c r="L61" s="56">
        <v>1230</v>
      </c>
      <c r="M61" s="3">
        <v>1.4615384615384615</v>
      </c>
      <c r="N61" s="80">
        <v>3.8</v>
      </c>
    </row>
    <row r="62" spans="1:14" ht="16" x14ac:dyDescent="0.2">
      <c r="A62" t="s">
        <v>206</v>
      </c>
      <c r="B62" t="s">
        <v>197</v>
      </c>
      <c r="C62" t="s">
        <v>206</v>
      </c>
      <c r="D62" t="s">
        <v>208</v>
      </c>
      <c r="E62" t="s">
        <v>181</v>
      </c>
      <c r="F62" s="110">
        <v>0.2</v>
      </c>
      <c r="G62" s="56">
        <v>1.34</v>
      </c>
      <c r="H62" s="111">
        <v>1250</v>
      </c>
      <c r="I62" s="112">
        <f>Table1[[#This Row],[Capex]]*0.1</f>
        <v>125</v>
      </c>
      <c r="J62" s="77">
        <v>3.3249999999999997</v>
      </c>
      <c r="K62" s="56">
        <v>0.4</v>
      </c>
      <c r="L62" s="56">
        <v>410</v>
      </c>
      <c r="M62" s="3">
        <v>1.2788461538461537</v>
      </c>
      <c r="N62" s="80">
        <v>3.3249999999999997</v>
      </c>
    </row>
    <row r="63" spans="1:14" ht="16" x14ac:dyDescent="0.2">
      <c r="A63" t="s">
        <v>206</v>
      </c>
      <c r="B63" t="s">
        <v>197</v>
      </c>
      <c r="C63" t="s">
        <v>206</v>
      </c>
      <c r="D63" t="s">
        <v>209</v>
      </c>
      <c r="E63" t="s">
        <v>181</v>
      </c>
      <c r="F63" s="110">
        <v>0.3</v>
      </c>
      <c r="G63" s="56">
        <v>1.27</v>
      </c>
      <c r="H63" s="115">
        <v>2000</v>
      </c>
      <c r="I63" s="112">
        <f>Table1[[#This Row],[Capex]]*0.1</f>
        <v>200</v>
      </c>
      <c r="J63" s="77">
        <v>3.0874999999999999</v>
      </c>
      <c r="K63" s="56">
        <v>0.4</v>
      </c>
      <c r="L63" s="56">
        <v>165</v>
      </c>
      <c r="M63" s="3">
        <v>1.1875</v>
      </c>
      <c r="N63" s="80">
        <v>3.0874999999999999</v>
      </c>
    </row>
    <row r="64" spans="1:14" ht="16" x14ac:dyDescent="0.2">
      <c r="A64" t="s">
        <v>206</v>
      </c>
      <c r="B64" t="s">
        <v>197</v>
      </c>
      <c r="C64" t="s">
        <v>206</v>
      </c>
      <c r="D64" t="s">
        <v>207</v>
      </c>
      <c r="E64" t="s">
        <v>182</v>
      </c>
      <c r="F64" s="110">
        <v>0.15</v>
      </c>
      <c r="G64" s="56">
        <v>1.41</v>
      </c>
      <c r="H64" s="111">
        <v>0</v>
      </c>
      <c r="I64" s="112">
        <v>0</v>
      </c>
      <c r="J64" s="77">
        <v>4</v>
      </c>
      <c r="K64" s="56">
        <v>0.4</v>
      </c>
      <c r="L64" s="56">
        <v>1230</v>
      </c>
      <c r="M64" s="3">
        <v>1.5384615384615383</v>
      </c>
      <c r="N64" s="80">
        <v>4</v>
      </c>
    </row>
    <row r="65" spans="1:14" ht="16" x14ac:dyDescent="0.2">
      <c r="A65" t="s">
        <v>206</v>
      </c>
      <c r="B65" t="s">
        <v>197</v>
      </c>
      <c r="C65" t="s">
        <v>206</v>
      </c>
      <c r="D65" t="s">
        <v>208</v>
      </c>
      <c r="E65" t="s">
        <v>182</v>
      </c>
      <c r="F65" s="110">
        <v>0.2</v>
      </c>
      <c r="G65" s="56">
        <v>1.34</v>
      </c>
      <c r="H65" s="111">
        <v>1250</v>
      </c>
      <c r="I65" s="112">
        <f>Table1[[#This Row],[Capex]]*0.1</f>
        <v>125</v>
      </c>
      <c r="J65" s="77">
        <v>3.5</v>
      </c>
      <c r="K65" s="56">
        <v>0.4</v>
      </c>
      <c r="L65" s="56">
        <v>410</v>
      </c>
      <c r="M65" s="3">
        <v>1.346153846153846</v>
      </c>
      <c r="N65" s="80">
        <v>3.5</v>
      </c>
    </row>
    <row r="66" spans="1:14" ht="16" x14ac:dyDescent="0.2">
      <c r="A66" t="s">
        <v>206</v>
      </c>
      <c r="B66" t="s">
        <v>197</v>
      </c>
      <c r="C66" t="s">
        <v>206</v>
      </c>
      <c r="D66" t="s">
        <v>209</v>
      </c>
      <c r="E66" t="s">
        <v>182</v>
      </c>
      <c r="F66" s="110">
        <v>0.3</v>
      </c>
      <c r="G66" s="56">
        <v>1.27</v>
      </c>
      <c r="H66" s="115">
        <v>2000</v>
      </c>
      <c r="I66" s="112">
        <f>Table1[[#This Row],[Capex]]*0.1</f>
        <v>200</v>
      </c>
      <c r="J66" s="77">
        <v>3.25</v>
      </c>
      <c r="K66" s="56">
        <v>0.4</v>
      </c>
      <c r="L66" s="56">
        <v>165</v>
      </c>
      <c r="M66" s="3">
        <v>1.25</v>
      </c>
      <c r="N66" s="80">
        <v>3.25</v>
      </c>
    </row>
    <row r="67" spans="1:14" ht="16" x14ac:dyDescent="0.2">
      <c r="A67" t="s">
        <v>206</v>
      </c>
      <c r="B67" t="s">
        <v>197</v>
      </c>
      <c r="C67" t="s">
        <v>206</v>
      </c>
      <c r="D67" t="s">
        <v>207</v>
      </c>
      <c r="E67" t="s">
        <v>179</v>
      </c>
      <c r="F67" s="56">
        <v>0.15</v>
      </c>
      <c r="G67" s="56">
        <v>1.41</v>
      </c>
      <c r="H67" s="111">
        <v>0</v>
      </c>
      <c r="I67" s="112">
        <v>0</v>
      </c>
      <c r="J67" s="77">
        <v>3.61</v>
      </c>
      <c r="K67" s="56">
        <v>0.4</v>
      </c>
      <c r="L67" s="56">
        <v>1230</v>
      </c>
      <c r="M67" s="3">
        <v>1.3884615384615384</v>
      </c>
      <c r="N67" s="80">
        <v>3.61</v>
      </c>
    </row>
    <row r="68" spans="1:14" ht="16" x14ac:dyDescent="0.2">
      <c r="A68" t="s">
        <v>206</v>
      </c>
      <c r="B68" t="s">
        <v>197</v>
      </c>
      <c r="C68" t="s">
        <v>206</v>
      </c>
      <c r="D68" t="s">
        <v>208</v>
      </c>
      <c r="E68" t="s">
        <v>179</v>
      </c>
      <c r="F68" s="56">
        <v>0.2</v>
      </c>
      <c r="G68" s="56">
        <v>1.34</v>
      </c>
      <c r="H68" s="111">
        <v>1250</v>
      </c>
      <c r="I68" s="112">
        <f>Table1[[#This Row],[Capex]]*0.1</f>
        <v>125</v>
      </c>
      <c r="J68" s="77">
        <v>3.1587499999999995</v>
      </c>
      <c r="K68" s="56">
        <v>0.4</v>
      </c>
      <c r="L68" s="56">
        <v>410</v>
      </c>
      <c r="M68" s="3">
        <v>1.2149038461538459</v>
      </c>
      <c r="N68" s="80">
        <v>3.1587499999999995</v>
      </c>
    </row>
    <row r="69" spans="1:14" ht="16" x14ac:dyDescent="0.2">
      <c r="A69" t="s">
        <v>206</v>
      </c>
      <c r="B69" t="s">
        <v>197</v>
      </c>
      <c r="C69" t="s">
        <v>206</v>
      </c>
      <c r="D69" t="s">
        <v>209</v>
      </c>
      <c r="E69" t="s">
        <v>179</v>
      </c>
      <c r="F69" s="56">
        <v>0.3</v>
      </c>
      <c r="G69" s="56">
        <v>1.27</v>
      </c>
      <c r="H69" s="115">
        <v>2000</v>
      </c>
      <c r="I69" s="112">
        <f>Table1[[#This Row],[Capex]]*0.1</f>
        <v>200</v>
      </c>
      <c r="J69" s="77">
        <v>2.933125</v>
      </c>
      <c r="K69" s="56">
        <v>0.4</v>
      </c>
      <c r="L69" s="56">
        <v>165</v>
      </c>
      <c r="M69" s="3">
        <v>1.128125</v>
      </c>
      <c r="N69" s="80">
        <v>2.933125</v>
      </c>
    </row>
    <row r="70" spans="1:14" ht="16" x14ac:dyDescent="0.2">
      <c r="A70" t="s">
        <v>206</v>
      </c>
      <c r="B70" t="s">
        <v>201</v>
      </c>
      <c r="C70" t="s">
        <v>206</v>
      </c>
      <c r="D70" t="s">
        <v>207</v>
      </c>
      <c r="E70" t="s">
        <v>180</v>
      </c>
      <c r="F70" s="56">
        <v>0.15</v>
      </c>
      <c r="G70" s="56">
        <v>1.41</v>
      </c>
      <c r="H70" s="111">
        <v>0</v>
      </c>
      <c r="I70" s="112">
        <v>0</v>
      </c>
      <c r="J70" s="77">
        <v>3.61</v>
      </c>
      <c r="K70" s="56">
        <v>0.4</v>
      </c>
      <c r="L70" s="56">
        <v>1230</v>
      </c>
      <c r="M70" s="3">
        <v>1.3884615384615384</v>
      </c>
      <c r="N70" s="80">
        <v>3.61</v>
      </c>
    </row>
    <row r="71" spans="1:14" ht="16" x14ac:dyDescent="0.2">
      <c r="A71" t="s">
        <v>206</v>
      </c>
      <c r="B71" t="s">
        <v>201</v>
      </c>
      <c r="C71" t="s">
        <v>206</v>
      </c>
      <c r="D71" t="s">
        <v>208</v>
      </c>
      <c r="E71" t="s">
        <v>180</v>
      </c>
      <c r="F71" s="56">
        <v>0.2</v>
      </c>
      <c r="G71" s="56">
        <v>1.34</v>
      </c>
      <c r="H71" s="111">
        <v>1250</v>
      </c>
      <c r="I71" s="112">
        <f>Table1[[#This Row],[Capex]]*0.1</f>
        <v>125</v>
      </c>
      <c r="J71" s="77">
        <v>3.1587499999999995</v>
      </c>
      <c r="K71" s="56">
        <v>0.4</v>
      </c>
      <c r="L71" s="56">
        <v>410</v>
      </c>
      <c r="M71" s="3">
        <v>1.2149038461538459</v>
      </c>
      <c r="N71" s="80">
        <v>3.1587499999999995</v>
      </c>
    </row>
    <row r="72" spans="1:14" ht="16" x14ac:dyDescent="0.2">
      <c r="A72" t="s">
        <v>206</v>
      </c>
      <c r="B72" t="s">
        <v>201</v>
      </c>
      <c r="C72" t="s">
        <v>206</v>
      </c>
      <c r="D72" t="s">
        <v>209</v>
      </c>
      <c r="E72" t="s">
        <v>180</v>
      </c>
      <c r="F72" s="56">
        <v>0.3</v>
      </c>
      <c r="G72" s="56">
        <v>1.27</v>
      </c>
      <c r="H72" s="115">
        <v>2000</v>
      </c>
      <c r="I72" s="112">
        <f>Table1[[#This Row],[Capex]]*0.1</f>
        <v>200</v>
      </c>
      <c r="J72" s="77">
        <v>2.933125</v>
      </c>
      <c r="K72" s="56">
        <v>0.4</v>
      </c>
      <c r="L72" s="56">
        <v>165</v>
      </c>
      <c r="M72" s="3">
        <v>1.128125</v>
      </c>
      <c r="N72" s="80">
        <v>2.933125</v>
      </c>
    </row>
    <row r="73" spans="1:14" ht="16" x14ac:dyDescent="0.2">
      <c r="A73" t="s">
        <v>206</v>
      </c>
      <c r="B73" t="s">
        <v>201</v>
      </c>
      <c r="C73" t="s">
        <v>206</v>
      </c>
      <c r="D73" t="s">
        <v>207</v>
      </c>
      <c r="E73" t="s">
        <v>181</v>
      </c>
      <c r="F73" s="56">
        <v>0.15</v>
      </c>
      <c r="G73" s="56">
        <v>1.41</v>
      </c>
      <c r="H73" s="111">
        <v>0</v>
      </c>
      <c r="I73" s="112">
        <v>0</v>
      </c>
      <c r="J73" s="77">
        <v>3.8</v>
      </c>
      <c r="K73" s="56">
        <v>0.4</v>
      </c>
      <c r="L73" s="56">
        <v>1230</v>
      </c>
      <c r="M73" s="3">
        <v>1.4615384615384615</v>
      </c>
      <c r="N73" s="80">
        <v>3.8</v>
      </c>
    </row>
    <row r="74" spans="1:14" ht="16" x14ac:dyDescent="0.2">
      <c r="A74" t="s">
        <v>206</v>
      </c>
      <c r="B74" t="s">
        <v>201</v>
      </c>
      <c r="C74" t="s">
        <v>206</v>
      </c>
      <c r="D74" t="s">
        <v>208</v>
      </c>
      <c r="E74" t="s">
        <v>181</v>
      </c>
      <c r="F74" s="56">
        <v>0.2</v>
      </c>
      <c r="G74" s="56">
        <v>1.34</v>
      </c>
      <c r="H74" s="111">
        <v>1250</v>
      </c>
      <c r="I74" s="112">
        <f>Table1[[#This Row],[Capex]]*0.1</f>
        <v>125</v>
      </c>
      <c r="J74" s="77">
        <v>3.3249999999999997</v>
      </c>
      <c r="K74" s="56">
        <v>0.4</v>
      </c>
      <c r="L74" s="56">
        <v>410</v>
      </c>
      <c r="M74" s="3">
        <v>1.2788461538461537</v>
      </c>
      <c r="N74" s="80">
        <v>3.3249999999999997</v>
      </c>
    </row>
    <row r="75" spans="1:14" ht="16" x14ac:dyDescent="0.2">
      <c r="A75" t="s">
        <v>206</v>
      </c>
      <c r="B75" t="s">
        <v>201</v>
      </c>
      <c r="C75" t="s">
        <v>206</v>
      </c>
      <c r="D75" t="s">
        <v>209</v>
      </c>
      <c r="E75" t="s">
        <v>181</v>
      </c>
      <c r="F75" s="56">
        <v>0.3</v>
      </c>
      <c r="G75" s="56">
        <v>1.27</v>
      </c>
      <c r="H75" s="115">
        <v>2000</v>
      </c>
      <c r="I75" s="112">
        <f>Table1[[#This Row],[Capex]]*0.1</f>
        <v>200</v>
      </c>
      <c r="J75" s="77">
        <v>3.0874999999999999</v>
      </c>
      <c r="K75" s="56">
        <v>0.4</v>
      </c>
      <c r="L75" s="56">
        <v>165</v>
      </c>
      <c r="M75" s="3">
        <v>1.1875</v>
      </c>
      <c r="N75" s="80">
        <v>3.0874999999999999</v>
      </c>
    </row>
    <row r="76" spans="1:14" ht="16" x14ac:dyDescent="0.2">
      <c r="A76" t="s">
        <v>206</v>
      </c>
      <c r="B76" t="s">
        <v>201</v>
      </c>
      <c r="C76" t="s">
        <v>206</v>
      </c>
      <c r="D76" t="s">
        <v>207</v>
      </c>
      <c r="E76" t="s">
        <v>182</v>
      </c>
      <c r="F76" s="56">
        <v>0.15</v>
      </c>
      <c r="G76" s="56">
        <v>1.41</v>
      </c>
      <c r="H76" s="111">
        <v>0</v>
      </c>
      <c r="I76" s="112">
        <v>0</v>
      </c>
      <c r="J76" s="77">
        <v>4</v>
      </c>
      <c r="K76" s="56">
        <v>0.4</v>
      </c>
      <c r="L76" s="56">
        <v>1230</v>
      </c>
      <c r="M76" s="3">
        <v>1.5384615384615383</v>
      </c>
      <c r="N76" s="80">
        <v>4</v>
      </c>
    </row>
    <row r="77" spans="1:14" ht="16" x14ac:dyDescent="0.2">
      <c r="A77" t="s">
        <v>206</v>
      </c>
      <c r="B77" t="s">
        <v>201</v>
      </c>
      <c r="C77" t="s">
        <v>206</v>
      </c>
      <c r="D77" t="s">
        <v>208</v>
      </c>
      <c r="E77" t="s">
        <v>182</v>
      </c>
      <c r="F77" s="56">
        <v>0.2</v>
      </c>
      <c r="G77" s="56">
        <v>1.34</v>
      </c>
      <c r="H77" s="111">
        <v>1250</v>
      </c>
      <c r="I77" s="112">
        <f>Table1[[#This Row],[Capex]]*0.1</f>
        <v>125</v>
      </c>
      <c r="J77" s="77">
        <v>3.5</v>
      </c>
      <c r="K77" s="56">
        <v>0.4</v>
      </c>
      <c r="L77" s="56">
        <v>410</v>
      </c>
      <c r="M77" s="3">
        <v>1.346153846153846</v>
      </c>
      <c r="N77" s="80">
        <v>3.5</v>
      </c>
    </row>
    <row r="78" spans="1:14" ht="16" x14ac:dyDescent="0.2">
      <c r="A78" t="s">
        <v>206</v>
      </c>
      <c r="B78" t="s">
        <v>201</v>
      </c>
      <c r="C78" t="s">
        <v>206</v>
      </c>
      <c r="D78" t="s">
        <v>209</v>
      </c>
      <c r="E78" t="s">
        <v>182</v>
      </c>
      <c r="F78" s="56">
        <v>0.3</v>
      </c>
      <c r="G78" s="56">
        <v>1.27</v>
      </c>
      <c r="H78" s="115">
        <v>2000</v>
      </c>
      <c r="I78" s="112">
        <f>Table1[[#This Row],[Capex]]*0.1</f>
        <v>200</v>
      </c>
      <c r="J78" s="77">
        <v>3.25</v>
      </c>
      <c r="K78" s="56">
        <v>0.4</v>
      </c>
      <c r="L78" s="56">
        <v>165</v>
      </c>
      <c r="M78" s="3">
        <v>1.25</v>
      </c>
      <c r="N78" s="80">
        <v>3.25</v>
      </c>
    </row>
    <row r="79" spans="1:14" ht="16" x14ac:dyDescent="0.2">
      <c r="A79" t="s">
        <v>206</v>
      </c>
      <c r="B79" t="s">
        <v>201</v>
      </c>
      <c r="C79" t="s">
        <v>206</v>
      </c>
      <c r="D79" t="s">
        <v>207</v>
      </c>
      <c r="E79" t="s">
        <v>179</v>
      </c>
      <c r="F79" s="56">
        <v>0.15</v>
      </c>
      <c r="G79" s="56">
        <v>1.41</v>
      </c>
      <c r="H79" s="111">
        <v>0</v>
      </c>
      <c r="I79" s="112">
        <v>0</v>
      </c>
      <c r="J79" s="77">
        <v>3.61</v>
      </c>
      <c r="K79" s="56">
        <v>0.4</v>
      </c>
      <c r="L79" s="56">
        <v>1230</v>
      </c>
      <c r="M79" s="3">
        <v>1.3884615384615384</v>
      </c>
      <c r="N79" s="80">
        <v>3.61</v>
      </c>
    </row>
    <row r="80" spans="1:14" ht="16" x14ac:dyDescent="0.2">
      <c r="A80" t="s">
        <v>206</v>
      </c>
      <c r="B80" t="s">
        <v>201</v>
      </c>
      <c r="C80" t="s">
        <v>206</v>
      </c>
      <c r="D80" t="s">
        <v>208</v>
      </c>
      <c r="E80" t="s">
        <v>179</v>
      </c>
      <c r="F80" s="56">
        <v>0.2</v>
      </c>
      <c r="G80" s="56">
        <v>1.34</v>
      </c>
      <c r="H80" s="111">
        <v>1250</v>
      </c>
      <c r="I80" s="112">
        <f>Table1[[#This Row],[Capex]]*0.1</f>
        <v>125</v>
      </c>
      <c r="J80" s="77">
        <v>3.1587499999999995</v>
      </c>
      <c r="K80" s="56">
        <v>0.4</v>
      </c>
      <c r="L80" s="56">
        <v>410</v>
      </c>
      <c r="M80" s="3">
        <v>1.2149038461538459</v>
      </c>
      <c r="N80" s="80">
        <v>3.1587499999999995</v>
      </c>
    </row>
    <row r="81" spans="1:14" ht="16" x14ac:dyDescent="0.2">
      <c r="A81" t="s">
        <v>206</v>
      </c>
      <c r="B81" t="s">
        <v>201</v>
      </c>
      <c r="C81" t="s">
        <v>206</v>
      </c>
      <c r="D81" t="s">
        <v>209</v>
      </c>
      <c r="E81" t="s">
        <v>179</v>
      </c>
      <c r="F81" s="56">
        <v>0.3</v>
      </c>
      <c r="G81" s="56">
        <v>1.27</v>
      </c>
      <c r="H81" s="115">
        <v>2000</v>
      </c>
      <c r="I81" s="112">
        <f>Table1[[#This Row],[Capex]]*0.1</f>
        <v>200</v>
      </c>
      <c r="J81" s="77">
        <v>2.933125</v>
      </c>
      <c r="K81" s="56">
        <v>0.4</v>
      </c>
      <c r="L81" s="56">
        <v>165</v>
      </c>
      <c r="M81" s="3">
        <v>1.128125</v>
      </c>
      <c r="N81" s="80">
        <v>2.933125</v>
      </c>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C947D-C746-D247-86FC-366E1AA4F710}">
  <dimension ref="A1:AD91"/>
  <sheetViews>
    <sheetView topLeftCell="A63" workbookViewId="0">
      <selection activeCell="A68" sqref="A68:N91"/>
    </sheetView>
  </sheetViews>
  <sheetFormatPr baseColWidth="10" defaultColWidth="11.5" defaultRowHeight="15" x14ac:dyDescent="0.2"/>
  <sheetData>
    <row r="1" spans="1:30" ht="16" x14ac:dyDescent="0.2">
      <c r="A1" s="54" t="s">
        <v>56</v>
      </c>
      <c r="B1" s="9" t="s">
        <v>57</v>
      </c>
      <c r="C1" s="10" t="s">
        <v>58</v>
      </c>
      <c r="D1" s="10" t="s">
        <v>59</v>
      </c>
      <c r="E1" s="10" t="s">
        <v>60</v>
      </c>
      <c r="F1" s="10" t="s">
        <v>61</v>
      </c>
      <c r="G1" s="10" t="s">
        <v>62</v>
      </c>
      <c r="H1" s="10" t="s">
        <v>63</v>
      </c>
      <c r="I1" s="14"/>
      <c r="J1" s="10" t="s">
        <v>64</v>
      </c>
      <c r="K1" s="10" t="s">
        <v>65</v>
      </c>
      <c r="L1" s="10" t="s">
        <v>66</v>
      </c>
      <c r="M1" s="10" t="s">
        <v>67</v>
      </c>
      <c r="N1" s="11"/>
      <c r="O1" s="12" t="s">
        <v>68</v>
      </c>
      <c r="P1" s="12" t="s">
        <v>69</v>
      </c>
      <c r="Q1" s="12" t="s">
        <v>70</v>
      </c>
      <c r="R1" s="12" t="s">
        <v>71</v>
      </c>
      <c r="S1" s="13"/>
      <c r="T1" s="55" t="s">
        <v>72</v>
      </c>
      <c r="U1" s="55" t="s">
        <v>73</v>
      </c>
      <c r="V1" s="55" t="s">
        <v>74</v>
      </c>
      <c r="W1" s="55" t="s">
        <v>75</v>
      </c>
      <c r="X1" s="55" t="s">
        <v>76</v>
      </c>
      <c r="Y1" s="55" t="s">
        <v>77</v>
      </c>
      <c r="Z1" s="14"/>
      <c r="AA1" s="55" t="s">
        <v>78</v>
      </c>
      <c r="AB1" s="55" t="s">
        <v>79</v>
      </c>
      <c r="AC1" s="55" t="s">
        <v>80</v>
      </c>
      <c r="AD1" s="12" t="s">
        <v>81</v>
      </c>
    </row>
    <row r="2" spans="1:30" ht="16" x14ac:dyDescent="0.2">
      <c r="A2" s="15" t="s">
        <v>82</v>
      </c>
      <c r="B2" s="30" t="s">
        <v>100</v>
      </c>
      <c r="C2" s="27" t="s">
        <v>104</v>
      </c>
      <c r="D2" s="27" t="s">
        <v>16</v>
      </c>
      <c r="E2" s="16">
        <v>10</v>
      </c>
      <c r="F2" s="17">
        <v>0.8</v>
      </c>
      <c r="G2" s="18">
        <v>5000</v>
      </c>
      <c r="H2" s="18">
        <v>100</v>
      </c>
      <c r="I2" s="14"/>
      <c r="J2" s="15">
        <v>3.9</v>
      </c>
      <c r="K2" s="16">
        <v>1.2</v>
      </c>
      <c r="L2" s="16">
        <v>4.68</v>
      </c>
      <c r="M2" s="16">
        <v>1544.3999999999999</v>
      </c>
      <c r="N2" s="14"/>
      <c r="O2" s="15">
        <v>5</v>
      </c>
      <c r="P2" s="15">
        <v>7721.9999999999991</v>
      </c>
      <c r="Q2" s="15">
        <v>500</v>
      </c>
      <c r="R2" s="15">
        <v>8222</v>
      </c>
      <c r="S2" s="14"/>
      <c r="T2" s="24">
        <v>200000</v>
      </c>
      <c r="U2" s="15"/>
      <c r="V2" s="16">
        <v>0.71499999999999997</v>
      </c>
      <c r="W2" s="56">
        <v>1.1042459999999998</v>
      </c>
      <c r="X2" s="24">
        <v>2000</v>
      </c>
      <c r="Y2" s="15"/>
      <c r="Z2" s="15"/>
      <c r="AA2" s="15">
        <v>35</v>
      </c>
      <c r="AB2" s="15">
        <v>11.55</v>
      </c>
      <c r="AC2" s="15" t="s">
        <v>105</v>
      </c>
    </row>
    <row r="3" spans="1:30" ht="16" x14ac:dyDescent="0.2">
      <c r="A3" s="15" t="s">
        <v>82</v>
      </c>
      <c r="B3" s="30" t="s">
        <v>107</v>
      </c>
      <c r="C3" s="27" t="s">
        <v>104</v>
      </c>
      <c r="D3" s="27" t="s">
        <v>16</v>
      </c>
      <c r="E3" s="16">
        <v>10</v>
      </c>
      <c r="F3" s="17">
        <v>0.8</v>
      </c>
      <c r="G3" s="18">
        <v>20000</v>
      </c>
      <c r="H3" s="18">
        <v>100</v>
      </c>
      <c r="I3" s="14"/>
      <c r="J3" s="15">
        <v>3.9000000000000004</v>
      </c>
      <c r="K3" s="16">
        <v>1.2</v>
      </c>
      <c r="L3" s="16">
        <v>4.6800000000000006</v>
      </c>
      <c r="M3" s="16">
        <v>1544.4</v>
      </c>
      <c r="N3" s="14"/>
      <c r="O3" s="15">
        <v>0</v>
      </c>
      <c r="P3" s="15">
        <v>0</v>
      </c>
      <c r="Q3" s="15">
        <v>500</v>
      </c>
      <c r="R3" s="15">
        <v>500</v>
      </c>
      <c r="S3" s="14"/>
      <c r="T3" s="24">
        <v>200000</v>
      </c>
      <c r="U3" s="15"/>
      <c r="V3" s="16">
        <v>0</v>
      </c>
      <c r="W3" s="56">
        <v>0</v>
      </c>
      <c r="X3" s="24">
        <v>2000</v>
      </c>
      <c r="Y3" s="15"/>
      <c r="Z3" s="15"/>
      <c r="AA3" s="15">
        <v>35</v>
      </c>
      <c r="AB3" s="15">
        <v>11.55</v>
      </c>
      <c r="AC3" s="15" t="s">
        <v>105</v>
      </c>
    </row>
    <row r="4" spans="1:30" ht="16" x14ac:dyDescent="0.2">
      <c r="A4" s="15" t="s">
        <v>82</v>
      </c>
      <c r="B4" s="30" t="s">
        <v>100</v>
      </c>
      <c r="C4" s="27" t="s">
        <v>104</v>
      </c>
      <c r="D4" s="27" t="s">
        <v>17</v>
      </c>
      <c r="E4" s="16">
        <v>10</v>
      </c>
      <c r="F4" s="17">
        <v>0.85</v>
      </c>
      <c r="G4" s="18">
        <v>7500</v>
      </c>
      <c r="H4" s="18">
        <v>250</v>
      </c>
      <c r="I4" s="14"/>
      <c r="J4" s="15">
        <v>4</v>
      </c>
      <c r="K4" s="16">
        <v>1.2</v>
      </c>
      <c r="L4" s="16">
        <v>4.8</v>
      </c>
      <c r="M4" s="16">
        <v>1584</v>
      </c>
      <c r="N4" s="14"/>
      <c r="O4" s="15">
        <v>6</v>
      </c>
      <c r="P4" s="15">
        <v>9504</v>
      </c>
      <c r="Q4" s="15">
        <v>750</v>
      </c>
      <c r="R4" s="15">
        <v>10254</v>
      </c>
      <c r="S4" s="14"/>
      <c r="T4" s="24">
        <v>570000</v>
      </c>
      <c r="U4" s="15"/>
      <c r="V4" s="16">
        <v>0.71499999999999997</v>
      </c>
      <c r="W4" s="56">
        <v>1.13256</v>
      </c>
      <c r="X4" s="24">
        <v>2000</v>
      </c>
      <c r="Y4" s="15"/>
      <c r="Z4" s="15"/>
      <c r="AA4" s="15">
        <v>35</v>
      </c>
      <c r="AB4" s="15">
        <v>11.55</v>
      </c>
      <c r="AC4" s="15" t="s">
        <v>105</v>
      </c>
    </row>
    <row r="5" spans="1:30" ht="16" x14ac:dyDescent="0.2">
      <c r="A5" s="15" t="s">
        <v>82</v>
      </c>
      <c r="B5" s="30" t="s">
        <v>107</v>
      </c>
      <c r="C5" s="27" t="s">
        <v>104</v>
      </c>
      <c r="D5" s="27" t="s">
        <v>17</v>
      </c>
      <c r="E5" s="16">
        <v>10</v>
      </c>
      <c r="F5" s="17">
        <v>0.85</v>
      </c>
      <c r="G5" s="18">
        <v>24000</v>
      </c>
      <c r="H5" s="18">
        <v>250</v>
      </c>
      <c r="I5" s="14"/>
      <c r="J5" s="15">
        <v>4</v>
      </c>
      <c r="K5" s="16">
        <v>1.2</v>
      </c>
      <c r="L5" s="16">
        <v>4.8</v>
      </c>
      <c r="M5" s="16">
        <v>1584</v>
      </c>
      <c r="N5" s="14"/>
      <c r="O5" s="15">
        <v>0</v>
      </c>
      <c r="P5" s="15">
        <v>0</v>
      </c>
      <c r="Q5" s="15">
        <v>750</v>
      </c>
      <c r="R5" s="15">
        <v>750</v>
      </c>
      <c r="S5" s="14"/>
      <c r="T5" s="24">
        <v>570000</v>
      </c>
      <c r="U5" s="15"/>
      <c r="V5" s="16">
        <v>0</v>
      </c>
      <c r="W5" s="56">
        <v>0</v>
      </c>
      <c r="X5" s="24">
        <v>2000</v>
      </c>
      <c r="Y5" s="15"/>
      <c r="Z5" s="15"/>
      <c r="AA5" s="15">
        <v>35</v>
      </c>
      <c r="AB5" s="15">
        <v>11.55</v>
      </c>
      <c r="AC5" s="15" t="s">
        <v>105</v>
      </c>
    </row>
    <row r="6" spans="1:30" ht="16" x14ac:dyDescent="0.2">
      <c r="A6" s="15" t="s">
        <v>82</v>
      </c>
      <c r="B6" s="30" t="s">
        <v>100</v>
      </c>
      <c r="C6" s="27" t="s">
        <v>104</v>
      </c>
      <c r="D6" s="27" t="s">
        <v>18</v>
      </c>
      <c r="E6" s="16">
        <v>10</v>
      </c>
      <c r="F6" s="17">
        <v>0.9</v>
      </c>
      <c r="G6" s="18">
        <v>10050</v>
      </c>
      <c r="H6" s="18">
        <v>500</v>
      </c>
      <c r="I6" s="14"/>
      <c r="J6" s="15">
        <v>4.0999999999999996</v>
      </c>
      <c r="K6" s="16">
        <v>1.2</v>
      </c>
      <c r="L6" s="16">
        <v>4.919999999999999</v>
      </c>
      <c r="M6" s="16">
        <v>1623.5999999999997</v>
      </c>
      <c r="N6" s="14"/>
      <c r="O6" s="15">
        <v>7</v>
      </c>
      <c r="P6" s="15">
        <v>11365.199999999997</v>
      </c>
      <c r="Q6" s="15">
        <v>1000</v>
      </c>
      <c r="R6" s="15">
        <v>12365.199999999997</v>
      </c>
      <c r="S6" s="14"/>
      <c r="T6" s="24">
        <v>900000</v>
      </c>
      <c r="U6" s="15"/>
      <c r="V6" s="16">
        <v>0.71499999999999997</v>
      </c>
      <c r="W6" s="56">
        <v>1.1608739999999997</v>
      </c>
      <c r="X6" s="24">
        <v>2000</v>
      </c>
      <c r="Y6" s="15"/>
      <c r="Z6" s="15"/>
      <c r="AA6" s="15">
        <v>35</v>
      </c>
      <c r="AB6" s="15">
        <v>11.55</v>
      </c>
      <c r="AC6" s="15" t="s">
        <v>105</v>
      </c>
    </row>
    <row r="7" spans="1:30" ht="16" x14ac:dyDescent="0.2">
      <c r="A7" s="15" t="s">
        <v>82</v>
      </c>
      <c r="B7" s="30" t="s">
        <v>107</v>
      </c>
      <c r="C7" s="27" t="s">
        <v>104</v>
      </c>
      <c r="D7" s="27" t="s">
        <v>18</v>
      </c>
      <c r="E7" s="16">
        <v>10</v>
      </c>
      <c r="F7" s="17">
        <v>0.9</v>
      </c>
      <c r="G7" s="18">
        <v>28800</v>
      </c>
      <c r="H7" s="18">
        <v>500</v>
      </c>
      <c r="I7" s="14"/>
      <c r="J7" s="15">
        <v>4.0999999999999996</v>
      </c>
      <c r="K7" s="16">
        <v>1.2</v>
      </c>
      <c r="L7" s="16">
        <v>4.919999999999999</v>
      </c>
      <c r="M7" s="16">
        <v>1623.5999999999997</v>
      </c>
      <c r="N7" s="14"/>
      <c r="O7" s="15">
        <v>0</v>
      </c>
      <c r="P7" s="15">
        <v>0</v>
      </c>
      <c r="Q7" s="15">
        <v>1000</v>
      </c>
      <c r="R7" s="15">
        <v>1000</v>
      </c>
      <c r="S7" s="14"/>
      <c r="T7" s="24">
        <v>900000</v>
      </c>
      <c r="U7" s="15"/>
      <c r="V7" s="16">
        <v>0</v>
      </c>
      <c r="W7" s="56">
        <v>0</v>
      </c>
      <c r="X7" s="24">
        <v>2000</v>
      </c>
      <c r="Y7" s="15"/>
      <c r="Z7" s="15"/>
      <c r="AA7" s="15">
        <v>35</v>
      </c>
      <c r="AB7" s="15">
        <v>11.55</v>
      </c>
      <c r="AC7" s="15" t="s">
        <v>105</v>
      </c>
    </row>
    <row r="8" spans="1:30" ht="16" x14ac:dyDescent="0.2">
      <c r="A8" s="15" t="s">
        <v>97</v>
      </c>
      <c r="B8" s="30" t="s">
        <v>100</v>
      </c>
      <c r="C8" s="27" t="s">
        <v>104</v>
      </c>
      <c r="D8" s="27" t="s">
        <v>16</v>
      </c>
      <c r="E8" s="16">
        <v>10</v>
      </c>
      <c r="F8" s="17">
        <v>0.8</v>
      </c>
      <c r="G8" s="47">
        <v>5500</v>
      </c>
      <c r="H8" s="18">
        <v>150</v>
      </c>
      <c r="I8" s="14"/>
      <c r="J8" s="15">
        <v>3.9000000000000004</v>
      </c>
      <c r="K8" s="16">
        <v>1.2</v>
      </c>
      <c r="L8" s="16">
        <v>4.6800000000000006</v>
      </c>
      <c r="M8" s="16">
        <v>1544.4</v>
      </c>
      <c r="N8" s="14"/>
      <c r="O8" s="15">
        <v>6</v>
      </c>
      <c r="P8" s="44">
        <v>9266.4000000000015</v>
      </c>
      <c r="Q8" s="15">
        <v>600</v>
      </c>
      <c r="R8" s="15">
        <v>9866.4000000000015</v>
      </c>
      <c r="S8" s="14"/>
      <c r="T8" s="24">
        <v>250000</v>
      </c>
      <c r="U8" s="15"/>
      <c r="V8" s="16">
        <v>0.71499999999999997</v>
      </c>
      <c r="W8" s="56">
        <v>1.1042460000000001</v>
      </c>
      <c r="X8" s="24">
        <v>2000</v>
      </c>
      <c r="Y8" s="15"/>
      <c r="Z8" s="15"/>
      <c r="AA8" s="15">
        <v>35</v>
      </c>
      <c r="AB8" s="15">
        <v>11.55</v>
      </c>
      <c r="AC8" s="15" t="s">
        <v>105</v>
      </c>
    </row>
    <row r="9" spans="1:30" ht="16" x14ac:dyDescent="0.2">
      <c r="A9" s="15" t="s">
        <v>97</v>
      </c>
      <c r="B9" s="30" t="s">
        <v>107</v>
      </c>
      <c r="C9" s="27" t="s">
        <v>104</v>
      </c>
      <c r="D9" s="27" t="s">
        <v>16</v>
      </c>
      <c r="E9" s="16">
        <v>10</v>
      </c>
      <c r="F9" s="17">
        <v>0.8</v>
      </c>
      <c r="G9" s="47">
        <v>22000</v>
      </c>
      <c r="H9" s="18">
        <v>150</v>
      </c>
      <c r="I9" s="14"/>
      <c r="J9" s="15">
        <v>3.9000000000000004</v>
      </c>
      <c r="K9" s="16">
        <v>1.2</v>
      </c>
      <c r="L9" s="16">
        <v>4.6800000000000006</v>
      </c>
      <c r="M9" s="16">
        <v>1544.4</v>
      </c>
      <c r="N9" s="14"/>
      <c r="O9" s="15">
        <v>0</v>
      </c>
      <c r="P9" s="44">
        <v>0</v>
      </c>
      <c r="Q9" s="15">
        <v>600</v>
      </c>
      <c r="R9" s="15">
        <v>600</v>
      </c>
      <c r="S9" s="14"/>
      <c r="T9" s="24">
        <v>250000</v>
      </c>
      <c r="U9" s="15"/>
      <c r="V9" s="16">
        <v>0</v>
      </c>
      <c r="W9" s="56">
        <v>0</v>
      </c>
      <c r="X9" s="24">
        <v>2000</v>
      </c>
      <c r="Y9" s="15"/>
      <c r="Z9" s="15"/>
      <c r="AA9" s="15">
        <v>35</v>
      </c>
      <c r="AB9" s="15">
        <v>11.55</v>
      </c>
      <c r="AC9" s="15" t="s">
        <v>105</v>
      </c>
    </row>
    <row r="10" spans="1:30" ht="16" x14ac:dyDescent="0.2">
      <c r="A10" s="15" t="s">
        <v>97</v>
      </c>
      <c r="B10" s="30" t="s">
        <v>100</v>
      </c>
      <c r="C10" s="27" t="s">
        <v>104</v>
      </c>
      <c r="D10" s="27" t="s">
        <v>17</v>
      </c>
      <c r="E10" s="16">
        <v>10</v>
      </c>
      <c r="F10" s="17">
        <v>0.85</v>
      </c>
      <c r="G10" s="18">
        <v>7500</v>
      </c>
      <c r="H10" s="18">
        <v>400</v>
      </c>
      <c r="I10" s="14"/>
      <c r="J10" s="15">
        <v>4</v>
      </c>
      <c r="K10" s="16">
        <v>1.2</v>
      </c>
      <c r="L10" s="16">
        <v>4.8</v>
      </c>
      <c r="M10" s="16">
        <v>1584</v>
      </c>
      <c r="N10" s="14"/>
      <c r="O10" s="15">
        <v>7</v>
      </c>
      <c r="P10" s="15">
        <v>11088</v>
      </c>
      <c r="Q10" s="15">
        <v>850</v>
      </c>
      <c r="R10" s="15">
        <v>11938</v>
      </c>
      <c r="S10" s="14"/>
      <c r="T10" s="24">
        <v>712500</v>
      </c>
      <c r="U10" s="15"/>
      <c r="V10" s="16">
        <v>0.71499999999999997</v>
      </c>
      <c r="W10" s="56">
        <v>1.13256</v>
      </c>
      <c r="X10" s="24">
        <v>2000</v>
      </c>
      <c r="Y10" s="15"/>
      <c r="Z10" s="15"/>
      <c r="AA10" s="15">
        <v>35</v>
      </c>
      <c r="AB10" s="15">
        <v>11.55</v>
      </c>
      <c r="AC10" s="15" t="s">
        <v>105</v>
      </c>
    </row>
    <row r="11" spans="1:30" ht="16" x14ac:dyDescent="0.2">
      <c r="A11" s="15" t="s">
        <v>97</v>
      </c>
      <c r="B11" s="30" t="s">
        <v>107</v>
      </c>
      <c r="C11" s="27" t="s">
        <v>104</v>
      </c>
      <c r="D11" s="27" t="s">
        <v>17</v>
      </c>
      <c r="E11" s="16">
        <v>10</v>
      </c>
      <c r="F11" s="17">
        <v>0.85</v>
      </c>
      <c r="G11" s="18">
        <v>26400</v>
      </c>
      <c r="H11" s="18">
        <v>400</v>
      </c>
      <c r="I11" s="14"/>
      <c r="J11" s="15">
        <v>4</v>
      </c>
      <c r="K11" s="16">
        <v>1.2</v>
      </c>
      <c r="L11" s="16">
        <v>4.8</v>
      </c>
      <c r="M11" s="16">
        <v>1584</v>
      </c>
      <c r="N11" s="14"/>
      <c r="O11" s="15">
        <v>0</v>
      </c>
      <c r="P11" s="15">
        <v>0</v>
      </c>
      <c r="Q11" s="15">
        <v>850</v>
      </c>
      <c r="R11" s="15">
        <v>850</v>
      </c>
      <c r="S11" s="14"/>
      <c r="T11" s="24">
        <v>712500</v>
      </c>
      <c r="U11" s="15"/>
      <c r="V11" s="16">
        <v>0</v>
      </c>
      <c r="W11" s="56">
        <v>0</v>
      </c>
      <c r="X11" s="24">
        <v>2000</v>
      </c>
      <c r="Y11" s="15"/>
      <c r="Z11" s="15"/>
      <c r="AA11" s="15">
        <v>35</v>
      </c>
      <c r="AB11" s="15">
        <v>11.55</v>
      </c>
      <c r="AC11" s="15" t="s">
        <v>105</v>
      </c>
    </row>
    <row r="12" spans="1:30" ht="16" x14ac:dyDescent="0.2">
      <c r="A12" s="15" t="s">
        <v>97</v>
      </c>
      <c r="B12" s="30" t="s">
        <v>100</v>
      </c>
      <c r="C12" s="27" t="s">
        <v>104</v>
      </c>
      <c r="D12" s="27" t="s">
        <v>18</v>
      </c>
      <c r="E12" s="16">
        <v>10</v>
      </c>
      <c r="F12" s="17">
        <v>0.9</v>
      </c>
      <c r="G12" s="18">
        <v>10000</v>
      </c>
      <c r="H12" s="18">
        <v>800</v>
      </c>
      <c r="I12" s="14"/>
      <c r="J12" s="15">
        <v>4.0999999999999996</v>
      </c>
      <c r="K12" s="16">
        <v>1.2</v>
      </c>
      <c r="L12" s="16">
        <v>4.919999999999999</v>
      </c>
      <c r="M12" s="16">
        <v>1623.5999999999997</v>
      </c>
      <c r="N12" s="14"/>
      <c r="O12" s="15">
        <v>8</v>
      </c>
      <c r="P12" s="15">
        <v>12988.799999999997</v>
      </c>
      <c r="Q12" s="15">
        <v>1250</v>
      </c>
      <c r="R12" s="15">
        <v>14238.799999999997</v>
      </c>
      <c r="S12" s="14"/>
      <c r="T12" s="24">
        <v>1125000</v>
      </c>
      <c r="U12" s="15"/>
      <c r="V12" s="16">
        <v>0.71499999999999997</v>
      </c>
      <c r="W12" s="56">
        <v>1.1608739999999997</v>
      </c>
      <c r="X12" s="24">
        <v>2000</v>
      </c>
      <c r="Y12" s="15"/>
      <c r="Z12" s="15"/>
      <c r="AA12" s="15">
        <v>35</v>
      </c>
      <c r="AB12" s="15">
        <v>11.55</v>
      </c>
      <c r="AC12" s="15" t="s">
        <v>105</v>
      </c>
    </row>
    <row r="13" spans="1:30" ht="16" x14ac:dyDescent="0.2">
      <c r="A13" s="15" t="s">
        <v>97</v>
      </c>
      <c r="B13" s="30" t="s">
        <v>107</v>
      </c>
      <c r="C13" s="27" t="s">
        <v>104</v>
      </c>
      <c r="D13" s="27" t="s">
        <v>18</v>
      </c>
      <c r="E13" s="16">
        <v>10</v>
      </c>
      <c r="F13" s="17">
        <v>0.9</v>
      </c>
      <c r="G13" s="18">
        <v>10000</v>
      </c>
      <c r="H13" s="18">
        <v>800</v>
      </c>
      <c r="I13" s="14"/>
      <c r="J13" s="15">
        <v>4.0999999999999996</v>
      </c>
      <c r="K13" s="16">
        <v>1.2</v>
      </c>
      <c r="L13" s="16">
        <v>4.919999999999999</v>
      </c>
      <c r="M13" s="16">
        <v>1623.5999999999997</v>
      </c>
      <c r="N13" s="14"/>
      <c r="O13" s="15">
        <v>0</v>
      </c>
      <c r="P13" s="15">
        <v>0</v>
      </c>
      <c r="Q13" s="15">
        <v>1250</v>
      </c>
      <c r="R13" s="15">
        <v>1250</v>
      </c>
      <c r="S13" s="14"/>
      <c r="T13" s="24">
        <v>1125000</v>
      </c>
      <c r="U13" s="15"/>
      <c r="V13" s="16">
        <v>0</v>
      </c>
      <c r="W13" s="56">
        <v>0</v>
      </c>
      <c r="X13" s="24">
        <v>2000</v>
      </c>
      <c r="Y13" s="15"/>
      <c r="Z13" s="15"/>
      <c r="AA13" s="15">
        <v>35</v>
      </c>
      <c r="AB13" s="15">
        <v>11.55</v>
      </c>
      <c r="AC13" s="15" t="s">
        <v>105</v>
      </c>
    </row>
    <row r="19" spans="1:14" ht="16" x14ac:dyDescent="0.2">
      <c r="A19" s="2" t="s">
        <v>113</v>
      </c>
      <c r="B19" s="2" t="s">
        <v>56</v>
      </c>
      <c r="C19" s="2" t="s">
        <v>57</v>
      </c>
      <c r="D19" s="2" t="s">
        <v>114</v>
      </c>
      <c r="E19" s="2" t="s">
        <v>59</v>
      </c>
      <c r="F19" s="10" t="s">
        <v>61</v>
      </c>
      <c r="G19" s="96" t="s">
        <v>68</v>
      </c>
      <c r="H19" s="10" t="s">
        <v>62</v>
      </c>
      <c r="I19" s="10" t="s">
        <v>63</v>
      </c>
      <c r="J19" s="10" t="s">
        <v>64</v>
      </c>
      <c r="K19" s="96" t="s">
        <v>74</v>
      </c>
      <c r="L19" s="96" t="s">
        <v>78</v>
      </c>
      <c r="M19" s="10" t="s">
        <v>115</v>
      </c>
      <c r="N19" s="2" t="s">
        <v>120</v>
      </c>
    </row>
    <row r="20" spans="1:14" ht="16" x14ac:dyDescent="0.2">
      <c r="A20" s="1" t="s">
        <v>100</v>
      </c>
      <c r="B20" s="1" t="s">
        <v>82</v>
      </c>
      <c r="C20" s="1" t="s">
        <v>100</v>
      </c>
      <c r="D20" s="1" t="s">
        <v>104</v>
      </c>
      <c r="E20" s="75" t="s">
        <v>16</v>
      </c>
      <c r="F20" s="74">
        <v>0.90000000000000013</v>
      </c>
      <c r="G20" s="94">
        <v>5</v>
      </c>
      <c r="H20" s="18">
        <v>5000</v>
      </c>
      <c r="I20" s="78">
        <v>100</v>
      </c>
      <c r="J20" s="94">
        <v>3.9</v>
      </c>
      <c r="K20" s="94">
        <v>0.71499999999999997</v>
      </c>
      <c r="L20" s="95">
        <v>35</v>
      </c>
      <c r="M20" s="3">
        <v>1.5</v>
      </c>
      <c r="N20" s="3">
        <v>3.9</v>
      </c>
    </row>
    <row r="21" spans="1:14" ht="16" x14ac:dyDescent="0.2">
      <c r="A21" s="1" t="s">
        <v>100</v>
      </c>
      <c r="B21" s="1" t="s">
        <v>82</v>
      </c>
      <c r="C21" s="1" t="s">
        <v>100</v>
      </c>
      <c r="D21" s="1" t="s">
        <v>104</v>
      </c>
      <c r="E21" s="75" t="s">
        <v>17</v>
      </c>
      <c r="F21" s="74">
        <v>0.95000000000000007</v>
      </c>
      <c r="G21" s="94">
        <v>6</v>
      </c>
      <c r="H21" s="18">
        <v>7500</v>
      </c>
      <c r="I21" s="78">
        <v>250</v>
      </c>
      <c r="J21" s="94">
        <v>4</v>
      </c>
      <c r="K21" s="94">
        <v>0.71499999999999997</v>
      </c>
      <c r="L21" s="95">
        <v>35</v>
      </c>
      <c r="M21" s="3">
        <v>1.5384615384615383</v>
      </c>
      <c r="N21" s="3">
        <v>4</v>
      </c>
    </row>
    <row r="22" spans="1:14" ht="16" x14ac:dyDescent="0.2">
      <c r="A22" s="1" t="s">
        <v>100</v>
      </c>
      <c r="B22" s="1" t="s">
        <v>82</v>
      </c>
      <c r="C22" s="1" t="s">
        <v>100</v>
      </c>
      <c r="D22" s="1" t="s">
        <v>104</v>
      </c>
      <c r="E22" s="75" t="s">
        <v>18</v>
      </c>
      <c r="F22" s="74">
        <v>1</v>
      </c>
      <c r="G22" s="94">
        <v>7</v>
      </c>
      <c r="H22" s="18">
        <v>10050</v>
      </c>
      <c r="I22" s="78">
        <v>500</v>
      </c>
      <c r="J22" s="94">
        <v>4.0999999999999996</v>
      </c>
      <c r="K22" s="94">
        <v>0.71499999999999997</v>
      </c>
      <c r="L22" s="95">
        <v>35</v>
      </c>
      <c r="M22" s="3">
        <v>1.5769230769230766</v>
      </c>
      <c r="N22" s="3">
        <v>4.0999999999999996</v>
      </c>
    </row>
    <row r="23" spans="1:14" ht="16" x14ac:dyDescent="0.2">
      <c r="A23" s="1" t="s">
        <v>100</v>
      </c>
      <c r="B23" s="1" t="s">
        <v>97</v>
      </c>
      <c r="C23" s="1" t="s">
        <v>100</v>
      </c>
      <c r="D23" s="1" t="s">
        <v>104</v>
      </c>
      <c r="E23" s="75" t="s">
        <v>16</v>
      </c>
      <c r="F23" s="74">
        <v>0.90000000000000013</v>
      </c>
      <c r="G23" s="94">
        <v>6</v>
      </c>
      <c r="H23" s="18">
        <v>5500</v>
      </c>
      <c r="I23" s="78">
        <v>150</v>
      </c>
      <c r="J23" s="94">
        <v>3.9000000000000004</v>
      </c>
      <c r="K23" s="94">
        <v>0.71499999999999997</v>
      </c>
      <c r="L23" s="95">
        <v>35</v>
      </c>
      <c r="M23" s="3">
        <v>1.5</v>
      </c>
      <c r="N23" s="3">
        <v>3.9000000000000004</v>
      </c>
    </row>
    <row r="24" spans="1:14" ht="16" x14ac:dyDescent="0.2">
      <c r="A24" s="1" t="s">
        <v>100</v>
      </c>
      <c r="B24" s="1" t="s">
        <v>97</v>
      </c>
      <c r="C24" s="1" t="s">
        <v>100</v>
      </c>
      <c r="D24" s="1" t="s">
        <v>104</v>
      </c>
      <c r="E24" s="75" t="s">
        <v>17</v>
      </c>
      <c r="F24" s="74">
        <v>0.95000000000000007</v>
      </c>
      <c r="G24" s="94">
        <v>7</v>
      </c>
      <c r="H24" s="18">
        <v>7500</v>
      </c>
      <c r="I24" s="78">
        <v>400</v>
      </c>
      <c r="J24" s="94">
        <v>4</v>
      </c>
      <c r="K24" s="94">
        <v>0.71499999999999997</v>
      </c>
      <c r="L24" s="95">
        <v>35</v>
      </c>
      <c r="M24" s="3">
        <v>1.5384615384615383</v>
      </c>
      <c r="N24" s="3">
        <v>4</v>
      </c>
    </row>
    <row r="25" spans="1:14" ht="16" x14ac:dyDescent="0.2">
      <c r="A25" s="1" t="s">
        <v>100</v>
      </c>
      <c r="B25" s="1" t="s">
        <v>97</v>
      </c>
      <c r="C25" s="1" t="s">
        <v>100</v>
      </c>
      <c r="D25" s="1" t="s">
        <v>104</v>
      </c>
      <c r="E25" s="75" t="s">
        <v>18</v>
      </c>
      <c r="F25" s="74">
        <v>1</v>
      </c>
      <c r="G25" s="94">
        <v>8</v>
      </c>
      <c r="H25" s="18">
        <v>10000</v>
      </c>
      <c r="I25" s="78">
        <v>800</v>
      </c>
      <c r="J25" s="94">
        <v>4.0999999999999996</v>
      </c>
      <c r="K25" s="94">
        <v>0.71499999999999997</v>
      </c>
      <c r="L25" s="95">
        <v>35</v>
      </c>
      <c r="M25" s="3">
        <v>1.5769230769230766</v>
      </c>
      <c r="N25" s="3">
        <v>4.0999999999999996</v>
      </c>
    </row>
    <row r="26" spans="1:14" ht="16" x14ac:dyDescent="0.2">
      <c r="A26" s="1" t="s">
        <v>100</v>
      </c>
      <c r="B26" s="1" t="s">
        <v>82</v>
      </c>
      <c r="C26" s="1" t="s">
        <v>100</v>
      </c>
      <c r="D26" s="1" t="s">
        <v>104</v>
      </c>
      <c r="E26" s="75" t="s">
        <v>15</v>
      </c>
      <c r="F26" s="74">
        <v>0.90000000000000013</v>
      </c>
      <c r="G26" s="94">
        <v>5</v>
      </c>
      <c r="H26" s="18">
        <v>5000</v>
      </c>
      <c r="I26" s="78">
        <v>100</v>
      </c>
      <c r="J26" s="94">
        <v>3.9</v>
      </c>
      <c r="K26" s="94">
        <v>0.71499999999999997</v>
      </c>
      <c r="L26" s="95">
        <v>35</v>
      </c>
      <c r="M26" s="3">
        <v>1.5</v>
      </c>
      <c r="N26" s="3">
        <v>3.9</v>
      </c>
    </row>
    <row r="27" spans="1:14" ht="16" x14ac:dyDescent="0.2">
      <c r="A27" s="1" t="s">
        <v>100</v>
      </c>
      <c r="B27" s="1" t="s">
        <v>97</v>
      </c>
      <c r="C27" s="1" t="s">
        <v>100</v>
      </c>
      <c r="D27" s="1" t="s">
        <v>104</v>
      </c>
      <c r="E27" s="75" t="s">
        <v>15</v>
      </c>
      <c r="F27" s="74">
        <v>0.90000000000000013</v>
      </c>
      <c r="G27" s="94">
        <v>6</v>
      </c>
      <c r="H27" s="18">
        <v>5500</v>
      </c>
      <c r="I27" s="78">
        <v>150</v>
      </c>
      <c r="J27" s="94">
        <v>3.9000000000000004</v>
      </c>
      <c r="K27" s="94">
        <v>0.71499999999999997</v>
      </c>
      <c r="L27" s="95">
        <v>35</v>
      </c>
      <c r="M27" s="3">
        <v>1.5</v>
      </c>
      <c r="N27" s="3">
        <v>3.9000000000000004</v>
      </c>
    </row>
    <row r="28" spans="1:14" ht="16" x14ac:dyDescent="0.2">
      <c r="A28" s="1" t="s">
        <v>107</v>
      </c>
      <c r="B28" s="1" t="s">
        <v>82</v>
      </c>
      <c r="C28" s="1" t="s">
        <v>107</v>
      </c>
      <c r="D28" s="1" t="s">
        <v>119</v>
      </c>
      <c r="E28" s="75" t="s">
        <v>16</v>
      </c>
      <c r="F28" s="74">
        <v>0.90000000000000013</v>
      </c>
      <c r="G28" s="97">
        <v>0</v>
      </c>
      <c r="H28" s="18">
        <v>20000</v>
      </c>
      <c r="I28" s="78">
        <v>100</v>
      </c>
      <c r="J28" s="97">
        <v>3.9000000000000004</v>
      </c>
      <c r="K28" s="97">
        <v>0</v>
      </c>
      <c r="L28" s="98">
        <v>35</v>
      </c>
      <c r="M28" s="3">
        <v>1.5</v>
      </c>
      <c r="N28" s="3">
        <v>3.9000000000000004</v>
      </c>
    </row>
    <row r="29" spans="1:14" ht="16" x14ac:dyDescent="0.2">
      <c r="A29" s="1" t="s">
        <v>107</v>
      </c>
      <c r="B29" s="1" t="s">
        <v>82</v>
      </c>
      <c r="C29" s="1" t="s">
        <v>107</v>
      </c>
      <c r="D29" s="1" t="s">
        <v>119</v>
      </c>
      <c r="E29" s="75" t="s">
        <v>17</v>
      </c>
      <c r="F29" s="74">
        <v>0.95000000000000007</v>
      </c>
      <c r="G29" s="97">
        <v>0</v>
      </c>
      <c r="H29" s="18">
        <v>24000</v>
      </c>
      <c r="I29" s="78">
        <v>250</v>
      </c>
      <c r="J29" s="97">
        <v>4</v>
      </c>
      <c r="K29" s="97">
        <v>0</v>
      </c>
      <c r="L29" s="98">
        <v>35</v>
      </c>
      <c r="M29" s="3">
        <v>1.5384615384615383</v>
      </c>
      <c r="N29" s="3">
        <v>4</v>
      </c>
    </row>
    <row r="30" spans="1:14" ht="16" x14ac:dyDescent="0.2">
      <c r="A30" s="1" t="s">
        <v>107</v>
      </c>
      <c r="B30" s="1" t="s">
        <v>82</v>
      </c>
      <c r="C30" s="1" t="s">
        <v>107</v>
      </c>
      <c r="D30" s="1" t="s">
        <v>119</v>
      </c>
      <c r="E30" s="75" t="s">
        <v>18</v>
      </c>
      <c r="F30" s="74">
        <v>1</v>
      </c>
      <c r="G30" s="97">
        <v>0</v>
      </c>
      <c r="H30" s="18">
        <v>28800</v>
      </c>
      <c r="I30" s="78">
        <v>500</v>
      </c>
      <c r="J30" s="97">
        <v>4.0999999999999996</v>
      </c>
      <c r="K30" s="97">
        <v>0</v>
      </c>
      <c r="L30" s="98">
        <v>35</v>
      </c>
      <c r="M30" s="3">
        <v>1.5769230769230766</v>
      </c>
      <c r="N30" s="3">
        <v>4.0999999999999996</v>
      </c>
    </row>
    <row r="31" spans="1:14" ht="16" x14ac:dyDescent="0.2">
      <c r="A31" s="1" t="s">
        <v>107</v>
      </c>
      <c r="B31" s="1" t="s">
        <v>97</v>
      </c>
      <c r="C31" s="1" t="s">
        <v>107</v>
      </c>
      <c r="D31" s="1" t="s">
        <v>119</v>
      </c>
      <c r="E31" s="75" t="s">
        <v>16</v>
      </c>
      <c r="F31" s="74">
        <v>0.90000000000000013</v>
      </c>
      <c r="G31" s="97">
        <v>0</v>
      </c>
      <c r="H31" s="18">
        <v>22000</v>
      </c>
      <c r="I31" s="78">
        <v>150</v>
      </c>
      <c r="J31" s="97">
        <v>3.9000000000000004</v>
      </c>
      <c r="K31" s="97">
        <v>0</v>
      </c>
      <c r="L31" s="98">
        <v>35</v>
      </c>
      <c r="M31" s="3">
        <v>1.5</v>
      </c>
      <c r="N31" s="3">
        <v>3.9000000000000004</v>
      </c>
    </row>
    <row r="32" spans="1:14" ht="16" x14ac:dyDescent="0.2">
      <c r="A32" s="1" t="s">
        <v>107</v>
      </c>
      <c r="B32" s="1" t="s">
        <v>97</v>
      </c>
      <c r="C32" s="1" t="s">
        <v>107</v>
      </c>
      <c r="D32" s="1" t="s">
        <v>119</v>
      </c>
      <c r="E32" s="75" t="s">
        <v>17</v>
      </c>
      <c r="F32" s="74">
        <v>0.95000000000000007</v>
      </c>
      <c r="G32" s="97">
        <v>0</v>
      </c>
      <c r="H32" s="18">
        <v>26400</v>
      </c>
      <c r="I32" s="78">
        <v>400</v>
      </c>
      <c r="J32" s="97">
        <v>4</v>
      </c>
      <c r="K32" s="97">
        <v>0</v>
      </c>
      <c r="L32" s="98">
        <v>35</v>
      </c>
      <c r="M32" s="3">
        <v>1.5384615384615383</v>
      </c>
      <c r="N32" s="3">
        <v>4</v>
      </c>
    </row>
    <row r="33" spans="1:14" ht="16" x14ac:dyDescent="0.2">
      <c r="A33" s="1" t="s">
        <v>107</v>
      </c>
      <c r="B33" s="1" t="s">
        <v>97</v>
      </c>
      <c r="C33" s="1" t="s">
        <v>107</v>
      </c>
      <c r="D33" s="1" t="s">
        <v>119</v>
      </c>
      <c r="E33" s="75" t="s">
        <v>18</v>
      </c>
      <c r="F33" s="74">
        <v>1</v>
      </c>
      <c r="G33" s="97">
        <v>0</v>
      </c>
      <c r="H33" s="18">
        <v>10000</v>
      </c>
      <c r="I33" s="78">
        <v>800</v>
      </c>
      <c r="J33" s="97">
        <v>4.0999999999999996</v>
      </c>
      <c r="K33" s="97">
        <v>0</v>
      </c>
      <c r="L33" s="98">
        <v>35</v>
      </c>
      <c r="M33" s="3">
        <v>1.5769230769230766</v>
      </c>
      <c r="N33" s="3">
        <v>4.0999999999999996</v>
      </c>
    </row>
    <row r="34" spans="1:14" ht="16" x14ac:dyDescent="0.2">
      <c r="A34" s="1" t="s">
        <v>107</v>
      </c>
      <c r="B34" s="1" t="s">
        <v>82</v>
      </c>
      <c r="C34" s="1" t="s">
        <v>107</v>
      </c>
      <c r="D34" s="1" t="s">
        <v>119</v>
      </c>
      <c r="E34" s="75" t="s">
        <v>15</v>
      </c>
      <c r="F34" s="74">
        <v>0.90000000000000013</v>
      </c>
      <c r="G34" s="97">
        <v>0</v>
      </c>
      <c r="H34" s="18">
        <v>20000</v>
      </c>
      <c r="I34" s="78">
        <v>100</v>
      </c>
      <c r="J34" s="97">
        <v>3.9000000000000004</v>
      </c>
      <c r="K34" s="97">
        <v>0</v>
      </c>
      <c r="L34" s="98">
        <v>35</v>
      </c>
      <c r="M34" s="3">
        <v>1.5</v>
      </c>
      <c r="N34" s="3">
        <v>3.9000000000000004</v>
      </c>
    </row>
    <row r="35" spans="1:14" ht="16" x14ac:dyDescent="0.2">
      <c r="A35" s="1" t="s">
        <v>107</v>
      </c>
      <c r="B35" s="1" t="s">
        <v>97</v>
      </c>
      <c r="C35" s="1" t="s">
        <v>107</v>
      </c>
      <c r="D35" s="1" t="s">
        <v>119</v>
      </c>
      <c r="E35" s="75" t="s">
        <v>15</v>
      </c>
      <c r="F35" s="74">
        <v>0.90000000000000013</v>
      </c>
      <c r="G35" s="97">
        <v>0</v>
      </c>
      <c r="H35" s="18">
        <v>22000</v>
      </c>
      <c r="I35" s="78">
        <v>150</v>
      </c>
      <c r="J35" s="97">
        <v>3.9000000000000004</v>
      </c>
      <c r="K35" s="97">
        <v>0</v>
      </c>
      <c r="L35" s="98">
        <v>35</v>
      </c>
      <c r="M35" s="3">
        <v>1.5</v>
      </c>
      <c r="N35" s="3">
        <v>3.9000000000000004</v>
      </c>
    </row>
    <row r="39" spans="1:14" ht="16" x14ac:dyDescent="0.2">
      <c r="A39" s="1" t="s">
        <v>83</v>
      </c>
      <c r="B39" s="1" t="s">
        <v>82</v>
      </c>
      <c r="C39" s="1" t="s">
        <v>83</v>
      </c>
      <c r="D39" s="1" t="s">
        <v>121</v>
      </c>
      <c r="E39" s="75" t="s">
        <v>16</v>
      </c>
      <c r="F39" s="74">
        <v>0.25</v>
      </c>
      <c r="G39" s="99">
        <v>1.41</v>
      </c>
      <c r="H39" s="18">
        <v>0</v>
      </c>
      <c r="I39" s="78">
        <f t="shared" ref="I39:I44" si="0">H39*0.1</f>
        <v>0</v>
      </c>
      <c r="J39" s="77">
        <f>backup!J47*0.95</f>
        <v>3.61</v>
      </c>
      <c r="K39" s="99">
        <v>0.4</v>
      </c>
      <c r="L39" s="100">
        <f>1230</f>
        <v>1230</v>
      </c>
      <c r="M39" s="3">
        <f t="shared" ref="M39:M44" si="1">N39/2.6</f>
        <v>1.3884615384615384</v>
      </c>
      <c r="N39" s="3">
        <v>3.61</v>
      </c>
    </row>
    <row r="40" spans="1:14" ht="16" x14ac:dyDescent="0.2">
      <c r="A40" s="1" t="s">
        <v>83</v>
      </c>
      <c r="B40" s="1" t="s">
        <v>82</v>
      </c>
      <c r="C40" s="1" t="s">
        <v>83</v>
      </c>
      <c r="D40" s="1" t="s">
        <v>122</v>
      </c>
      <c r="E40" s="75" t="s">
        <v>16</v>
      </c>
      <c r="F40" s="74">
        <v>0.35</v>
      </c>
      <c r="G40" s="99">
        <v>1.34</v>
      </c>
      <c r="H40" s="18">
        <v>750</v>
      </c>
      <c r="I40" s="78">
        <f t="shared" si="0"/>
        <v>75</v>
      </c>
      <c r="J40" s="77">
        <f>backup!J48*0.95</f>
        <v>3.1587499999999995</v>
      </c>
      <c r="K40" s="99">
        <v>0.4</v>
      </c>
      <c r="L40" s="100">
        <f>410</f>
        <v>410</v>
      </c>
      <c r="M40" s="3">
        <f t="shared" si="1"/>
        <v>1.2149038461538459</v>
      </c>
      <c r="N40" s="3">
        <v>3.1587499999999995</v>
      </c>
    </row>
    <row r="41" spans="1:14" ht="16" x14ac:dyDescent="0.2">
      <c r="A41" s="1" t="s">
        <v>83</v>
      </c>
      <c r="B41" s="1" t="s">
        <v>82</v>
      </c>
      <c r="C41" s="1" t="s">
        <v>83</v>
      </c>
      <c r="D41" s="1" t="s">
        <v>123</v>
      </c>
      <c r="E41" s="75" t="s">
        <v>16</v>
      </c>
      <c r="F41" s="74">
        <v>0.44999999999999996</v>
      </c>
      <c r="G41" s="99">
        <v>1.27</v>
      </c>
      <c r="H41" s="18">
        <v>1000</v>
      </c>
      <c r="I41" s="78">
        <f t="shared" si="0"/>
        <v>100</v>
      </c>
      <c r="J41" s="77">
        <f>backup!J49*0.95</f>
        <v>2.933125</v>
      </c>
      <c r="K41" s="99">
        <v>0.4</v>
      </c>
      <c r="L41" s="100">
        <f>165</f>
        <v>165</v>
      </c>
      <c r="M41" s="3">
        <f t="shared" si="1"/>
        <v>1.128125</v>
      </c>
      <c r="N41" s="3">
        <v>2.933125</v>
      </c>
    </row>
    <row r="42" spans="1:14" ht="16" x14ac:dyDescent="0.2">
      <c r="A42" s="1" t="s">
        <v>90</v>
      </c>
      <c r="B42" s="1" t="s">
        <v>82</v>
      </c>
      <c r="C42" s="1" t="s">
        <v>90</v>
      </c>
      <c r="D42" s="1" t="s">
        <v>124</v>
      </c>
      <c r="E42" s="75" t="s">
        <v>16</v>
      </c>
      <c r="F42" s="74">
        <v>0.25</v>
      </c>
      <c r="G42" s="99">
        <v>1.35</v>
      </c>
      <c r="H42" s="18">
        <v>500</v>
      </c>
      <c r="I42" s="78">
        <f t="shared" si="0"/>
        <v>50</v>
      </c>
      <c r="J42" s="77">
        <v>3.61</v>
      </c>
      <c r="K42" s="99">
        <v>0.4</v>
      </c>
      <c r="L42" s="100">
        <v>1230</v>
      </c>
      <c r="M42" s="3">
        <f t="shared" si="1"/>
        <v>1.3884615384615384</v>
      </c>
      <c r="N42" s="3">
        <v>3.61</v>
      </c>
    </row>
    <row r="43" spans="1:14" ht="16" x14ac:dyDescent="0.2">
      <c r="A43" s="1" t="s">
        <v>90</v>
      </c>
      <c r="B43" s="1" t="s">
        <v>82</v>
      </c>
      <c r="C43" s="1" t="s">
        <v>90</v>
      </c>
      <c r="D43" s="1" t="s">
        <v>125</v>
      </c>
      <c r="E43" s="75" t="s">
        <v>16</v>
      </c>
      <c r="F43" s="74">
        <v>0.35</v>
      </c>
      <c r="G43" s="99">
        <v>1.28</v>
      </c>
      <c r="H43" s="18">
        <v>750</v>
      </c>
      <c r="I43" s="78">
        <f t="shared" si="0"/>
        <v>75</v>
      </c>
      <c r="J43" s="77">
        <v>3.1587499999999995</v>
      </c>
      <c r="K43" s="99">
        <v>0.4</v>
      </c>
      <c r="L43" s="100">
        <v>410</v>
      </c>
      <c r="M43" s="3">
        <f t="shared" si="1"/>
        <v>1.2149038461538459</v>
      </c>
      <c r="N43" s="3">
        <v>3.1587499999999995</v>
      </c>
    </row>
    <row r="44" spans="1:14" ht="16" x14ac:dyDescent="0.2">
      <c r="A44" s="1" t="s">
        <v>90</v>
      </c>
      <c r="B44" s="1" t="s">
        <v>82</v>
      </c>
      <c r="C44" s="1" t="s">
        <v>90</v>
      </c>
      <c r="D44" s="1" t="s">
        <v>126</v>
      </c>
      <c r="E44" s="75" t="s">
        <v>16</v>
      </c>
      <c r="F44" s="74">
        <v>0.44999999999999996</v>
      </c>
      <c r="G44" s="99">
        <v>1.21</v>
      </c>
      <c r="H44" s="18">
        <v>1000</v>
      </c>
      <c r="I44" s="78">
        <f t="shared" si="0"/>
        <v>100</v>
      </c>
      <c r="J44" s="77">
        <v>2.933125</v>
      </c>
      <c r="K44" s="99">
        <v>0.4</v>
      </c>
      <c r="L44" s="100">
        <v>165</v>
      </c>
      <c r="M44" s="3">
        <f t="shared" si="1"/>
        <v>1.128125</v>
      </c>
      <c r="N44" s="3">
        <v>2.933125</v>
      </c>
    </row>
    <row r="47" spans="1:14" ht="16" x14ac:dyDescent="0.2">
      <c r="A47" s="1" t="s">
        <v>83</v>
      </c>
      <c r="B47" s="1" t="s">
        <v>82</v>
      </c>
      <c r="C47" s="1" t="s">
        <v>83</v>
      </c>
      <c r="D47" s="1" t="s">
        <v>121</v>
      </c>
      <c r="E47" s="75" t="s">
        <v>17</v>
      </c>
      <c r="F47" s="101">
        <v>0.25</v>
      </c>
      <c r="G47" s="102">
        <v>1.41</v>
      </c>
      <c r="H47" s="103">
        <v>0</v>
      </c>
      <c r="I47" s="104">
        <f t="shared" ref="I47:I52" si="2">H47*0.1</f>
        <v>0</v>
      </c>
      <c r="J47" s="105">
        <f>0.95*backup!J54</f>
        <v>3.8</v>
      </c>
      <c r="K47" s="102">
        <v>0.4</v>
      </c>
      <c r="L47" s="106">
        <v>1230</v>
      </c>
      <c r="M47" s="3">
        <f t="shared" ref="M47:M52" si="3">N47/2.6</f>
        <v>1.4615384615384615</v>
      </c>
      <c r="N47" s="3">
        <v>3.8</v>
      </c>
    </row>
    <row r="48" spans="1:14" ht="16" x14ac:dyDescent="0.2">
      <c r="A48" s="1" t="s">
        <v>83</v>
      </c>
      <c r="B48" s="1" t="s">
        <v>82</v>
      </c>
      <c r="C48" s="1" t="s">
        <v>83</v>
      </c>
      <c r="D48" s="1" t="s">
        <v>122</v>
      </c>
      <c r="E48" s="75" t="s">
        <v>17</v>
      </c>
      <c r="F48" s="101">
        <v>0.35</v>
      </c>
      <c r="G48" s="102">
        <v>1.34</v>
      </c>
      <c r="H48" s="103">
        <v>800</v>
      </c>
      <c r="I48" s="104">
        <f t="shared" si="2"/>
        <v>80</v>
      </c>
      <c r="J48" s="105">
        <f>0.95*backup!J55</f>
        <v>3.3249999999999997</v>
      </c>
      <c r="K48" s="102">
        <v>0.4</v>
      </c>
      <c r="L48" s="106">
        <v>410</v>
      </c>
      <c r="M48" s="3">
        <f t="shared" si="3"/>
        <v>1.2788461538461537</v>
      </c>
      <c r="N48" s="3">
        <v>3.3249999999999997</v>
      </c>
    </row>
    <row r="49" spans="1:14" ht="16" x14ac:dyDescent="0.2">
      <c r="A49" s="1" t="s">
        <v>83</v>
      </c>
      <c r="B49" s="1" t="s">
        <v>82</v>
      </c>
      <c r="C49" s="1" t="s">
        <v>83</v>
      </c>
      <c r="D49" s="1" t="s">
        <v>123</v>
      </c>
      <c r="E49" s="75" t="s">
        <v>17</v>
      </c>
      <c r="F49" s="101">
        <v>0.44999999999999996</v>
      </c>
      <c r="G49" s="102">
        <v>1.27</v>
      </c>
      <c r="H49" s="103">
        <v>1000</v>
      </c>
      <c r="I49" s="104">
        <f t="shared" si="2"/>
        <v>100</v>
      </c>
      <c r="J49" s="105">
        <f>0.95*backup!J56</f>
        <v>3.0874999999999999</v>
      </c>
      <c r="K49" s="102">
        <v>0.4</v>
      </c>
      <c r="L49" s="106">
        <v>165</v>
      </c>
      <c r="M49" s="3">
        <f t="shared" si="3"/>
        <v>1.1875</v>
      </c>
      <c r="N49" s="3">
        <v>3.0874999999999999</v>
      </c>
    </row>
    <row r="50" spans="1:14" ht="16" x14ac:dyDescent="0.2">
      <c r="A50" s="1" t="s">
        <v>90</v>
      </c>
      <c r="B50" s="1" t="s">
        <v>82</v>
      </c>
      <c r="C50" s="1" t="s">
        <v>90</v>
      </c>
      <c r="D50" s="1" t="s">
        <v>124</v>
      </c>
      <c r="E50" s="75" t="s">
        <v>17</v>
      </c>
      <c r="F50" s="74">
        <v>0.25</v>
      </c>
      <c r="G50" s="99">
        <v>1.35</v>
      </c>
      <c r="H50" s="18">
        <v>600</v>
      </c>
      <c r="I50" s="78">
        <f t="shared" si="2"/>
        <v>60</v>
      </c>
      <c r="J50" s="77">
        <v>3.8</v>
      </c>
      <c r="K50" s="99">
        <v>0.4</v>
      </c>
      <c r="L50" s="100">
        <v>1230</v>
      </c>
      <c r="M50" s="3">
        <f t="shared" si="3"/>
        <v>1.4615384615384615</v>
      </c>
      <c r="N50" s="3">
        <v>3.8</v>
      </c>
    </row>
    <row r="51" spans="1:14" ht="16" x14ac:dyDescent="0.2">
      <c r="A51" s="1" t="s">
        <v>90</v>
      </c>
      <c r="B51" s="1" t="s">
        <v>82</v>
      </c>
      <c r="C51" s="1" t="s">
        <v>90</v>
      </c>
      <c r="D51" s="1" t="s">
        <v>125</v>
      </c>
      <c r="E51" s="75" t="s">
        <v>17</v>
      </c>
      <c r="F51" s="74">
        <v>0.35</v>
      </c>
      <c r="G51" s="99">
        <v>1.28</v>
      </c>
      <c r="H51" s="18">
        <v>800</v>
      </c>
      <c r="I51" s="78">
        <f t="shared" si="2"/>
        <v>80</v>
      </c>
      <c r="J51" s="77">
        <v>3.3249999999999997</v>
      </c>
      <c r="K51" s="99">
        <v>0.4</v>
      </c>
      <c r="L51" s="100">
        <v>410</v>
      </c>
      <c r="M51" s="3">
        <f t="shared" si="3"/>
        <v>1.2788461538461537</v>
      </c>
      <c r="N51" s="3">
        <v>3.3249999999999997</v>
      </c>
    </row>
    <row r="52" spans="1:14" ht="16" x14ac:dyDescent="0.2">
      <c r="A52" s="1" t="s">
        <v>90</v>
      </c>
      <c r="B52" s="1" t="s">
        <v>82</v>
      </c>
      <c r="C52" s="1" t="s">
        <v>90</v>
      </c>
      <c r="D52" s="1" t="s">
        <v>126</v>
      </c>
      <c r="E52" s="75" t="s">
        <v>17</v>
      </c>
      <c r="F52" s="74">
        <v>0.44999999999999996</v>
      </c>
      <c r="G52" s="99">
        <v>1.21</v>
      </c>
      <c r="H52" s="18">
        <v>1000</v>
      </c>
      <c r="I52" s="78">
        <f t="shared" si="2"/>
        <v>100</v>
      </c>
      <c r="J52" s="77">
        <v>3.0874999999999999</v>
      </c>
      <c r="K52" s="99">
        <v>0.4</v>
      </c>
      <c r="L52" s="100">
        <v>165</v>
      </c>
      <c r="M52" s="3">
        <f t="shared" si="3"/>
        <v>1.1875</v>
      </c>
      <c r="N52" s="3">
        <v>3.0874999999999999</v>
      </c>
    </row>
    <row r="54" spans="1:14" ht="16" x14ac:dyDescent="0.2">
      <c r="A54" s="1" t="s">
        <v>83</v>
      </c>
      <c r="B54" s="1" t="s">
        <v>82</v>
      </c>
      <c r="C54" s="1" t="s">
        <v>83</v>
      </c>
      <c r="D54" s="1" t="s">
        <v>121</v>
      </c>
      <c r="E54" s="75" t="s">
        <v>18</v>
      </c>
      <c r="F54" s="101">
        <v>0.25</v>
      </c>
      <c r="G54" s="102">
        <v>1.41</v>
      </c>
      <c r="H54" s="103">
        <v>0</v>
      </c>
      <c r="I54" s="104">
        <f t="shared" ref="I54:I59" si="4">H54*0.1</f>
        <v>0</v>
      </c>
      <c r="J54" s="105">
        <v>4</v>
      </c>
      <c r="K54" s="102">
        <v>0.4</v>
      </c>
      <c r="L54" s="106">
        <v>1230</v>
      </c>
      <c r="M54" s="3">
        <f t="shared" ref="M54:M59" si="5">N54/2.6</f>
        <v>1.5384615384615383</v>
      </c>
      <c r="N54" s="3">
        <v>4</v>
      </c>
    </row>
    <row r="55" spans="1:14" ht="16" x14ac:dyDescent="0.2">
      <c r="A55" s="1" t="s">
        <v>83</v>
      </c>
      <c r="B55" s="1" t="s">
        <v>82</v>
      </c>
      <c r="C55" s="1" t="s">
        <v>83</v>
      </c>
      <c r="D55" s="1" t="s">
        <v>122</v>
      </c>
      <c r="E55" s="75" t="s">
        <v>18</v>
      </c>
      <c r="F55" s="101">
        <v>0.35</v>
      </c>
      <c r="G55" s="102">
        <v>1.34</v>
      </c>
      <c r="H55" s="103">
        <v>900</v>
      </c>
      <c r="I55" s="104">
        <f t="shared" si="4"/>
        <v>90</v>
      </c>
      <c r="J55" s="105">
        <v>3.5</v>
      </c>
      <c r="K55" s="102">
        <v>0.4</v>
      </c>
      <c r="L55" s="106">
        <v>410</v>
      </c>
      <c r="M55" s="3">
        <f t="shared" si="5"/>
        <v>1.346153846153846</v>
      </c>
      <c r="N55" s="3">
        <v>3.5</v>
      </c>
    </row>
    <row r="56" spans="1:14" ht="16" x14ac:dyDescent="0.2">
      <c r="A56" s="1" t="s">
        <v>83</v>
      </c>
      <c r="B56" s="1" t="s">
        <v>82</v>
      </c>
      <c r="C56" s="1" t="s">
        <v>83</v>
      </c>
      <c r="D56" s="1" t="s">
        <v>123</v>
      </c>
      <c r="E56" s="75" t="s">
        <v>18</v>
      </c>
      <c r="F56" s="101">
        <v>0.44999999999999996</v>
      </c>
      <c r="G56" s="102">
        <v>1.27</v>
      </c>
      <c r="H56" s="103">
        <v>1000</v>
      </c>
      <c r="I56" s="104">
        <f t="shared" si="4"/>
        <v>100</v>
      </c>
      <c r="J56" s="105">
        <v>3.25</v>
      </c>
      <c r="K56" s="102">
        <v>0.4</v>
      </c>
      <c r="L56" s="106">
        <v>165</v>
      </c>
      <c r="M56" s="3">
        <f t="shared" si="5"/>
        <v>1.25</v>
      </c>
      <c r="N56" s="3">
        <v>3.25</v>
      </c>
    </row>
    <row r="57" spans="1:14" ht="16" x14ac:dyDescent="0.2">
      <c r="A57" s="1" t="s">
        <v>90</v>
      </c>
      <c r="B57" s="1" t="s">
        <v>82</v>
      </c>
      <c r="C57" s="1" t="s">
        <v>90</v>
      </c>
      <c r="D57" s="1" t="s">
        <v>124</v>
      </c>
      <c r="E57" s="75" t="s">
        <v>18</v>
      </c>
      <c r="F57" s="101">
        <v>0.25</v>
      </c>
      <c r="G57" s="102">
        <v>1.35</v>
      </c>
      <c r="H57" s="103">
        <v>700</v>
      </c>
      <c r="I57" s="104">
        <f t="shared" si="4"/>
        <v>70</v>
      </c>
      <c r="J57" s="105">
        <v>4</v>
      </c>
      <c r="K57" s="102">
        <v>0.4</v>
      </c>
      <c r="L57" s="106">
        <v>1230</v>
      </c>
      <c r="M57" s="3">
        <f t="shared" si="5"/>
        <v>1.5384615384615383</v>
      </c>
      <c r="N57" s="3">
        <v>4</v>
      </c>
    </row>
    <row r="58" spans="1:14" ht="16" x14ac:dyDescent="0.2">
      <c r="A58" s="1" t="s">
        <v>90</v>
      </c>
      <c r="B58" s="1" t="s">
        <v>82</v>
      </c>
      <c r="C58" s="1" t="s">
        <v>90</v>
      </c>
      <c r="D58" s="1" t="s">
        <v>125</v>
      </c>
      <c r="E58" s="75" t="s">
        <v>18</v>
      </c>
      <c r="F58" s="74">
        <v>0.35</v>
      </c>
      <c r="G58" s="99">
        <v>1.28</v>
      </c>
      <c r="H58" s="18">
        <v>900</v>
      </c>
      <c r="I58" s="78">
        <f t="shared" si="4"/>
        <v>90</v>
      </c>
      <c r="J58" s="77">
        <v>3.5</v>
      </c>
      <c r="K58" s="99">
        <v>0.4</v>
      </c>
      <c r="L58" s="100">
        <v>410</v>
      </c>
      <c r="M58" s="3">
        <f t="shared" si="5"/>
        <v>1.346153846153846</v>
      </c>
      <c r="N58" s="3">
        <v>3.5</v>
      </c>
    </row>
    <row r="59" spans="1:14" ht="16" x14ac:dyDescent="0.2">
      <c r="A59" s="1" t="s">
        <v>90</v>
      </c>
      <c r="B59" s="1" t="s">
        <v>82</v>
      </c>
      <c r="C59" s="1" t="s">
        <v>90</v>
      </c>
      <c r="D59" s="1" t="s">
        <v>126</v>
      </c>
      <c r="E59" s="75" t="s">
        <v>18</v>
      </c>
      <c r="F59" s="74">
        <v>0.44999999999999996</v>
      </c>
      <c r="G59" s="99">
        <v>1.21</v>
      </c>
      <c r="H59" s="18">
        <v>1000</v>
      </c>
      <c r="I59" s="78">
        <f t="shared" si="4"/>
        <v>100</v>
      </c>
      <c r="J59" s="77">
        <v>3.25</v>
      </c>
      <c r="K59" s="99">
        <v>0.4</v>
      </c>
      <c r="L59" s="100">
        <v>165</v>
      </c>
      <c r="M59" s="3">
        <f t="shared" si="5"/>
        <v>1.25</v>
      </c>
      <c r="N59" s="3">
        <v>3.25</v>
      </c>
    </row>
    <row r="61" spans="1:14" ht="16" x14ac:dyDescent="0.2">
      <c r="A61" s="1" t="s">
        <v>83</v>
      </c>
      <c r="B61" s="1" t="s">
        <v>82</v>
      </c>
      <c r="C61" s="1" t="s">
        <v>83</v>
      </c>
      <c r="D61" s="1" t="s">
        <v>121</v>
      </c>
      <c r="E61" s="75" t="s">
        <v>15</v>
      </c>
      <c r="F61" s="107">
        <v>0.15</v>
      </c>
      <c r="G61" s="102">
        <v>1.41</v>
      </c>
      <c r="H61" s="103">
        <v>0</v>
      </c>
      <c r="I61" s="104">
        <v>0</v>
      </c>
      <c r="J61" s="105">
        <v>3.61</v>
      </c>
      <c r="K61" s="102">
        <v>0.4</v>
      </c>
      <c r="L61" s="106">
        <v>1230</v>
      </c>
      <c r="M61" s="3">
        <f t="shared" ref="M61:M66" si="6">N61/2.6</f>
        <v>1.3884615384615384</v>
      </c>
      <c r="N61" s="3">
        <v>3.61</v>
      </c>
    </row>
    <row r="62" spans="1:14" ht="16" x14ac:dyDescent="0.2">
      <c r="A62" s="1" t="s">
        <v>83</v>
      </c>
      <c r="B62" s="1" t="s">
        <v>82</v>
      </c>
      <c r="C62" s="1" t="s">
        <v>83</v>
      </c>
      <c r="D62" s="1" t="s">
        <v>122</v>
      </c>
      <c r="E62" s="75" t="s">
        <v>15</v>
      </c>
      <c r="F62" s="107">
        <v>0.25</v>
      </c>
      <c r="G62" s="102">
        <v>1.34</v>
      </c>
      <c r="H62" s="103">
        <v>750</v>
      </c>
      <c r="I62" s="104">
        <v>75</v>
      </c>
      <c r="J62" s="105">
        <v>3.1587499999999995</v>
      </c>
      <c r="K62" s="102">
        <v>0.4</v>
      </c>
      <c r="L62" s="106">
        <v>410</v>
      </c>
      <c r="M62" s="3">
        <f t="shared" si="6"/>
        <v>1.2149038461538459</v>
      </c>
      <c r="N62" s="3">
        <v>3.1587499999999995</v>
      </c>
    </row>
    <row r="63" spans="1:14" ht="16" x14ac:dyDescent="0.2">
      <c r="A63" s="1" t="s">
        <v>83</v>
      </c>
      <c r="B63" s="1" t="s">
        <v>82</v>
      </c>
      <c r="C63" s="1" t="s">
        <v>83</v>
      </c>
      <c r="D63" s="1" t="s">
        <v>123</v>
      </c>
      <c r="E63" s="75" t="s">
        <v>15</v>
      </c>
      <c r="F63" s="107">
        <v>0.35</v>
      </c>
      <c r="G63" s="102">
        <v>1.27</v>
      </c>
      <c r="H63" s="103">
        <v>1000</v>
      </c>
      <c r="I63" s="104">
        <v>100</v>
      </c>
      <c r="J63" s="105">
        <v>2.933125</v>
      </c>
      <c r="K63" s="102">
        <v>0.4</v>
      </c>
      <c r="L63" s="106">
        <v>165</v>
      </c>
      <c r="M63" s="3">
        <f t="shared" si="6"/>
        <v>1.128125</v>
      </c>
      <c r="N63" s="3">
        <v>2.933125</v>
      </c>
    </row>
    <row r="64" spans="1:14" ht="16" x14ac:dyDescent="0.2">
      <c r="A64" s="1" t="s">
        <v>90</v>
      </c>
      <c r="B64" s="1" t="s">
        <v>82</v>
      </c>
      <c r="C64" s="1" t="s">
        <v>90</v>
      </c>
      <c r="D64" s="1" t="s">
        <v>124</v>
      </c>
      <c r="E64" s="75" t="s">
        <v>15</v>
      </c>
      <c r="F64" s="107">
        <v>0.15</v>
      </c>
      <c r="G64" s="102">
        <v>1.35</v>
      </c>
      <c r="H64" s="103">
        <v>500</v>
      </c>
      <c r="I64" s="104">
        <v>50</v>
      </c>
      <c r="J64" s="105">
        <v>3.61</v>
      </c>
      <c r="K64" s="102">
        <v>0.4</v>
      </c>
      <c r="L64" s="106">
        <v>1230</v>
      </c>
      <c r="M64" s="3">
        <f t="shared" si="6"/>
        <v>1.3884615384615384</v>
      </c>
      <c r="N64" s="3">
        <v>3.61</v>
      </c>
    </row>
    <row r="65" spans="1:14" ht="16" x14ac:dyDescent="0.2">
      <c r="A65" s="1" t="s">
        <v>90</v>
      </c>
      <c r="B65" s="1" t="s">
        <v>82</v>
      </c>
      <c r="C65" s="1" t="s">
        <v>90</v>
      </c>
      <c r="D65" s="1" t="s">
        <v>125</v>
      </c>
      <c r="E65" s="75" t="s">
        <v>15</v>
      </c>
      <c r="F65" s="107">
        <v>0.25</v>
      </c>
      <c r="G65" s="102">
        <v>1.28</v>
      </c>
      <c r="H65" s="103">
        <v>750</v>
      </c>
      <c r="I65" s="104">
        <v>75</v>
      </c>
      <c r="J65" s="105">
        <v>3.1587499999999995</v>
      </c>
      <c r="K65" s="102">
        <v>0.4</v>
      </c>
      <c r="L65" s="106">
        <v>410</v>
      </c>
      <c r="M65" s="3">
        <f t="shared" si="6"/>
        <v>1.2149038461538459</v>
      </c>
      <c r="N65" s="3">
        <v>3.1587499999999995</v>
      </c>
    </row>
    <row r="66" spans="1:14" ht="16" x14ac:dyDescent="0.2">
      <c r="A66" s="1" t="s">
        <v>90</v>
      </c>
      <c r="B66" s="1" t="s">
        <v>82</v>
      </c>
      <c r="C66" s="1" t="s">
        <v>90</v>
      </c>
      <c r="D66" s="1" t="s">
        <v>126</v>
      </c>
      <c r="E66" s="75" t="s">
        <v>15</v>
      </c>
      <c r="F66" s="107">
        <v>0.35</v>
      </c>
      <c r="G66" s="102">
        <v>1.21</v>
      </c>
      <c r="H66" s="103">
        <v>1000</v>
      </c>
      <c r="I66" s="104">
        <v>100</v>
      </c>
      <c r="J66" s="105">
        <v>2.933125</v>
      </c>
      <c r="K66" s="102">
        <v>0.4</v>
      </c>
      <c r="L66" s="106">
        <v>165</v>
      </c>
      <c r="M66" s="3">
        <f t="shared" si="6"/>
        <v>1.128125</v>
      </c>
      <c r="N66" s="3">
        <v>2.933125</v>
      </c>
    </row>
    <row r="68" spans="1:14" ht="16" x14ac:dyDescent="0.2">
      <c r="A68" s="1" t="s">
        <v>83</v>
      </c>
      <c r="B68" s="1" t="s">
        <v>97</v>
      </c>
      <c r="C68" s="1" t="s">
        <v>83</v>
      </c>
      <c r="D68" s="1" t="s">
        <v>121</v>
      </c>
      <c r="E68" s="75" t="s">
        <v>16</v>
      </c>
      <c r="F68" s="107">
        <v>0.15</v>
      </c>
      <c r="G68" s="102">
        <v>1.41</v>
      </c>
      <c r="H68" s="103">
        <v>0</v>
      </c>
      <c r="I68" s="104">
        <v>0</v>
      </c>
      <c r="J68" s="105">
        <v>3.61</v>
      </c>
      <c r="K68" s="102">
        <v>0.4</v>
      </c>
      <c r="L68" s="106">
        <v>1230</v>
      </c>
      <c r="M68" s="3">
        <f t="shared" ref="M68:M91" si="7">N68/2.6</f>
        <v>1.3884615384615384</v>
      </c>
      <c r="N68" s="3">
        <v>3.61</v>
      </c>
    </row>
    <row r="69" spans="1:14" ht="16" x14ac:dyDescent="0.2">
      <c r="A69" s="1" t="s">
        <v>83</v>
      </c>
      <c r="B69" s="1" t="s">
        <v>97</v>
      </c>
      <c r="C69" s="1" t="s">
        <v>83</v>
      </c>
      <c r="D69" s="1" t="s">
        <v>122</v>
      </c>
      <c r="E69" s="75" t="s">
        <v>16</v>
      </c>
      <c r="F69" s="107">
        <v>0.25</v>
      </c>
      <c r="G69" s="102">
        <v>1.34</v>
      </c>
      <c r="H69" s="103">
        <v>750</v>
      </c>
      <c r="I69" s="104">
        <v>75</v>
      </c>
      <c r="J69" s="105">
        <v>3.1587499999999995</v>
      </c>
      <c r="K69" s="102">
        <v>0.4</v>
      </c>
      <c r="L69" s="106">
        <v>410</v>
      </c>
      <c r="M69" s="3">
        <f t="shared" si="7"/>
        <v>1.2149038461538459</v>
      </c>
      <c r="N69" s="3">
        <v>3.1587499999999995</v>
      </c>
    </row>
    <row r="70" spans="1:14" ht="16" x14ac:dyDescent="0.2">
      <c r="A70" s="1" t="s">
        <v>83</v>
      </c>
      <c r="B70" s="1" t="s">
        <v>97</v>
      </c>
      <c r="C70" s="1" t="s">
        <v>83</v>
      </c>
      <c r="D70" s="1" t="s">
        <v>123</v>
      </c>
      <c r="E70" s="75" t="s">
        <v>16</v>
      </c>
      <c r="F70" s="107">
        <v>0.35</v>
      </c>
      <c r="G70" s="102">
        <v>1.27</v>
      </c>
      <c r="H70" s="103">
        <v>1000</v>
      </c>
      <c r="I70" s="104">
        <v>100</v>
      </c>
      <c r="J70" s="105">
        <v>2.933125</v>
      </c>
      <c r="K70" s="102">
        <v>0.4</v>
      </c>
      <c r="L70" s="106">
        <v>165</v>
      </c>
      <c r="M70" s="3">
        <f t="shared" si="7"/>
        <v>1.128125</v>
      </c>
      <c r="N70" s="3">
        <v>2.933125</v>
      </c>
    </row>
    <row r="71" spans="1:14" ht="16" x14ac:dyDescent="0.2">
      <c r="A71" s="1" t="s">
        <v>83</v>
      </c>
      <c r="B71" s="1" t="s">
        <v>97</v>
      </c>
      <c r="C71" s="1" t="s">
        <v>83</v>
      </c>
      <c r="D71" s="1" t="s">
        <v>121</v>
      </c>
      <c r="E71" s="75" t="s">
        <v>17</v>
      </c>
      <c r="F71" s="107">
        <v>0.15</v>
      </c>
      <c r="G71" s="102">
        <v>1.41</v>
      </c>
      <c r="H71" s="103">
        <v>0</v>
      </c>
      <c r="I71" s="104">
        <v>0</v>
      </c>
      <c r="J71" s="105">
        <v>3.8</v>
      </c>
      <c r="K71" s="102">
        <v>0.4</v>
      </c>
      <c r="L71" s="106">
        <v>1230</v>
      </c>
      <c r="M71" s="3">
        <f t="shared" si="7"/>
        <v>1.4615384615384615</v>
      </c>
      <c r="N71" s="3">
        <v>3.8</v>
      </c>
    </row>
    <row r="72" spans="1:14" ht="16" x14ac:dyDescent="0.2">
      <c r="A72" s="1" t="s">
        <v>83</v>
      </c>
      <c r="B72" s="1" t="s">
        <v>97</v>
      </c>
      <c r="C72" s="1" t="s">
        <v>83</v>
      </c>
      <c r="D72" s="1" t="s">
        <v>122</v>
      </c>
      <c r="E72" s="75" t="s">
        <v>17</v>
      </c>
      <c r="F72" s="107">
        <v>0.25</v>
      </c>
      <c r="G72" s="102">
        <v>1.34</v>
      </c>
      <c r="H72" s="103">
        <v>800</v>
      </c>
      <c r="I72" s="104">
        <v>80</v>
      </c>
      <c r="J72" s="105">
        <v>3.3249999999999997</v>
      </c>
      <c r="K72" s="102">
        <v>0.4</v>
      </c>
      <c r="L72" s="106">
        <v>410</v>
      </c>
      <c r="M72" s="3">
        <f t="shared" si="7"/>
        <v>1.2788461538461537</v>
      </c>
      <c r="N72" s="3">
        <v>3.3249999999999997</v>
      </c>
    </row>
    <row r="73" spans="1:14" ht="16" x14ac:dyDescent="0.2">
      <c r="A73" s="1" t="s">
        <v>83</v>
      </c>
      <c r="B73" s="1" t="s">
        <v>97</v>
      </c>
      <c r="C73" s="1" t="s">
        <v>83</v>
      </c>
      <c r="D73" s="1" t="s">
        <v>123</v>
      </c>
      <c r="E73" s="75" t="s">
        <v>17</v>
      </c>
      <c r="F73" s="107">
        <v>0.35</v>
      </c>
      <c r="G73" s="102">
        <v>1.27</v>
      </c>
      <c r="H73" s="103">
        <v>1000</v>
      </c>
      <c r="I73" s="104">
        <v>100</v>
      </c>
      <c r="J73" s="105">
        <v>3.0874999999999999</v>
      </c>
      <c r="K73" s="102">
        <v>0.4</v>
      </c>
      <c r="L73" s="106">
        <v>165</v>
      </c>
      <c r="M73" s="3">
        <f t="shared" si="7"/>
        <v>1.1875</v>
      </c>
      <c r="N73" s="3">
        <v>3.0874999999999999</v>
      </c>
    </row>
    <row r="74" spans="1:14" ht="16" x14ac:dyDescent="0.2">
      <c r="A74" s="1" t="s">
        <v>83</v>
      </c>
      <c r="B74" s="1" t="s">
        <v>97</v>
      </c>
      <c r="C74" s="1" t="s">
        <v>83</v>
      </c>
      <c r="D74" s="1" t="s">
        <v>121</v>
      </c>
      <c r="E74" s="75" t="s">
        <v>18</v>
      </c>
      <c r="F74" s="107">
        <v>0.15</v>
      </c>
      <c r="G74" s="102">
        <v>1.41</v>
      </c>
      <c r="H74" s="103">
        <v>0</v>
      </c>
      <c r="I74" s="104">
        <v>0</v>
      </c>
      <c r="J74" s="105">
        <v>4</v>
      </c>
      <c r="K74" s="102">
        <v>0.4</v>
      </c>
      <c r="L74" s="106">
        <v>1230</v>
      </c>
      <c r="M74" s="3">
        <f t="shared" si="7"/>
        <v>1.5384615384615383</v>
      </c>
      <c r="N74" s="3">
        <v>4</v>
      </c>
    </row>
    <row r="75" spans="1:14" ht="16" x14ac:dyDescent="0.2">
      <c r="A75" s="1" t="s">
        <v>83</v>
      </c>
      <c r="B75" s="1" t="s">
        <v>97</v>
      </c>
      <c r="C75" s="1" t="s">
        <v>83</v>
      </c>
      <c r="D75" s="1" t="s">
        <v>122</v>
      </c>
      <c r="E75" s="75" t="s">
        <v>18</v>
      </c>
      <c r="F75" s="107">
        <v>0.25</v>
      </c>
      <c r="G75" s="102">
        <v>1.34</v>
      </c>
      <c r="H75" s="103">
        <v>900</v>
      </c>
      <c r="I75" s="104">
        <v>90</v>
      </c>
      <c r="J75" s="105">
        <v>3.5</v>
      </c>
      <c r="K75" s="102">
        <v>0.4</v>
      </c>
      <c r="L75" s="106">
        <v>410</v>
      </c>
      <c r="M75" s="3">
        <f t="shared" si="7"/>
        <v>1.346153846153846</v>
      </c>
      <c r="N75" s="3">
        <v>3.5</v>
      </c>
    </row>
    <row r="76" spans="1:14" ht="16" x14ac:dyDescent="0.2">
      <c r="A76" s="1" t="s">
        <v>83</v>
      </c>
      <c r="B76" s="1" t="s">
        <v>97</v>
      </c>
      <c r="C76" s="1" t="s">
        <v>83</v>
      </c>
      <c r="D76" s="1" t="s">
        <v>123</v>
      </c>
      <c r="E76" s="75" t="s">
        <v>18</v>
      </c>
      <c r="F76" s="107">
        <v>0.35</v>
      </c>
      <c r="G76" s="102">
        <v>1.27</v>
      </c>
      <c r="H76" s="103">
        <v>1000</v>
      </c>
      <c r="I76" s="104">
        <v>100</v>
      </c>
      <c r="J76" s="105">
        <v>3.25</v>
      </c>
      <c r="K76" s="102">
        <v>0.4</v>
      </c>
      <c r="L76" s="106">
        <v>165</v>
      </c>
      <c r="M76" s="3">
        <f t="shared" si="7"/>
        <v>1.25</v>
      </c>
      <c r="N76" s="3">
        <v>3.25</v>
      </c>
    </row>
    <row r="77" spans="1:14" ht="16" x14ac:dyDescent="0.2">
      <c r="A77" s="1" t="s">
        <v>83</v>
      </c>
      <c r="B77" s="1" t="s">
        <v>97</v>
      </c>
      <c r="C77" s="1" t="s">
        <v>83</v>
      </c>
      <c r="D77" s="1" t="s">
        <v>121</v>
      </c>
      <c r="E77" s="75" t="s">
        <v>15</v>
      </c>
      <c r="F77" s="107">
        <v>0.15</v>
      </c>
      <c r="G77" s="102">
        <v>1.41</v>
      </c>
      <c r="H77" s="103">
        <v>0</v>
      </c>
      <c r="I77" s="104">
        <v>0</v>
      </c>
      <c r="J77" s="105">
        <v>3.61</v>
      </c>
      <c r="K77" s="102">
        <v>0.4</v>
      </c>
      <c r="L77" s="106">
        <v>1230</v>
      </c>
      <c r="M77" s="3">
        <f t="shared" si="7"/>
        <v>1.3884615384615384</v>
      </c>
      <c r="N77" s="3">
        <v>3.61</v>
      </c>
    </row>
    <row r="78" spans="1:14" ht="16" x14ac:dyDescent="0.2">
      <c r="A78" s="1" t="s">
        <v>83</v>
      </c>
      <c r="B78" s="1" t="s">
        <v>97</v>
      </c>
      <c r="C78" s="1" t="s">
        <v>83</v>
      </c>
      <c r="D78" s="1" t="s">
        <v>122</v>
      </c>
      <c r="E78" s="75" t="s">
        <v>15</v>
      </c>
      <c r="F78" s="107">
        <v>0.25</v>
      </c>
      <c r="G78" s="102">
        <v>1.34</v>
      </c>
      <c r="H78" s="103">
        <v>750</v>
      </c>
      <c r="I78" s="104">
        <v>75</v>
      </c>
      <c r="J78" s="105">
        <v>3.1587499999999995</v>
      </c>
      <c r="K78" s="102">
        <v>0.4</v>
      </c>
      <c r="L78" s="106">
        <v>410</v>
      </c>
      <c r="M78" s="3">
        <f t="shared" si="7"/>
        <v>1.2149038461538459</v>
      </c>
      <c r="N78" s="3">
        <v>3.1587499999999995</v>
      </c>
    </row>
    <row r="79" spans="1:14" ht="16" x14ac:dyDescent="0.2">
      <c r="A79" s="1" t="s">
        <v>83</v>
      </c>
      <c r="B79" s="1" t="s">
        <v>97</v>
      </c>
      <c r="C79" s="1" t="s">
        <v>83</v>
      </c>
      <c r="D79" s="1" t="s">
        <v>123</v>
      </c>
      <c r="E79" s="75" t="s">
        <v>15</v>
      </c>
      <c r="F79" s="107">
        <v>0.35</v>
      </c>
      <c r="G79" s="102">
        <v>1.27</v>
      </c>
      <c r="H79" s="103">
        <v>1000</v>
      </c>
      <c r="I79" s="104">
        <v>100</v>
      </c>
      <c r="J79" s="105">
        <v>2.933125</v>
      </c>
      <c r="K79" s="102">
        <v>0.4</v>
      </c>
      <c r="L79" s="106">
        <v>165</v>
      </c>
      <c r="M79" s="3">
        <f t="shared" si="7"/>
        <v>1.128125</v>
      </c>
      <c r="N79" s="3">
        <v>2.933125</v>
      </c>
    </row>
    <row r="80" spans="1:14" ht="16" x14ac:dyDescent="0.2">
      <c r="A80" s="1" t="s">
        <v>90</v>
      </c>
      <c r="B80" s="1" t="s">
        <v>97</v>
      </c>
      <c r="C80" s="1" t="s">
        <v>90</v>
      </c>
      <c r="D80" s="1" t="s">
        <v>124</v>
      </c>
      <c r="E80" s="75" t="s">
        <v>16</v>
      </c>
      <c r="F80" s="107">
        <v>0.25</v>
      </c>
      <c r="G80" s="102">
        <v>1.35</v>
      </c>
      <c r="H80" s="103">
        <v>500</v>
      </c>
      <c r="I80" s="104">
        <f t="shared" ref="I80:I88" si="8">H80*0.1</f>
        <v>50</v>
      </c>
      <c r="J80" s="105">
        <v>3.61</v>
      </c>
      <c r="K80" s="102">
        <v>0.4</v>
      </c>
      <c r="L80" s="106">
        <v>1230</v>
      </c>
      <c r="M80" s="3">
        <f t="shared" si="7"/>
        <v>1.3884615384615384</v>
      </c>
      <c r="N80" s="3">
        <v>3.61</v>
      </c>
    </row>
    <row r="81" spans="1:14" ht="16" x14ac:dyDescent="0.2">
      <c r="A81" s="1" t="s">
        <v>90</v>
      </c>
      <c r="B81" s="1" t="s">
        <v>97</v>
      </c>
      <c r="C81" s="1" t="s">
        <v>90</v>
      </c>
      <c r="D81" s="1" t="s">
        <v>125</v>
      </c>
      <c r="E81" s="75" t="s">
        <v>16</v>
      </c>
      <c r="F81" s="107">
        <v>0.35</v>
      </c>
      <c r="G81" s="102">
        <v>1.28</v>
      </c>
      <c r="H81" s="103">
        <v>750</v>
      </c>
      <c r="I81" s="104">
        <f t="shared" si="8"/>
        <v>75</v>
      </c>
      <c r="J81" s="105">
        <v>3.1587499999999995</v>
      </c>
      <c r="K81" s="102">
        <v>0.4</v>
      </c>
      <c r="L81" s="106">
        <v>410</v>
      </c>
      <c r="M81" s="3">
        <f t="shared" si="7"/>
        <v>1.2149038461538459</v>
      </c>
      <c r="N81" s="3">
        <v>3.1587499999999995</v>
      </c>
    </row>
    <row r="82" spans="1:14" ht="16" x14ac:dyDescent="0.2">
      <c r="A82" s="1" t="s">
        <v>90</v>
      </c>
      <c r="B82" s="1" t="s">
        <v>97</v>
      </c>
      <c r="C82" s="1" t="s">
        <v>90</v>
      </c>
      <c r="D82" s="1" t="s">
        <v>126</v>
      </c>
      <c r="E82" s="75" t="s">
        <v>16</v>
      </c>
      <c r="F82" s="107">
        <v>0.44999999999999996</v>
      </c>
      <c r="G82" s="102">
        <v>1.21</v>
      </c>
      <c r="H82" s="103">
        <v>1000</v>
      </c>
      <c r="I82" s="104">
        <f t="shared" si="8"/>
        <v>100</v>
      </c>
      <c r="J82" s="105">
        <v>2.933125</v>
      </c>
      <c r="K82" s="102">
        <v>0.4</v>
      </c>
      <c r="L82" s="106">
        <v>165</v>
      </c>
      <c r="M82" s="3">
        <f t="shared" si="7"/>
        <v>1.128125</v>
      </c>
      <c r="N82" s="3">
        <v>2.933125</v>
      </c>
    </row>
    <row r="83" spans="1:14" ht="16" x14ac:dyDescent="0.2">
      <c r="A83" s="1" t="s">
        <v>90</v>
      </c>
      <c r="B83" s="1" t="s">
        <v>97</v>
      </c>
      <c r="C83" s="1" t="s">
        <v>90</v>
      </c>
      <c r="D83" s="1" t="s">
        <v>124</v>
      </c>
      <c r="E83" s="75" t="s">
        <v>17</v>
      </c>
      <c r="F83" s="101">
        <v>0.25</v>
      </c>
      <c r="G83" s="102">
        <v>1.35</v>
      </c>
      <c r="H83" s="103">
        <v>600</v>
      </c>
      <c r="I83" s="104">
        <f t="shared" si="8"/>
        <v>60</v>
      </c>
      <c r="J83" s="105">
        <v>3.8</v>
      </c>
      <c r="K83" s="102">
        <v>0.4</v>
      </c>
      <c r="L83" s="106">
        <v>1230</v>
      </c>
      <c r="M83" s="3">
        <f t="shared" si="7"/>
        <v>1.4615384615384615</v>
      </c>
      <c r="N83" s="3">
        <v>3.8</v>
      </c>
    </row>
    <row r="84" spans="1:14" ht="16" x14ac:dyDescent="0.2">
      <c r="A84" s="1" t="s">
        <v>90</v>
      </c>
      <c r="B84" s="1" t="s">
        <v>97</v>
      </c>
      <c r="C84" s="1" t="s">
        <v>90</v>
      </c>
      <c r="D84" s="1" t="s">
        <v>125</v>
      </c>
      <c r="E84" s="75" t="s">
        <v>17</v>
      </c>
      <c r="F84" s="101">
        <v>0.35</v>
      </c>
      <c r="G84" s="102">
        <v>1.28</v>
      </c>
      <c r="H84" s="103">
        <v>800</v>
      </c>
      <c r="I84" s="104">
        <f t="shared" si="8"/>
        <v>80</v>
      </c>
      <c r="J84" s="105">
        <v>3.3249999999999997</v>
      </c>
      <c r="K84" s="102">
        <v>0.4</v>
      </c>
      <c r="L84" s="106">
        <v>410</v>
      </c>
      <c r="M84" s="3">
        <f t="shared" si="7"/>
        <v>1.2788461538461537</v>
      </c>
      <c r="N84" s="3">
        <v>3.3249999999999997</v>
      </c>
    </row>
    <row r="85" spans="1:14" ht="16" x14ac:dyDescent="0.2">
      <c r="A85" s="1" t="s">
        <v>90</v>
      </c>
      <c r="B85" s="1" t="s">
        <v>97</v>
      </c>
      <c r="C85" s="1" t="s">
        <v>90</v>
      </c>
      <c r="D85" s="1" t="s">
        <v>126</v>
      </c>
      <c r="E85" s="75" t="s">
        <v>17</v>
      </c>
      <c r="F85" s="101">
        <v>0.44999999999999996</v>
      </c>
      <c r="G85" s="102">
        <v>1.21</v>
      </c>
      <c r="H85" s="103">
        <v>1000</v>
      </c>
      <c r="I85" s="104">
        <f t="shared" si="8"/>
        <v>100</v>
      </c>
      <c r="J85" s="105">
        <v>3.0874999999999999</v>
      </c>
      <c r="K85" s="102">
        <v>0.4</v>
      </c>
      <c r="L85" s="106">
        <v>165</v>
      </c>
      <c r="M85" s="3">
        <f t="shared" si="7"/>
        <v>1.1875</v>
      </c>
      <c r="N85" s="3">
        <v>3.0874999999999999</v>
      </c>
    </row>
    <row r="86" spans="1:14" ht="16" x14ac:dyDescent="0.2">
      <c r="A86" s="1" t="s">
        <v>90</v>
      </c>
      <c r="B86" s="1" t="s">
        <v>97</v>
      </c>
      <c r="C86" s="1" t="s">
        <v>90</v>
      </c>
      <c r="D86" s="1" t="s">
        <v>124</v>
      </c>
      <c r="E86" s="75" t="s">
        <v>18</v>
      </c>
      <c r="F86" s="101">
        <v>0.25</v>
      </c>
      <c r="G86" s="102">
        <v>1.35</v>
      </c>
      <c r="H86" s="103">
        <v>700</v>
      </c>
      <c r="I86" s="104">
        <f t="shared" si="8"/>
        <v>70</v>
      </c>
      <c r="J86" s="105">
        <v>4</v>
      </c>
      <c r="K86" s="102">
        <v>0.4</v>
      </c>
      <c r="L86" s="106">
        <v>1230</v>
      </c>
      <c r="M86" s="3">
        <f t="shared" si="7"/>
        <v>1.5384615384615383</v>
      </c>
      <c r="N86" s="3">
        <v>4</v>
      </c>
    </row>
    <row r="87" spans="1:14" ht="16" x14ac:dyDescent="0.2">
      <c r="A87" s="1" t="s">
        <v>90</v>
      </c>
      <c r="B87" s="1" t="s">
        <v>97</v>
      </c>
      <c r="C87" s="1" t="s">
        <v>90</v>
      </c>
      <c r="D87" s="1" t="s">
        <v>125</v>
      </c>
      <c r="E87" s="75" t="s">
        <v>18</v>
      </c>
      <c r="F87" s="101">
        <v>0.35</v>
      </c>
      <c r="G87" s="102">
        <v>1.28</v>
      </c>
      <c r="H87" s="103">
        <v>900</v>
      </c>
      <c r="I87" s="104">
        <f t="shared" si="8"/>
        <v>90</v>
      </c>
      <c r="J87" s="105">
        <v>3.5</v>
      </c>
      <c r="K87" s="102">
        <v>0.4</v>
      </c>
      <c r="L87" s="106">
        <v>410</v>
      </c>
      <c r="M87" s="3">
        <f t="shared" si="7"/>
        <v>1.346153846153846</v>
      </c>
      <c r="N87" s="3">
        <v>3.5</v>
      </c>
    </row>
    <row r="88" spans="1:14" ht="16" x14ac:dyDescent="0.2">
      <c r="A88" s="1" t="s">
        <v>90</v>
      </c>
      <c r="B88" s="1" t="s">
        <v>97</v>
      </c>
      <c r="C88" s="1" t="s">
        <v>90</v>
      </c>
      <c r="D88" s="1" t="s">
        <v>126</v>
      </c>
      <c r="E88" s="75" t="s">
        <v>18</v>
      </c>
      <c r="F88" s="101">
        <v>0.44999999999999996</v>
      </c>
      <c r="G88" s="102">
        <v>1.21</v>
      </c>
      <c r="H88" s="103">
        <v>1000</v>
      </c>
      <c r="I88" s="104">
        <f t="shared" si="8"/>
        <v>100</v>
      </c>
      <c r="J88" s="105">
        <v>3.25</v>
      </c>
      <c r="K88" s="102">
        <v>0.4</v>
      </c>
      <c r="L88" s="106">
        <v>165</v>
      </c>
      <c r="M88" s="3">
        <f t="shared" si="7"/>
        <v>1.25</v>
      </c>
      <c r="N88" s="3">
        <v>3.25</v>
      </c>
    </row>
    <row r="89" spans="1:14" ht="16" x14ac:dyDescent="0.2">
      <c r="A89" s="1" t="s">
        <v>90</v>
      </c>
      <c r="B89" s="1" t="s">
        <v>97</v>
      </c>
      <c r="C89" s="1" t="s">
        <v>90</v>
      </c>
      <c r="D89" s="1" t="s">
        <v>124</v>
      </c>
      <c r="E89" s="75" t="s">
        <v>15</v>
      </c>
      <c r="F89" s="107">
        <v>0.15</v>
      </c>
      <c r="G89" s="102">
        <v>1.35</v>
      </c>
      <c r="H89" s="103">
        <v>500</v>
      </c>
      <c r="I89" s="104">
        <v>50</v>
      </c>
      <c r="J89" s="105">
        <v>3.61</v>
      </c>
      <c r="K89" s="102">
        <v>0.4</v>
      </c>
      <c r="L89" s="106">
        <v>1230</v>
      </c>
      <c r="M89" s="3">
        <f t="shared" si="7"/>
        <v>1.3884615384615384</v>
      </c>
      <c r="N89" s="3">
        <v>3.61</v>
      </c>
    </row>
    <row r="90" spans="1:14" ht="16" x14ac:dyDescent="0.2">
      <c r="A90" s="1" t="s">
        <v>90</v>
      </c>
      <c r="B90" s="1" t="s">
        <v>97</v>
      </c>
      <c r="C90" s="1" t="s">
        <v>90</v>
      </c>
      <c r="D90" s="1" t="s">
        <v>125</v>
      </c>
      <c r="E90" s="75" t="s">
        <v>15</v>
      </c>
      <c r="F90" s="107">
        <v>0.25</v>
      </c>
      <c r="G90" s="102">
        <v>1.28</v>
      </c>
      <c r="H90" s="103">
        <v>750</v>
      </c>
      <c r="I90" s="104">
        <v>75</v>
      </c>
      <c r="J90" s="105">
        <v>3.1587499999999995</v>
      </c>
      <c r="K90" s="102">
        <v>0.4</v>
      </c>
      <c r="L90" s="106">
        <v>410</v>
      </c>
      <c r="M90" s="3">
        <f t="shared" si="7"/>
        <v>1.2149038461538459</v>
      </c>
      <c r="N90" s="3">
        <v>3.1587499999999995</v>
      </c>
    </row>
    <row r="91" spans="1:14" ht="16" x14ac:dyDescent="0.2">
      <c r="A91" s="1" t="s">
        <v>90</v>
      </c>
      <c r="B91" s="1" t="s">
        <v>97</v>
      </c>
      <c r="C91" s="1" t="s">
        <v>90</v>
      </c>
      <c r="D91" s="1" t="s">
        <v>126</v>
      </c>
      <c r="E91" s="75" t="s">
        <v>15</v>
      </c>
      <c r="F91" s="107">
        <v>0.35</v>
      </c>
      <c r="G91" s="102">
        <v>1.21</v>
      </c>
      <c r="H91" s="103">
        <v>1000</v>
      </c>
      <c r="I91" s="104">
        <v>100</v>
      </c>
      <c r="J91" s="105">
        <v>2.933125</v>
      </c>
      <c r="K91" s="102">
        <v>0.4</v>
      </c>
      <c r="L91" s="106">
        <v>165</v>
      </c>
      <c r="M91" s="3">
        <f t="shared" si="7"/>
        <v>1.128125</v>
      </c>
      <c r="N91" s="3">
        <v>2.933125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846BA-17B4-46B2-B023-F82CAD05AAD0}">
  <dimension ref="D1:N25"/>
  <sheetViews>
    <sheetView workbookViewId="0">
      <selection activeCell="N2" sqref="N2:N25"/>
    </sheetView>
  </sheetViews>
  <sheetFormatPr baseColWidth="10" defaultColWidth="8.83203125" defaultRowHeight="15" x14ac:dyDescent="0.2"/>
  <cols>
    <col min="4" max="4" width="18.6640625" customWidth="1"/>
    <col min="5" max="5" width="37.6640625" customWidth="1"/>
  </cols>
  <sheetData>
    <row r="1" spans="4:14" x14ac:dyDescent="0.2">
      <c r="D1" s="2" t="s">
        <v>57</v>
      </c>
      <c r="E1" s="2" t="s">
        <v>114</v>
      </c>
    </row>
    <row r="2" spans="4:14" x14ac:dyDescent="0.2">
      <c r="D2" s="1" t="s">
        <v>90</v>
      </c>
      <c r="E2" s="1" t="s">
        <v>84</v>
      </c>
      <c r="F2" t="str">
        <f>_xlfn.CONCAT(D2," ",E2)</f>
        <v>Livestock Waste Traditional cook stove (TCS)</v>
      </c>
      <c r="N2" t="s">
        <v>124</v>
      </c>
    </row>
    <row r="3" spans="4:14" x14ac:dyDescent="0.2">
      <c r="D3" s="1" t="s">
        <v>90</v>
      </c>
      <c r="E3" s="1" t="s">
        <v>88</v>
      </c>
      <c r="F3" t="str">
        <f t="shared" ref="F3:F25" si="0">_xlfn.CONCAT(D3," ",E3)</f>
        <v>Livestock Waste Improved cook stove (ICS - Natural)</v>
      </c>
      <c r="N3" t="s">
        <v>125</v>
      </c>
    </row>
    <row r="4" spans="4:14" x14ac:dyDescent="0.2">
      <c r="D4" s="1" t="s">
        <v>90</v>
      </c>
      <c r="E4" s="1" t="s">
        <v>89</v>
      </c>
      <c r="F4" t="str">
        <f t="shared" si="0"/>
        <v>Livestock Waste Improved cook stove (ICS - Forced)</v>
      </c>
      <c r="N4" t="s">
        <v>126</v>
      </c>
    </row>
    <row r="5" spans="4:14" x14ac:dyDescent="0.2">
      <c r="D5" s="1" t="s">
        <v>90</v>
      </c>
      <c r="E5" s="1" t="s">
        <v>84</v>
      </c>
      <c r="F5" t="str">
        <f t="shared" si="0"/>
        <v>Livestock Waste Traditional cook stove (TCS)</v>
      </c>
      <c r="N5" t="s">
        <v>124</v>
      </c>
    </row>
    <row r="6" spans="4:14" x14ac:dyDescent="0.2">
      <c r="D6" s="1" t="s">
        <v>90</v>
      </c>
      <c r="E6" s="1" t="s">
        <v>88</v>
      </c>
      <c r="F6" t="str">
        <f t="shared" si="0"/>
        <v>Livestock Waste Improved cook stove (ICS - Natural)</v>
      </c>
      <c r="N6" t="s">
        <v>125</v>
      </c>
    </row>
    <row r="7" spans="4:14" x14ac:dyDescent="0.2">
      <c r="D7" s="1" t="s">
        <v>90</v>
      </c>
      <c r="E7" s="1" t="s">
        <v>89</v>
      </c>
      <c r="F7" t="str">
        <f t="shared" si="0"/>
        <v>Livestock Waste Improved cook stove (ICS - Forced)</v>
      </c>
      <c r="N7" t="s">
        <v>126</v>
      </c>
    </row>
    <row r="8" spans="4:14" x14ac:dyDescent="0.2">
      <c r="D8" s="1" t="s">
        <v>90</v>
      </c>
      <c r="E8" s="1" t="s">
        <v>84</v>
      </c>
      <c r="F8" t="str">
        <f t="shared" si="0"/>
        <v>Livestock Waste Traditional cook stove (TCS)</v>
      </c>
      <c r="N8" t="s">
        <v>124</v>
      </c>
    </row>
    <row r="9" spans="4:14" x14ac:dyDescent="0.2">
      <c r="D9" s="1" t="s">
        <v>90</v>
      </c>
      <c r="E9" s="1" t="s">
        <v>88</v>
      </c>
      <c r="F9" t="str">
        <f t="shared" si="0"/>
        <v>Livestock Waste Improved cook stove (ICS - Natural)</v>
      </c>
      <c r="N9" t="s">
        <v>125</v>
      </c>
    </row>
    <row r="10" spans="4:14" x14ac:dyDescent="0.2">
      <c r="D10" s="1" t="s">
        <v>90</v>
      </c>
      <c r="E10" s="1" t="s">
        <v>89</v>
      </c>
      <c r="F10" t="str">
        <f t="shared" si="0"/>
        <v>Livestock Waste Improved cook stove (ICS - Forced)</v>
      </c>
      <c r="N10" t="s">
        <v>126</v>
      </c>
    </row>
    <row r="11" spans="4:14" x14ac:dyDescent="0.2">
      <c r="D11" s="1" t="s">
        <v>90</v>
      </c>
      <c r="E11" s="1" t="s">
        <v>84</v>
      </c>
      <c r="F11" t="str">
        <f t="shared" si="0"/>
        <v>Livestock Waste Traditional cook stove (TCS)</v>
      </c>
      <c r="N11" t="s">
        <v>124</v>
      </c>
    </row>
    <row r="12" spans="4:14" x14ac:dyDescent="0.2">
      <c r="D12" s="1" t="s">
        <v>90</v>
      </c>
      <c r="E12" s="1" t="s">
        <v>88</v>
      </c>
      <c r="F12" t="str">
        <f t="shared" si="0"/>
        <v>Livestock Waste Improved cook stove (ICS - Natural)</v>
      </c>
      <c r="N12" t="s">
        <v>125</v>
      </c>
    </row>
    <row r="13" spans="4:14" x14ac:dyDescent="0.2">
      <c r="D13" s="1" t="s">
        <v>90</v>
      </c>
      <c r="E13" s="1" t="s">
        <v>89</v>
      </c>
      <c r="F13" t="str">
        <f t="shared" si="0"/>
        <v>Livestock Waste Improved cook stove (ICS - Forced)</v>
      </c>
      <c r="N13" t="s">
        <v>126</v>
      </c>
    </row>
    <row r="14" spans="4:14" x14ac:dyDescent="0.2">
      <c r="D14" s="1" t="s">
        <v>90</v>
      </c>
      <c r="E14" s="1" t="s">
        <v>84</v>
      </c>
      <c r="F14" t="str">
        <f t="shared" si="0"/>
        <v>Livestock Waste Traditional cook stove (TCS)</v>
      </c>
      <c r="N14" t="s">
        <v>124</v>
      </c>
    </row>
    <row r="15" spans="4:14" x14ac:dyDescent="0.2">
      <c r="D15" s="1" t="s">
        <v>90</v>
      </c>
      <c r="E15" s="1" t="s">
        <v>88</v>
      </c>
      <c r="F15" t="str">
        <f t="shared" si="0"/>
        <v>Livestock Waste Improved cook stove (ICS - Natural)</v>
      </c>
      <c r="N15" t="s">
        <v>125</v>
      </c>
    </row>
    <row r="16" spans="4:14" x14ac:dyDescent="0.2">
      <c r="D16" s="1" t="s">
        <v>90</v>
      </c>
      <c r="E16" s="1" t="s">
        <v>89</v>
      </c>
      <c r="F16" t="str">
        <f t="shared" si="0"/>
        <v>Livestock Waste Improved cook stove (ICS - Forced)</v>
      </c>
      <c r="N16" t="s">
        <v>126</v>
      </c>
    </row>
    <row r="17" spans="4:14" x14ac:dyDescent="0.2">
      <c r="D17" s="1" t="s">
        <v>90</v>
      </c>
      <c r="E17" s="1" t="s">
        <v>84</v>
      </c>
      <c r="F17" t="str">
        <f t="shared" si="0"/>
        <v>Livestock Waste Traditional cook stove (TCS)</v>
      </c>
      <c r="N17" t="s">
        <v>124</v>
      </c>
    </row>
    <row r="18" spans="4:14" x14ac:dyDescent="0.2">
      <c r="D18" s="1" t="s">
        <v>90</v>
      </c>
      <c r="E18" s="1" t="s">
        <v>88</v>
      </c>
      <c r="F18" t="str">
        <f t="shared" si="0"/>
        <v>Livestock Waste Improved cook stove (ICS - Natural)</v>
      </c>
      <c r="N18" t="s">
        <v>125</v>
      </c>
    </row>
    <row r="19" spans="4:14" x14ac:dyDescent="0.2">
      <c r="D19" s="1" t="s">
        <v>90</v>
      </c>
      <c r="E19" s="1" t="s">
        <v>89</v>
      </c>
      <c r="F19" t="str">
        <f t="shared" si="0"/>
        <v>Livestock Waste Improved cook stove (ICS - Forced)</v>
      </c>
      <c r="N19" t="s">
        <v>126</v>
      </c>
    </row>
    <row r="20" spans="4:14" x14ac:dyDescent="0.2">
      <c r="D20" s="1" t="s">
        <v>90</v>
      </c>
      <c r="E20" s="1" t="s">
        <v>84</v>
      </c>
      <c r="F20" t="str">
        <f t="shared" si="0"/>
        <v>Livestock Waste Traditional cook stove (TCS)</v>
      </c>
      <c r="N20" t="s">
        <v>124</v>
      </c>
    </row>
    <row r="21" spans="4:14" x14ac:dyDescent="0.2">
      <c r="D21" s="1" t="s">
        <v>90</v>
      </c>
      <c r="E21" s="1" t="s">
        <v>88</v>
      </c>
      <c r="F21" t="str">
        <f t="shared" si="0"/>
        <v>Livestock Waste Improved cook stove (ICS - Natural)</v>
      </c>
      <c r="N21" t="s">
        <v>125</v>
      </c>
    </row>
    <row r="22" spans="4:14" x14ac:dyDescent="0.2">
      <c r="D22" s="1" t="s">
        <v>90</v>
      </c>
      <c r="E22" s="1" t="s">
        <v>89</v>
      </c>
      <c r="F22" t="str">
        <f t="shared" si="0"/>
        <v>Livestock Waste Improved cook stove (ICS - Forced)</v>
      </c>
      <c r="N22" t="s">
        <v>126</v>
      </c>
    </row>
    <row r="23" spans="4:14" x14ac:dyDescent="0.2">
      <c r="D23" s="1" t="s">
        <v>90</v>
      </c>
      <c r="E23" s="1" t="s">
        <v>84</v>
      </c>
      <c r="F23" t="str">
        <f t="shared" si="0"/>
        <v>Livestock Waste Traditional cook stove (TCS)</v>
      </c>
      <c r="N23" t="s">
        <v>124</v>
      </c>
    </row>
    <row r="24" spans="4:14" x14ac:dyDescent="0.2">
      <c r="D24" s="1" t="s">
        <v>90</v>
      </c>
      <c r="E24" s="1" t="s">
        <v>88</v>
      </c>
      <c r="F24" t="str">
        <f t="shared" si="0"/>
        <v>Livestock Waste Improved cook stove (ICS - Natural)</v>
      </c>
      <c r="N24" t="s">
        <v>125</v>
      </c>
    </row>
    <row r="25" spans="4:14" x14ac:dyDescent="0.2">
      <c r="D25" s="1" t="s">
        <v>90</v>
      </c>
      <c r="E25" s="1" t="s">
        <v>89</v>
      </c>
      <c r="F25" t="str">
        <f t="shared" si="0"/>
        <v>Livestock Waste Improved cook stove (ICS - Forced)</v>
      </c>
      <c r="N25" t="s">
        <v>126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cooking energy</vt:lpstr>
      <vt:lpstr>खाना पकाने की ऊर्जा</vt:lpstr>
      <vt:lpstr>electricity tariff</vt:lpstr>
      <vt:lpstr>बिजली दर</vt:lpstr>
      <vt:lpstr>e-cooking</vt:lpstr>
      <vt:lpstr>stoves</vt:lpstr>
      <vt:lpstr>चूल्हे</vt:lpstr>
      <vt:lpstr>backup</vt:lpstr>
      <vt:lpstr>water heater</vt:lpstr>
      <vt:lpstr>baseline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VASUDHA</dc:creator>
  <cp:lastModifiedBy>Bikash Sahu</cp:lastModifiedBy>
  <dcterms:created xsi:type="dcterms:W3CDTF">2023-05-23T17:36:36Z</dcterms:created>
  <dcterms:modified xsi:type="dcterms:W3CDTF">2023-10-27T08:37:00Z</dcterms:modified>
</cp:coreProperties>
</file>