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os" sheetId="1" r:id="rId4"/>
    <sheet state="visible" name="Tabla" sheetId="2" r:id="rId5"/>
  </sheets>
  <definedNames/>
  <calcPr/>
</workbook>
</file>

<file path=xl/sharedStrings.xml><?xml version="1.0" encoding="utf-8"?>
<sst xmlns="http://schemas.openxmlformats.org/spreadsheetml/2006/main" count="1640" uniqueCount="11">
  <si>
    <t>Generation</t>
  </si>
  <si>
    <t>Max_Fitness</t>
  </si>
  <si>
    <t>Avg_Fitness</t>
  </si>
  <si>
    <t>Min_Cost</t>
  </si>
  <si>
    <t>Avg_Cost</t>
  </si>
  <si>
    <t>Tipo_cruce</t>
  </si>
  <si>
    <t>N</t>
  </si>
  <si>
    <t>ox</t>
  </si>
  <si>
    <t>ux</t>
  </si>
  <si>
    <t>UX</t>
  </si>
  <si>
    <t>OX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</si>
</sst>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rgb="FF000000"/>
      <name val="Calibri"/>
    </font>
    <font>
      <sz val="12.0"/>
      <color rgb="FF000000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0"/>
    </xf>
    <xf borderId="2" fillId="0" fontId="1" numFmtId="0" xfId="0" applyAlignment="1" applyBorder="1" applyFont="1">
      <alignment horizontal="center" readingOrder="0" shrinkToFit="0" vertical="top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3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Font="1"/>
    <xf borderId="3" fillId="0" fontId="4" numFmtId="4" xfId="0" applyAlignment="1" applyBorder="1" applyFont="1" applyNumberFormat="1">
      <alignment horizontal="center" readingOrder="0"/>
    </xf>
    <xf borderId="1" fillId="0" fontId="4" numFmtId="4" xfId="0" applyAlignment="1" applyBorder="1" applyFont="1" applyNumberFormat="1">
      <alignment horizontal="center" readingOrder="0"/>
    </xf>
    <xf borderId="4" fillId="0" fontId="4" numFmtId="0" xfId="0" applyAlignment="1" applyBorder="1" applyFont="1">
      <alignment readingOrder="0"/>
    </xf>
    <xf borderId="3" fillId="0" fontId="4" numFmtId="3" xfId="0" applyAlignment="1" applyBorder="1" applyFont="1" applyNumberFormat="1">
      <alignment horizontal="center" readingOrder="0"/>
    </xf>
    <xf borderId="1" fillId="0" fontId="4" numFmtId="3" xfId="0" applyAlignment="1" applyBorder="1" applyFont="1" applyNumberFormat="1">
      <alignment horizontal="center" readingOrder="0"/>
    </xf>
    <xf borderId="1" fillId="0" fontId="4" numFmtId="0" xfId="0" applyAlignment="1" applyBorder="1" applyFont="1">
      <alignment readingOrder="0"/>
    </xf>
    <xf borderId="5" fillId="0" fontId="4" numFmtId="0" xfId="0" applyAlignment="1" applyBorder="1" applyFont="1">
      <alignment readingOrder="0"/>
    </xf>
    <xf borderId="6" fillId="0" fontId="4" numFmtId="4" xfId="0" applyBorder="1" applyFont="1" applyNumberFormat="1"/>
    <xf borderId="7" fillId="0" fontId="4" numFmtId="4" xfId="0" applyBorder="1" applyFont="1" applyNumberFormat="1"/>
    <xf borderId="8" fillId="0" fontId="4" numFmtId="4" xfId="0" applyBorder="1" applyFont="1" applyNumberFormat="1"/>
    <xf borderId="4" fillId="0" fontId="4" numFmtId="0" xfId="0" applyBorder="1" applyFont="1"/>
    <xf borderId="9" fillId="0" fontId="4" numFmtId="4" xfId="0" applyBorder="1" applyFont="1" applyNumberFormat="1"/>
    <xf borderId="0" fillId="0" fontId="4" numFmtId="4" xfId="0" applyFont="1" applyNumberFormat="1"/>
    <xf borderId="10" fillId="0" fontId="4" numFmtId="4" xfId="0" applyBorder="1" applyFont="1" applyNumberFormat="1"/>
    <xf borderId="11" fillId="0" fontId="4" numFmtId="0" xfId="0" applyBorder="1" applyFont="1"/>
    <xf borderId="12" fillId="0" fontId="4" numFmtId="4" xfId="0" applyBorder="1" applyFont="1" applyNumberFormat="1"/>
    <xf borderId="13" fillId="0" fontId="4" numFmtId="4" xfId="0" applyBorder="1" applyFont="1" applyNumberFormat="1"/>
    <xf borderId="14" fillId="0" fontId="4" numFmtId="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Tabla!$B$4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Tabla!$A$5:$A$204</c:f>
            </c:strRef>
          </c:cat>
          <c:val>
            <c:numRef>
              <c:f>Tabla!$B$5:$B$204</c:f>
              <c:numCache/>
            </c:numRef>
          </c:val>
          <c:smooth val="0"/>
        </c:ser>
        <c:ser>
          <c:idx val="1"/>
          <c:order val="1"/>
          <c:tx>
            <c:strRef>
              <c:f>Tabla!$C$4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Tabla!$A$5:$A$204</c:f>
            </c:strRef>
          </c:cat>
          <c:val>
            <c:numRef>
              <c:f>Tabla!$C$5:$C$204</c:f>
              <c:numCache/>
            </c:numRef>
          </c:val>
          <c:smooth val="0"/>
        </c:ser>
        <c:ser>
          <c:idx val="2"/>
          <c:order val="2"/>
          <c:tx>
            <c:strRef>
              <c:f>Tabla!$J$4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Tabla!$A$5:$A$204</c:f>
            </c:strRef>
          </c:cat>
          <c:val>
            <c:numRef>
              <c:f>Tabla!$J$5:$J$204</c:f>
              <c:numCache/>
            </c:numRef>
          </c:val>
          <c:smooth val="0"/>
        </c:ser>
        <c:ser>
          <c:idx val="3"/>
          <c:order val="3"/>
          <c:tx>
            <c:strRef>
              <c:f>Tabla!$K$4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Tabla!$A$5:$A$204</c:f>
            </c:strRef>
          </c:cat>
          <c:val>
            <c:numRef>
              <c:f>Tabla!$K$5:$K$204</c:f>
              <c:numCache/>
            </c:numRef>
          </c:val>
          <c:smooth val="0"/>
        </c:ser>
        <c:axId val="1686077405"/>
        <c:axId val="747173608"/>
      </c:lineChart>
      <c:catAx>
        <c:axId val="16860774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7173608"/>
      </c:catAx>
      <c:valAx>
        <c:axId val="7471736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60774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Tabla!$D$4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Tabla!$A$5:$A$204</c:f>
            </c:strRef>
          </c:cat>
          <c:val>
            <c:numRef>
              <c:f>Tabla!$D$5:$D$204</c:f>
              <c:numCache/>
            </c:numRef>
          </c:val>
          <c:smooth val="0"/>
        </c:ser>
        <c:ser>
          <c:idx val="1"/>
          <c:order val="1"/>
          <c:tx>
            <c:strRef>
              <c:f>Tabla!$E$4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Tabla!$A$5:$A$204</c:f>
            </c:strRef>
          </c:cat>
          <c:val>
            <c:numRef>
              <c:f>Tabla!$E$5:$E$204</c:f>
              <c:numCache/>
            </c:numRef>
          </c:val>
          <c:smooth val="0"/>
        </c:ser>
        <c:ser>
          <c:idx val="2"/>
          <c:order val="2"/>
          <c:tx>
            <c:strRef>
              <c:f>Tabla!$L$4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Tabla!$A$5:$A$204</c:f>
            </c:strRef>
          </c:cat>
          <c:val>
            <c:numRef>
              <c:f>Tabla!$L$5:$L$204</c:f>
              <c:numCache/>
            </c:numRef>
          </c:val>
          <c:smooth val="0"/>
        </c:ser>
        <c:ser>
          <c:idx val="3"/>
          <c:order val="3"/>
          <c:tx>
            <c:strRef>
              <c:f>Tabla!$M$4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Tabla!$A$5:$A$204</c:f>
            </c:strRef>
          </c:cat>
          <c:val>
            <c:numRef>
              <c:f>Tabla!$M$5:$M$204</c:f>
              <c:numCache/>
            </c:numRef>
          </c:val>
          <c:smooth val="0"/>
        </c:ser>
        <c:axId val="2031444430"/>
        <c:axId val="596265996"/>
      </c:lineChart>
      <c:catAx>
        <c:axId val="20314444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6265996"/>
      </c:catAx>
      <c:valAx>
        <c:axId val="5962659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14444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Tabla!$F$4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Tabla!$A$5:$A$204</c:f>
            </c:strRef>
          </c:cat>
          <c:val>
            <c:numRef>
              <c:f>Tabla!$F$5:$F$204</c:f>
              <c:numCache/>
            </c:numRef>
          </c:val>
          <c:smooth val="0"/>
        </c:ser>
        <c:ser>
          <c:idx val="1"/>
          <c:order val="1"/>
          <c:tx>
            <c:strRef>
              <c:f>Tabla!$G$4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Tabla!$A$5:$A$204</c:f>
            </c:strRef>
          </c:cat>
          <c:val>
            <c:numRef>
              <c:f>Tabla!$G$5:$G$204</c:f>
              <c:numCache/>
            </c:numRef>
          </c:val>
          <c:smooth val="0"/>
        </c:ser>
        <c:ser>
          <c:idx val="2"/>
          <c:order val="2"/>
          <c:tx>
            <c:strRef>
              <c:f>Tabla!$N$4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Tabla!$A$5:$A$204</c:f>
            </c:strRef>
          </c:cat>
          <c:val>
            <c:numRef>
              <c:f>Tabla!$N$5:$N$204</c:f>
              <c:numCache/>
            </c:numRef>
          </c:val>
          <c:smooth val="0"/>
        </c:ser>
        <c:ser>
          <c:idx val="3"/>
          <c:order val="3"/>
          <c:tx>
            <c:strRef>
              <c:f>Tabla!$O$4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Tabla!$A$5:$A$204</c:f>
            </c:strRef>
          </c:cat>
          <c:val>
            <c:numRef>
              <c:f>Tabla!$O$5:$O$204</c:f>
              <c:numCache/>
            </c:numRef>
          </c:val>
          <c:smooth val="0"/>
        </c:ser>
        <c:axId val="1100929662"/>
        <c:axId val="1165771928"/>
      </c:lineChart>
      <c:catAx>
        <c:axId val="11009296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5771928"/>
      </c:catAx>
      <c:valAx>
        <c:axId val="11657719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09296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Tabla!$H$4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Tabla!$A$5:$A$204</c:f>
            </c:strRef>
          </c:cat>
          <c:val>
            <c:numRef>
              <c:f>Tabla!$H$5:$H$204</c:f>
              <c:numCache/>
            </c:numRef>
          </c:val>
          <c:smooth val="0"/>
        </c:ser>
        <c:ser>
          <c:idx val="1"/>
          <c:order val="1"/>
          <c:tx>
            <c:strRef>
              <c:f>Tabla!$I$4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Tabla!$A$5:$A$204</c:f>
            </c:strRef>
          </c:cat>
          <c:val>
            <c:numRef>
              <c:f>Tabla!$I$5:$I$204</c:f>
              <c:numCache/>
            </c:numRef>
          </c:val>
          <c:smooth val="0"/>
        </c:ser>
        <c:ser>
          <c:idx val="2"/>
          <c:order val="2"/>
          <c:tx>
            <c:strRef>
              <c:f>Tabla!$P$4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Tabla!$A$5:$A$204</c:f>
            </c:strRef>
          </c:cat>
          <c:val>
            <c:numRef>
              <c:f>Tabla!$P$5:$P$204</c:f>
              <c:numCache/>
            </c:numRef>
          </c:val>
          <c:smooth val="0"/>
        </c:ser>
        <c:ser>
          <c:idx val="3"/>
          <c:order val="3"/>
          <c:tx>
            <c:strRef>
              <c:f>Tabla!$Q$4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Tabla!$A$5:$A$204</c:f>
            </c:strRef>
          </c:cat>
          <c:val>
            <c:numRef>
              <c:f>Tabla!$Q$5:$Q$204</c:f>
              <c:numCache/>
            </c:numRef>
          </c:val>
          <c:smooth val="0"/>
        </c:ser>
        <c:axId val="305843579"/>
        <c:axId val="1097294404"/>
      </c:lineChart>
      <c:catAx>
        <c:axId val="3058435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7294404"/>
      </c:catAx>
      <c:valAx>
        <c:axId val="10972944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58435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800100</xdr:colOff>
      <xdr:row>6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962025</xdr:colOff>
      <xdr:row>6</xdr:row>
      <xdr:rowOff>180975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800100</xdr:colOff>
      <xdr:row>25</xdr:row>
      <xdr:rowOff>161925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962025</xdr:colOff>
      <xdr:row>25</xdr:row>
      <xdr:rowOff>161925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3">
        <v>199.0</v>
      </c>
      <c r="B2" s="3">
        <v>44.93269</v>
      </c>
      <c r="C2" s="3">
        <v>16.85774</v>
      </c>
      <c r="D2" s="3">
        <v>2957.033</v>
      </c>
      <c r="E2" s="3">
        <v>4441.165</v>
      </c>
      <c r="F2" s="4" t="s">
        <v>7</v>
      </c>
      <c r="G2" s="3">
        <v>21.0</v>
      </c>
    </row>
    <row r="3">
      <c r="A3" s="3">
        <v>198.0</v>
      </c>
      <c r="B3" s="3">
        <v>44.93269</v>
      </c>
      <c r="C3" s="3">
        <v>16.78959</v>
      </c>
      <c r="D3" s="3">
        <v>2957.033</v>
      </c>
      <c r="E3" s="3">
        <v>4451.771</v>
      </c>
      <c r="F3" s="4" t="s">
        <v>7</v>
      </c>
      <c r="G3" s="3">
        <v>21.0</v>
      </c>
    </row>
    <row r="4">
      <c r="A4" s="3">
        <v>197.0</v>
      </c>
      <c r="B4" s="3">
        <v>44.89455</v>
      </c>
      <c r="C4" s="3">
        <v>16.77209</v>
      </c>
      <c r="D4" s="3">
        <v>2958.267</v>
      </c>
      <c r="E4" s="3">
        <v>4456.439</v>
      </c>
      <c r="F4" s="4" t="s">
        <v>7</v>
      </c>
      <c r="G4" s="3">
        <v>21.0</v>
      </c>
    </row>
    <row r="5">
      <c r="A5" s="3">
        <v>196.0</v>
      </c>
      <c r="B5" s="3">
        <v>44.85641</v>
      </c>
      <c r="C5" s="3">
        <v>16.5996</v>
      </c>
      <c r="D5" s="3">
        <v>2961.6</v>
      </c>
      <c r="E5" s="3">
        <v>4473.882</v>
      </c>
      <c r="F5" s="4" t="s">
        <v>7</v>
      </c>
      <c r="G5" s="3">
        <v>21.0</v>
      </c>
    </row>
    <row r="6">
      <c r="A6" s="3">
        <v>195.0</v>
      </c>
      <c r="B6" s="3">
        <v>44.84971</v>
      </c>
      <c r="C6" s="3">
        <v>16.52656</v>
      </c>
      <c r="D6" s="3">
        <v>2961.767</v>
      </c>
      <c r="E6" s="3">
        <v>4492.064</v>
      </c>
      <c r="F6" s="4" t="s">
        <v>7</v>
      </c>
      <c r="G6" s="3">
        <v>21.0</v>
      </c>
    </row>
    <row r="7">
      <c r="A7" s="3">
        <v>194.0</v>
      </c>
      <c r="B7" s="3">
        <v>44.84503</v>
      </c>
      <c r="C7" s="3">
        <v>16.3219</v>
      </c>
      <c r="D7" s="3">
        <v>2961.833</v>
      </c>
      <c r="E7" s="3">
        <v>4491.387</v>
      </c>
      <c r="F7" s="4" t="s">
        <v>7</v>
      </c>
      <c r="G7" s="3">
        <v>21.0</v>
      </c>
    </row>
    <row r="8">
      <c r="A8" s="3">
        <v>193.0</v>
      </c>
      <c r="B8" s="3">
        <v>44.49028</v>
      </c>
      <c r="C8" s="3">
        <v>16.31546</v>
      </c>
      <c r="D8" s="3">
        <v>2969.7</v>
      </c>
      <c r="E8" s="3">
        <v>4492.863</v>
      </c>
      <c r="F8" s="4" t="s">
        <v>7</v>
      </c>
      <c r="G8" s="3">
        <v>21.0</v>
      </c>
    </row>
    <row r="9">
      <c r="A9" s="3">
        <v>192.0</v>
      </c>
      <c r="B9" s="3">
        <v>44.45897</v>
      </c>
      <c r="C9" s="3">
        <v>16.40253</v>
      </c>
      <c r="D9" s="3">
        <v>2970.5</v>
      </c>
      <c r="E9" s="3">
        <v>4495.47</v>
      </c>
      <c r="F9" s="4" t="s">
        <v>7</v>
      </c>
      <c r="G9" s="3">
        <v>21.0</v>
      </c>
    </row>
    <row r="10">
      <c r="A10" s="3">
        <v>191.0</v>
      </c>
      <c r="B10" s="3">
        <v>44.42412</v>
      </c>
      <c r="C10" s="3">
        <v>16.35761</v>
      </c>
      <c r="D10" s="3">
        <v>2971.067</v>
      </c>
      <c r="E10" s="3">
        <v>4505.848</v>
      </c>
      <c r="F10" s="4" t="s">
        <v>7</v>
      </c>
      <c r="G10" s="3">
        <v>21.0</v>
      </c>
    </row>
    <row r="11">
      <c r="A11" s="3">
        <v>190.0</v>
      </c>
      <c r="B11" s="3">
        <v>44.41071</v>
      </c>
      <c r="C11" s="3">
        <v>16.42155</v>
      </c>
      <c r="D11" s="3">
        <v>2971.9</v>
      </c>
      <c r="E11" s="3">
        <v>4509.171</v>
      </c>
      <c r="F11" s="4" t="s">
        <v>7</v>
      </c>
      <c r="G11" s="3">
        <v>21.0</v>
      </c>
    </row>
    <row r="12">
      <c r="A12" s="3">
        <v>189.0</v>
      </c>
      <c r="B12" s="3">
        <v>44.41071</v>
      </c>
      <c r="C12" s="3">
        <v>16.38012</v>
      </c>
      <c r="D12" s="3">
        <v>2971.9</v>
      </c>
      <c r="E12" s="3">
        <v>4508.497</v>
      </c>
      <c r="F12" s="4" t="s">
        <v>7</v>
      </c>
      <c r="G12" s="3">
        <v>21.0</v>
      </c>
    </row>
    <row r="13">
      <c r="A13" s="3">
        <v>188.0</v>
      </c>
      <c r="B13" s="3">
        <v>44.03985</v>
      </c>
      <c r="C13" s="3">
        <v>16.29689</v>
      </c>
      <c r="D13" s="3">
        <v>2978.367</v>
      </c>
      <c r="E13" s="3">
        <v>4515.251</v>
      </c>
      <c r="F13" s="4" t="s">
        <v>7</v>
      </c>
      <c r="G13" s="3">
        <v>21.0</v>
      </c>
    </row>
    <row r="14">
      <c r="A14" s="3">
        <v>187.0</v>
      </c>
      <c r="B14" s="3">
        <v>44.03878</v>
      </c>
      <c r="C14" s="3">
        <v>16.23393</v>
      </c>
      <c r="D14" s="3">
        <v>2978.4</v>
      </c>
      <c r="E14" s="3">
        <v>4506.111</v>
      </c>
      <c r="F14" s="4" t="s">
        <v>7</v>
      </c>
      <c r="G14" s="3">
        <v>21.0</v>
      </c>
    </row>
    <row r="15">
      <c r="A15" s="3">
        <v>186.0</v>
      </c>
      <c r="B15" s="3">
        <v>43.93751</v>
      </c>
      <c r="C15" s="3">
        <v>16.47998</v>
      </c>
      <c r="D15" s="3">
        <v>2980.7</v>
      </c>
      <c r="E15" s="3">
        <v>4482.204</v>
      </c>
      <c r="F15" s="4" t="s">
        <v>7</v>
      </c>
      <c r="G15" s="3">
        <v>21.0</v>
      </c>
    </row>
    <row r="16">
      <c r="A16" s="3">
        <v>185.0</v>
      </c>
      <c r="B16" s="3">
        <v>43.93174</v>
      </c>
      <c r="C16" s="3">
        <v>16.61247</v>
      </c>
      <c r="D16" s="3">
        <v>2980.767</v>
      </c>
      <c r="E16" s="3">
        <v>4479.879</v>
      </c>
      <c r="F16" s="4" t="s">
        <v>7</v>
      </c>
      <c r="G16" s="3">
        <v>21.0</v>
      </c>
    </row>
    <row r="17">
      <c r="A17" s="3">
        <v>184.0</v>
      </c>
      <c r="B17" s="3">
        <v>43.92342</v>
      </c>
      <c r="C17" s="3">
        <v>16.45523</v>
      </c>
      <c r="D17" s="3">
        <v>2981.1</v>
      </c>
      <c r="E17" s="3">
        <v>4503.203</v>
      </c>
      <c r="F17" s="4" t="s">
        <v>7</v>
      </c>
      <c r="G17" s="3">
        <v>21.0</v>
      </c>
    </row>
    <row r="18">
      <c r="A18" s="3">
        <v>183.0</v>
      </c>
      <c r="B18" s="3">
        <v>43.92342</v>
      </c>
      <c r="C18" s="3">
        <v>16.35153</v>
      </c>
      <c r="D18" s="3">
        <v>2981.1</v>
      </c>
      <c r="E18" s="3">
        <v>4509.402</v>
      </c>
      <c r="F18" s="4" t="s">
        <v>7</v>
      </c>
      <c r="G18" s="3">
        <v>21.0</v>
      </c>
    </row>
    <row r="19">
      <c r="A19" s="3">
        <v>182.0</v>
      </c>
      <c r="B19" s="3">
        <v>43.77696</v>
      </c>
      <c r="C19" s="3">
        <v>16.35926</v>
      </c>
      <c r="D19" s="3">
        <v>2984.933</v>
      </c>
      <c r="E19" s="3">
        <v>4511.878</v>
      </c>
      <c r="F19" s="4" t="s">
        <v>7</v>
      </c>
      <c r="G19" s="3">
        <v>21.0</v>
      </c>
    </row>
    <row r="20">
      <c r="A20" s="3">
        <v>181.0</v>
      </c>
      <c r="B20" s="3">
        <v>43.64193</v>
      </c>
      <c r="C20" s="3">
        <v>16.13125</v>
      </c>
      <c r="D20" s="3">
        <v>2989.333</v>
      </c>
      <c r="E20" s="3">
        <v>4536.271</v>
      </c>
      <c r="F20" s="4" t="s">
        <v>7</v>
      </c>
      <c r="G20" s="3">
        <v>21.0</v>
      </c>
    </row>
    <row r="21">
      <c r="A21" s="3">
        <v>180.0</v>
      </c>
      <c r="B21" s="3">
        <v>43.64193</v>
      </c>
      <c r="C21" s="3">
        <v>16.03887</v>
      </c>
      <c r="D21" s="3">
        <v>2989.333</v>
      </c>
      <c r="E21" s="3">
        <v>4527.143</v>
      </c>
      <c r="F21" s="4" t="s">
        <v>7</v>
      </c>
      <c r="G21" s="3">
        <v>21.0</v>
      </c>
    </row>
    <row r="22">
      <c r="A22" s="3">
        <v>179.0</v>
      </c>
      <c r="B22" s="3">
        <v>43.64193</v>
      </c>
      <c r="C22" s="3">
        <v>15.84061</v>
      </c>
      <c r="D22" s="3">
        <v>2989.333</v>
      </c>
      <c r="E22" s="3">
        <v>4557.363</v>
      </c>
      <c r="F22" s="4" t="s">
        <v>7</v>
      </c>
      <c r="G22" s="3">
        <v>21.0</v>
      </c>
    </row>
    <row r="23">
      <c r="A23" s="3">
        <v>178.0</v>
      </c>
      <c r="B23" s="3">
        <v>43.57791</v>
      </c>
      <c r="C23" s="3">
        <v>15.61154</v>
      </c>
      <c r="D23" s="3">
        <v>2991.633</v>
      </c>
      <c r="E23" s="3">
        <v>4568.72</v>
      </c>
      <c r="F23" s="4" t="s">
        <v>7</v>
      </c>
      <c r="G23" s="3">
        <v>21.0</v>
      </c>
    </row>
    <row r="24">
      <c r="A24" s="3">
        <v>177.0</v>
      </c>
      <c r="B24" s="3">
        <v>43.56234</v>
      </c>
      <c r="C24" s="3">
        <v>15.51374</v>
      </c>
      <c r="D24" s="3">
        <v>2992.1</v>
      </c>
      <c r="E24" s="3">
        <v>4578.935</v>
      </c>
      <c r="F24" s="4" t="s">
        <v>7</v>
      </c>
      <c r="G24" s="3">
        <v>21.0</v>
      </c>
    </row>
    <row r="25">
      <c r="A25" s="3">
        <v>176.0</v>
      </c>
      <c r="B25" s="3">
        <v>43.56234</v>
      </c>
      <c r="C25" s="3">
        <v>15.62287</v>
      </c>
      <c r="D25" s="3">
        <v>2992.1</v>
      </c>
      <c r="E25" s="3">
        <v>4572.266</v>
      </c>
      <c r="F25" s="4" t="s">
        <v>7</v>
      </c>
      <c r="G25" s="3">
        <v>21.0</v>
      </c>
    </row>
    <row r="26">
      <c r="A26" s="3">
        <v>175.0</v>
      </c>
      <c r="B26" s="3">
        <v>43.52564</v>
      </c>
      <c r="C26" s="3">
        <v>15.72742</v>
      </c>
      <c r="D26" s="3">
        <v>2992.9</v>
      </c>
      <c r="E26" s="3">
        <v>4557.796</v>
      </c>
      <c r="F26" s="4" t="s">
        <v>7</v>
      </c>
      <c r="G26" s="3">
        <v>21.0</v>
      </c>
    </row>
    <row r="27">
      <c r="A27" s="3">
        <v>174.0</v>
      </c>
      <c r="B27" s="3">
        <v>43.50115</v>
      </c>
      <c r="C27" s="3">
        <v>15.84734</v>
      </c>
      <c r="D27" s="3">
        <v>2993.8</v>
      </c>
      <c r="E27" s="3">
        <v>4557.495</v>
      </c>
      <c r="F27" s="4" t="s">
        <v>7</v>
      </c>
      <c r="G27" s="3">
        <v>21.0</v>
      </c>
    </row>
    <row r="28">
      <c r="A28" s="3">
        <v>173.0</v>
      </c>
      <c r="B28" s="3">
        <v>43.38392</v>
      </c>
      <c r="C28" s="3">
        <v>15.73312</v>
      </c>
      <c r="D28" s="3">
        <v>2995.533</v>
      </c>
      <c r="E28" s="3">
        <v>4567.562</v>
      </c>
      <c r="F28" s="4" t="s">
        <v>7</v>
      </c>
      <c r="G28" s="3">
        <v>21.0</v>
      </c>
    </row>
    <row r="29">
      <c r="A29" s="3">
        <v>172.0</v>
      </c>
      <c r="B29" s="3">
        <v>43.34857</v>
      </c>
      <c r="C29" s="3">
        <v>15.80072</v>
      </c>
      <c r="D29" s="3">
        <v>2996.1</v>
      </c>
      <c r="E29" s="3">
        <v>4564.288</v>
      </c>
      <c r="F29" s="4" t="s">
        <v>7</v>
      </c>
      <c r="G29" s="3">
        <v>21.0</v>
      </c>
    </row>
    <row r="30">
      <c r="A30" s="3">
        <v>171.0</v>
      </c>
      <c r="B30" s="3">
        <v>43.34647</v>
      </c>
      <c r="C30" s="3">
        <v>15.61963</v>
      </c>
      <c r="D30" s="3">
        <v>2996.233</v>
      </c>
      <c r="E30" s="3">
        <v>4574.47</v>
      </c>
      <c r="F30" s="4" t="s">
        <v>7</v>
      </c>
      <c r="G30" s="3">
        <v>21.0</v>
      </c>
    </row>
    <row r="31">
      <c r="A31" s="3">
        <v>170.0</v>
      </c>
      <c r="B31" s="3">
        <v>43.22083</v>
      </c>
      <c r="C31" s="3">
        <v>15.54882</v>
      </c>
      <c r="D31" s="3">
        <v>2998.133</v>
      </c>
      <c r="E31" s="3">
        <v>4564.528</v>
      </c>
      <c r="F31" s="4" t="s">
        <v>7</v>
      </c>
      <c r="G31" s="3">
        <v>21.0</v>
      </c>
    </row>
    <row r="32">
      <c r="A32" s="3">
        <v>169.0</v>
      </c>
      <c r="B32" s="3">
        <v>43.09228</v>
      </c>
      <c r="C32" s="3">
        <v>15.71571</v>
      </c>
      <c r="D32" s="3">
        <v>2999.7</v>
      </c>
      <c r="E32" s="3">
        <v>4550.587</v>
      </c>
      <c r="F32" s="4" t="s">
        <v>7</v>
      </c>
      <c r="G32" s="3">
        <v>21.0</v>
      </c>
    </row>
    <row r="33">
      <c r="A33" s="3">
        <v>168.0</v>
      </c>
      <c r="B33" s="3">
        <v>43.0193</v>
      </c>
      <c r="C33" s="3">
        <v>15.78484</v>
      </c>
      <c r="D33" s="3">
        <v>3002.933</v>
      </c>
      <c r="E33" s="3">
        <v>4559.504</v>
      </c>
      <c r="F33" s="4" t="s">
        <v>7</v>
      </c>
      <c r="G33" s="3">
        <v>21.0</v>
      </c>
    </row>
    <row r="34">
      <c r="A34" s="3">
        <v>167.0</v>
      </c>
      <c r="B34" s="3">
        <v>42.9852</v>
      </c>
      <c r="C34" s="3">
        <v>15.83049</v>
      </c>
      <c r="D34" s="3">
        <v>3005.2</v>
      </c>
      <c r="E34" s="3">
        <v>4559.745</v>
      </c>
      <c r="F34" s="4" t="s">
        <v>7</v>
      </c>
      <c r="G34" s="3">
        <v>21.0</v>
      </c>
    </row>
    <row r="35">
      <c r="A35" s="3">
        <v>166.0</v>
      </c>
      <c r="B35" s="3">
        <v>42.81926</v>
      </c>
      <c r="C35" s="3">
        <v>15.65257</v>
      </c>
      <c r="D35" s="3">
        <v>3008.167</v>
      </c>
      <c r="E35" s="3">
        <v>4564.558</v>
      </c>
      <c r="F35" s="4" t="s">
        <v>7</v>
      </c>
      <c r="G35" s="3">
        <v>21.0</v>
      </c>
    </row>
    <row r="36">
      <c r="A36" s="3">
        <v>165.0</v>
      </c>
      <c r="B36" s="3">
        <v>42.52418</v>
      </c>
      <c r="C36" s="3">
        <v>15.66075</v>
      </c>
      <c r="D36" s="3">
        <v>3012.033</v>
      </c>
      <c r="E36" s="3">
        <v>4573.535</v>
      </c>
      <c r="F36" s="4" t="s">
        <v>7</v>
      </c>
      <c r="G36" s="3">
        <v>21.0</v>
      </c>
    </row>
    <row r="37">
      <c r="A37" s="3">
        <v>164.0</v>
      </c>
      <c r="B37" s="3">
        <v>42.52418</v>
      </c>
      <c r="C37" s="3">
        <v>15.61618</v>
      </c>
      <c r="D37" s="3">
        <v>3012.033</v>
      </c>
      <c r="E37" s="3">
        <v>4586.776</v>
      </c>
      <c r="F37" s="4" t="s">
        <v>7</v>
      </c>
      <c r="G37" s="3">
        <v>21.0</v>
      </c>
    </row>
    <row r="38">
      <c r="A38" s="3">
        <v>163.0</v>
      </c>
      <c r="B38" s="3">
        <v>42.52418</v>
      </c>
      <c r="C38" s="3">
        <v>15.20761</v>
      </c>
      <c r="D38" s="3">
        <v>3012.033</v>
      </c>
      <c r="E38" s="3">
        <v>4621.34</v>
      </c>
      <c r="F38" s="4" t="s">
        <v>7</v>
      </c>
      <c r="G38" s="3">
        <v>21.0</v>
      </c>
    </row>
    <row r="39">
      <c r="A39" s="3">
        <v>162.0</v>
      </c>
      <c r="B39" s="3">
        <v>42.42783</v>
      </c>
      <c r="C39" s="3">
        <v>15.14913</v>
      </c>
      <c r="D39" s="3">
        <v>3016.533</v>
      </c>
      <c r="E39" s="3">
        <v>4624.986</v>
      </c>
      <c r="F39" s="4" t="s">
        <v>7</v>
      </c>
      <c r="G39" s="3">
        <v>21.0</v>
      </c>
    </row>
    <row r="40">
      <c r="A40" s="3">
        <v>161.0</v>
      </c>
      <c r="B40" s="3">
        <v>42.42783</v>
      </c>
      <c r="C40" s="3">
        <v>15.0327</v>
      </c>
      <c r="D40" s="3">
        <v>3016.533</v>
      </c>
      <c r="E40" s="3">
        <v>4657.715</v>
      </c>
      <c r="F40" s="4" t="s">
        <v>7</v>
      </c>
      <c r="G40" s="3">
        <v>21.0</v>
      </c>
    </row>
    <row r="41">
      <c r="A41" s="3">
        <v>160.0</v>
      </c>
      <c r="B41" s="3">
        <v>42.38314</v>
      </c>
      <c r="C41" s="3">
        <v>14.86703</v>
      </c>
      <c r="D41" s="3">
        <v>3017.267</v>
      </c>
      <c r="E41" s="3">
        <v>4679.524</v>
      </c>
      <c r="F41" s="4" t="s">
        <v>7</v>
      </c>
      <c r="G41" s="3">
        <v>21.0</v>
      </c>
    </row>
    <row r="42">
      <c r="A42" s="3">
        <v>159.0</v>
      </c>
      <c r="B42" s="3">
        <v>42.24437</v>
      </c>
      <c r="C42" s="3">
        <v>14.93488</v>
      </c>
      <c r="D42" s="3">
        <v>3021.5</v>
      </c>
      <c r="E42" s="3">
        <v>4663.62</v>
      </c>
      <c r="F42" s="4" t="s">
        <v>7</v>
      </c>
      <c r="G42" s="3">
        <v>21.0</v>
      </c>
    </row>
    <row r="43">
      <c r="A43" s="3">
        <v>158.0</v>
      </c>
      <c r="B43" s="3">
        <v>42.04707</v>
      </c>
      <c r="C43" s="3">
        <v>14.82665</v>
      </c>
      <c r="D43" s="3">
        <v>3025.167</v>
      </c>
      <c r="E43" s="3">
        <v>4660.232</v>
      </c>
      <c r="F43" s="4" t="s">
        <v>7</v>
      </c>
      <c r="G43" s="3">
        <v>21.0</v>
      </c>
    </row>
    <row r="44">
      <c r="A44" s="3">
        <v>157.0</v>
      </c>
      <c r="B44" s="3">
        <v>42.04707</v>
      </c>
      <c r="C44" s="3">
        <v>14.88312</v>
      </c>
      <c r="D44" s="3">
        <v>3025.167</v>
      </c>
      <c r="E44" s="3">
        <v>4640.642</v>
      </c>
      <c r="F44" s="4" t="s">
        <v>7</v>
      </c>
      <c r="G44" s="3">
        <v>21.0</v>
      </c>
    </row>
    <row r="45">
      <c r="A45" s="3">
        <v>156.0</v>
      </c>
      <c r="B45" s="3">
        <v>41.91016</v>
      </c>
      <c r="C45" s="3">
        <v>14.89881</v>
      </c>
      <c r="D45" s="3">
        <v>3026.833</v>
      </c>
      <c r="E45" s="3">
        <v>4633.274</v>
      </c>
      <c r="F45" s="4" t="s">
        <v>7</v>
      </c>
      <c r="G45" s="3">
        <v>21.0</v>
      </c>
    </row>
    <row r="46">
      <c r="A46" s="3">
        <v>155.0</v>
      </c>
      <c r="B46" s="3">
        <v>41.70906</v>
      </c>
      <c r="C46" s="3">
        <v>14.84226</v>
      </c>
      <c r="D46" s="3">
        <v>3029.867</v>
      </c>
      <c r="E46" s="3">
        <v>4654.974</v>
      </c>
      <c r="F46" s="4" t="s">
        <v>7</v>
      </c>
      <c r="G46" s="3">
        <v>21.0</v>
      </c>
    </row>
    <row r="47">
      <c r="A47" s="3">
        <v>154.0</v>
      </c>
      <c r="B47" s="3">
        <v>41.70906</v>
      </c>
      <c r="C47" s="3">
        <v>14.69412</v>
      </c>
      <c r="D47" s="3">
        <v>3029.867</v>
      </c>
      <c r="E47" s="3">
        <v>4668.901</v>
      </c>
      <c r="F47" s="4" t="s">
        <v>7</v>
      </c>
      <c r="G47" s="3">
        <v>21.0</v>
      </c>
    </row>
    <row r="48">
      <c r="A48" s="3">
        <v>153.0</v>
      </c>
      <c r="B48" s="3">
        <v>41.69134</v>
      </c>
      <c r="C48" s="3">
        <v>14.55264</v>
      </c>
      <c r="D48" s="3">
        <v>3030.167</v>
      </c>
      <c r="E48" s="3">
        <v>4686.929</v>
      </c>
      <c r="F48" s="4" t="s">
        <v>7</v>
      </c>
      <c r="G48" s="3">
        <v>21.0</v>
      </c>
    </row>
    <row r="49">
      <c r="A49" s="3">
        <v>152.0</v>
      </c>
      <c r="B49" s="3">
        <v>41.56161</v>
      </c>
      <c r="C49" s="3">
        <v>14.47536</v>
      </c>
      <c r="D49" s="3">
        <v>3032.867</v>
      </c>
      <c r="E49" s="3">
        <v>4679.25</v>
      </c>
      <c r="F49" s="4" t="s">
        <v>7</v>
      </c>
      <c r="G49" s="3">
        <v>21.0</v>
      </c>
    </row>
    <row r="50">
      <c r="A50" s="3">
        <v>151.0</v>
      </c>
      <c r="B50" s="3">
        <v>41.42859</v>
      </c>
      <c r="C50" s="3">
        <v>14.59782</v>
      </c>
      <c r="D50" s="3">
        <v>3034.5</v>
      </c>
      <c r="E50" s="3">
        <v>4666.441</v>
      </c>
      <c r="F50" s="4" t="s">
        <v>7</v>
      </c>
      <c r="G50" s="3">
        <v>21.0</v>
      </c>
    </row>
    <row r="51">
      <c r="A51" s="3">
        <v>150.0</v>
      </c>
      <c r="B51" s="3">
        <v>41.10174</v>
      </c>
      <c r="C51" s="3">
        <v>14.59566</v>
      </c>
      <c r="D51" s="3">
        <v>3039.167</v>
      </c>
      <c r="E51" s="3">
        <v>4670.059</v>
      </c>
      <c r="F51" s="4" t="s">
        <v>7</v>
      </c>
      <c r="G51" s="3">
        <v>21.0</v>
      </c>
    </row>
    <row r="52">
      <c r="A52" s="3">
        <v>149.0</v>
      </c>
      <c r="B52" s="3">
        <v>40.8703</v>
      </c>
      <c r="C52" s="3">
        <v>14.59468</v>
      </c>
      <c r="D52" s="3">
        <v>3042.1</v>
      </c>
      <c r="E52" s="3">
        <v>4670.323</v>
      </c>
      <c r="F52" s="4" t="s">
        <v>7</v>
      </c>
      <c r="G52" s="3">
        <v>21.0</v>
      </c>
    </row>
    <row r="53">
      <c r="A53" s="3">
        <v>148.0</v>
      </c>
      <c r="B53" s="3">
        <v>40.62671</v>
      </c>
      <c r="C53" s="3">
        <v>14.47422</v>
      </c>
      <c r="D53" s="3">
        <v>3045.967</v>
      </c>
      <c r="E53" s="3">
        <v>4667.128</v>
      </c>
      <c r="F53" s="4" t="s">
        <v>7</v>
      </c>
      <c r="G53" s="3">
        <v>21.0</v>
      </c>
    </row>
    <row r="54">
      <c r="A54" s="3">
        <v>147.0</v>
      </c>
      <c r="B54" s="3">
        <v>40.45291</v>
      </c>
      <c r="C54" s="3">
        <v>14.2485</v>
      </c>
      <c r="D54" s="3">
        <v>3051.4</v>
      </c>
      <c r="E54" s="3">
        <v>4681.184</v>
      </c>
      <c r="F54" s="4" t="s">
        <v>7</v>
      </c>
      <c r="G54" s="3">
        <v>21.0</v>
      </c>
    </row>
    <row r="55">
      <c r="A55" s="3">
        <v>146.0</v>
      </c>
      <c r="B55" s="3">
        <v>40.20426</v>
      </c>
      <c r="C55" s="3">
        <v>14.18972</v>
      </c>
      <c r="D55" s="3">
        <v>3056.833</v>
      </c>
      <c r="E55" s="3">
        <v>4690.743</v>
      </c>
      <c r="F55" s="4" t="s">
        <v>7</v>
      </c>
      <c r="G55" s="3">
        <v>21.0</v>
      </c>
    </row>
    <row r="56">
      <c r="A56" s="3">
        <v>145.0</v>
      </c>
      <c r="B56" s="3">
        <v>40.15174</v>
      </c>
      <c r="C56" s="3">
        <v>14.14169</v>
      </c>
      <c r="D56" s="3">
        <v>3057.867</v>
      </c>
      <c r="E56" s="3">
        <v>4698.57</v>
      </c>
      <c r="F56" s="4" t="s">
        <v>7</v>
      </c>
      <c r="G56" s="3">
        <v>21.0</v>
      </c>
    </row>
    <row r="57">
      <c r="A57" s="3">
        <v>144.0</v>
      </c>
      <c r="B57" s="3">
        <v>39.62168</v>
      </c>
      <c r="C57" s="3">
        <v>13.98291</v>
      </c>
      <c r="D57" s="3">
        <v>3066.433</v>
      </c>
      <c r="E57" s="3">
        <v>4724.216</v>
      </c>
      <c r="F57" s="4" t="s">
        <v>7</v>
      </c>
      <c r="G57" s="3">
        <v>21.0</v>
      </c>
    </row>
    <row r="58">
      <c r="A58" s="3">
        <v>143.0</v>
      </c>
      <c r="B58" s="3">
        <v>39.30833</v>
      </c>
      <c r="C58" s="3">
        <v>13.96776</v>
      </c>
      <c r="D58" s="3">
        <v>3075.7</v>
      </c>
      <c r="E58" s="3">
        <v>4750.544</v>
      </c>
      <c r="F58" s="4" t="s">
        <v>7</v>
      </c>
      <c r="G58" s="3">
        <v>21.0</v>
      </c>
    </row>
    <row r="59">
      <c r="A59" s="3">
        <v>142.0</v>
      </c>
      <c r="B59" s="3">
        <v>39.30833</v>
      </c>
      <c r="C59" s="3">
        <v>13.89658</v>
      </c>
      <c r="D59" s="3">
        <v>3075.7</v>
      </c>
      <c r="E59" s="3">
        <v>4756.835</v>
      </c>
      <c r="F59" s="4" t="s">
        <v>7</v>
      </c>
      <c r="G59" s="3">
        <v>21.0</v>
      </c>
    </row>
    <row r="60">
      <c r="A60" s="3">
        <v>141.0</v>
      </c>
      <c r="B60" s="3">
        <v>39.21602</v>
      </c>
      <c r="C60" s="3">
        <v>13.8154</v>
      </c>
      <c r="D60" s="3">
        <v>3077.667</v>
      </c>
      <c r="E60" s="3">
        <v>4757.809</v>
      </c>
      <c r="F60" s="4" t="s">
        <v>7</v>
      </c>
      <c r="G60" s="3">
        <v>21.0</v>
      </c>
    </row>
    <row r="61">
      <c r="A61" s="3">
        <v>140.0</v>
      </c>
      <c r="B61" s="3">
        <v>38.85426</v>
      </c>
      <c r="C61" s="3">
        <v>13.66537</v>
      </c>
      <c r="D61" s="3">
        <v>3084.667</v>
      </c>
      <c r="E61" s="3">
        <v>4766.56</v>
      </c>
      <c r="F61" s="4" t="s">
        <v>7</v>
      </c>
      <c r="G61" s="3">
        <v>21.0</v>
      </c>
    </row>
    <row r="62">
      <c r="A62" s="3">
        <v>139.0</v>
      </c>
      <c r="B62" s="3">
        <v>38.72242</v>
      </c>
      <c r="C62" s="3">
        <v>13.73734</v>
      </c>
      <c r="D62" s="3">
        <v>3087.567</v>
      </c>
      <c r="E62" s="3">
        <v>4747.056</v>
      </c>
      <c r="F62" s="4" t="s">
        <v>7</v>
      </c>
      <c r="G62" s="3">
        <v>21.0</v>
      </c>
    </row>
    <row r="63">
      <c r="A63" s="3">
        <v>138.0</v>
      </c>
      <c r="B63" s="3">
        <v>38.56922</v>
      </c>
      <c r="C63" s="3">
        <v>13.54614</v>
      </c>
      <c r="D63" s="3">
        <v>3090.733</v>
      </c>
      <c r="E63" s="3">
        <v>4773.087</v>
      </c>
      <c r="F63" s="4" t="s">
        <v>7</v>
      </c>
      <c r="G63" s="3">
        <v>21.0</v>
      </c>
    </row>
    <row r="64">
      <c r="A64" s="3">
        <v>137.0</v>
      </c>
      <c r="B64" s="3">
        <v>38.56922</v>
      </c>
      <c r="C64" s="3">
        <v>13.5518</v>
      </c>
      <c r="D64" s="3">
        <v>3090.733</v>
      </c>
      <c r="E64" s="3">
        <v>4767.494</v>
      </c>
      <c r="F64" s="4" t="s">
        <v>7</v>
      </c>
      <c r="G64" s="3">
        <v>21.0</v>
      </c>
    </row>
    <row r="65">
      <c r="A65" s="3">
        <v>136.0</v>
      </c>
      <c r="B65" s="3">
        <v>38.44133</v>
      </c>
      <c r="C65" s="3">
        <v>13.53153</v>
      </c>
      <c r="D65" s="3">
        <v>3092.833</v>
      </c>
      <c r="E65" s="3">
        <v>4763.276</v>
      </c>
      <c r="F65" s="4" t="s">
        <v>7</v>
      </c>
      <c r="G65" s="3">
        <v>21.0</v>
      </c>
    </row>
    <row r="66">
      <c r="A66" s="3">
        <v>135.0</v>
      </c>
      <c r="B66" s="3">
        <v>38.27348</v>
      </c>
      <c r="C66" s="3">
        <v>13.50888</v>
      </c>
      <c r="D66" s="3">
        <v>3096.933</v>
      </c>
      <c r="E66" s="3">
        <v>4764.431</v>
      </c>
      <c r="F66" s="4" t="s">
        <v>7</v>
      </c>
      <c r="G66" s="3">
        <v>21.0</v>
      </c>
    </row>
    <row r="67">
      <c r="A67" s="3">
        <v>134.0</v>
      </c>
      <c r="B67" s="3">
        <v>38.09226</v>
      </c>
      <c r="C67" s="3">
        <v>13.40246</v>
      </c>
      <c r="D67" s="3">
        <v>3100.267</v>
      </c>
      <c r="E67" s="3">
        <v>4770.272</v>
      </c>
      <c r="F67" s="4" t="s">
        <v>7</v>
      </c>
      <c r="G67" s="3">
        <v>21.0</v>
      </c>
    </row>
    <row r="68">
      <c r="A68" s="3">
        <v>133.0</v>
      </c>
      <c r="B68" s="3">
        <v>37.61433</v>
      </c>
      <c r="C68" s="3">
        <v>13.39661</v>
      </c>
      <c r="D68" s="3">
        <v>3108.4</v>
      </c>
      <c r="E68" s="3">
        <v>4780.3</v>
      </c>
      <c r="F68" s="4" t="s">
        <v>7</v>
      </c>
      <c r="G68" s="3">
        <v>21.0</v>
      </c>
    </row>
    <row r="69">
      <c r="A69" s="3">
        <v>132.0</v>
      </c>
      <c r="B69" s="3">
        <v>37.25477</v>
      </c>
      <c r="C69" s="3">
        <v>13.36852</v>
      </c>
      <c r="D69" s="3">
        <v>3115.867</v>
      </c>
      <c r="E69" s="3">
        <v>4802.011</v>
      </c>
      <c r="F69" s="4" t="s">
        <v>7</v>
      </c>
      <c r="G69" s="3">
        <v>21.0</v>
      </c>
    </row>
    <row r="70">
      <c r="A70" s="3">
        <v>131.0</v>
      </c>
      <c r="B70" s="3">
        <v>36.81834</v>
      </c>
      <c r="C70" s="3">
        <v>13.15034</v>
      </c>
      <c r="D70" s="3">
        <v>3125.6</v>
      </c>
      <c r="E70" s="3">
        <v>4822.87</v>
      </c>
      <c r="F70" s="4" t="s">
        <v>7</v>
      </c>
      <c r="G70" s="3">
        <v>21.0</v>
      </c>
    </row>
    <row r="71">
      <c r="A71" s="3">
        <v>130.0</v>
      </c>
      <c r="B71" s="3">
        <v>36.46985</v>
      </c>
      <c r="C71" s="3">
        <v>12.90627</v>
      </c>
      <c r="D71" s="3">
        <v>3132.8</v>
      </c>
      <c r="E71" s="3">
        <v>4856.978</v>
      </c>
      <c r="F71" s="4" t="s">
        <v>7</v>
      </c>
      <c r="G71" s="3">
        <v>21.0</v>
      </c>
    </row>
    <row r="72">
      <c r="A72" s="3">
        <v>129.0</v>
      </c>
      <c r="B72" s="3">
        <v>36.21595</v>
      </c>
      <c r="C72" s="3">
        <v>12.58736</v>
      </c>
      <c r="D72" s="3">
        <v>3138.533</v>
      </c>
      <c r="E72" s="3">
        <v>4891.97</v>
      </c>
      <c r="F72" s="4" t="s">
        <v>7</v>
      </c>
      <c r="G72" s="3">
        <v>21.0</v>
      </c>
    </row>
    <row r="73">
      <c r="A73" s="3">
        <v>128.0</v>
      </c>
      <c r="B73" s="3">
        <v>36.13001</v>
      </c>
      <c r="C73" s="3">
        <v>12.55649</v>
      </c>
      <c r="D73" s="3">
        <v>3140.367</v>
      </c>
      <c r="E73" s="3">
        <v>4881.871</v>
      </c>
      <c r="F73" s="4" t="s">
        <v>7</v>
      </c>
      <c r="G73" s="3">
        <v>21.0</v>
      </c>
    </row>
    <row r="74">
      <c r="A74" s="3">
        <v>127.0</v>
      </c>
      <c r="B74" s="3">
        <v>35.9487</v>
      </c>
      <c r="C74" s="3">
        <v>12.44461</v>
      </c>
      <c r="D74" s="3">
        <v>3143.7</v>
      </c>
      <c r="E74" s="3">
        <v>4890.212</v>
      </c>
      <c r="F74" s="4" t="s">
        <v>7</v>
      </c>
      <c r="G74" s="3">
        <v>21.0</v>
      </c>
    </row>
    <row r="75">
      <c r="A75" s="3">
        <v>126.0</v>
      </c>
      <c r="B75" s="3">
        <v>35.90986</v>
      </c>
      <c r="C75" s="3">
        <v>12.41789</v>
      </c>
      <c r="D75" s="3">
        <v>3144.767</v>
      </c>
      <c r="E75" s="3">
        <v>4902.16</v>
      </c>
      <c r="F75" s="4" t="s">
        <v>7</v>
      </c>
      <c r="G75" s="3">
        <v>21.0</v>
      </c>
    </row>
    <row r="76">
      <c r="A76" s="3">
        <v>125.0</v>
      </c>
      <c r="B76" s="3">
        <v>35.61002</v>
      </c>
      <c r="C76" s="3">
        <v>12.43895</v>
      </c>
      <c r="D76" s="3">
        <v>3150.8</v>
      </c>
      <c r="E76" s="3">
        <v>4905.558</v>
      </c>
      <c r="F76" s="4" t="s">
        <v>7</v>
      </c>
      <c r="G76" s="3">
        <v>21.0</v>
      </c>
    </row>
    <row r="77">
      <c r="A77" s="3">
        <v>124.0</v>
      </c>
      <c r="B77" s="3">
        <v>35.51562</v>
      </c>
      <c r="C77" s="3">
        <v>12.18122</v>
      </c>
      <c r="D77" s="3">
        <v>3152.967</v>
      </c>
      <c r="E77" s="3">
        <v>4945.831</v>
      </c>
      <c r="F77" s="4" t="s">
        <v>7</v>
      </c>
      <c r="G77" s="3">
        <v>21.0</v>
      </c>
    </row>
    <row r="78">
      <c r="A78" s="3">
        <v>123.0</v>
      </c>
      <c r="B78" s="3">
        <v>35.1816</v>
      </c>
      <c r="C78" s="3">
        <v>11.95734</v>
      </c>
      <c r="D78" s="3">
        <v>3160.9</v>
      </c>
      <c r="E78" s="3">
        <v>4982.68</v>
      </c>
      <c r="F78" s="4" t="s">
        <v>7</v>
      </c>
      <c r="G78" s="3">
        <v>21.0</v>
      </c>
    </row>
    <row r="79">
      <c r="A79" s="3">
        <v>122.0</v>
      </c>
      <c r="B79" s="3">
        <v>34.84559</v>
      </c>
      <c r="C79" s="3">
        <v>11.67269</v>
      </c>
      <c r="D79" s="3">
        <v>3169.767</v>
      </c>
      <c r="E79" s="3">
        <v>5020.463</v>
      </c>
      <c r="F79" s="4" t="s">
        <v>7</v>
      </c>
      <c r="G79" s="3">
        <v>21.0</v>
      </c>
    </row>
    <row r="80">
      <c r="A80" s="3">
        <v>121.0</v>
      </c>
      <c r="B80" s="3">
        <v>34.75474</v>
      </c>
      <c r="C80" s="3">
        <v>11.58373</v>
      </c>
      <c r="D80" s="3">
        <v>3171.8</v>
      </c>
      <c r="E80" s="3">
        <v>5036.796</v>
      </c>
      <c r="F80" s="4" t="s">
        <v>7</v>
      </c>
      <c r="G80" s="3">
        <v>21.0</v>
      </c>
    </row>
    <row r="81">
      <c r="A81" s="3">
        <v>120.0</v>
      </c>
      <c r="B81" s="3">
        <v>34.5511</v>
      </c>
      <c r="C81" s="3">
        <v>11.47349</v>
      </c>
      <c r="D81" s="3">
        <v>3177.8</v>
      </c>
      <c r="E81" s="3">
        <v>5041.101</v>
      </c>
      <c r="F81" s="4" t="s">
        <v>7</v>
      </c>
      <c r="G81" s="3">
        <v>21.0</v>
      </c>
    </row>
    <row r="82">
      <c r="A82" s="3">
        <v>119.0</v>
      </c>
      <c r="B82" s="3">
        <v>34.18908</v>
      </c>
      <c r="C82" s="3">
        <v>11.49517</v>
      </c>
      <c r="D82" s="3">
        <v>3188.833</v>
      </c>
      <c r="E82" s="3">
        <v>5041.147</v>
      </c>
      <c r="F82" s="4" t="s">
        <v>7</v>
      </c>
      <c r="G82" s="3">
        <v>21.0</v>
      </c>
    </row>
    <row r="83">
      <c r="A83" s="3">
        <v>118.0</v>
      </c>
      <c r="B83" s="3">
        <v>34.04777</v>
      </c>
      <c r="C83" s="3">
        <v>11.37528</v>
      </c>
      <c r="D83" s="3">
        <v>3193.1</v>
      </c>
      <c r="E83" s="3">
        <v>5064.341</v>
      </c>
      <c r="F83" s="4" t="s">
        <v>7</v>
      </c>
      <c r="G83" s="3">
        <v>21.0</v>
      </c>
    </row>
    <row r="84">
      <c r="A84" s="3">
        <v>117.0</v>
      </c>
      <c r="B84" s="3">
        <v>33.55502</v>
      </c>
      <c r="C84" s="3">
        <v>11.2465</v>
      </c>
      <c r="D84" s="3">
        <v>3206.9</v>
      </c>
      <c r="E84" s="3">
        <v>5082.828</v>
      </c>
      <c r="F84" s="4" t="s">
        <v>7</v>
      </c>
      <c r="G84" s="3">
        <v>21.0</v>
      </c>
    </row>
    <row r="85">
      <c r="A85" s="3">
        <v>116.0</v>
      </c>
      <c r="B85" s="3">
        <v>33.10183</v>
      </c>
      <c r="C85" s="3">
        <v>11.23176</v>
      </c>
      <c r="D85" s="3">
        <v>3222.267</v>
      </c>
      <c r="E85" s="3">
        <v>5078.759</v>
      </c>
      <c r="F85" s="4" t="s">
        <v>7</v>
      </c>
      <c r="G85" s="3">
        <v>21.0</v>
      </c>
    </row>
    <row r="86">
      <c r="A86" s="3">
        <v>115.0</v>
      </c>
      <c r="B86" s="3">
        <v>33.10183</v>
      </c>
      <c r="C86" s="3">
        <v>11.17732</v>
      </c>
      <c r="D86" s="3">
        <v>3222.267</v>
      </c>
      <c r="E86" s="3">
        <v>5084.435</v>
      </c>
      <c r="F86" s="4" t="s">
        <v>7</v>
      </c>
      <c r="G86" s="3">
        <v>21.0</v>
      </c>
    </row>
    <row r="87">
      <c r="A87" s="3">
        <v>114.0</v>
      </c>
      <c r="B87" s="3">
        <v>33.04279</v>
      </c>
      <c r="C87" s="3">
        <v>11.15963</v>
      </c>
      <c r="D87" s="3">
        <v>3223.633</v>
      </c>
      <c r="E87" s="3">
        <v>5093.924</v>
      </c>
      <c r="F87" s="4" t="s">
        <v>7</v>
      </c>
      <c r="G87" s="3">
        <v>21.0</v>
      </c>
    </row>
    <row r="88">
      <c r="A88" s="3">
        <v>113.0</v>
      </c>
      <c r="B88" s="3">
        <v>32.94604</v>
      </c>
      <c r="C88" s="3">
        <v>11.1614</v>
      </c>
      <c r="D88" s="3">
        <v>3225.5</v>
      </c>
      <c r="E88" s="3">
        <v>5107.671</v>
      </c>
      <c r="F88" s="4" t="s">
        <v>7</v>
      </c>
      <c r="G88" s="3">
        <v>21.0</v>
      </c>
    </row>
    <row r="89">
      <c r="A89" s="3">
        <v>112.0</v>
      </c>
      <c r="B89" s="3">
        <v>32.2978</v>
      </c>
      <c r="C89" s="3">
        <v>10.91567</v>
      </c>
      <c r="D89" s="3">
        <v>3242.8</v>
      </c>
      <c r="E89" s="3">
        <v>5157.486</v>
      </c>
      <c r="F89" s="4" t="s">
        <v>7</v>
      </c>
      <c r="G89" s="3">
        <v>21.0</v>
      </c>
    </row>
    <row r="90">
      <c r="A90" s="3">
        <v>111.0</v>
      </c>
      <c r="B90" s="3">
        <v>31.8912</v>
      </c>
      <c r="C90" s="3">
        <v>10.76203</v>
      </c>
      <c r="D90" s="3">
        <v>3256.7</v>
      </c>
      <c r="E90" s="3">
        <v>5183.733</v>
      </c>
      <c r="F90" s="4" t="s">
        <v>7</v>
      </c>
      <c r="G90" s="3">
        <v>21.0</v>
      </c>
    </row>
    <row r="91">
      <c r="A91" s="3">
        <v>110.0</v>
      </c>
      <c r="B91" s="3">
        <v>31.61499</v>
      </c>
      <c r="C91" s="3">
        <v>10.69125</v>
      </c>
      <c r="D91" s="3">
        <v>3265.6</v>
      </c>
      <c r="E91" s="3">
        <v>5182.33</v>
      </c>
      <c r="F91" s="4" t="s">
        <v>7</v>
      </c>
      <c r="G91" s="3">
        <v>21.0</v>
      </c>
    </row>
    <row r="92">
      <c r="A92" s="3">
        <v>109.0</v>
      </c>
      <c r="B92" s="3">
        <v>31.56223</v>
      </c>
      <c r="C92" s="3">
        <v>10.69872</v>
      </c>
      <c r="D92" s="3">
        <v>3269.367</v>
      </c>
      <c r="E92" s="3">
        <v>5186.476</v>
      </c>
      <c r="F92" s="4" t="s">
        <v>7</v>
      </c>
      <c r="G92" s="3">
        <v>21.0</v>
      </c>
    </row>
    <row r="93">
      <c r="A93" s="3">
        <v>108.0</v>
      </c>
      <c r="B93" s="3">
        <v>31.00614</v>
      </c>
      <c r="C93" s="3">
        <v>10.74358</v>
      </c>
      <c r="D93" s="3">
        <v>3284.7</v>
      </c>
      <c r="E93" s="3">
        <v>5181.412</v>
      </c>
      <c r="F93" s="4" t="s">
        <v>7</v>
      </c>
      <c r="G93" s="3">
        <v>21.0</v>
      </c>
    </row>
    <row r="94">
      <c r="A94" s="3">
        <v>107.0</v>
      </c>
      <c r="B94" s="3">
        <v>30.72044</v>
      </c>
      <c r="C94" s="3">
        <v>10.51316</v>
      </c>
      <c r="D94" s="3">
        <v>3295.767</v>
      </c>
      <c r="E94" s="3">
        <v>5238.648</v>
      </c>
      <c r="F94" s="4" t="s">
        <v>7</v>
      </c>
      <c r="G94" s="3">
        <v>21.0</v>
      </c>
    </row>
    <row r="95">
      <c r="A95" s="3">
        <v>106.0</v>
      </c>
      <c r="B95" s="3">
        <v>30.53424</v>
      </c>
      <c r="C95" s="3">
        <v>10.30579</v>
      </c>
      <c r="D95" s="3">
        <v>3301.733</v>
      </c>
      <c r="E95" s="3">
        <v>5268.292</v>
      </c>
      <c r="F95" s="4" t="s">
        <v>7</v>
      </c>
      <c r="G95" s="3">
        <v>21.0</v>
      </c>
    </row>
    <row r="96">
      <c r="A96" s="3">
        <v>105.0</v>
      </c>
      <c r="B96" s="3">
        <v>30.07413</v>
      </c>
      <c r="C96" s="3">
        <v>10.27631</v>
      </c>
      <c r="D96" s="3">
        <v>3320.6</v>
      </c>
      <c r="E96" s="3">
        <v>5277.193</v>
      </c>
      <c r="F96" s="4" t="s">
        <v>7</v>
      </c>
      <c r="G96" s="3">
        <v>21.0</v>
      </c>
    </row>
    <row r="97">
      <c r="A97" s="3">
        <v>104.0</v>
      </c>
      <c r="B97" s="3">
        <v>29.728</v>
      </c>
      <c r="C97" s="3">
        <v>10.1332</v>
      </c>
      <c r="D97" s="3">
        <v>3330.9</v>
      </c>
      <c r="E97" s="3">
        <v>5303.991</v>
      </c>
      <c r="F97" s="4" t="s">
        <v>7</v>
      </c>
      <c r="G97" s="3">
        <v>21.0</v>
      </c>
    </row>
    <row r="98">
      <c r="A98" s="3">
        <v>103.0</v>
      </c>
      <c r="B98" s="3">
        <v>29.37656</v>
      </c>
      <c r="C98" s="3">
        <v>10.01372</v>
      </c>
      <c r="D98" s="3">
        <v>3345.4</v>
      </c>
      <c r="E98" s="3">
        <v>5325.736</v>
      </c>
      <c r="F98" s="4" t="s">
        <v>7</v>
      </c>
      <c r="G98" s="3">
        <v>21.0</v>
      </c>
    </row>
    <row r="99">
      <c r="A99" s="3">
        <v>102.0</v>
      </c>
      <c r="B99" s="3">
        <v>29.24593</v>
      </c>
      <c r="C99" s="3">
        <v>9.795883</v>
      </c>
      <c r="D99" s="3">
        <v>3349.4</v>
      </c>
      <c r="E99" s="3">
        <v>5344.09</v>
      </c>
      <c r="F99" s="4" t="s">
        <v>7</v>
      </c>
      <c r="G99" s="3">
        <v>21.0</v>
      </c>
    </row>
    <row r="100">
      <c r="A100" s="3">
        <v>101.0</v>
      </c>
      <c r="B100" s="3">
        <v>28.70618</v>
      </c>
      <c r="C100" s="3">
        <v>9.805661</v>
      </c>
      <c r="D100" s="3">
        <v>3367.6</v>
      </c>
      <c r="E100" s="3">
        <v>5340.213</v>
      </c>
      <c r="F100" s="4" t="s">
        <v>7</v>
      </c>
      <c r="G100" s="3">
        <v>21.0</v>
      </c>
    </row>
    <row r="101">
      <c r="A101" s="3">
        <v>100.0</v>
      </c>
      <c r="B101" s="3">
        <v>28.23781</v>
      </c>
      <c r="C101" s="3">
        <v>9.780934</v>
      </c>
      <c r="D101" s="3">
        <v>3387.233</v>
      </c>
      <c r="E101" s="3">
        <v>5364.69</v>
      </c>
      <c r="F101" s="4" t="s">
        <v>7</v>
      </c>
      <c r="G101" s="3">
        <v>21.0</v>
      </c>
    </row>
    <row r="102">
      <c r="A102" s="3">
        <v>99.0</v>
      </c>
      <c r="B102" s="3">
        <v>28.1862</v>
      </c>
      <c r="C102" s="3">
        <v>9.713684</v>
      </c>
      <c r="D102" s="3">
        <v>3390.033</v>
      </c>
      <c r="E102" s="3">
        <v>5392.707</v>
      </c>
      <c r="F102" s="4" t="s">
        <v>7</v>
      </c>
      <c r="G102" s="3">
        <v>21.0</v>
      </c>
    </row>
    <row r="103">
      <c r="A103" s="3">
        <v>98.0</v>
      </c>
      <c r="B103" s="3">
        <v>28.12857</v>
      </c>
      <c r="C103" s="3">
        <v>9.525956</v>
      </c>
      <c r="D103" s="3">
        <v>3392.4</v>
      </c>
      <c r="E103" s="3">
        <v>5426.88</v>
      </c>
      <c r="F103" s="4" t="s">
        <v>7</v>
      </c>
      <c r="G103" s="3">
        <v>21.0</v>
      </c>
    </row>
    <row r="104">
      <c r="A104" s="3">
        <v>97.0</v>
      </c>
      <c r="B104" s="3">
        <v>27.85156</v>
      </c>
      <c r="C104" s="3">
        <v>9.469987</v>
      </c>
      <c r="D104" s="3">
        <v>3403.0</v>
      </c>
      <c r="E104" s="3">
        <v>5434.023</v>
      </c>
      <c r="F104" s="4" t="s">
        <v>7</v>
      </c>
      <c r="G104" s="3">
        <v>21.0</v>
      </c>
    </row>
    <row r="105">
      <c r="A105" s="3">
        <v>96.0</v>
      </c>
      <c r="B105" s="3">
        <v>27.82535</v>
      </c>
      <c r="C105" s="3">
        <v>9.294764</v>
      </c>
      <c r="D105" s="3">
        <v>3405.2</v>
      </c>
      <c r="E105" s="3">
        <v>5473.356</v>
      </c>
      <c r="F105" s="4" t="s">
        <v>7</v>
      </c>
      <c r="G105" s="3">
        <v>21.0</v>
      </c>
    </row>
    <row r="106">
      <c r="A106" s="3">
        <v>95.0</v>
      </c>
      <c r="B106" s="3">
        <v>27.61436</v>
      </c>
      <c r="C106" s="3">
        <v>9.10442</v>
      </c>
      <c r="D106" s="3">
        <v>3413.733</v>
      </c>
      <c r="E106" s="3">
        <v>5502.785</v>
      </c>
      <c r="F106" s="4" t="s">
        <v>7</v>
      </c>
      <c r="G106" s="3">
        <v>21.0</v>
      </c>
    </row>
    <row r="107">
      <c r="A107" s="3">
        <v>94.0</v>
      </c>
      <c r="B107" s="3">
        <v>27.33421</v>
      </c>
      <c r="C107" s="3">
        <v>9.012723</v>
      </c>
      <c r="D107" s="3">
        <v>3423.567</v>
      </c>
      <c r="E107" s="3">
        <v>5532.932</v>
      </c>
      <c r="F107" s="4" t="s">
        <v>7</v>
      </c>
      <c r="G107" s="3">
        <v>21.0</v>
      </c>
    </row>
    <row r="108">
      <c r="A108" s="3">
        <v>93.0</v>
      </c>
      <c r="B108" s="3">
        <v>27.22494</v>
      </c>
      <c r="C108" s="3">
        <v>8.833876</v>
      </c>
      <c r="D108" s="3">
        <v>3427.9</v>
      </c>
      <c r="E108" s="3">
        <v>5564.542</v>
      </c>
      <c r="F108" s="4" t="s">
        <v>7</v>
      </c>
      <c r="G108" s="3">
        <v>21.0</v>
      </c>
    </row>
    <row r="109">
      <c r="A109" s="3">
        <v>92.0</v>
      </c>
      <c r="B109" s="3">
        <v>27.12988</v>
      </c>
      <c r="C109" s="3">
        <v>8.814978</v>
      </c>
      <c r="D109" s="3">
        <v>3434.1</v>
      </c>
      <c r="E109" s="3">
        <v>5575.921</v>
      </c>
      <c r="F109" s="4" t="s">
        <v>7</v>
      </c>
      <c r="G109" s="3">
        <v>21.0</v>
      </c>
    </row>
    <row r="110">
      <c r="A110" s="3">
        <v>91.0</v>
      </c>
      <c r="B110" s="3">
        <v>26.82062</v>
      </c>
      <c r="C110" s="3">
        <v>8.607692</v>
      </c>
      <c r="D110" s="3">
        <v>3443.0</v>
      </c>
      <c r="E110" s="3">
        <v>5620.292</v>
      </c>
      <c r="F110" s="4" t="s">
        <v>7</v>
      </c>
      <c r="G110" s="3">
        <v>21.0</v>
      </c>
    </row>
    <row r="111">
      <c r="A111" s="3">
        <v>90.0</v>
      </c>
      <c r="B111" s="3">
        <v>26.55701</v>
      </c>
      <c r="C111" s="3">
        <v>8.61986</v>
      </c>
      <c r="D111" s="3">
        <v>3450.833</v>
      </c>
      <c r="E111" s="3">
        <v>5631.207</v>
      </c>
      <c r="F111" s="4" t="s">
        <v>7</v>
      </c>
      <c r="G111" s="3">
        <v>21.0</v>
      </c>
    </row>
    <row r="112">
      <c r="A112" s="3">
        <v>89.0</v>
      </c>
      <c r="B112" s="3">
        <v>26.18015</v>
      </c>
      <c r="C112" s="3">
        <v>8.453585</v>
      </c>
      <c r="D112" s="3">
        <v>3463.533</v>
      </c>
      <c r="E112" s="3">
        <v>5645.374</v>
      </c>
      <c r="F112" s="4" t="s">
        <v>7</v>
      </c>
      <c r="G112" s="3">
        <v>21.0</v>
      </c>
    </row>
    <row r="113">
      <c r="A113" s="3">
        <v>88.0</v>
      </c>
      <c r="B113" s="3">
        <v>25.8712</v>
      </c>
      <c r="C113" s="3">
        <v>8.524447</v>
      </c>
      <c r="D113" s="3">
        <v>3478.233</v>
      </c>
      <c r="E113" s="3">
        <v>5646.919</v>
      </c>
      <c r="F113" s="4" t="s">
        <v>7</v>
      </c>
      <c r="G113" s="3">
        <v>21.0</v>
      </c>
    </row>
    <row r="114">
      <c r="A114" s="3">
        <v>87.0</v>
      </c>
      <c r="B114" s="3">
        <v>25.35665</v>
      </c>
      <c r="C114" s="3">
        <v>8.512545</v>
      </c>
      <c r="D114" s="3">
        <v>3503.167</v>
      </c>
      <c r="E114" s="3">
        <v>5662.959</v>
      </c>
      <c r="F114" s="4" t="s">
        <v>7</v>
      </c>
      <c r="G114" s="3">
        <v>21.0</v>
      </c>
    </row>
    <row r="115">
      <c r="A115" s="3">
        <v>86.0</v>
      </c>
      <c r="B115" s="3">
        <v>24.98328</v>
      </c>
      <c r="C115" s="3">
        <v>8.383839</v>
      </c>
      <c r="D115" s="3">
        <v>3517.4</v>
      </c>
      <c r="E115" s="3">
        <v>5692.306</v>
      </c>
      <c r="F115" s="4" t="s">
        <v>7</v>
      </c>
      <c r="G115" s="3">
        <v>21.0</v>
      </c>
    </row>
    <row r="116">
      <c r="A116" s="3">
        <v>85.0</v>
      </c>
      <c r="B116" s="3">
        <v>24.89083</v>
      </c>
      <c r="C116" s="3">
        <v>8.413696</v>
      </c>
      <c r="D116" s="3">
        <v>3521.8</v>
      </c>
      <c r="E116" s="3">
        <v>5700.224</v>
      </c>
      <c r="F116" s="4" t="s">
        <v>7</v>
      </c>
      <c r="G116" s="3">
        <v>21.0</v>
      </c>
    </row>
    <row r="117">
      <c r="A117" s="3">
        <v>84.0</v>
      </c>
      <c r="B117" s="3">
        <v>24.70272</v>
      </c>
      <c r="C117" s="3">
        <v>8.411163</v>
      </c>
      <c r="D117" s="3">
        <v>3533.267</v>
      </c>
      <c r="E117" s="3">
        <v>5706.068</v>
      </c>
      <c r="F117" s="4" t="s">
        <v>7</v>
      </c>
      <c r="G117" s="3">
        <v>21.0</v>
      </c>
    </row>
    <row r="118">
      <c r="A118" s="3">
        <v>83.0</v>
      </c>
      <c r="B118" s="3">
        <v>24.21963</v>
      </c>
      <c r="C118" s="3">
        <v>8.347986</v>
      </c>
      <c r="D118" s="3">
        <v>3551.467</v>
      </c>
      <c r="E118" s="3">
        <v>5724.131</v>
      </c>
      <c r="F118" s="4" t="s">
        <v>7</v>
      </c>
      <c r="G118" s="3">
        <v>21.0</v>
      </c>
    </row>
    <row r="119">
      <c r="A119" s="3">
        <v>82.0</v>
      </c>
      <c r="B119" s="3">
        <v>24.01415</v>
      </c>
      <c r="C119" s="3">
        <v>8.225355</v>
      </c>
      <c r="D119" s="3">
        <v>3564.467</v>
      </c>
      <c r="E119" s="3">
        <v>5764.382</v>
      </c>
      <c r="F119" s="4" t="s">
        <v>7</v>
      </c>
      <c r="G119" s="3">
        <v>21.0</v>
      </c>
    </row>
    <row r="120">
      <c r="A120" s="3">
        <v>81.0</v>
      </c>
      <c r="B120" s="3">
        <v>23.5289</v>
      </c>
      <c r="C120" s="3">
        <v>8.198933</v>
      </c>
      <c r="D120" s="3">
        <v>3587.2</v>
      </c>
      <c r="E120" s="3">
        <v>5770.915</v>
      </c>
      <c r="F120" s="4" t="s">
        <v>7</v>
      </c>
      <c r="G120" s="3">
        <v>21.0</v>
      </c>
    </row>
    <row r="121">
      <c r="A121" s="3">
        <v>80.0</v>
      </c>
      <c r="B121" s="3">
        <v>23.33636</v>
      </c>
      <c r="C121" s="3">
        <v>8.153805</v>
      </c>
      <c r="D121" s="3">
        <v>3603.233</v>
      </c>
      <c r="E121" s="3">
        <v>5797.46</v>
      </c>
      <c r="F121" s="4" t="s">
        <v>7</v>
      </c>
      <c r="G121" s="3">
        <v>21.0</v>
      </c>
    </row>
    <row r="122">
      <c r="A122" s="3">
        <v>79.0</v>
      </c>
      <c r="B122" s="3">
        <v>22.89809</v>
      </c>
      <c r="C122" s="3">
        <v>8.09455</v>
      </c>
      <c r="D122" s="3">
        <v>3623.567</v>
      </c>
      <c r="E122" s="3">
        <v>5824.069</v>
      </c>
      <c r="F122" s="4" t="s">
        <v>7</v>
      </c>
      <c r="G122" s="3">
        <v>21.0</v>
      </c>
    </row>
    <row r="123">
      <c r="A123" s="3">
        <v>78.0</v>
      </c>
      <c r="B123" s="3">
        <v>22.61159</v>
      </c>
      <c r="C123" s="3">
        <v>7.98256</v>
      </c>
      <c r="D123" s="3">
        <v>3635.333</v>
      </c>
      <c r="E123" s="3">
        <v>5839.581</v>
      </c>
      <c r="F123" s="4" t="s">
        <v>7</v>
      </c>
      <c r="G123" s="3">
        <v>21.0</v>
      </c>
    </row>
    <row r="124">
      <c r="A124" s="3">
        <v>77.0</v>
      </c>
      <c r="B124" s="3">
        <v>22.33055</v>
      </c>
      <c r="C124" s="3">
        <v>7.878048</v>
      </c>
      <c r="D124" s="3">
        <v>3649.4</v>
      </c>
      <c r="E124" s="3">
        <v>5861.238</v>
      </c>
      <c r="F124" s="4" t="s">
        <v>7</v>
      </c>
      <c r="G124" s="3">
        <v>21.0</v>
      </c>
    </row>
    <row r="125">
      <c r="A125" s="3">
        <v>76.0</v>
      </c>
      <c r="B125" s="3">
        <v>22.06339</v>
      </c>
      <c r="C125" s="3">
        <v>7.766752</v>
      </c>
      <c r="D125" s="3">
        <v>3665.933</v>
      </c>
      <c r="E125" s="3">
        <v>5878.287</v>
      </c>
      <c r="F125" s="4" t="s">
        <v>7</v>
      </c>
      <c r="G125" s="3">
        <v>21.0</v>
      </c>
    </row>
    <row r="126">
      <c r="A126" s="3">
        <v>75.0</v>
      </c>
      <c r="B126" s="3">
        <v>21.65953</v>
      </c>
      <c r="C126" s="3">
        <v>7.676783</v>
      </c>
      <c r="D126" s="3">
        <v>3684.867</v>
      </c>
      <c r="E126" s="3">
        <v>5909.401</v>
      </c>
      <c r="F126" s="4" t="s">
        <v>7</v>
      </c>
      <c r="G126" s="3">
        <v>21.0</v>
      </c>
    </row>
    <row r="127">
      <c r="A127" s="3">
        <v>74.0</v>
      </c>
      <c r="B127" s="3">
        <v>21.54155</v>
      </c>
      <c r="C127" s="3">
        <v>7.543331</v>
      </c>
      <c r="D127" s="3">
        <v>3689.0</v>
      </c>
      <c r="E127" s="3">
        <v>5944.536</v>
      </c>
      <c r="F127" s="4" t="s">
        <v>7</v>
      </c>
      <c r="G127" s="3">
        <v>21.0</v>
      </c>
    </row>
    <row r="128">
      <c r="A128" s="3">
        <v>73.0</v>
      </c>
      <c r="B128" s="3">
        <v>21.12168</v>
      </c>
      <c r="C128" s="3">
        <v>7.519481</v>
      </c>
      <c r="D128" s="3">
        <v>3708.667</v>
      </c>
      <c r="E128" s="3">
        <v>5955.475</v>
      </c>
      <c r="F128" s="4" t="s">
        <v>7</v>
      </c>
      <c r="G128" s="3">
        <v>21.0</v>
      </c>
    </row>
    <row r="129">
      <c r="A129" s="3">
        <v>72.0</v>
      </c>
      <c r="B129" s="3">
        <v>20.91341</v>
      </c>
      <c r="C129" s="3">
        <v>7.43728</v>
      </c>
      <c r="D129" s="3">
        <v>3721.133</v>
      </c>
      <c r="E129" s="3">
        <v>5985.38</v>
      </c>
      <c r="F129" s="4" t="s">
        <v>7</v>
      </c>
      <c r="G129" s="3">
        <v>21.0</v>
      </c>
    </row>
    <row r="130">
      <c r="A130" s="3">
        <v>71.0</v>
      </c>
      <c r="B130" s="3">
        <v>20.62123</v>
      </c>
      <c r="C130" s="3">
        <v>7.401597</v>
      </c>
      <c r="D130" s="3">
        <v>3740.0</v>
      </c>
      <c r="E130" s="3">
        <v>6004.411</v>
      </c>
      <c r="F130" s="4" t="s">
        <v>7</v>
      </c>
      <c r="G130" s="3">
        <v>21.0</v>
      </c>
    </row>
    <row r="131">
      <c r="A131" s="3">
        <v>70.0</v>
      </c>
      <c r="B131" s="3">
        <v>20.22555</v>
      </c>
      <c r="C131" s="3">
        <v>7.357319</v>
      </c>
      <c r="D131" s="3">
        <v>3761.6</v>
      </c>
      <c r="E131" s="3">
        <v>6010.17</v>
      </c>
      <c r="F131" s="4" t="s">
        <v>7</v>
      </c>
      <c r="G131" s="3">
        <v>21.0</v>
      </c>
    </row>
    <row r="132">
      <c r="A132" s="3">
        <v>69.0</v>
      </c>
      <c r="B132" s="3">
        <v>19.79093</v>
      </c>
      <c r="C132" s="3">
        <v>7.259416</v>
      </c>
      <c r="D132" s="3">
        <v>3782.133</v>
      </c>
      <c r="E132" s="3">
        <v>6026.126</v>
      </c>
      <c r="F132" s="4" t="s">
        <v>7</v>
      </c>
      <c r="G132" s="3">
        <v>21.0</v>
      </c>
    </row>
    <row r="133">
      <c r="A133" s="3">
        <v>68.0</v>
      </c>
      <c r="B133" s="3">
        <v>19.51555</v>
      </c>
      <c r="C133" s="3">
        <v>7.203421</v>
      </c>
      <c r="D133" s="3">
        <v>3809.067</v>
      </c>
      <c r="E133" s="3">
        <v>6052.297</v>
      </c>
      <c r="F133" s="4" t="s">
        <v>7</v>
      </c>
      <c r="G133" s="3">
        <v>21.0</v>
      </c>
    </row>
    <row r="134">
      <c r="A134" s="3">
        <v>67.0</v>
      </c>
      <c r="B134" s="3">
        <v>19.41554</v>
      </c>
      <c r="C134" s="3">
        <v>7.131948</v>
      </c>
      <c r="D134" s="3">
        <v>3815.933</v>
      </c>
      <c r="E134" s="3">
        <v>6057.357</v>
      </c>
      <c r="F134" s="4" t="s">
        <v>7</v>
      </c>
      <c r="G134" s="3">
        <v>21.0</v>
      </c>
    </row>
    <row r="135">
      <c r="A135" s="3">
        <v>66.0</v>
      </c>
      <c r="B135" s="3">
        <v>19.08375</v>
      </c>
      <c r="C135" s="3">
        <v>7.080226</v>
      </c>
      <c r="D135" s="3">
        <v>3836.467</v>
      </c>
      <c r="E135" s="3">
        <v>6070.386</v>
      </c>
      <c r="F135" s="4" t="s">
        <v>7</v>
      </c>
      <c r="G135" s="3">
        <v>21.0</v>
      </c>
    </row>
    <row r="136">
      <c r="A136" s="3">
        <v>65.0</v>
      </c>
      <c r="B136" s="3">
        <v>18.82335</v>
      </c>
      <c r="C136" s="3">
        <v>7.021278</v>
      </c>
      <c r="D136" s="3">
        <v>3858.1</v>
      </c>
      <c r="E136" s="3">
        <v>6086.278</v>
      </c>
      <c r="F136" s="4" t="s">
        <v>7</v>
      </c>
      <c r="G136" s="3">
        <v>21.0</v>
      </c>
    </row>
    <row r="137">
      <c r="A137" s="3">
        <v>64.0</v>
      </c>
      <c r="B137" s="3">
        <v>18.4664</v>
      </c>
      <c r="C137" s="3">
        <v>6.987578</v>
      </c>
      <c r="D137" s="3">
        <v>3879.2</v>
      </c>
      <c r="E137" s="3">
        <v>6107.799</v>
      </c>
      <c r="F137" s="4" t="s">
        <v>7</v>
      </c>
      <c r="G137" s="3">
        <v>21.0</v>
      </c>
    </row>
    <row r="138">
      <c r="A138" s="3">
        <v>63.0</v>
      </c>
      <c r="B138" s="3">
        <v>18.27856</v>
      </c>
      <c r="C138" s="3">
        <v>6.889055</v>
      </c>
      <c r="D138" s="3">
        <v>3898.3</v>
      </c>
      <c r="E138" s="3">
        <v>6136.897</v>
      </c>
      <c r="F138" s="4" t="s">
        <v>7</v>
      </c>
      <c r="G138" s="3">
        <v>21.0</v>
      </c>
    </row>
    <row r="139">
      <c r="A139" s="3">
        <v>62.0</v>
      </c>
      <c r="B139" s="3">
        <v>18.19421</v>
      </c>
      <c r="C139" s="3">
        <v>6.854209</v>
      </c>
      <c r="D139" s="3">
        <v>3905.767</v>
      </c>
      <c r="E139" s="3">
        <v>6160.934</v>
      </c>
      <c r="F139" s="4" t="s">
        <v>7</v>
      </c>
      <c r="G139" s="3">
        <v>21.0</v>
      </c>
    </row>
    <row r="140">
      <c r="A140" s="3">
        <v>61.0</v>
      </c>
      <c r="B140" s="3">
        <v>17.99966</v>
      </c>
      <c r="C140" s="3">
        <v>6.828673</v>
      </c>
      <c r="D140" s="3">
        <v>3920.433</v>
      </c>
      <c r="E140" s="3">
        <v>6183.702</v>
      </c>
      <c r="F140" s="4" t="s">
        <v>7</v>
      </c>
      <c r="G140" s="3">
        <v>21.0</v>
      </c>
    </row>
    <row r="141">
      <c r="A141" s="3">
        <v>60.0</v>
      </c>
      <c r="B141" s="3">
        <v>17.81205</v>
      </c>
      <c r="C141" s="3">
        <v>6.824252</v>
      </c>
      <c r="D141" s="3">
        <v>3939.333</v>
      </c>
      <c r="E141" s="3">
        <v>6183.148</v>
      </c>
      <c r="F141" s="4" t="s">
        <v>7</v>
      </c>
      <c r="G141" s="3">
        <v>21.0</v>
      </c>
    </row>
    <row r="142">
      <c r="A142" s="3">
        <v>59.0</v>
      </c>
      <c r="B142" s="3">
        <v>17.66214</v>
      </c>
      <c r="C142" s="3">
        <v>6.814347</v>
      </c>
      <c r="D142" s="3">
        <v>3950.533</v>
      </c>
      <c r="E142" s="3">
        <v>6189.681</v>
      </c>
      <c r="F142" s="4" t="s">
        <v>7</v>
      </c>
      <c r="G142" s="3">
        <v>21.0</v>
      </c>
    </row>
    <row r="143">
      <c r="A143" s="3">
        <v>58.0</v>
      </c>
      <c r="B143" s="3">
        <v>17.59139</v>
      </c>
      <c r="C143" s="3">
        <v>6.833318</v>
      </c>
      <c r="D143" s="3">
        <v>3956.233</v>
      </c>
      <c r="E143" s="3">
        <v>6202.101</v>
      </c>
      <c r="F143" s="4" t="s">
        <v>7</v>
      </c>
      <c r="G143" s="3">
        <v>21.0</v>
      </c>
    </row>
    <row r="144">
      <c r="A144" s="3">
        <v>57.0</v>
      </c>
      <c r="B144" s="3">
        <v>17.45304</v>
      </c>
      <c r="C144" s="3">
        <v>6.811352</v>
      </c>
      <c r="D144" s="3">
        <v>3961.4</v>
      </c>
      <c r="E144" s="3">
        <v>6211.434</v>
      </c>
      <c r="F144" s="4" t="s">
        <v>7</v>
      </c>
      <c r="G144" s="3">
        <v>21.0</v>
      </c>
    </row>
    <row r="145">
      <c r="A145" s="3">
        <v>56.0</v>
      </c>
      <c r="B145" s="3">
        <v>17.30838</v>
      </c>
      <c r="C145" s="3">
        <v>6.704649</v>
      </c>
      <c r="D145" s="3">
        <v>3973.067</v>
      </c>
      <c r="E145" s="3">
        <v>6240.237</v>
      </c>
      <c r="F145" s="4" t="s">
        <v>7</v>
      </c>
      <c r="G145" s="3">
        <v>21.0</v>
      </c>
    </row>
    <row r="146">
      <c r="A146" s="3">
        <v>55.0</v>
      </c>
      <c r="B146" s="3">
        <v>17.12514</v>
      </c>
      <c r="C146" s="3">
        <v>6.615856</v>
      </c>
      <c r="D146" s="3">
        <v>3983.433</v>
      </c>
      <c r="E146" s="3">
        <v>6267.447</v>
      </c>
      <c r="F146" s="4" t="s">
        <v>7</v>
      </c>
      <c r="G146" s="3">
        <v>21.0</v>
      </c>
    </row>
    <row r="147">
      <c r="A147" s="3">
        <v>54.0</v>
      </c>
      <c r="B147" s="3">
        <v>17.05372</v>
      </c>
      <c r="C147" s="3">
        <v>6.525353</v>
      </c>
      <c r="D147" s="3">
        <v>3990.333</v>
      </c>
      <c r="E147" s="3">
        <v>6285.172</v>
      </c>
      <c r="F147" s="4" t="s">
        <v>7</v>
      </c>
      <c r="G147" s="3">
        <v>21.0</v>
      </c>
    </row>
    <row r="148">
      <c r="A148" s="3">
        <v>53.0</v>
      </c>
      <c r="B148" s="3">
        <v>16.99788</v>
      </c>
      <c r="C148" s="3">
        <v>6.454131</v>
      </c>
      <c r="D148" s="3">
        <v>3995.7</v>
      </c>
      <c r="E148" s="3">
        <v>6309.738</v>
      </c>
      <c r="F148" s="4" t="s">
        <v>7</v>
      </c>
      <c r="G148" s="3">
        <v>21.0</v>
      </c>
    </row>
    <row r="149">
      <c r="A149" s="3">
        <v>52.0</v>
      </c>
      <c r="B149" s="3">
        <v>16.95072</v>
      </c>
      <c r="C149" s="3">
        <v>6.443961</v>
      </c>
      <c r="D149" s="3">
        <v>3998.633</v>
      </c>
      <c r="E149" s="3">
        <v>6310.665</v>
      </c>
      <c r="F149" s="4" t="s">
        <v>7</v>
      </c>
      <c r="G149" s="3">
        <v>21.0</v>
      </c>
    </row>
    <row r="150">
      <c r="A150" s="3">
        <v>51.0</v>
      </c>
      <c r="B150" s="3">
        <v>16.74443</v>
      </c>
      <c r="C150" s="3">
        <v>6.429891</v>
      </c>
      <c r="D150" s="3">
        <v>4020.033</v>
      </c>
      <c r="E150" s="3">
        <v>6321.513</v>
      </c>
      <c r="F150" s="4" t="s">
        <v>7</v>
      </c>
      <c r="G150" s="3">
        <v>21.0</v>
      </c>
    </row>
    <row r="151">
      <c r="A151" s="3">
        <v>50.0</v>
      </c>
      <c r="B151" s="3">
        <v>16.68969</v>
      </c>
      <c r="C151" s="3">
        <v>6.351101</v>
      </c>
      <c r="D151" s="3">
        <v>4025.967</v>
      </c>
      <c r="E151" s="3">
        <v>6349.061</v>
      </c>
      <c r="F151" s="4" t="s">
        <v>7</v>
      </c>
      <c r="G151" s="3">
        <v>21.0</v>
      </c>
    </row>
    <row r="152">
      <c r="A152" s="3">
        <v>49.0</v>
      </c>
      <c r="B152" s="3">
        <v>16.443</v>
      </c>
      <c r="C152" s="3">
        <v>6.316484</v>
      </c>
      <c r="D152" s="3">
        <v>4035.9</v>
      </c>
      <c r="E152" s="3">
        <v>6371.818</v>
      </c>
      <c r="F152" s="4" t="s">
        <v>7</v>
      </c>
      <c r="G152" s="3">
        <v>21.0</v>
      </c>
    </row>
    <row r="153">
      <c r="A153" s="3">
        <v>48.0</v>
      </c>
      <c r="B153" s="3">
        <v>16.31877</v>
      </c>
      <c r="C153" s="3">
        <v>6.293372</v>
      </c>
      <c r="D153" s="3">
        <v>4049.767</v>
      </c>
      <c r="E153" s="3">
        <v>6389.001</v>
      </c>
      <c r="F153" s="4" t="s">
        <v>7</v>
      </c>
      <c r="G153" s="3">
        <v>21.0</v>
      </c>
    </row>
    <row r="154">
      <c r="A154" s="3">
        <v>47.0</v>
      </c>
      <c r="B154" s="3">
        <v>16.20727</v>
      </c>
      <c r="C154" s="3">
        <v>6.252733</v>
      </c>
      <c r="D154" s="3">
        <v>4058.767</v>
      </c>
      <c r="E154" s="3">
        <v>6404.785</v>
      </c>
      <c r="F154" s="4" t="s">
        <v>7</v>
      </c>
      <c r="G154" s="3">
        <v>21.0</v>
      </c>
    </row>
    <row r="155">
      <c r="A155" s="3">
        <v>46.0</v>
      </c>
      <c r="B155" s="3">
        <v>15.73787</v>
      </c>
      <c r="C155" s="3">
        <v>6.199492</v>
      </c>
      <c r="D155" s="3">
        <v>4090.667</v>
      </c>
      <c r="E155" s="3">
        <v>6427.778</v>
      </c>
      <c r="F155" s="4" t="s">
        <v>7</v>
      </c>
      <c r="G155" s="3">
        <v>21.0</v>
      </c>
    </row>
    <row r="156">
      <c r="A156" s="3">
        <v>45.0</v>
      </c>
      <c r="B156" s="3">
        <v>15.56122</v>
      </c>
      <c r="C156" s="3">
        <v>6.127163</v>
      </c>
      <c r="D156" s="3">
        <v>4109.467</v>
      </c>
      <c r="E156" s="3">
        <v>6445.886</v>
      </c>
      <c r="F156" s="4" t="s">
        <v>7</v>
      </c>
      <c r="G156" s="3">
        <v>21.0</v>
      </c>
    </row>
    <row r="157">
      <c r="A157" s="3">
        <v>44.0</v>
      </c>
      <c r="B157" s="3">
        <v>15.33215</v>
      </c>
      <c r="C157" s="3">
        <v>6.08143</v>
      </c>
      <c r="D157" s="3">
        <v>4130.867</v>
      </c>
      <c r="E157" s="3">
        <v>6458.167</v>
      </c>
      <c r="F157" s="4" t="s">
        <v>7</v>
      </c>
      <c r="G157" s="3">
        <v>21.0</v>
      </c>
    </row>
    <row r="158">
      <c r="A158" s="3">
        <v>43.0</v>
      </c>
      <c r="B158" s="3">
        <v>15.2071</v>
      </c>
      <c r="C158" s="3">
        <v>6.01072</v>
      </c>
      <c r="D158" s="3">
        <v>4144.7</v>
      </c>
      <c r="E158" s="3">
        <v>6494.308</v>
      </c>
      <c r="F158" s="4" t="s">
        <v>7</v>
      </c>
      <c r="G158" s="3">
        <v>21.0</v>
      </c>
    </row>
    <row r="159">
      <c r="A159" s="3">
        <v>42.0</v>
      </c>
      <c r="B159" s="3">
        <v>15.00716</v>
      </c>
      <c r="C159" s="3">
        <v>5.947294</v>
      </c>
      <c r="D159" s="3">
        <v>4163.433</v>
      </c>
      <c r="E159" s="3">
        <v>6509.973</v>
      </c>
      <c r="F159" s="4" t="s">
        <v>7</v>
      </c>
      <c r="G159" s="3">
        <v>21.0</v>
      </c>
    </row>
    <row r="160">
      <c r="A160" s="3">
        <v>41.0</v>
      </c>
      <c r="B160" s="3">
        <v>14.80729</v>
      </c>
      <c r="C160" s="3">
        <v>5.938788</v>
      </c>
      <c r="D160" s="3">
        <v>4183.5</v>
      </c>
      <c r="E160" s="3">
        <v>6508.997</v>
      </c>
      <c r="F160" s="4" t="s">
        <v>7</v>
      </c>
      <c r="G160" s="3">
        <v>21.0</v>
      </c>
    </row>
    <row r="161">
      <c r="A161" s="3">
        <v>40.0</v>
      </c>
      <c r="B161" s="3">
        <v>14.5721</v>
      </c>
      <c r="C161" s="3">
        <v>5.908758</v>
      </c>
      <c r="D161" s="3">
        <v>4212.5</v>
      </c>
      <c r="E161" s="3">
        <v>6520.399</v>
      </c>
      <c r="F161" s="4" t="s">
        <v>7</v>
      </c>
      <c r="G161" s="3">
        <v>21.0</v>
      </c>
    </row>
    <row r="162">
      <c r="A162" s="3">
        <v>39.0</v>
      </c>
      <c r="B162" s="3">
        <v>14.51663</v>
      </c>
      <c r="C162" s="3">
        <v>5.925196</v>
      </c>
      <c r="D162" s="3">
        <v>4219.4</v>
      </c>
      <c r="E162" s="3">
        <v>6529.176</v>
      </c>
      <c r="F162" s="4" t="s">
        <v>7</v>
      </c>
      <c r="G162" s="3">
        <v>21.0</v>
      </c>
    </row>
    <row r="163">
      <c r="A163" s="3">
        <v>38.0</v>
      </c>
      <c r="B163" s="3">
        <v>14.39389</v>
      </c>
      <c r="C163" s="3">
        <v>5.887559</v>
      </c>
      <c r="D163" s="3">
        <v>4231.133</v>
      </c>
      <c r="E163" s="3">
        <v>6545.583</v>
      </c>
      <c r="F163" s="4" t="s">
        <v>7</v>
      </c>
      <c r="G163" s="3">
        <v>21.0</v>
      </c>
    </row>
    <row r="164">
      <c r="A164" s="3">
        <v>37.0</v>
      </c>
      <c r="B164" s="3">
        <v>14.26377</v>
      </c>
      <c r="C164" s="3">
        <v>5.86718</v>
      </c>
      <c r="D164" s="3">
        <v>4245.9</v>
      </c>
      <c r="E164" s="3">
        <v>6573.404</v>
      </c>
      <c r="F164" s="4" t="s">
        <v>7</v>
      </c>
      <c r="G164" s="3">
        <v>21.0</v>
      </c>
    </row>
    <row r="165">
      <c r="A165" s="3">
        <v>36.0</v>
      </c>
      <c r="B165" s="3">
        <v>14.07477</v>
      </c>
      <c r="C165" s="3">
        <v>5.840961</v>
      </c>
      <c r="D165" s="3">
        <v>4264.333</v>
      </c>
      <c r="E165" s="3">
        <v>6574.09</v>
      </c>
      <c r="F165" s="4" t="s">
        <v>7</v>
      </c>
      <c r="G165" s="3">
        <v>21.0</v>
      </c>
    </row>
    <row r="166">
      <c r="A166" s="3">
        <v>35.0</v>
      </c>
      <c r="B166" s="3">
        <v>13.98993</v>
      </c>
      <c r="C166" s="3">
        <v>5.855228</v>
      </c>
      <c r="D166" s="3">
        <v>4272.7</v>
      </c>
      <c r="E166" s="3">
        <v>6564.879</v>
      </c>
      <c r="F166" s="4" t="s">
        <v>7</v>
      </c>
      <c r="G166" s="3">
        <v>21.0</v>
      </c>
    </row>
    <row r="167">
      <c r="A167" s="3">
        <v>34.0</v>
      </c>
      <c r="B167" s="3">
        <v>13.88805</v>
      </c>
      <c r="C167" s="3">
        <v>5.812299</v>
      </c>
      <c r="D167" s="3">
        <v>4284.7</v>
      </c>
      <c r="E167" s="3">
        <v>6589.665</v>
      </c>
      <c r="F167" s="4" t="s">
        <v>7</v>
      </c>
      <c r="G167" s="3">
        <v>21.0</v>
      </c>
    </row>
    <row r="168">
      <c r="A168" s="3">
        <v>33.0</v>
      </c>
      <c r="B168" s="3">
        <v>13.61288</v>
      </c>
      <c r="C168" s="3">
        <v>5.744436</v>
      </c>
      <c r="D168" s="3">
        <v>4320.9</v>
      </c>
      <c r="E168" s="3">
        <v>6612.031</v>
      </c>
      <c r="F168" s="4" t="s">
        <v>7</v>
      </c>
      <c r="G168" s="3">
        <v>21.0</v>
      </c>
    </row>
    <row r="169">
      <c r="A169" s="3">
        <v>32.0</v>
      </c>
      <c r="B169" s="3">
        <v>13.52296</v>
      </c>
      <c r="C169" s="3">
        <v>5.683922</v>
      </c>
      <c r="D169" s="3">
        <v>4326.267</v>
      </c>
      <c r="E169" s="3">
        <v>6643.792</v>
      </c>
      <c r="F169" s="4" t="s">
        <v>7</v>
      </c>
      <c r="G169" s="3">
        <v>21.0</v>
      </c>
    </row>
    <row r="170">
      <c r="A170" s="3">
        <v>31.0</v>
      </c>
      <c r="B170" s="3">
        <v>13.41832</v>
      </c>
      <c r="C170" s="3">
        <v>5.645795</v>
      </c>
      <c r="D170" s="3">
        <v>4344.4</v>
      </c>
      <c r="E170" s="3">
        <v>6660.819</v>
      </c>
      <c r="F170" s="4" t="s">
        <v>7</v>
      </c>
      <c r="G170" s="3">
        <v>21.0</v>
      </c>
    </row>
    <row r="171">
      <c r="A171" s="3">
        <v>30.0</v>
      </c>
      <c r="B171" s="3">
        <v>13.23354</v>
      </c>
      <c r="C171" s="3">
        <v>5.581576</v>
      </c>
      <c r="D171" s="3">
        <v>4367.2</v>
      </c>
      <c r="E171" s="3">
        <v>6683.374</v>
      </c>
      <c r="F171" s="4" t="s">
        <v>7</v>
      </c>
      <c r="G171" s="3">
        <v>21.0</v>
      </c>
    </row>
    <row r="172">
      <c r="A172" s="3">
        <v>29.0</v>
      </c>
      <c r="B172" s="3">
        <v>12.78193</v>
      </c>
      <c r="C172" s="3">
        <v>5.472735</v>
      </c>
      <c r="D172" s="3">
        <v>4393.567</v>
      </c>
      <c r="E172" s="3">
        <v>6741.828</v>
      </c>
      <c r="F172" s="4" t="s">
        <v>7</v>
      </c>
      <c r="G172" s="3">
        <v>21.0</v>
      </c>
    </row>
    <row r="173">
      <c r="A173" s="3">
        <v>28.0</v>
      </c>
      <c r="B173" s="3">
        <v>12.61951</v>
      </c>
      <c r="C173" s="3">
        <v>5.405565</v>
      </c>
      <c r="D173" s="3">
        <v>4413.967</v>
      </c>
      <c r="E173" s="3">
        <v>6778.129</v>
      </c>
      <c r="F173" s="4" t="s">
        <v>7</v>
      </c>
      <c r="G173" s="3">
        <v>21.0</v>
      </c>
    </row>
    <row r="174">
      <c r="A174" s="3">
        <v>27.0</v>
      </c>
      <c r="B174" s="3">
        <v>12.35486</v>
      </c>
      <c r="C174" s="3">
        <v>5.364057</v>
      </c>
      <c r="D174" s="3">
        <v>4455.033</v>
      </c>
      <c r="E174" s="3">
        <v>6800.147</v>
      </c>
      <c r="F174" s="4" t="s">
        <v>7</v>
      </c>
      <c r="G174" s="3">
        <v>21.0</v>
      </c>
    </row>
    <row r="175">
      <c r="A175" s="3">
        <v>26.0</v>
      </c>
      <c r="B175" s="3">
        <v>12.08806</v>
      </c>
      <c r="C175" s="3">
        <v>5.289065</v>
      </c>
      <c r="D175" s="3">
        <v>4482.433</v>
      </c>
      <c r="E175" s="3">
        <v>6821.18</v>
      </c>
      <c r="F175" s="4" t="s">
        <v>7</v>
      </c>
      <c r="G175" s="3">
        <v>21.0</v>
      </c>
    </row>
    <row r="176">
      <c r="A176" s="3">
        <v>25.0</v>
      </c>
      <c r="B176" s="3">
        <v>12.01988</v>
      </c>
      <c r="C176" s="3">
        <v>5.26564</v>
      </c>
      <c r="D176" s="3">
        <v>4493.0</v>
      </c>
      <c r="E176" s="3">
        <v>6838.355</v>
      </c>
      <c r="F176" s="4" t="s">
        <v>7</v>
      </c>
      <c r="G176" s="3">
        <v>21.0</v>
      </c>
    </row>
    <row r="177">
      <c r="A177" s="3">
        <v>24.0</v>
      </c>
      <c r="B177" s="3">
        <v>11.56118</v>
      </c>
      <c r="C177" s="3">
        <v>5.21748</v>
      </c>
      <c r="D177" s="3">
        <v>4533.133</v>
      </c>
      <c r="E177" s="3">
        <v>6871.253</v>
      </c>
      <c r="F177" s="4" t="s">
        <v>7</v>
      </c>
      <c r="G177" s="3">
        <v>21.0</v>
      </c>
    </row>
    <row r="178">
      <c r="A178" s="3">
        <v>23.0</v>
      </c>
      <c r="B178" s="3">
        <v>11.42229</v>
      </c>
      <c r="C178" s="3">
        <v>5.195568</v>
      </c>
      <c r="D178" s="3">
        <v>4548.9</v>
      </c>
      <c r="E178" s="3">
        <v>6883.535</v>
      </c>
      <c r="F178" s="4" t="s">
        <v>7</v>
      </c>
      <c r="G178" s="3">
        <v>21.0</v>
      </c>
    </row>
    <row r="179">
      <c r="A179" s="3">
        <v>22.0</v>
      </c>
      <c r="B179" s="3">
        <v>11.30463</v>
      </c>
      <c r="C179" s="3">
        <v>5.179992</v>
      </c>
      <c r="D179" s="3">
        <v>4568.367</v>
      </c>
      <c r="E179" s="3">
        <v>6888.35</v>
      </c>
      <c r="F179" s="4" t="s">
        <v>7</v>
      </c>
      <c r="G179" s="3">
        <v>21.0</v>
      </c>
    </row>
    <row r="180">
      <c r="A180" s="3">
        <v>21.0</v>
      </c>
      <c r="B180" s="3">
        <v>11.20507</v>
      </c>
      <c r="C180" s="3">
        <v>5.12401</v>
      </c>
      <c r="D180" s="3">
        <v>4588.9</v>
      </c>
      <c r="E180" s="3">
        <v>6929.297</v>
      </c>
      <c r="F180" s="4" t="s">
        <v>7</v>
      </c>
      <c r="G180" s="3">
        <v>21.0</v>
      </c>
    </row>
    <row r="181">
      <c r="A181" s="3">
        <v>20.0</v>
      </c>
      <c r="B181" s="3">
        <v>11.03786</v>
      </c>
      <c r="C181" s="3">
        <v>5.100384</v>
      </c>
      <c r="D181" s="3">
        <v>4623.567</v>
      </c>
      <c r="E181" s="3">
        <v>6946.453</v>
      </c>
      <c r="F181" s="4" t="s">
        <v>7</v>
      </c>
      <c r="G181" s="3">
        <v>21.0</v>
      </c>
    </row>
    <row r="182">
      <c r="A182" s="3">
        <v>19.0</v>
      </c>
      <c r="B182" s="3">
        <v>10.82663</v>
      </c>
      <c r="C182" s="3">
        <v>5.094535</v>
      </c>
      <c r="D182" s="3">
        <v>4661.7</v>
      </c>
      <c r="E182" s="3">
        <v>6951.353</v>
      </c>
      <c r="F182" s="4" t="s">
        <v>7</v>
      </c>
      <c r="G182" s="3">
        <v>21.0</v>
      </c>
    </row>
    <row r="183">
      <c r="A183" s="3">
        <v>18.0</v>
      </c>
      <c r="B183" s="3">
        <v>10.72847</v>
      </c>
      <c r="C183" s="3">
        <v>5.050285</v>
      </c>
      <c r="D183" s="3">
        <v>4681.833</v>
      </c>
      <c r="E183" s="3">
        <v>6982.312</v>
      </c>
      <c r="F183" s="4" t="s">
        <v>7</v>
      </c>
      <c r="G183" s="3">
        <v>21.0</v>
      </c>
    </row>
    <row r="184">
      <c r="A184" s="3">
        <v>17.0</v>
      </c>
      <c r="B184" s="3">
        <v>10.63275</v>
      </c>
      <c r="C184" s="3">
        <v>5.00927</v>
      </c>
      <c r="D184" s="3">
        <v>4699.067</v>
      </c>
      <c r="E184" s="3">
        <v>7007.05</v>
      </c>
      <c r="F184" s="4" t="s">
        <v>7</v>
      </c>
      <c r="G184" s="3">
        <v>21.0</v>
      </c>
    </row>
    <row r="185">
      <c r="A185" s="3">
        <v>16.0</v>
      </c>
      <c r="B185" s="3">
        <v>10.4803</v>
      </c>
      <c r="C185" s="3">
        <v>4.990108</v>
      </c>
      <c r="D185" s="3">
        <v>4723.567</v>
      </c>
      <c r="E185" s="3">
        <v>7017.987</v>
      </c>
      <c r="F185" s="4" t="s">
        <v>7</v>
      </c>
      <c r="G185" s="3">
        <v>21.0</v>
      </c>
    </row>
    <row r="186">
      <c r="A186" s="3">
        <v>15.0</v>
      </c>
      <c r="B186" s="3">
        <v>10.3055</v>
      </c>
      <c r="C186" s="3">
        <v>4.954943</v>
      </c>
      <c r="D186" s="3">
        <v>4755.4</v>
      </c>
      <c r="E186" s="3">
        <v>7042.729</v>
      </c>
      <c r="F186" s="4" t="s">
        <v>7</v>
      </c>
      <c r="G186" s="3">
        <v>21.0</v>
      </c>
    </row>
    <row r="187">
      <c r="A187" s="3">
        <v>14.0</v>
      </c>
      <c r="B187" s="3">
        <v>10.08557</v>
      </c>
      <c r="C187" s="3">
        <v>4.930114</v>
      </c>
      <c r="D187" s="3">
        <v>4791.233</v>
      </c>
      <c r="E187" s="3">
        <v>7064.147</v>
      </c>
      <c r="F187" s="4" t="s">
        <v>7</v>
      </c>
      <c r="G187" s="3">
        <v>21.0</v>
      </c>
    </row>
    <row r="188">
      <c r="A188" s="3">
        <v>13.0</v>
      </c>
      <c r="B188" s="3">
        <v>9.951972</v>
      </c>
      <c r="C188" s="3">
        <v>4.89654</v>
      </c>
      <c r="D188" s="3">
        <v>4817.9</v>
      </c>
      <c r="E188" s="3">
        <v>7083.287</v>
      </c>
      <c r="F188" s="4" t="s">
        <v>7</v>
      </c>
      <c r="G188" s="3">
        <v>21.0</v>
      </c>
    </row>
    <row r="189">
      <c r="A189" s="3">
        <v>12.0</v>
      </c>
      <c r="B189" s="3">
        <v>9.671697</v>
      </c>
      <c r="C189" s="3">
        <v>4.864959</v>
      </c>
      <c r="D189" s="3">
        <v>4872.833</v>
      </c>
      <c r="E189" s="3">
        <v>7109.749</v>
      </c>
      <c r="F189" s="4" t="s">
        <v>7</v>
      </c>
      <c r="G189" s="3">
        <v>21.0</v>
      </c>
    </row>
    <row r="190">
      <c r="A190" s="3">
        <v>11.0</v>
      </c>
      <c r="B190" s="3">
        <v>9.433415</v>
      </c>
      <c r="C190" s="3">
        <v>4.832111</v>
      </c>
      <c r="D190" s="3">
        <v>4933.833</v>
      </c>
      <c r="E190" s="3">
        <v>7133.153</v>
      </c>
      <c r="F190" s="4" t="s">
        <v>7</v>
      </c>
      <c r="G190" s="3">
        <v>21.0</v>
      </c>
    </row>
    <row r="191">
      <c r="A191" s="3">
        <v>10.0</v>
      </c>
      <c r="B191" s="3">
        <v>9.341643</v>
      </c>
      <c r="C191" s="3">
        <v>4.816838</v>
      </c>
      <c r="D191" s="3">
        <v>4955.733</v>
      </c>
      <c r="E191" s="3">
        <v>7146.43</v>
      </c>
      <c r="F191" s="4" t="s">
        <v>7</v>
      </c>
      <c r="G191" s="3">
        <v>21.0</v>
      </c>
    </row>
    <row r="192">
      <c r="A192" s="3">
        <v>9.0</v>
      </c>
      <c r="B192" s="3">
        <v>9.135881</v>
      </c>
      <c r="C192" s="3">
        <v>4.773602</v>
      </c>
      <c r="D192" s="3">
        <v>4999.933</v>
      </c>
      <c r="E192" s="3">
        <v>7181.025</v>
      </c>
      <c r="F192" s="4" t="s">
        <v>7</v>
      </c>
      <c r="G192" s="3">
        <v>21.0</v>
      </c>
    </row>
    <row r="193">
      <c r="A193" s="3">
        <v>8.0</v>
      </c>
      <c r="B193" s="3">
        <v>9.069928</v>
      </c>
      <c r="C193" s="3">
        <v>4.745852</v>
      </c>
      <c r="D193" s="3">
        <v>5018.333</v>
      </c>
      <c r="E193" s="3">
        <v>7204.788</v>
      </c>
      <c r="F193" s="4" t="s">
        <v>7</v>
      </c>
      <c r="G193" s="3">
        <v>21.0</v>
      </c>
    </row>
    <row r="194">
      <c r="A194" s="3">
        <v>7.0</v>
      </c>
      <c r="B194" s="3">
        <v>8.860076</v>
      </c>
      <c r="C194" s="3">
        <v>4.714895</v>
      </c>
      <c r="D194" s="3">
        <v>5072.533</v>
      </c>
      <c r="E194" s="3">
        <v>7233.228</v>
      </c>
      <c r="F194" s="4" t="s">
        <v>7</v>
      </c>
      <c r="G194" s="3">
        <v>21.0</v>
      </c>
    </row>
    <row r="195">
      <c r="A195" s="3">
        <v>6.0</v>
      </c>
      <c r="B195" s="3">
        <v>8.680056</v>
      </c>
      <c r="C195" s="3">
        <v>4.673575</v>
      </c>
      <c r="D195" s="3">
        <v>5120.567</v>
      </c>
      <c r="E195" s="3">
        <v>7269.042</v>
      </c>
      <c r="F195" s="4" t="s">
        <v>7</v>
      </c>
      <c r="G195" s="3">
        <v>21.0</v>
      </c>
    </row>
    <row r="196">
      <c r="A196" s="3">
        <v>5.0</v>
      </c>
      <c r="B196" s="3">
        <v>8.409961</v>
      </c>
      <c r="C196" s="3">
        <v>4.639369</v>
      </c>
      <c r="D196" s="3">
        <v>5196.6</v>
      </c>
      <c r="E196" s="3">
        <v>7298.611</v>
      </c>
      <c r="F196" s="4" t="s">
        <v>7</v>
      </c>
      <c r="G196" s="3">
        <v>21.0</v>
      </c>
    </row>
    <row r="197">
      <c r="A197" s="3">
        <v>4.0</v>
      </c>
      <c r="B197" s="3">
        <v>8.185068</v>
      </c>
      <c r="C197" s="3">
        <v>4.607427</v>
      </c>
      <c r="D197" s="3">
        <v>5264.467</v>
      </c>
      <c r="E197" s="3">
        <v>7326.742</v>
      </c>
      <c r="F197" s="4" t="s">
        <v>7</v>
      </c>
      <c r="G197" s="3">
        <v>21.0</v>
      </c>
    </row>
    <row r="198">
      <c r="A198" s="3">
        <v>3.0</v>
      </c>
      <c r="B198" s="3">
        <v>7.777826</v>
      </c>
      <c r="C198" s="3">
        <v>4.566935</v>
      </c>
      <c r="D198" s="3">
        <v>5368.433</v>
      </c>
      <c r="E198" s="3">
        <v>7361.722</v>
      </c>
      <c r="F198" s="4" t="s">
        <v>7</v>
      </c>
      <c r="G198" s="3">
        <v>21.0</v>
      </c>
    </row>
    <row r="199">
      <c r="A199" s="3">
        <v>2.0</v>
      </c>
      <c r="B199" s="3">
        <v>7.508392</v>
      </c>
      <c r="C199" s="3">
        <v>4.526596</v>
      </c>
      <c r="D199" s="3">
        <v>5462.633</v>
      </c>
      <c r="E199" s="3">
        <v>7394.589</v>
      </c>
      <c r="F199" s="4" t="s">
        <v>7</v>
      </c>
      <c r="G199" s="3">
        <v>21.0</v>
      </c>
    </row>
    <row r="200">
      <c r="A200" s="3">
        <v>1.0</v>
      </c>
      <c r="B200" s="3">
        <v>7.263196</v>
      </c>
      <c r="C200" s="3">
        <v>4.490988</v>
      </c>
      <c r="D200" s="3">
        <v>5548.767</v>
      </c>
      <c r="E200" s="3">
        <v>7426.785</v>
      </c>
      <c r="F200" s="4" t="s">
        <v>7</v>
      </c>
      <c r="G200" s="3">
        <v>21.0</v>
      </c>
    </row>
    <row r="201">
      <c r="A201" s="3">
        <v>0.0</v>
      </c>
      <c r="B201" s="3">
        <v>7.133739</v>
      </c>
      <c r="C201" s="3">
        <v>4.44266</v>
      </c>
      <c r="D201" s="3">
        <v>5600.3</v>
      </c>
      <c r="E201" s="3">
        <v>7473.791</v>
      </c>
      <c r="F201" s="4" t="s">
        <v>7</v>
      </c>
      <c r="G201" s="3">
        <v>21.0</v>
      </c>
    </row>
    <row r="202">
      <c r="A202" s="3">
        <v>199.0</v>
      </c>
      <c r="B202" s="3">
        <v>85.91276</v>
      </c>
      <c r="C202" s="3">
        <v>36.99238</v>
      </c>
      <c r="D202" s="3">
        <v>2511.867</v>
      </c>
      <c r="E202" s="3">
        <v>3512.232</v>
      </c>
      <c r="F202" s="4" t="s">
        <v>7</v>
      </c>
      <c r="G202" s="3">
        <v>19.0</v>
      </c>
    </row>
    <row r="203">
      <c r="A203" s="3">
        <v>198.0</v>
      </c>
      <c r="B203" s="3">
        <v>85.88787</v>
      </c>
      <c r="C203" s="3">
        <v>36.98866</v>
      </c>
      <c r="D203" s="3">
        <v>2512.567</v>
      </c>
      <c r="E203" s="3">
        <v>3518.446</v>
      </c>
      <c r="F203" s="4" t="s">
        <v>7</v>
      </c>
      <c r="G203" s="3">
        <v>19.0</v>
      </c>
    </row>
    <row r="204">
      <c r="A204" s="3">
        <v>197.0</v>
      </c>
      <c r="B204" s="3">
        <v>85.88787</v>
      </c>
      <c r="C204" s="3">
        <v>36.8101</v>
      </c>
      <c r="D204" s="3">
        <v>2512.567</v>
      </c>
      <c r="E204" s="3">
        <v>3533.703</v>
      </c>
      <c r="F204" s="4" t="s">
        <v>7</v>
      </c>
      <c r="G204" s="3">
        <v>19.0</v>
      </c>
    </row>
    <row r="205">
      <c r="A205" s="3">
        <v>196.0</v>
      </c>
      <c r="B205" s="3">
        <v>85.88787</v>
      </c>
      <c r="C205" s="3">
        <v>37.42176</v>
      </c>
      <c r="D205" s="3">
        <v>2512.567</v>
      </c>
      <c r="E205" s="3">
        <v>3501.802</v>
      </c>
      <c r="F205" s="4" t="s">
        <v>7</v>
      </c>
      <c r="G205" s="3">
        <v>19.0</v>
      </c>
    </row>
    <row r="206">
      <c r="A206" s="3">
        <v>195.0</v>
      </c>
      <c r="B206" s="3">
        <v>85.88554</v>
      </c>
      <c r="C206" s="3">
        <v>36.74358</v>
      </c>
      <c r="D206" s="3">
        <v>2512.633</v>
      </c>
      <c r="E206" s="3">
        <v>3527.566</v>
      </c>
      <c r="F206" s="4" t="s">
        <v>7</v>
      </c>
      <c r="G206" s="3">
        <v>19.0</v>
      </c>
    </row>
    <row r="207">
      <c r="A207" s="3">
        <v>194.0</v>
      </c>
      <c r="B207" s="3">
        <v>85.88554</v>
      </c>
      <c r="C207" s="3">
        <v>37.55505</v>
      </c>
      <c r="D207" s="3">
        <v>2512.633</v>
      </c>
      <c r="E207" s="3">
        <v>3509.847</v>
      </c>
      <c r="F207" s="4" t="s">
        <v>7</v>
      </c>
      <c r="G207" s="3">
        <v>19.0</v>
      </c>
    </row>
    <row r="208">
      <c r="A208" s="3">
        <v>193.0</v>
      </c>
      <c r="B208" s="3">
        <v>85.88554</v>
      </c>
      <c r="C208" s="3">
        <v>37.43739</v>
      </c>
      <c r="D208" s="3">
        <v>2512.633</v>
      </c>
      <c r="E208" s="3">
        <v>3519.742</v>
      </c>
      <c r="F208" s="4" t="s">
        <v>7</v>
      </c>
      <c r="G208" s="3">
        <v>19.0</v>
      </c>
    </row>
    <row r="209">
      <c r="A209" s="3">
        <v>192.0</v>
      </c>
      <c r="B209" s="3">
        <v>85.88554</v>
      </c>
      <c r="C209" s="3">
        <v>38.11677</v>
      </c>
      <c r="D209" s="3">
        <v>2512.633</v>
      </c>
      <c r="E209" s="3">
        <v>3501.255</v>
      </c>
      <c r="F209" s="4" t="s">
        <v>7</v>
      </c>
      <c r="G209" s="3">
        <v>19.0</v>
      </c>
    </row>
    <row r="210">
      <c r="A210" s="3">
        <v>191.0</v>
      </c>
      <c r="B210" s="3">
        <v>85.88554</v>
      </c>
      <c r="C210" s="3">
        <v>38.15499</v>
      </c>
      <c r="D210" s="3">
        <v>2512.633</v>
      </c>
      <c r="E210" s="3">
        <v>3502.499</v>
      </c>
      <c r="F210" s="4" t="s">
        <v>7</v>
      </c>
      <c r="G210" s="3">
        <v>19.0</v>
      </c>
    </row>
    <row r="211">
      <c r="A211" s="3">
        <v>190.0</v>
      </c>
      <c r="B211" s="3">
        <v>85.85441</v>
      </c>
      <c r="C211" s="3">
        <v>37.80301</v>
      </c>
      <c r="D211" s="3">
        <v>2513.7</v>
      </c>
      <c r="E211" s="3">
        <v>3509.609</v>
      </c>
      <c r="F211" s="4" t="s">
        <v>7</v>
      </c>
      <c r="G211" s="3">
        <v>19.0</v>
      </c>
    </row>
    <row r="212">
      <c r="A212" s="3">
        <v>189.0</v>
      </c>
      <c r="B212" s="3">
        <v>85.84688</v>
      </c>
      <c r="C212" s="3">
        <v>37.09656</v>
      </c>
      <c r="D212" s="3">
        <v>2513.967</v>
      </c>
      <c r="E212" s="3">
        <v>3535.66</v>
      </c>
      <c r="F212" s="4" t="s">
        <v>7</v>
      </c>
      <c r="G212" s="3">
        <v>19.0</v>
      </c>
    </row>
    <row r="213">
      <c r="A213" s="3">
        <v>188.0</v>
      </c>
      <c r="B213" s="3">
        <v>85.84688</v>
      </c>
      <c r="C213" s="3">
        <v>37.46354</v>
      </c>
      <c r="D213" s="3">
        <v>2513.967</v>
      </c>
      <c r="E213" s="3">
        <v>3520.051</v>
      </c>
      <c r="F213" s="4" t="s">
        <v>7</v>
      </c>
      <c r="G213" s="3">
        <v>19.0</v>
      </c>
    </row>
    <row r="214">
      <c r="A214" s="3">
        <v>187.0</v>
      </c>
      <c r="B214" s="3">
        <v>85.84688</v>
      </c>
      <c r="C214" s="3">
        <v>37.50696</v>
      </c>
      <c r="D214" s="3">
        <v>2513.967</v>
      </c>
      <c r="E214" s="3">
        <v>3515.993</v>
      </c>
      <c r="F214" s="4" t="s">
        <v>7</v>
      </c>
      <c r="G214" s="3">
        <v>19.0</v>
      </c>
    </row>
    <row r="215">
      <c r="A215" s="3">
        <v>186.0</v>
      </c>
      <c r="B215" s="3">
        <v>85.84688</v>
      </c>
      <c r="C215" s="3">
        <v>37.22679</v>
      </c>
      <c r="D215" s="3">
        <v>2513.967</v>
      </c>
      <c r="E215" s="3">
        <v>3522.886</v>
      </c>
      <c r="F215" s="4" t="s">
        <v>7</v>
      </c>
      <c r="G215" s="3">
        <v>19.0</v>
      </c>
    </row>
    <row r="216">
      <c r="A216" s="3">
        <v>185.0</v>
      </c>
      <c r="B216" s="3">
        <v>85.84688</v>
      </c>
      <c r="C216" s="3">
        <v>37.34768</v>
      </c>
      <c r="D216" s="3">
        <v>2513.967</v>
      </c>
      <c r="E216" s="3">
        <v>3529.015</v>
      </c>
      <c r="F216" s="4" t="s">
        <v>7</v>
      </c>
      <c r="G216" s="3">
        <v>19.0</v>
      </c>
    </row>
    <row r="217">
      <c r="A217" s="3">
        <v>184.0</v>
      </c>
      <c r="B217" s="3">
        <v>85.84688</v>
      </c>
      <c r="C217" s="3">
        <v>36.93362</v>
      </c>
      <c r="D217" s="3">
        <v>2513.967</v>
      </c>
      <c r="E217" s="3">
        <v>3538.841</v>
      </c>
      <c r="F217" s="4" t="s">
        <v>7</v>
      </c>
      <c r="G217" s="3">
        <v>19.0</v>
      </c>
    </row>
    <row r="218">
      <c r="A218" s="3">
        <v>183.0</v>
      </c>
      <c r="B218" s="3">
        <v>85.84688</v>
      </c>
      <c r="C218" s="3">
        <v>36.58685</v>
      </c>
      <c r="D218" s="3">
        <v>2513.967</v>
      </c>
      <c r="E218" s="3">
        <v>3542.816</v>
      </c>
      <c r="F218" s="4" t="s">
        <v>7</v>
      </c>
      <c r="G218" s="3">
        <v>19.0</v>
      </c>
    </row>
    <row r="219">
      <c r="A219" s="3">
        <v>182.0</v>
      </c>
      <c r="B219" s="3">
        <v>85.84688</v>
      </c>
      <c r="C219" s="3">
        <v>36.75697</v>
      </c>
      <c r="D219" s="3">
        <v>2513.967</v>
      </c>
      <c r="E219" s="3">
        <v>3536.866</v>
      </c>
      <c r="F219" s="4" t="s">
        <v>7</v>
      </c>
      <c r="G219" s="3">
        <v>19.0</v>
      </c>
    </row>
    <row r="220">
      <c r="A220" s="3">
        <v>181.0</v>
      </c>
      <c r="B220" s="3">
        <v>85.84688</v>
      </c>
      <c r="C220" s="3">
        <v>36.94602</v>
      </c>
      <c r="D220" s="3">
        <v>2513.967</v>
      </c>
      <c r="E220" s="3">
        <v>3536.475</v>
      </c>
      <c r="F220" s="4" t="s">
        <v>7</v>
      </c>
      <c r="G220" s="3">
        <v>19.0</v>
      </c>
    </row>
    <row r="221">
      <c r="A221" s="3">
        <v>180.0</v>
      </c>
      <c r="B221" s="3">
        <v>85.82036</v>
      </c>
      <c r="C221" s="3">
        <v>37.55535</v>
      </c>
      <c r="D221" s="3">
        <v>2514.933</v>
      </c>
      <c r="E221" s="3">
        <v>3525.94</v>
      </c>
      <c r="F221" s="4" t="s">
        <v>7</v>
      </c>
      <c r="G221" s="3">
        <v>19.0</v>
      </c>
    </row>
    <row r="222">
      <c r="A222" s="3">
        <v>179.0</v>
      </c>
      <c r="B222" s="3">
        <v>85.82036</v>
      </c>
      <c r="C222" s="3">
        <v>37.30376</v>
      </c>
      <c r="D222" s="3">
        <v>2514.933</v>
      </c>
      <c r="E222" s="3">
        <v>3530.745</v>
      </c>
      <c r="F222" s="4" t="s">
        <v>7</v>
      </c>
      <c r="G222" s="3">
        <v>19.0</v>
      </c>
    </row>
    <row r="223">
      <c r="A223" s="3">
        <v>178.0</v>
      </c>
      <c r="B223" s="3">
        <v>85.82036</v>
      </c>
      <c r="C223" s="3">
        <v>36.59067</v>
      </c>
      <c r="D223" s="3">
        <v>2514.933</v>
      </c>
      <c r="E223" s="3">
        <v>3555.68</v>
      </c>
      <c r="F223" s="4" t="s">
        <v>7</v>
      </c>
      <c r="G223" s="3">
        <v>19.0</v>
      </c>
    </row>
    <row r="224">
      <c r="A224" s="3">
        <v>177.0</v>
      </c>
      <c r="B224" s="3">
        <v>85.82036</v>
      </c>
      <c r="C224" s="3">
        <v>36.34096</v>
      </c>
      <c r="D224" s="3">
        <v>2514.933</v>
      </c>
      <c r="E224" s="3">
        <v>3558.526</v>
      </c>
      <c r="F224" s="4" t="s">
        <v>7</v>
      </c>
      <c r="G224" s="3">
        <v>19.0</v>
      </c>
    </row>
    <row r="225">
      <c r="A225" s="3">
        <v>176.0</v>
      </c>
      <c r="B225" s="3">
        <v>85.82036</v>
      </c>
      <c r="C225" s="3">
        <v>36.01005</v>
      </c>
      <c r="D225" s="3">
        <v>2514.933</v>
      </c>
      <c r="E225" s="3">
        <v>3559.453</v>
      </c>
      <c r="F225" s="4" t="s">
        <v>7</v>
      </c>
      <c r="G225" s="3">
        <v>19.0</v>
      </c>
    </row>
    <row r="226">
      <c r="A226" s="3">
        <v>175.0</v>
      </c>
      <c r="B226" s="3">
        <v>85.82036</v>
      </c>
      <c r="C226" s="3">
        <v>35.97484</v>
      </c>
      <c r="D226" s="3">
        <v>2514.933</v>
      </c>
      <c r="E226" s="3">
        <v>3556.842</v>
      </c>
      <c r="F226" s="4" t="s">
        <v>7</v>
      </c>
      <c r="G226" s="3">
        <v>19.0</v>
      </c>
    </row>
    <row r="227">
      <c r="A227" s="3">
        <v>174.0</v>
      </c>
      <c r="B227" s="3">
        <v>85.82036</v>
      </c>
      <c r="C227" s="3">
        <v>35.27618</v>
      </c>
      <c r="D227" s="3">
        <v>2514.933</v>
      </c>
      <c r="E227" s="3">
        <v>3571.337</v>
      </c>
      <c r="F227" s="4" t="s">
        <v>7</v>
      </c>
      <c r="G227" s="3">
        <v>19.0</v>
      </c>
    </row>
    <row r="228">
      <c r="A228" s="3">
        <v>173.0</v>
      </c>
      <c r="B228" s="3">
        <v>85.82036</v>
      </c>
      <c r="C228" s="3">
        <v>34.78428</v>
      </c>
      <c r="D228" s="3">
        <v>2514.933</v>
      </c>
      <c r="E228" s="3">
        <v>3571.538</v>
      </c>
      <c r="F228" s="4" t="s">
        <v>7</v>
      </c>
      <c r="G228" s="3">
        <v>19.0</v>
      </c>
    </row>
    <row r="229">
      <c r="A229" s="3">
        <v>172.0</v>
      </c>
      <c r="B229" s="3">
        <v>85.82036</v>
      </c>
      <c r="C229" s="3">
        <v>35.66804</v>
      </c>
      <c r="D229" s="3">
        <v>2514.933</v>
      </c>
      <c r="E229" s="3">
        <v>3551.702</v>
      </c>
      <c r="F229" s="4" t="s">
        <v>7</v>
      </c>
      <c r="G229" s="3">
        <v>19.0</v>
      </c>
    </row>
    <row r="230">
      <c r="A230" s="3">
        <v>171.0</v>
      </c>
      <c r="B230" s="3">
        <v>85.82036</v>
      </c>
      <c r="C230" s="3">
        <v>34.87659</v>
      </c>
      <c r="D230" s="3">
        <v>2514.933</v>
      </c>
      <c r="E230" s="3">
        <v>3576.401</v>
      </c>
      <c r="F230" s="4" t="s">
        <v>7</v>
      </c>
      <c r="G230" s="3">
        <v>19.0</v>
      </c>
    </row>
    <row r="231">
      <c r="A231" s="3">
        <v>170.0</v>
      </c>
      <c r="B231" s="3">
        <v>85.82036</v>
      </c>
      <c r="C231" s="3">
        <v>35.68432</v>
      </c>
      <c r="D231" s="3">
        <v>2514.933</v>
      </c>
      <c r="E231" s="3">
        <v>3553.774</v>
      </c>
      <c r="F231" s="4" t="s">
        <v>7</v>
      </c>
      <c r="G231" s="3">
        <v>19.0</v>
      </c>
    </row>
    <row r="232">
      <c r="A232" s="3">
        <v>169.0</v>
      </c>
      <c r="B232" s="3">
        <v>85.82036</v>
      </c>
      <c r="C232" s="3">
        <v>36.61656</v>
      </c>
      <c r="D232" s="3">
        <v>2514.933</v>
      </c>
      <c r="E232" s="3">
        <v>3530.037</v>
      </c>
      <c r="F232" s="4" t="s">
        <v>7</v>
      </c>
      <c r="G232" s="3">
        <v>19.0</v>
      </c>
    </row>
    <row r="233">
      <c r="A233" s="3">
        <v>168.0</v>
      </c>
      <c r="B233" s="3">
        <v>85.82036</v>
      </c>
      <c r="C233" s="3">
        <v>36.49959</v>
      </c>
      <c r="D233" s="3">
        <v>2514.933</v>
      </c>
      <c r="E233" s="3">
        <v>3544.275</v>
      </c>
      <c r="F233" s="4" t="s">
        <v>7</v>
      </c>
      <c r="G233" s="3">
        <v>19.0</v>
      </c>
    </row>
    <row r="234">
      <c r="A234" s="3">
        <v>167.0</v>
      </c>
      <c r="B234" s="3">
        <v>85.82036</v>
      </c>
      <c r="C234" s="3">
        <v>37.13958</v>
      </c>
      <c r="D234" s="3">
        <v>2514.933</v>
      </c>
      <c r="E234" s="3">
        <v>3529.121</v>
      </c>
      <c r="F234" s="4" t="s">
        <v>7</v>
      </c>
      <c r="G234" s="3">
        <v>19.0</v>
      </c>
    </row>
    <row r="235">
      <c r="A235" s="3">
        <v>166.0</v>
      </c>
      <c r="B235" s="3">
        <v>85.82036</v>
      </c>
      <c r="C235" s="3">
        <v>36.64793</v>
      </c>
      <c r="D235" s="3">
        <v>2514.933</v>
      </c>
      <c r="E235" s="3">
        <v>3545.947</v>
      </c>
      <c r="F235" s="4" t="s">
        <v>7</v>
      </c>
      <c r="G235" s="3">
        <v>19.0</v>
      </c>
    </row>
    <row r="236">
      <c r="A236" s="3">
        <v>165.0</v>
      </c>
      <c r="B236" s="3">
        <v>85.71727</v>
      </c>
      <c r="C236" s="3">
        <v>36.63042</v>
      </c>
      <c r="D236" s="3">
        <v>2517.2</v>
      </c>
      <c r="E236" s="3">
        <v>3539.734</v>
      </c>
      <c r="F236" s="4" t="s">
        <v>7</v>
      </c>
      <c r="G236" s="3">
        <v>19.0</v>
      </c>
    </row>
    <row r="237">
      <c r="A237" s="3">
        <v>164.0</v>
      </c>
      <c r="B237" s="3">
        <v>85.71727</v>
      </c>
      <c r="C237" s="3">
        <v>36.57166</v>
      </c>
      <c r="D237" s="3">
        <v>2517.2</v>
      </c>
      <c r="E237" s="3">
        <v>3542.223</v>
      </c>
      <c r="F237" s="4" t="s">
        <v>7</v>
      </c>
      <c r="G237" s="3">
        <v>19.0</v>
      </c>
    </row>
    <row r="238">
      <c r="A238" s="3">
        <v>163.0</v>
      </c>
      <c r="B238" s="3">
        <v>85.71727</v>
      </c>
      <c r="C238" s="3">
        <v>37.2943</v>
      </c>
      <c r="D238" s="3">
        <v>2517.2</v>
      </c>
      <c r="E238" s="3">
        <v>3526.587</v>
      </c>
      <c r="F238" s="4" t="s">
        <v>7</v>
      </c>
      <c r="G238" s="3">
        <v>19.0</v>
      </c>
    </row>
    <row r="239">
      <c r="A239" s="3">
        <v>162.0</v>
      </c>
      <c r="B239" s="3">
        <v>85.71727</v>
      </c>
      <c r="C239" s="3">
        <v>36.85786</v>
      </c>
      <c r="D239" s="3">
        <v>2517.2</v>
      </c>
      <c r="E239" s="3">
        <v>3550.785</v>
      </c>
      <c r="F239" s="4" t="s">
        <v>7</v>
      </c>
      <c r="G239" s="3">
        <v>19.0</v>
      </c>
    </row>
    <row r="240">
      <c r="A240" s="3">
        <v>161.0</v>
      </c>
      <c r="B240" s="3">
        <v>85.71727</v>
      </c>
      <c r="C240" s="3">
        <v>36.77955</v>
      </c>
      <c r="D240" s="3">
        <v>2517.2</v>
      </c>
      <c r="E240" s="3">
        <v>3559.543</v>
      </c>
      <c r="F240" s="4" t="s">
        <v>7</v>
      </c>
      <c r="G240" s="3">
        <v>19.0</v>
      </c>
    </row>
    <row r="241">
      <c r="A241" s="3">
        <v>160.0</v>
      </c>
      <c r="B241" s="3">
        <v>85.71727</v>
      </c>
      <c r="C241" s="3">
        <v>36.70336</v>
      </c>
      <c r="D241" s="3">
        <v>2517.2</v>
      </c>
      <c r="E241" s="3">
        <v>3549.911</v>
      </c>
      <c r="F241" s="4" t="s">
        <v>7</v>
      </c>
      <c r="G241" s="3">
        <v>19.0</v>
      </c>
    </row>
    <row r="242">
      <c r="A242" s="3">
        <v>159.0</v>
      </c>
      <c r="B242" s="3">
        <v>85.69281</v>
      </c>
      <c r="C242" s="3">
        <v>36.11299</v>
      </c>
      <c r="D242" s="3">
        <v>2518.133</v>
      </c>
      <c r="E242" s="3">
        <v>3575.02</v>
      </c>
      <c r="F242" s="4" t="s">
        <v>7</v>
      </c>
      <c r="G242" s="3">
        <v>19.0</v>
      </c>
    </row>
    <row r="243">
      <c r="A243" s="3">
        <v>158.0</v>
      </c>
      <c r="B243" s="3">
        <v>85.69281</v>
      </c>
      <c r="C243" s="3">
        <v>35.67278</v>
      </c>
      <c r="D243" s="3">
        <v>2518.133</v>
      </c>
      <c r="E243" s="3">
        <v>3583.684</v>
      </c>
      <c r="F243" s="4" t="s">
        <v>7</v>
      </c>
      <c r="G243" s="3">
        <v>19.0</v>
      </c>
    </row>
    <row r="244">
      <c r="A244" s="3">
        <v>157.0</v>
      </c>
      <c r="B244" s="3">
        <v>85.69281</v>
      </c>
      <c r="C244" s="3">
        <v>35.91789</v>
      </c>
      <c r="D244" s="3">
        <v>2518.133</v>
      </c>
      <c r="E244" s="3">
        <v>3569.552</v>
      </c>
      <c r="F244" s="4" t="s">
        <v>7</v>
      </c>
      <c r="G244" s="3">
        <v>19.0</v>
      </c>
    </row>
    <row r="245">
      <c r="A245" s="3">
        <v>156.0</v>
      </c>
      <c r="B245" s="3">
        <v>85.69281</v>
      </c>
      <c r="C245" s="3">
        <v>36.4332</v>
      </c>
      <c r="D245" s="3">
        <v>2518.133</v>
      </c>
      <c r="E245" s="3">
        <v>3560.087</v>
      </c>
      <c r="F245" s="4" t="s">
        <v>7</v>
      </c>
      <c r="G245" s="3">
        <v>19.0</v>
      </c>
    </row>
    <row r="246">
      <c r="A246" s="3">
        <v>155.0</v>
      </c>
      <c r="B246" s="3">
        <v>85.69281</v>
      </c>
      <c r="C246" s="3">
        <v>36.71416</v>
      </c>
      <c r="D246" s="3">
        <v>2518.133</v>
      </c>
      <c r="E246" s="3">
        <v>3556.178</v>
      </c>
      <c r="F246" s="4" t="s">
        <v>7</v>
      </c>
      <c r="G246" s="3">
        <v>19.0</v>
      </c>
    </row>
    <row r="247">
      <c r="A247" s="3">
        <v>154.0</v>
      </c>
      <c r="B247" s="3">
        <v>85.69281</v>
      </c>
      <c r="C247" s="3">
        <v>36.60164</v>
      </c>
      <c r="D247" s="3">
        <v>2518.133</v>
      </c>
      <c r="E247" s="3">
        <v>3556.446</v>
      </c>
      <c r="F247" s="4" t="s">
        <v>7</v>
      </c>
      <c r="G247" s="3">
        <v>19.0</v>
      </c>
    </row>
    <row r="248">
      <c r="A248" s="3">
        <v>153.0</v>
      </c>
      <c r="B248" s="3">
        <v>85.69281</v>
      </c>
      <c r="C248" s="3">
        <v>36.21191</v>
      </c>
      <c r="D248" s="3">
        <v>2518.133</v>
      </c>
      <c r="E248" s="3">
        <v>3556.074</v>
      </c>
      <c r="F248" s="4" t="s">
        <v>7</v>
      </c>
      <c r="G248" s="3">
        <v>19.0</v>
      </c>
    </row>
    <row r="249">
      <c r="A249" s="3">
        <v>152.0</v>
      </c>
      <c r="B249" s="3">
        <v>85.69281</v>
      </c>
      <c r="C249" s="3">
        <v>36.52402</v>
      </c>
      <c r="D249" s="3">
        <v>2518.133</v>
      </c>
      <c r="E249" s="3">
        <v>3544.896</v>
      </c>
      <c r="F249" s="4" t="s">
        <v>7</v>
      </c>
      <c r="G249" s="3">
        <v>19.0</v>
      </c>
    </row>
    <row r="250">
      <c r="A250" s="3">
        <v>151.0</v>
      </c>
      <c r="B250" s="3">
        <v>85.68014</v>
      </c>
      <c r="C250" s="3">
        <v>35.98489</v>
      </c>
      <c r="D250" s="3">
        <v>2518.633</v>
      </c>
      <c r="E250" s="3">
        <v>3560.098</v>
      </c>
      <c r="F250" s="4" t="s">
        <v>7</v>
      </c>
      <c r="G250" s="3">
        <v>19.0</v>
      </c>
    </row>
    <row r="251">
      <c r="A251" s="3">
        <v>150.0</v>
      </c>
      <c r="B251" s="3">
        <v>85.68014</v>
      </c>
      <c r="C251" s="3">
        <v>35.86617</v>
      </c>
      <c r="D251" s="3">
        <v>2518.633</v>
      </c>
      <c r="E251" s="3">
        <v>3564.815</v>
      </c>
      <c r="F251" s="4" t="s">
        <v>7</v>
      </c>
      <c r="G251" s="3">
        <v>19.0</v>
      </c>
    </row>
    <row r="252">
      <c r="A252" s="3">
        <v>149.0</v>
      </c>
      <c r="B252" s="3">
        <v>84.96054</v>
      </c>
      <c r="C252" s="3">
        <v>35.76886</v>
      </c>
      <c r="D252" s="3">
        <v>2523.467</v>
      </c>
      <c r="E252" s="3">
        <v>3567.625</v>
      </c>
      <c r="F252" s="4" t="s">
        <v>7</v>
      </c>
      <c r="G252" s="3">
        <v>19.0</v>
      </c>
    </row>
    <row r="253">
      <c r="A253" s="3">
        <v>148.0</v>
      </c>
      <c r="B253" s="3">
        <v>84.96054</v>
      </c>
      <c r="C253" s="3">
        <v>36.02605</v>
      </c>
      <c r="D253" s="3">
        <v>2523.467</v>
      </c>
      <c r="E253" s="3">
        <v>3570.42</v>
      </c>
      <c r="F253" s="4" t="s">
        <v>7</v>
      </c>
      <c r="G253" s="3">
        <v>19.0</v>
      </c>
    </row>
    <row r="254">
      <c r="A254" s="3">
        <v>147.0</v>
      </c>
      <c r="B254" s="3">
        <v>84.96054</v>
      </c>
      <c r="C254" s="3">
        <v>35.87832</v>
      </c>
      <c r="D254" s="3">
        <v>2523.467</v>
      </c>
      <c r="E254" s="3">
        <v>3578.944</v>
      </c>
      <c r="F254" s="4" t="s">
        <v>7</v>
      </c>
      <c r="G254" s="3">
        <v>19.0</v>
      </c>
    </row>
    <row r="255">
      <c r="A255" s="3">
        <v>146.0</v>
      </c>
      <c r="B255" s="3">
        <v>84.96054</v>
      </c>
      <c r="C255" s="3">
        <v>35.05663</v>
      </c>
      <c r="D255" s="3">
        <v>2523.467</v>
      </c>
      <c r="E255" s="3">
        <v>3603.513</v>
      </c>
      <c r="F255" s="4" t="s">
        <v>7</v>
      </c>
      <c r="G255" s="3">
        <v>19.0</v>
      </c>
    </row>
    <row r="256">
      <c r="A256" s="3">
        <v>145.0</v>
      </c>
      <c r="B256" s="3">
        <v>84.96054</v>
      </c>
      <c r="C256" s="3">
        <v>34.85295</v>
      </c>
      <c r="D256" s="3">
        <v>2523.467</v>
      </c>
      <c r="E256" s="3">
        <v>3609.634</v>
      </c>
      <c r="F256" s="4" t="s">
        <v>7</v>
      </c>
      <c r="G256" s="3">
        <v>19.0</v>
      </c>
    </row>
    <row r="257">
      <c r="A257" s="3">
        <v>144.0</v>
      </c>
      <c r="B257" s="3">
        <v>84.90056</v>
      </c>
      <c r="C257" s="3">
        <v>34.70278</v>
      </c>
      <c r="D257" s="3">
        <v>2525.233</v>
      </c>
      <c r="E257" s="3">
        <v>3621.235</v>
      </c>
      <c r="F257" s="4" t="s">
        <v>7</v>
      </c>
      <c r="G257" s="3">
        <v>19.0</v>
      </c>
    </row>
    <row r="258">
      <c r="A258" s="3">
        <v>143.0</v>
      </c>
      <c r="B258" s="3">
        <v>84.90056</v>
      </c>
      <c r="C258" s="3">
        <v>34.81385</v>
      </c>
      <c r="D258" s="3">
        <v>2525.233</v>
      </c>
      <c r="E258" s="3">
        <v>3612.033</v>
      </c>
      <c r="F258" s="4" t="s">
        <v>7</v>
      </c>
      <c r="G258" s="3">
        <v>19.0</v>
      </c>
    </row>
    <row r="259">
      <c r="A259" s="3">
        <v>142.0</v>
      </c>
      <c r="B259" s="3">
        <v>84.49138</v>
      </c>
      <c r="C259" s="3">
        <v>34.46894</v>
      </c>
      <c r="D259" s="3">
        <v>2529.033</v>
      </c>
      <c r="E259" s="3">
        <v>3625.956</v>
      </c>
      <c r="F259" s="4" t="s">
        <v>7</v>
      </c>
      <c r="G259" s="3">
        <v>19.0</v>
      </c>
    </row>
    <row r="260">
      <c r="A260" s="3">
        <v>141.0</v>
      </c>
      <c r="B260" s="3">
        <v>84.49138</v>
      </c>
      <c r="C260" s="3">
        <v>34.56715</v>
      </c>
      <c r="D260" s="3">
        <v>2529.033</v>
      </c>
      <c r="E260" s="3">
        <v>3627.042</v>
      </c>
      <c r="F260" s="4" t="s">
        <v>7</v>
      </c>
      <c r="G260" s="3">
        <v>19.0</v>
      </c>
    </row>
    <row r="261">
      <c r="A261" s="3">
        <v>140.0</v>
      </c>
      <c r="B261" s="3">
        <v>84.36275</v>
      </c>
      <c r="C261" s="3">
        <v>34.63297</v>
      </c>
      <c r="D261" s="3">
        <v>2535.2</v>
      </c>
      <c r="E261" s="3">
        <v>3625.08</v>
      </c>
      <c r="F261" s="4" t="s">
        <v>7</v>
      </c>
      <c r="G261" s="3">
        <v>19.0</v>
      </c>
    </row>
    <row r="262">
      <c r="A262" s="3">
        <v>139.0</v>
      </c>
      <c r="B262" s="3">
        <v>84.36275</v>
      </c>
      <c r="C262" s="3">
        <v>34.66964</v>
      </c>
      <c r="D262" s="3">
        <v>2535.2</v>
      </c>
      <c r="E262" s="3">
        <v>3631.948</v>
      </c>
      <c r="F262" s="4" t="s">
        <v>7</v>
      </c>
      <c r="G262" s="3">
        <v>19.0</v>
      </c>
    </row>
    <row r="263">
      <c r="A263" s="3">
        <v>138.0</v>
      </c>
      <c r="B263" s="3">
        <v>84.36275</v>
      </c>
      <c r="C263" s="3">
        <v>34.90217</v>
      </c>
      <c r="D263" s="3">
        <v>2535.2</v>
      </c>
      <c r="E263" s="3">
        <v>3606.377</v>
      </c>
      <c r="F263" s="4" t="s">
        <v>7</v>
      </c>
      <c r="G263" s="3">
        <v>19.0</v>
      </c>
    </row>
    <row r="264">
      <c r="A264" s="3">
        <v>137.0</v>
      </c>
      <c r="B264" s="3">
        <v>84.36275</v>
      </c>
      <c r="C264" s="3">
        <v>35.4614</v>
      </c>
      <c r="D264" s="3">
        <v>2535.2</v>
      </c>
      <c r="E264" s="3">
        <v>3591.848</v>
      </c>
      <c r="F264" s="4" t="s">
        <v>7</v>
      </c>
      <c r="G264" s="3">
        <v>19.0</v>
      </c>
    </row>
    <row r="265">
      <c r="A265" s="3">
        <v>136.0</v>
      </c>
      <c r="B265" s="3">
        <v>84.26005</v>
      </c>
      <c r="C265" s="3">
        <v>35.58595</v>
      </c>
      <c r="D265" s="3">
        <v>2536.267</v>
      </c>
      <c r="E265" s="3">
        <v>3584.141</v>
      </c>
      <c r="F265" s="4" t="s">
        <v>7</v>
      </c>
      <c r="G265" s="3">
        <v>19.0</v>
      </c>
    </row>
    <row r="266">
      <c r="A266" s="3">
        <v>135.0</v>
      </c>
      <c r="B266" s="3">
        <v>83.85767</v>
      </c>
      <c r="C266" s="3">
        <v>35.50004</v>
      </c>
      <c r="D266" s="3">
        <v>2541.833</v>
      </c>
      <c r="E266" s="3">
        <v>3591.631</v>
      </c>
      <c r="F266" s="4" t="s">
        <v>7</v>
      </c>
      <c r="G266" s="3">
        <v>19.0</v>
      </c>
    </row>
    <row r="267">
      <c r="A267" s="3">
        <v>134.0</v>
      </c>
      <c r="B267" s="3">
        <v>83.85767</v>
      </c>
      <c r="C267" s="3">
        <v>35.21223</v>
      </c>
      <c r="D267" s="3">
        <v>2541.833</v>
      </c>
      <c r="E267" s="3">
        <v>3597.554</v>
      </c>
      <c r="F267" s="4" t="s">
        <v>7</v>
      </c>
      <c r="G267" s="3">
        <v>19.0</v>
      </c>
    </row>
    <row r="268">
      <c r="A268" s="3">
        <v>133.0</v>
      </c>
      <c r="B268" s="3">
        <v>83.85767</v>
      </c>
      <c r="C268" s="3">
        <v>35.24374</v>
      </c>
      <c r="D268" s="3">
        <v>2541.833</v>
      </c>
      <c r="E268" s="3">
        <v>3591.411</v>
      </c>
      <c r="F268" s="4" t="s">
        <v>7</v>
      </c>
      <c r="G268" s="3">
        <v>19.0</v>
      </c>
    </row>
    <row r="269">
      <c r="A269" s="3">
        <v>132.0</v>
      </c>
      <c r="B269" s="3">
        <v>83.72303</v>
      </c>
      <c r="C269" s="3">
        <v>34.85999</v>
      </c>
      <c r="D269" s="3">
        <v>2543.733</v>
      </c>
      <c r="E269" s="3">
        <v>3605.74</v>
      </c>
      <c r="F269" s="4" t="s">
        <v>7</v>
      </c>
      <c r="G269" s="3">
        <v>19.0</v>
      </c>
    </row>
    <row r="270">
      <c r="A270" s="3">
        <v>131.0</v>
      </c>
      <c r="B270" s="3">
        <v>83.71113</v>
      </c>
      <c r="C270" s="3">
        <v>34.30379</v>
      </c>
      <c r="D270" s="3">
        <v>2543.8</v>
      </c>
      <c r="E270" s="3">
        <v>3622.947</v>
      </c>
      <c r="F270" s="4" t="s">
        <v>7</v>
      </c>
      <c r="G270" s="3">
        <v>19.0</v>
      </c>
    </row>
    <row r="271">
      <c r="A271" s="3">
        <v>130.0</v>
      </c>
      <c r="B271" s="3">
        <v>83.71113</v>
      </c>
      <c r="C271" s="3">
        <v>33.99744</v>
      </c>
      <c r="D271" s="3">
        <v>2543.8</v>
      </c>
      <c r="E271" s="3">
        <v>3629.241</v>
      </c>
      <c r="F271" s="4" t="s">
        <v>7</v>
      </c>
      <c r="G271" s="3">
        <v>19.0</v>
      </c>
    </row>
    <row r="272">
      <c r="A272" s="3">
        <v>129.0</v>
      </c>
      <c r="B272" s="3">
        <v>83.71113</v>
      </c>
      <c r="C272" s="3">
        <v>33.90393</v>
      </c>
      <c r="D272" s="3">
        <v>2543.8</v>
      </c>
      <c r="E272" s="3">
        <v>3643.838</v>
      </c>
      <c r="F272" s="4" t="s">
        <v>7</v>
      </c>
      <c r="G272" s="3">
        <v>19.0</v>
      </c>
    </row>
    <row r="273">
      <c r="A273" s="3">
        <v>128.0</v>
      </c>
      <c r="B273" s="3">
        <v>83.71113</v>
      </c>
      <c r="C273" s="3">
        <v>33.81366</v>
      </c>
      <c r="D273" s="3">
        <v>2543.8</v>
      </c>
      <c r="E273" s="3">
        <v>3642.954</v>
      </c>
      <c r="F273" s="4" t="s">
        <v>7</v>
      </c>
      <c r="G273" s="3">
        <v>19.0</v>
      </c>
    </row>
    <row r="274">
      <c r="A274" s="3">
        <v>127.0</v>
      </c>
      <c r="B274" s="3">
        <v>83.44375</v>
      </c>
      <c r="C274" s="3">
        <v>34.01032</v>
      </c>
      <c r="D274" s="3">
        <v>2545.4</v>
      </c>
      <c r="E274" s="3">
        <v>3636.979</v>
      </c>
      <c r="F274" s="4" t="s">
        <v>7</v>
      </c>
      <c r="G274" s="3">
        <v>19.0</v>
      </c>
    </row>
    <row r="275">
      <c r="A275" s="3">
        <v>126.0</v>
      </c>
      <c r="B275" s="3">
        <v>83.26656</v>
      </c>
      <c r="C275" s="3">
        <v>33.62078</v>
      </c>
      <c r="D275" s="3">
        <v>2548.3</v>
      </c>
      <c r="E275" s="3">
        <v>3652.737</v>
      </c>
      <c r="F275" s="4" t="s">
        <v>7</v>
      </c>
      <c r="G275" s="3">
        <v>19.0</v>
      </c>
    </row>
    <row r="276">
      <c r="A276" s="3">
        <v>125.0</v>
      </c>
      <c r="B276" s="3">
        <v>83.26072</v>
      </c>
      <c r="C276" s="3">
        <v>33.06843</v>
      </c>
      <c r="D276" s="3">
        <v>2548.367</v>
      </c>
      <c r="E276" s="3">
        <v>3662.521</v>
      </c>
      <c r="F276" s="4" t="s">
        <v>7</v>
      </c>
      <c r="G276" s="3">
        <v>19.0</v>
      </c>
    </row>
    <row r="277">
      <c r="A277" s="3">
        <v>124.0</v>
      </c>
      <c r="B277" s="3">
        <v>83.26072</v>
      </c>
      <c r="C277" s="3">
        <v>33.62171</v>
      </c>
      <c r="D277" s="3">
        <v>2548.367</v>
      </c>
      <c r="E277" s="3">
        <v>3649.243</v>
      </c>
      <c r="F277" s="4" t="s">
        <v>7</v>
      </c>
      <c r="G277" s="3">
        <v>19.0</v>
      </c>
    </row>
    <row r="278">
      <c r="A278" s="3">
        <v>123.0</v>
      </c>
      <c r="B278" s="3">
        <v>82.31992</v>
      </c>
      <c r="C278" s="3">
        <v>33.89139</v>
      </c>
      <c r="D278" s="3">
        <v>2557.067</v>
      </c>
      <c r="E278" s="3">
        <v>3648.826</v>
      </c>
      <c r="F278" s="4" t="s">
        <v>7</v>
      </c>
      <c r="G278" s="3">
        <v>19.0</v>
      </c>
    </row>
    <row r="279">
      <c r="A279" s="3">
        <v>122.0</v>
      </c>
      <c r="B279" s="3">
        <v>82.02485</v>
      </c>
      <c r="C279" s="3">
        <v>33.63285</v>
      </c>
      <c r="D279" s="3">
        <v>2559.067</v>
      </c>
      <c r="E279" s="3">
        <v>3659.428</v>
      </c>
      <c r="F279" s="4" t="s">
        <v>7</v>
      </c>
      <c r="G279" s="3">
        <v>19.0</v>
      </c>
    </row>
    <row r="280">
      <c r="A280" s="3">
        <v>121.0</v>
      </c>
      <c r="B280" s="3">
        <v>82.01295</v>
      </c>
      <c r="C280" s="3">
        <v>33.08731</v>
      </c>
      <c r="D280" s="3">
        <v>2559.133</v>
      </c>
      <c r="E280" s="3">
        <v>3670.121</v>
      </c>
      <c r="F280" s="4" t="s">
        <v>7</v>
      </c>
      <c r="G280" s="3">
        <v>19.0</v>
      </c>
    </row>
    <row r="281">
      <c r="A281" s="3">
        <v>120.0</v>
      </c>
      <c r="B281" s="3">
        <v>81.15223</v>
      </c>
      <c r="C281" s="3">
        <v>33.00718</v>
      </c>
      <c r="D281" s="3">
        <v>2565.233</v>
      </c>
      <c r="E281" s="3">
        <v>3664.298</v>
      </c>
      <c r="F281" s="4" t="s">
        <v>7</v>
      </c>
      <c r="G281" s="3">
        <v>19.0</v>
      </c>
    </row>
    <row r="282">
      <c r="A282" s="3">
        <v>119.0</v>
      </c>
      <c r="B282" s="3">
        <v>80.64278</v>
      </c>
      <c r="C282" s="3">
        <v>33.0031</v>
      </c>
      <c r="D282" s="3">
        <v>2569.1</v>
      </c>
      <c r="E282" s="3">
        <v>3668.522</v>
      </c>
      <c r="F282" s="4" t="s">
        <v>7</v>
      </c>
      <c r="G282" s="3">
        <v>19.0</v>
      </c>
    </row>
    <row r="283">
      <c r="A283" s="3">
        <v>118.0</v>
      </c>
      <c r="B283" s="3">
        <v>80.64278</v>
      </c>
      <c r="C283" s="3">
        <v>32.83482</v>
      </c>
      <c r="D283" s="3">
        <v>2569.1</v>
      </c>
      <c r="E283" s="3">
        <v>3674.281</v>
      </c>
      <c r="F283" s="4" t="s">
        <v>7</v>
      </c>
      <c r="G283" s="3">
        <v>19.0</v>
      </c>
    </row>
    <row r="284">
      <c r="A284" s="3">
        <v>117.0</v>
      </c>
      <c r="B284" s="3">
        <v>80.35147</v>
      </c>
      <c r="C284" s="3">
        <v>33.12221</v>
      </c>
      <c r="D284" s="3">
        <v>2572.467</v>
      </c>
      <c r="E284" s="3">
        <v>3664.723</v>
      </c>
      <c r="F284" s="4" t="s">
        <v>7</v>
      </c>
      <c r="G284" s="3">
        <v>19.0</v>
      </c>
    </row>
    <row r="285">
      <c r="A285" s="3">
        <v>116.0</v>
      </c>
      <c r="B285" s="3">
        <v>80.02192</v>
      </c>
      <c r="C285" s="3">
        <v>32.4463</v>
      </c>
      <c r="D285" s="3">
        <v>2576.8</v>
      </c>
      <c r="E285" s="3">
        <v>3690.345</v>
      </c>
      <c r="F285" s="4" t="s">
        <v>7</v>
      </c>
      <c r="G285" s="3">
        <v>19.0</v>
      </c>
    </row>
    <row r="286">
      <c r="A286" s="3">
        <v>115.0</v>
      </c>
      <c r="B286" s="3">
        <v>80.0023</v>
      </c>
      <c r="C286" s="3">
        <v>32.40049</v>
      </c>
      <c r="D286" s="3">
        <v>2577.1</v>
      </c>
      <c r="E286" s="3">
        <v>3699.321</v>
      </c>
      <c r="F286" s="4" t="s">
        <v>7</v>
      </c>
      <c r="G286" s="3">
        <v>19.0</v>
      </c>
    </row>
    <row r="287">
      <c r="A287" s="3">
        <v>114.0</v>
      </c>
      <c r="B287" s="3">
        <v>79.96635</v>
      </c>
      <c r="C287" s="3">
        <v>32.5783</v>
      </c>
      <c r="D287" s="3">
        <v>2577.333</v>
      </c>
      <c r="E287" s="3">
        <v>3697.5</v>
      </c>
      <c r="F287" s="4" t="s">
        <v>7</v>
      </c>
      <c r="G287" s="3">
        <v>19.0</v>
      </c>
    </row>
    <row r="288">
      <c r="A288" s="3">
        <v>113.0</v>
      </c>
      <c r="B288" s="3">
        <v>79.96204</v>
      </c>
      <c r="C288" s="3">
        <v>32.56239</v>
      </c>
      <c r="D288" s="3">
        <v>2577.4</v>
      </c>
      <c r="E288" s="3">
        <v>3708.553</v>
      </c>
      <c r="F288" s="4" t="s">
        <v>7</v>
      </c>
      <c r="G288" s="3">
        <v>19.0</v>
      </c>
    </row>
    <row r="289">
      <c r="A289" s="3">
        <v>112.0</v>
      </c>
      <c r="B289" s="3">
        <v>79.52153</v>
      </c>
      <c r="C289" s="3">
        <v>32.08446</v>
      </c>
      <c r="D289" s="3">
        <v>2583.3</v>
      </c>
      <c r="E289" s="3">
        <v>3715.474</v>
      </c>
      <c r="F289" s="4" t="s">
        <v>7</v>
      </c>
      <c r="G289" s="3">
        <v>19.0</v>
      </c>
    </row>
    <row r="290">
      <c r="A290" s="3">
        <v>111.0</v>
      </c>
      <c r="B290" s="3">
        <v>79.52153</v>
      </c>
      <c r="C290" s="3">
        <v>31.5731</v>
      </c>
      <c r="D290" s="3">
        <v>2583.3</v>
      </c>
      <c r="E290" s="3">
        <v>3727.487</v>
      </c>
      <c r="F290" s="4" t="s">
        <v>7</v>
      </c>
      <c r="G290" s="3">
        <v>19.0</v>
      </c>
    </row>
    <row r="291">
      <c r="A291" s="3">
        <v>110.0</v>
      </c>
      <c r="B291" s="3">
        <v>79.10466</v>
      </c>
      <c r="C291" s="3">
        <v>31.77277</v>
      </c>
      <c r="D291" s="3">
        <v>2586.367</v>
      </c>
      <c r="E291" s="3">
        <v>3721.536</v>
      </c>
      <c r="F291" s="4" t="s">
        <v>7</v>
      </c>
      <c r="G291" s="3">
        <v>19.0</v>
      </c>
    </row>
    <row r="292">
      <c r="A292" s="3">
        <v>109.0</v>
      </c>
      <c r="B292" s="3">
        <v>78.77914</v>
      </c>
      <c r="C292" s="3">
        <v>31.77521</v>
      </c>
      <c r="D292" s="3">
        <v>2590.933</v>
      </c>
      <c r="E292" s="3">
        <v>3734.075</v>
      </c>
      <c r="F292" s="4" t="s">
        <v>7</v>
      </c>
      <c r="G292" s="3">
        <v>19.0</v>
      </c>
    </row>
    <row r="293">
      <c r="A293" s="3">
        <v>108.0</v>
      </c>
      <c r="B293" s="3">
        <v>78.41435</v>
      </c>
      <c r="C293" s="3">
        <v>31.01696</v>
      </c>
      <c r="D293" s="3">
        <v>2593.5</v>
      </c>
      <c r="E293" s="3">
        <v>3757.761</v>
      </c>
      <c r="F293" s="4" t="s">
        <v>7</v>
      </c>
      <c r="G293" s="3">
        <v>19.0</v>
      </c>
    </row>
    <row r="294">
      <c r="A294" s="3">
        <v>107.0</v>
      </c>
      <c r="B294" s="3">
        <v>77.94903</v>
      </c>
      <c r="C294" s="3">
        <v>30.34807</v>
      </c>
      <c r="D294" s="3">
        <v>2598.667</v>
      </c>
      <c r="E294" s="3">
        <v>3784.579</v>
      </c>
      <c r="F294" s="4" t="s">
        <v>7</v>
      </c>
      <c r="G294" s="3">
        <v>19.0</v>
      </c>
    </row>
    <row r="295">
      <c r="A295" s="3">
        <v>106.0</v>
      </c>
      <c r="B295" s="3">
        <v>77.94903</v>
      </c>
      <c r="C295" s="3">
        <v>30.45381</v>
      </c>
      <c r="D295" s="3">
        <v>2598.667</v>
      </c>
      <c r="E295" s="3">
        <v>3783.946</v>
      </c>
      <c r="F295" s="4" t="s">
        <v>7</v>
      </c>
      <c r="G295" s="3">
        <v>19.0</v>
      </c>
    </row>
    <row r="296">
      <c r="A296" s="3">
        <v>105.0</v>
      </c>
      <c r="B296" s="3">
        <v>77.66974</v>
      </c>
      <c r="C296" s="3">
        <v>30.83973</v>
      </c>
      <c r="D296" s="3">
        <v>2600.333</v>
      </c>
      <c r="E296" s="3">
        <v>3777.259</v>
      </c>
      <c r="F296" s="4" t="s">
        <v>7</v>
      </c>
      <c r="G296" s="3">
        <v>19.0</v>
      </c>
    </row>
    <row r="297">
      <c r="A297" s="3">
        <v>104.0</v>
      </c>
      <c r="B297" s="3">
        <v>77.26094</v>
      </c>
      <c r="C297" s="3">
        <v>30.64633</v>
      </c>
      <c r="D297" s="3">
        <v>2605.8</v>
      </c>
      <c r="E297" s="3">
        <v>3795.002</v>
      </c>
      <c r="F297" s="4" t="s">
        <v>7</v>
      </c>
      <c r="G297" s="3">
        <v>19.0</v>
      </c>
    </row>
    <row r="298">
      <c r="A298" s="3">
        <v>103.0</v>
      </c>
      <c r="B298" s="3">
        <v>77.25595</v>
      </c>
      <c r="C298" s="3">
        <v>30.35236</v>
      </c>
      <c r="D298" s="3">
        <v>2605.867</v>
      </c>
      <c r="E298" s="3">
        <v>3808.371</v>
      </c>
      <c r="F298" s="4" t="s">
        <v>7</v>
      </c>
      <c r="G298" s="3">
        <v>19.0</v>
      </c>
    </row>
    <row r="299">
      <c r="A299" s="3">
        <v>102.0</v>
      </c>
      <c r="B299" s="3">
        <v>76.63278</v>
      </c>
      <c r="C299" s="3">
        <v>30.32988</v>
      </c>
      <c r="D299" s="3">
        <v>2613.467</v>
      </c>
      <c r="E299" s="3">
        <v>3813.141</v>
      </c>
      <c r="F299" s="4" t="s">
        <v>7</v>
      </c>
      <c r="G299" s="3">
        <v>19.0</v>
      </c>
    </row>
    <row r="300">
      <c r="A300" s="3">
        <v>101.0</v>
      </c>
      <c r="B300" s="3">
        <v>76.63278</v>
      </c>
      <c r="C300" s="3">
        <v>29.94188</v>
      </c>
      <c r="D300" s="3">
        <v>2613.467</v>
      </c>
      <c r="E300" s="3">
        <v>3830.842</v>
      </c>
      <c r="F300" s="4" t="s">
        <v>7</v>
      </c>
      <c r="G300" s="3">
        <v>19.0</v>
      </c>
    </row>
    <row r="301">
      <c r="A301" s="3">
        <v>100.0</v>
      </c>
      <c r="B301" s="3">
        <v>76.02229</v>
      </c>
      <c r="C301" s="3">
        <v>29.99764</v>
      </c>
      <c r="D301" s="3">
        <v>2617.633</v>
      </c>
      <c r="E301" s="3">
        <v>3848.205</v>
      </c>
      <c r="F301" s="4" t="s">
        <v>7</v>
      </c>
      <c r="G301" s="3">
        <v>19.0</v>
      </c>
    </row>
    <row r="302">
      <c r="A302" s="3">
        <v>99.0</v>
      </c>
      <c r="B302" s="3">
        <v>75.66729</v>
      </c>
      <c r="C302" s="3">
        <v>29.57226</v>
      </c>
      <c r="D302" s="3">
        <v>2620.7</v>
      </c>
      <c r="E302" s="3">
        <v>3865.078</v>
      </c>
      <c r="F302" s="4" t="s">
        <v>7</v>
      </c>
      <c r="G302" s="3">
        <v>19.0</v>
      </c>
    </row>
    <row r="303">
      <c r="A303" s="3">
        <v>98.0</v>
      </c>
      <c r="B303" s="3">
        <v>75.53396</v>
      </c>
      <c r="C303" s="3">
        <v>29.52788</v>
      </c>
      <c r="D303" s="3">
        <v>2623.333</v>
      </c>
      <c r="E303" s="3">
        <v>3880.576</v>
      </c>
      <c r="F303" s="4" t="s">
        <v>7</v>
      </c>
      <c r="G303" s="3">
        <v>19.0</v>
      </c>
    </row>
    <row r="304">
      <c r="A304" s="3">
        <v>97.0</v>
      </c>
      <c r="B304" s="3">
        <v>75.46169</v>
      </c>
      <c r="C304" s="3">
        <v>29.03271</v>
      </c>
      <c r="D304" s="3">
        <v>2624.733</v>
      </c>
      <c r="E304" s="3">
        <v>3881.497</v>
      </c>
      <c r="F304" s="4" t="s">
        <v>7</v>
      </c>
      <c r="G304" s="3">
        <v>19.0</v>
      </c>
    </row>
    <row r="305">
      <c r="A305" s="3">
        <v>96.0</v>
      </c>
      <c r="B305" s="3">
        <v>74.51718</v>
      </c>
      <c r="C305" s="3">
        <v>28.86177</v>
      </c>
      <c r="D305" s="3">
        <v>2631.267</v>
      </c>
      <c r="E305" s="3">
        <v>3902.066</v>
      </c>
      <c r="F305" s="4" t="s">
        <v>7</v>
      </c>
      <c r="G305" s="3">
        <v>19.0</v>
      </c>
    </row>
    <row r="306">
      <c r="A306" s="3">
        <v>95.0</v>
      </c>
      <c r="B306" s="3">
        <v>73.81396</v>
      </c>
      <c r="C306" s="3">
        <v>28.56046</v>
      </c>
      <c r="D306" s="3">
        <v>2638.167</v>
      </c>
      <c r="E306" s="3">
        <v>3912.622</v>
      </c>
      <c r="F306" s="4" t="s">
        <v>7</v>
      </c>
      <c r="G306" s="3">
        <v>19.0</v>
      </c>
    </row>
    <row r="307">
      <c r="A307" s="3">
        <v>94.0</v>
      </c>
      <c r="B307" s="3">
        <v>73.42776</v>
      </c>
      <c r="C307" s="3">
        <v>28.51478</v>
      </c>
      <c r="D307" s="3">
        <v>2642.433</v>
      </c>
      <c r="E307" s="3">
        <v>3923.25</v>
      </c>
      <c r="F307" s="4" t="s">
        <v>7</v>
      </c>
      <c r="G307" s="3">
        <v>19.0</v>
      </c>
    </row>
    <row r="308">
      <c r="A308" s="3">
        <v>93.0</v>
      </c>
      <c r="B308" s="3">
        <v>72.17435</v>
      </c>
      <c r="C308" s="3">
        <v>28.38311</v>
      </c>
      <c r="D308" s="3">
        <v>2657.3</v>
      </c>
      <c r="E308" s="3">
        <v>3934.204</v>
      </c>
      <c r="F308" s="4" t="s">
        <v>7</v>
      </c>
      <c r="G308" s="3">
        <v>19.0</v>
      </c>
    </row>
    <row r="309">
      <c r="A309" s="3">
        <v>92.0</v>
      </c>
      <c r="B309" s="3">
        <v>71.49876</v>
      </c>
      <c r="C309" s="3">
        <v>27.80366</v>
      </c>
      <c r="D309" s="3">
        <v>2665.3</v>
      </c>
      <c r="E309" s="3">
        <v>3954.177</v>
      </c>
      <c r="F309" s="4" t="s">
        <v>7</v>
      </c>
      <c r="G309" s="3">
        <v>19.0</v>
      </c>
    </row>
    <row r="310">
      <c r="A310" s="3">
        <v>91.0</v>
      </c>
      <c r="B310" s="3">
        <v>71.47076</v>
      </c>
      <c r="C310" s="3">
        <v>28.12299</v>
      </c>
      <c r="D310" s="3">
        <v>2665.567</v>
      </c>
      <c r="E310" s="3">
        <v>3948.002</v>
      </c>
      <c r="F310" s="4" t="s">
        <v>7</v>
      </c>
      <c r="G310" s="3">
        <v>19.0</v>
      </c>
    </row>
    <row r="311">
      <c r="A311" s="3">
        <v>90.0</v>
      </c>
      <c r="B311" s="3">
        <v>71.35098</v>
      </c>
      <c r="C311" s="3">
        <v>28.11099</v>
      </c>
      <c r="D311" s="3">
        <v>2666.867</v>
      </c>
      <c r="E311" s="3">
        <v>3974.535</v>
      </c>
      <c r="F311" s="4" t="s">
        <v>7</v>
      </c>
      <c r="G311" s="3">
        <v>19.0</v>
      </c>
    </row>
    <row r="312">
      <c r="A312" s="3">
        <v>89.0</v>
      </c>
      <c r="B312" s="3">
        <v>71.26979</v>
      </c>
      <c r="C312" s="3">
        <v>27.66054</v>
      </c>
      <c r="D312" s="3">
        <v>2669.067</v>
      </c>
      <c r="E312" s="3">
        <v>3998.5</v>
      </c>
      <c r="F312" s="4" t="s">
        <v>7</v>
      </c>
      <c r="G312" s="3">
        <v>19.0</v>
      </c>
    </row>
    <row r="313">
      <c r="A313" s="3">
        <v>88.0</v>
      </c>
      <c r="B313" s="3">
        <v>71.25931</v>
      </c>
      <c r="C313" s="3">
        <v>27.28272</v>
      </c>
      <c r="D313" s="3">
        <v>2669.233</v>
      </c>
      <c r="E313" s="3">
        <v>4015.788</v>
      </c>
      <c r="F313" s="4" t="s">
        <v>7</v>
      </c>
      <c r="G313" s="3">
        <v>19.0</v>
      </c>
    </row>
    <row r="314">
      <c r="A314" s="3">
        <v>87.0</v>
      </c>
      <c r="B314" s="3">
        <v>71.25931</v>
      </c>
      <c r="C314" s="3">
        <v>26.45516</v>
      </c>
      <c r="D314" s="3">
        <v>2669.233</v>
      </c>
      <c r="E314" s="3">
        <v>4051.824</v>
      </c>
      <c r="F314" s="4" t="s">
        <v>7</v>
      </c>
      <c r="G314" s="3">
        <v>19.0</v>
      </c>
    </row>
    <row r="315">
      <c r="A315" s="3">
        <v>86.0</v>
      </c>
      <c r="B315" s="3">
        <v>70.89189</v>
      </c>
      <c r="C315" s="3">
        <v>26.31833</v>
      </c>
      <c r="D315" s="3">
        <v>2677.7</v>
      </c>
      <c r="E315" s="3">
        <v>4057.459</v>
      </c>
      <c r="F315" s="4" t="s">
        <v>7</v>
      </c>
      <c r="G315" s="3">
        <v>19.0</v>
      </c>
    </row>
    <row r="316">
      <c r="A316" s="3">
        <v>85.0</v>
      </c>
      <c r="B316" s="3">
        <v>70.41021</v>
      </c>
      <c r="C316" s="3">
        <v>25.61228</v>
      </c>
      <c r="D316" s="3">
        <v>2683.167</v>
      </c>
      <c r="E316" s="3">
        <v>4080.179</v>
      </c>
      <c r="F316" s="4" t="s">
        <v>7</v>
      </c>
      <c r="G316" s="3">
        <v>19.0</v>
      </c>
    </row>
    <row r="317">
      <c r="A317" s="3">
        <v>84.0</v>
      </c>
      <c r="B317" s="3">
        <v>69.47612</v>
      </c>
      <c r="C317" s="3">
        <v>25.5549</v>
      </c>
      <c r="D317" s="3">
        <v>2693.567</v>
      </c>
      <c r="E317" s="3">
        <v>4091.944</v>
      </c>
      <c r="F317" s="4" t="s">
        <v>7</v>
      </c>
      <c r="G317" s="3">
        <v>19.0</v>
      </c>
    </row>
    <row r="318">
      <c r="A318" s="3">
        <v>83.0</v>
      </c>
      <c r="B318" s="3">
        <v>69.04102</v>
      </c>
      <c r="C318" s="3">
        <v>24.8727</v>
      </c>
      <c r="D318" s="3">
        <v>2701.967</v>
      </c>
      <c r="E318" s="3">
        <v>4105.956</v>
      </c>
      <c r="F318" s="4" t="s">
        <v>7</v>
      </c>
      <c r="G318" s="3">
        <v>19.0</v>
      </c>
    </row>
    <row r="319">
      <c r="A319" s="3">
        <v>82.0</v>
      </c>
      <c r="B319" s="3">
        <v>68.90179</v>
      </c>
      <c r="C319" s="3">
        <v>24.41928</v>
      </c>
      <c r="D319" s="3">
        <v>2704.767</v>
      </c>
      <c r="E319" s="3">
        <v>4127.141</v>
      </c>
      <c r="F319" s="4" t="s">
        <v>7</v>
      </c>
      <c r="G319" s="3">
        <v>19.0</v>
      </c>
    </row>
    <row r="320">
      <c r="A320" s="3">
        <v>81.0</v>
      </c>
      <c r="B320" s="3">
        <v>68.32293</v>
      </c>
      <c r="C320" s="3">
        <v>23.66746</v>
      </c>
      <c r="D320" s="3">
        <v>2712.1</v>
      </c>
      <c r="E320" s="3">
        <v>4171.52</v>
      </c>
      <c r="F320" s="4" t="s">
        <v>7</v>
      </c>
      <c r="G320" s="3">
        <v>19.0</v>
      </c>
    </row>
    <row r="321">
      <c r="A321" s="3">
        <v>80.0</v>
      </c>
      <c r="B321" s="3">
        <v>67.6421</v>
      </c>
      <c r="C321" s="3">
        <v>23.39766</v>
      </c>
      <c r="D321" s="3">
        <v>2720.9</v>
      </c>
      <c r="E321" s="3">
        <v>4193.836</v>
      </c>
      <c r="F321" s="4" t="s">
        <v>7</v>
      </c>
      <c r="G321" s="3">
        <v>19.0</v>
      </c>
    </row>
    <row r="322">
      <c r="A322" s="3">
        <v>79.0</v>
      </c>
      <c r="B322" s="3">
        <v>67.02543</v>
      </c>
      <c r="C322" s="3">
        <v>22.81782</v>
      </c>
      <c r="D322" s="3">
        <v>2727.367</v>
      </c>
      <c r="E322" s="3">
        <v>4214.325</v>
      </c>
      <c r="F322" s="4" t="s">
        <v>7</v>
      </c>
      <c r="G322" s="3">
        <v>19.0</v>
      </c>
    </row>
    <row r="323">
      <c r="A323" s="3">
        <v>78.0</v>
      </c>
      <c r="B323" s="3">
        <v>65.39047</v>
      </c>
      <c r="C323" s="3">
        <v>22.22671</v>
      </c>
      <c r="D323" s="3">
        <v>2754.2</v>
      </c>
      <c r="E323" s="3">
        <v>4238.424</v>
      </c>
      <c r="F323" s="4" t="s">
        <v>7</v>
      </c>
      <c r="G323" s="3">
        <v>19.0</v>
      </c>
    </row>
    <row r="324">
      <c r="A324" s="3">
        <v>77.0</v>
      </c>
      <c r="B324" s="3">
        <v>64.51888</v>
      </c>
      <c r="C324" s="3">
        <v>22.16138</v>
      </c>
      <c r="D324" s="3">
        <v>2763.6</v>
      </c>
      <c r="E324" s="3">
        <v>4249.159</v>
      </c>
      <c r="F324" s="4" t="s">
        <v>7</v>
      </c>
      <c r="G324" s="3">
        <v>19.0</v>
      </c>
    </row>
    <row r="325">
      <c r="A325" s="3">
        <v>76.0</v>
      </c>
      <c r="B325" s="3">
        <v>62.82818</v>
      </c>
      <c r="C325" s="3">
        <v>21.97258</v>
      </c>
      <c r="D325" s="3">
        <v>2791.3</v>
      </c>
      <c r="E325" s="3">
        <v>4271.672</v>
      </c>
      <c r="F325" s="4" t="s">
        <v>7</v>
      </c>
      <c r="G325" s="3">
        <v>19.0</v>
      </c>
    </row>
    <row r="326">
      <c r="A326" s="3">
        <v>75.0</v>
      </c>
      <c r="B326" s="3">
        <v>61.67307</v>
      </c>
      <c r="C326" s="3">
        <v>21.62087</v>
      </c>
      <c r="D326" s="3">
        <v>2800.967</v>
      </c>
      <c r="E326" s="3">
        <v>4289.692</v>
      </c>
      <c r="F326" s="4" t="s">
        <v>7</v>
      </c>
      <c r="G326" s="3">
        <v>19.0</v>
      </c>
    </row>
    <row r="327">
      <c r="A327" s="3">
        <v>74.0</v>
      </c>
      <c r="B327" s="3">
        <v>60.50959</v>
      </c>
      <c r="C327" s="3">
        <v>20.88915</v>
      </c>
      <c r="D327" s="3">
        <v>2813.633</v>
      </c>
      <c r="E327" s="3">
        <v>4326.25</v>
      </c>
      <c r="F327" s="4" t="s">
        <v>7</v>
      </c>
      <c r="G327" s="3">
        <v>19.0</v>
      </c>
    </row>
    <row r="328">
      <c r="A328" s="3">
        <v>73.0</v>
      </c>
      <c r="B328" s="3">
        <v>59.49527</v>
      </c>
      <c r="C328" s="3">
        <v>20.45511</v>
      </c>
      <c r="D328" s="3">
        <v>2823.8</v>
      </c>
      <c r="E328" s="3">
        <v>4341.722</v>
      </c>
      <c r="F328" s="4" t="s">
        <v>7</v>
      </c>
      <c r="G328" s="3">
        <v>19.0</v>
      </c>
    </row>
    <row r="329">
      <c r="A329" s="3">
        <v>72.0</v>
      </c>
      <c r="B329" s="3">
        <v>58.42012</v>
      </c>
      <c r="C329" s="3">
        <v>20.08963</v>
      </c>
      <c r="D329" s="3">
        <v>2839.7</v>
      </c>
      <c r="E329" s="3">
        <v>4377.181</v>
      </c>
      <c r="F329" s="4" t="s">
        <v>7</v>
      </c>
      <c r="G329" s="3">
        <v>19.0</v>
      </c>
    </row>
    <row r="330">
      <c r="A330" s="3">
        <v>71.0</v>
      </c>
      <c r="B330" s="3">
        <v>57.50433</v>
      </c>
      <c r="C330" s="3">
        <v>19.60776</v>
      </c>
      <c r="D330" s="3">
        <v>2852.2</v>
      </c>
      <c r="E330" s="3">
        <v>4415.488</v>
      </c>
      <c r="F330" s="4" t="s">
        <v>7</v>
      </c>
      <c r="G330" s="3">
        <v>19.0</v>
      </c>
    </row>
    <row r="331">
      <c r="A331" s="3">
        <v>70.0</v>
      </c>
      <c r="B331" s="3">
        <v>56.2625</v>
      </c>
      <c r="C331" s="3">
        <v>18.68024</v>
      </c>
      <c r="D331" s="3">
        <v>2866.333</v>
      </c>
      <c r="E331" s="3">
        <v>4478.325</v>
      </c>
      <c r="F331" s="4" t="s">
        <v>7</v>
      </c>
      <c r="G331" s="3">
        <v>19.0</v>
      </c>
    </row>
    <row r="332">
      <c r="A332" s="3">
        <v>69.0</v>
      </c>
      <c r="B332" s="3">
        <v>55.43638</v>
      </c>
      <c r="C332" s="3">
        <v>17.93032</v>
      </c>
      <c r="D332" s="3">
        <v>2879.167</v>
      </c>
      <c r="E332" s="3">
        <v>4513.84</v>
      </c>
      <c r="F332" s="4" t="s">
        <v>7</v>
      </c>
      <c r="G332" s="3">
        <v>19.0</v>
      </c>
    </row>
    <row r="333">
      <c r="A333" s="3">
        <v>68.0</v>
      </c>
      <c r="B333" s="3">
        <v>54.48047</v>
      </c>
      <c r="C333" s="3">
        <v>17.48813</v>
      </c>
      <c r="D333" s="3">
        <v>2891.733</v>
      </c>
      <c r="E333" s="3">
        <v>4566.152</v>
      </c>
      <c r="F333" s="4" t="s">
        <v>7</v>
      </c>
      <c r="G333" s="3">
        <v>19.0</v>
      </c>
    </row>
    <row r="334">
      <c r="A334" s="3">
        <v>67.0</v>
      </c>
      <c r="B334" s="3">
        <v>52.82767</v>
      </c>
      <c r="C334" s="3">
        <v>16.91483</v>
      </c>
      <c r="D334" s="3">
        <v>2909.667</v>
      </c>
      <c r="E334" s="3">
        <v>4614.576</v>
      </c>
      <c r="F334" s="4" t="s">
        <v>7</v>
      </c>
      <c r="G334" s="3">
        <v>19.0</v>
      </c>
    </row>
    <row r="335">
      <c r="A335" s="3">
        <v>66.0</v>
      </c>
      <c r="B335" s="3">
        <v>52.16665</v>
      </c>
      <c r="C335" s="3">
        <v>16.66554</v>
      </c>
      <c r="D335" s="3">
        <v>2919.0</v>
      </c>
      <c r="E335" s="3">
        <v>4634.903</v>
      </c>
      <c r="F335" s="4" t="s">
        <v>7</v>
      </c>
      <c r="G335" s="3">
        <v>19.0</v>
      </c>
    </row>
    <row r="336">
      <c r="A336" s="3">
        <v>65.0</v>
      </c>
      <c r="B336" s="3">
        <v>48.63478</v>
      </c>
      <c r="C336" s="3">
        <v>16.27126</v>
      </c>
      <c r="D336" s="3">
        <v>2965.9</v>
      </c>
      <c r="E336" s="3">
        <v>4671.069</v>
      </c>
      <c r="F336" s="4" t="s">
        <v>7</v>
      </c>
      <c r="G336" s="3">
        <v>19.0</v>
      </c>
    </row>
    <row r="337">
      <c r="A337" s="3">
        <v>64.0</v>
      </c>
      <c r="B337" s="3">
        <v>48.24552</v>
      </c>
      <c r="C337" s="3">
        <v>15.54338</v>
      </c>
      <c r="D337" s="3">
        <v>2972.9</v>
      </c>
      <c r="E337" s="3">
        <v>4727.7</v>
      </c>
      <c r="F337" s="4" t="s">
        <v>7</v>
      </c>
      <c r="G337" s="3">
        <v>19.0</v>
      </c>
    </row>
    <row r="338">
      <c r="A338" s="3">
        <v>63.0</v>
      </c>
      <c r="B338" s="3">
        <v>46.45825</v>
      </c>
      <c r="C338" s="3">
        <v>15.16248</v>
      </c>
      <c r="D338" s="3">
        <v>3007.167</v>
      </c>
      <c r="E338" s="3">
        <v>4742.863</v>
      </c>
      <c r="F338" s="4" t="s">
        <v>7</v>
      </c>
      <c r="G338" s="3">
        <v>19.0</v>
      </c>
    </row>
    <row r="339">
      <c r="A339" s="3">
        <v>62.0</v>
      </c>
      <c r="B339" s="3">
        <v>46.0151</v>
      </c>
      <c r="C339" s="3">
        <v>14.88617</v>
      </c>
      <c r="D339" s="3">
        <v>3015.533</v>
      </c>
      <c r="E339" s="3">
        <v>4759.757</v>
      </c>
      <c r="F339" s="4" t="s">
        <v>7</v>
      </c>
      <c r="G339" s="3">
        <v>19.0</v>
      </c>
    </row>
    <row r="340">
      <c r="A340" s="3">
        <v>61.0</v>
      </c>
      <c r="B340" s="3">
        <v>45.26716</v>
      </c>
      <c r="C340" s="3">
        <v>14.60786</v>
      </c>
      <c r="D340" s="3">
        <v>3021.4</v>
      </c>
      <c r="E340" s="3">
        <v>4775.558</v>
      </c>
      <c r="F340" s="4" t="s">
        <v>7</v>
      </c>
      <c r="G340" s="3">
        <v>19.0</v>
      </c>
    </row>
    <row r="341">
      <c r="A341" s="3">
        <v>60.0</v>
      </c>
      <c r="B341" s="3">
        <v>44.39604</v>
      </c>
      <c r="C341" s="3">
        <v>14.49419</v>
      </c>
      <c r="D341" s="3">
        <v>3039.0</v>
      </c>
      <c r="E341" s="3">
        <v>4779.13</v>
      </c>
      <c r="F341" s="4" t="s">
        <v>7</v>
      </c>
      <c r="G341" s="3">
        <v>19.0</v>
      </c>
    </row>
    <row r="342">
      <c r="A342" s="3">
        <v>59.0</v>
      </c>
      <c r="B342" s="3">
        <v>43.04627</v>
      </c>
      <c r="C342" s="3">
        <v>14.43443</v>
      </c>
      <c r="D342" s="3">
        <v>3062.167</v>
      </c>
      <c r="E342" s="3">
        <v>4815.631</v>
      </c>
      <c r="F342" s="4" t="s">
        <v>7</v>
      </c>
      <c r="G342" s="3">
        <v>19.0</v>
      </c>
    </row>
    <row r="343">
      <c r="A343" s="3">
        <v>58.0</v>
      </c>
      <c r="B343" s="3">
        <v>41.61281</v>
      </c>
      <c r="C343" s="3">
        <v>13.77763</v>
      </c>
      <c r="D343" s="3">
        <v>3087.733</v>
      </c>
      <c r="E343" s="3">
        <v>4869.928</v>
      </c>
      <c r="F343" s="4" t="s">
        <v>7</v>
      </c>
      <c r="G343" s="3">
        <v>19.0</v>
      </c>
    </row>
    <row r="344">
      <c r="A344" s="3">
        <v>57.0</v>
      </c>
      <c r="B344" s="3">
        <v>41.38146</v>
      </c>
      <c r="C344" s="3">
        <v>13.37</v>
      </c>
      <c r="D344" s="3">
        <v>3095.433</v>
      </c>
      <c r="E344" s="3">
        <v>4913.034</v>
      </c>
      <c r="F344" s="4" t="s">
        <v>7</v>
      </c>
      <c r="G344" s="3">
        <v>19.0</v>
      </c>
    </row>
    <row r="345">
      <c r="A345" s="3">
        <v>56.0</v>
      </c>
      <c r="B345" s="3">
        <v>40.53878</v>
      </c>
      <c r="C345" s="3">
        <v>13.13359</v>
      </c>
      <c r="D345" s="3">
        <v>3117.467</v>
      </c>
      <c r="E345" s="3">
        <v>4957.172</v>
      </c>
      <c r="F345" s="4" t="s">
        <v>7</v>
      </c>
      <c r="G345" s="3">
        <v>19.0</v>
      </c>
    </row>
    <row r="346">
      <c r="A346" s="3">
        <v>55.0</v>
      </c>
      <c r="B346" s="3">
        <v>40.04818</v>
      </c>
      <c r="C346" s="3">
        <v>12.88249</v>
      </c>
      <c r="D346" s="3">
        <v>3131.433</v>
      </c>
      <c r="E346" s="3">
        <v>5020.151</v>
      </c>
      <c r="F346" s="4" t="s">
        <v>7</v>
      </c>
      <c r="G346" s="3">
        <v>19.0</v>
      </c>
    </row>
    <row r="347">
      <c r="A347" s="3">
        <v>54.0</v>
      </c>
      <c r="B347" s="3">
        <v>39.25111</v>
      </c>
      <c r="C347" s="3">
        <v>12.50162</v>
      </c>
      <c r="D347" s="3">
        <v>3144.367</v>
      </c>
      <c r="E347" s="3">
        <v>5053.441</v>
      </c>
      <c r="F347" s="4" t="s">
        <v>7</v>
      </c>
      <c r="G347" s="3">
        <v>19.0</v>
      </c>
    </row>
    <row r="348">
      <c r="A348" s="3">
        <v>53.0</v>
      </c>
      <c r="B348" s="3">
        <v>38.70618</v>
      </c>
      <c r="C348" s="3">
        <v>12.18779</v>
      </c>
      <c r="D348" s="3">
        <v>3161.833</v>
      </c>
      <c r="E348" s="3">
        <v>5108.688</v>
      </c>
      <c r="F348" s="4" t="s">
        <v>7</v>
      </c>
      <c r="G348" s="3">
        <v>19.0</v>
      </c>
    </row>
    <row r="349">
      <c r="A349" s="3">
        <v>52.0</v>
      </c>
      <c r="B349" s="3">
        <v>36.9791</v>
      </c>
      <c r="C349" s="3">
        <v>11.98554</v>
      </c>
      <c r="D349" s="3">
        <v>3216.333</v>
      </c>
      <c r="E349" s="3">
        <v>5148.885</v>
      </c>
      <c r="F349" s="4" t="s">
        <v>7</v>
      </c>
      <c r="G349" s="3">
        <v>19.0</v>
      </c>
    </row>
    <row r="350">
      <c r="A350" s="3">
        <v>51.0</v>
      </c>
      <c r="B350" s="3">
        <v>35.81359</v>
      </c>
      <c r="C350" s="3">
        <v>11.8068</v>
      </c>
      <c r="D350" s="3">
        <v>3255.733</v>
      </c>
      <c r="E350" s="3">
        <v>5180.949</v>
      </c>
      <c r="F350" s="4" t="s">
        <v>7</v>
      </c>
      <c r="G350" s="3">
        <v>19.0</v>
      </c>
    </row>
    <row r="351">
      <c r="A351" s="3">
        <v>50.0</v>
      </c>
      <c r="B351" s="3">
        <v>33.95096</v>
      </c>
      <c r="C351" s="3">
        <v>11.41188</v>
      </c>
      <c r="D351" s="3">
        <v>3287.067</v>
      </c>
      <c r="E351" s="3">
        <v>5241.121</v>
      </c>
      <c r="F351" s="4" t="s">
        <v>7</v>
      </c>
      <c r="G351" s="3">
        <v>19.0</v>
      </c>
    </row>
    <row r="352">
      <c r="A352" s="3">
        <v>49.0</v>
      </c>
      <c r="B352" s="3">
        <v>33.42427</v>
      </c>
      <c r="C352" s="3">
        <v>11.24262</v>
      </c>
      <c r="D352" s="3">
        <v>3304.633</v>
      </c>
      <c r="E352" s="3">
        <v>5290.015</v>
      </c>
      <c r="F352" s="4" t="s">
        <v>7</v>
      </c>
      <c r="G352" s="3">
        <v>19.0</v>
      </c>
    </row>
    <row r="353">
      <c r="A353" s="3">
        <v>48.0</v>
      </c>
      <c r="B353" s="3">
        <v>33.0505</v>
      </c>
      <c r="C353" s="3">
        <v>10.99334</v>
      </c>
      <c r="D353" s="3">
        <v>3317.7</v>
      </c>
      <c r="E353" s="3">
        <v>5335.205</v>
      </c>
      <c r="F353" s="4" t="s">
        <v>7</v>
      </c>
      <c r="G353" s="3">
        <v>19.0</v>
      </c>
    </row>
    <row r="354">
      <c r="A354" s="3">
        <v>47.0</v>
      </c>
      <c r="B354" s="3">
        <v>31.74972</v>
      </c>
      <c r="C354" s="3">
        <v>10.62742</v>
      </c>
      <c r="D354" s="3">
        <v>3348.067</v>
      </c>
      <c r="E354" s="3">
        <v>5377.597</v>
      </c>
      <c r="F354" s="4" t="s">
        <v>7</v>
      </c>
      <c r="G354" s="3">
        <v>19.0</v>
      </c>
    </row>
    <row r="355">
      <c r="A355" s="3">
        <v>46.0</v>
      </c>
      <c r="B355" s="3">
        <v>31.40652</v>
      </c>
      <c r="C355" s="3">
        <v>10.14224</v>
      </c>
      <c r="D355" s="3">
        <v>3360.4</v>
      </c>
      <c r="E355" s="3">
        <v>5426.59</v>
      </c>
      <c r="F355" s="4" t="s">
        <v>7</v>
      </c>
      <c r="G355" s="3">
        <v>19.0</v>
      </c>
    </row>
    <row r="356">
      <c r="A356" s="3">
        <v>45.0</v>
      </c>
      <c r="B356" s="3">
        <v>30.3527</v>
      </c>
      <c r="C356" s="3">
        <v>9.991427</v>
      </c>
      <c r="D356" s="3">
        <v>3393.2</v>
      </c>
      <c r="E356" s="3">
        <v>5473.241</v>
      </c>
      <c r="F356" s="4" t="s">
        <v>7</v>
      </c>
      <c r="G356" s="3">
        <v>19.0</v>
      </c>
    </row>
    <row r="357">
      <c r="A357" s="3">
        <v>44.0</v>
      </c>
      <c r="B357" s="3">
        <v>30.00767</v>
      </c>
      <c r="C357" s="3">
        <v>9.810793</v>
      </c>
      <c r="D357" s="3">
        <v>3410.567</v>
      </c>
      <c r="E357" s="3">
        <v>5497.015</v>
      </c>
      <c r="F357" s="4" t="s">
        <v>7</v>
      </c>
      <c r="G357" s="3">
        <v>19.0</v>
      </c>
    </row>
    <row r="358">
      <c r="A358" s="3">
        <v>43.0</v>
      </c>
      <c r="B358" s="3">
        <v>28.92563</v>
      </c>
      <c r="C358" s="3">
        <v>9.396382</v>
      </c>
      <c r="D358" s="3">
        <v>3440.167</v>
      </c>
      <c r="E358" s="3">
        <v>5553.136</v>
      </c>
      <c r="F358" s="4" t="s">
        <v>7</v>
      </c>
      <c r="G358" s="3">
        <v>19.0</v>
      </c>
    </row>
    <row r="359">
      <c r="A359" s="3">
        <v>42.0</v>
      </c>
      <c r="B359" s="3">
        <v>28.01027</v>
      </c>
      <c r="C359" s="3">
        <v>9.149536</v>
      </c>
      <c r="D359" s="3">
        <v>3466.333</v>
      </c>
      <c r="E359" s="3">
        <v>5590.58</v>
      </c>
      <c r="F359" s="4" t="s">
        <v>7</v>
      </c>
      <c r="G359" s="3">
        <v>19.0</v>
      </c>
    </row>
    <row r="360">
      <c r="A360" s="3">
        <v>41.0</v>
      </c>
      <c r="B360" s="3">
        <v>27.14855</v>
      </c>
      <c r="C360" s="3">
        <v>8.933144</v>
      </c>
      <c r="D360" s="3">
        <v>3515.167</v>
      </c>
      <c r="E360" s="3">
        <v>5624.984</v>
      </c>
      <c r="F360" s="4" t="s">
        <v>7</v>
      </c>
      <c r="G360" s="3">
        <v>19.0</v>
      </c>
    </row>
    <row r="361">
      <c r="A361" s="3">
        <v>40.0</v>
      </c>
      <c r="B361" s="3">
        <v>26.78164</v>
      </c>
      <c r="C361" s="3">
        <v>8.713993</v>
      </c>
      <c r="D361" s="3">
        <v>3531.867</v>
      </c>
      <c r="E361" s="3">
        <v>5655.407</v>
      </c>
      <c r="F361" s="4" t="s">
        <v>7</v>
      </c>
      <c r="G361" s="3">
        <v>19.0</v>
      </c>
    </row>
    <row r="362">
      <c r="A362" s="3">
        <v>39.0</v>
      </c>
      <c r="B362" s="3">
        <v>26.10413</v>
      </c>
      <c r="C362" s="3">
        <v>8.493042</v>
      </c>
      <c r="D362" s="3">
        <v>3560.333</v>
      </c>
      <c r="E362" s="3">
        <v>5697.066</v>
      </c>
      <c r="F362" s="4" t="s">
        <v>7</v>
      </c>
      <c r="G362" s="3">
        <v>19.0</v>
      </c>
    </row>
    <row r="363">
      <c r="A363" s="3">
        <v>38.0</v>
      </c>
      <c r="B363" s="3">
        <v>25.28767</v>
      </c>
      <c r="C363" s="3">
        <v>8.271562</v>
      </c>
      <c r="D363" s="3">
        <v>3587.9</v>
      </c>
      <c r="E363" s="3">
        <v>5723.612</v>
      </c>
      <c r="F363" s="4" t="s">
        <v>7</v>
      </c>
      <c r="G363" s="3">
        <v>19.0</v>
      </c>
    </row>
    <row r="364">
      <c r="A364" s="3">
        <v>37.0</v>
      </c>
      <c r="B364" s="3">
        <v>24.96981</v>
      </c>
      <c r="C364" s="3">
        <v>8.031117</v>
      </c>
      <c r="D364" s="3">
        <v>3600.267</v>
      </c>
      <c r="E364" s="3">
        <v>5772.722</v>
      </c>
      <c r="F364" s="4" t="s">
        <v>7</v>
      </c>
      <c r="G364" s="3">
        <v>19.0</v>
      </c>
    </row>
    <row r="365">
      <c r="A365" s="3">
        <v>36.0</v>
      </c>
      <c r="B365" s="3">
        <v>24.51265</v>
      </c>
      <c r="C365" s="3">
        <v>7.901907</v>
      </c>
      <c r="D365" s="3">
        <v>3622.433</v>
      </c>
      <c r="E365" s="3">
        <v>5788.341</v>
      </c>
      <c r="F365" s="4" t="s">
        <v>7</v>
      </c>
      <c r="G365" s="3">
        <v>19.0</v>
      </c>
    </row>
    <row r="366">
      <c r="A366" s="3">
        <v>35.0</v>
      </c>
      <c r="B366" s="3">
        <v>23.62169</v>
      </c>
      <c r="C366" s="3">
        <v>7.746487</v>
      </c>
      <c r="D366" s="3">
        <v>3649.567</v>
      </c>
      <c r="E366" s="3">
        <v>5839.225</v>
      </c>
      <c r="F366" s="4" t="s">
        <v>7</v>
      </c>
      <c r="G366" s="3">
        <v>19.0</v>
      </c>
    </row>
    <row r="367">
      <c r="A367" s="3">
        <v>34.0</v>
      </c>
      <c r="B367" s="3">
        <v>22.4735</v>
      </c>
      <c r="C367" s="3">
        <v>7.615684</v>
      </c>
      <c r="D367" s="3">
        <v>3690.667</v>
      </c>
      <c r="E367" s="3">
        <v>5879.287</v>
      </c>
      <c r="F367" s="4" t="s">
        <v>7</v>
      </c>
      <c r="G367" s="3">
        <v>19.0</v>
      </c>
    </row>
    <row r="368">
      <c r="A368" s="3">
        <v>33.0</v>
      </c>
      <c r="B368" s="3">
        <v>21.10863</v>
      </c>
      <c r="C368" s="3">
        <v>7.449234</v>
      </c>
      <c r="D368" s="3">
        <v>3722.167</v>
      </c>
      <c r="E368" s="3">
        <v>5919.51</v>
      </c>
      <c r="F368" s="4" t="s">
        <v>7</v>
      </c>
      <c r="G368" s="3">
        <v>19.0</v>
      </c>
    </row>
    <row r="369">
      <c r="A369" s="3">
        <v>32.0</v>
      </c>
      <c r="B369" s="3">
        <v>20.67005</v>
      </c>
      <c r="C369" s="3">
        <v>7.281557</v>
      </c>
      <c r="D369" s="3">
        <v>3738.1</v>
      </c>
      <c r="E369" s="3">
        <v>5957.302</v>
      </c>
      <c r="F369" s="4" t="s">
        <v>7</v>
      </c>
      <c r="G369" s="3">
        <v>19.0</v>
      </c>
    </row>
    <row r="370">
      <c r="A370" s="3">
        <v>31.0</v>
      </c>
      <c r="B370" s="3">
        <v>20.0673</v>
      </c>
      <c r="C370" s="3">
        <v>7.121168</v>
      </c>
      <c r="D370" s="3">
        <v>3764.633</v>
      </c>
      <c r="E370" s="3">
        <v>5975.125</v>
      </c>
      <c r="F370" s="4" t="s">
        <v>7</v>
      </c>
      <c r="G370" s="3">
        <v>19.0</v>
      </c>
    </row>
    <row r="371">
      <c r="A371" s="3">
        <v>30.0</v>
      </c>
      <c r="B371" s="3">
        <v>19.66162</v>
      </c>
      <c r="C371" s="3">
        <v>7.027486</v>
      </c>
      <c r="D371" s="3">
        <v>3785.867</v>
      </c>
      <c r="E371" s="3">
        <v>5991.067</v>
      </c>
      <c r="F371" s="4" t="s">
        <v>7</v>
      </c>
      <c r="G371" s="3">
        <v>19.0</v>
      </c>
    </row>
    <row r="372">
      <c r="A372" s="3">
        <v>29.0</v>
      </c>
      <c r="B372" s="3">
        <v>19.2306</v>
      </c>
      <c r="C372" s="3">
        <v>6.996475</v>
      </c>
      <c r="D372" s="3">
        <v>3807.0</v>
      </c>
      <c r="E372" s="3">
        <v>5998.375</v>
      </c>
      <c r="F372" s="4" t="s">
        <v>7</v>
      </c>
      <c r="G372" s="3">
        <v>19.0</v>
      </c>
    </row>
    <row r="373">
      <c r="A373" s="3">
        <v>28.0</v>
      </c>
      <c r="B373" s="3">
        <v>18.61306</v>
      </c>
      <c r="C373" s="3">
        <v>6.939774</v>
      </c>
      <c r="D373" s="3">
        <v>3850.367</v>
      </c>
      <c r="E373" s="3">
        <v>6009.373</v>
      </c>
      <c r="F373" s="4" t="s">
        <v>7</v>
      </c>
      <c r="G373" s="3">
        <v>19.0</v>
      </c>
    </row>
    <row r="374">
      <c r="A374" s="3">
        <v>27.0</v>
      </c>
      <c r="B374" s="3">
        <v>18.3931</v>
      </c>
      <c r="C374" s="3">
        <v>6.89792</v>
      </c>
      <c r="D374" s="3">
        <v>3861.267</v>
      </c>
      <c r="E374" s="3">
        <v>6017.88</v>
      </c>
      <c r="F374" s="4" t="s">
        <v>7</v>
      </c>
      <c r="G374" s="3">
        <v>19.0</v>
      </c>
    </row>
    <row r="375">
      <c r="A375" s="3">
        <v>26.0</v>
      </c>
      <c r="B375" s="3">
        <v>17.82039</v>
      </c>
      <c r="C375" s="3">
        <v>6.846735</v>
      </c>
      <c r="D375" s="3">
        <v>3891.9</v>
      </c>
      <c r="E375" s="3">
        <v>6044.123</v>
      </c>
      <c r="F375" s="4" t="s">
        <v>7</v>
      </c>
      <c r="G375" s="3">
        <v>19.0</v>
      </c>
    </row>
    <row r="376">
      <c r="A376" s="3">
        <v>25.0</v>
      </c>
      <c r="B376" s="3">
        <v>17.463</v>
      </c>
      <c r="C376" s="3">
        <v>6.775288</v>
      </c>
      <c r="D376" s="3">
        <v>3916.1</v>
      </c>
      <c r="E376" s="3">
        <v>6068.189</v>
      </c>
      <c r="F376" s="4" t="s">
        <v>7</v>
      </c>
      <c r="G376" s="3">
        <v>19.0</v>
      </c>
    </row>
    <row r="377">
      <c r="A377" s="3">
        <v>24.0</v>
      </c>
      <c r="B377" s="3">
        <v>17.37036</v>
      </c>
      <c r="C377" s="3">
        <v>6.669313</v>
      </c>
      <c r="D377" s="3">
        <v>3924.333</v>
      </c>
      <c r="E377" s="3">
        <v>6103.424</v>
      </c>
      <c r="F377" s="4" t="s">
        <v>7</v>
      </c>
      <c r="G377" s="3">
        <v>19.0</v>
      </c>
    </row>
    <row r="378">
      <c r="A378" s="3">
        <v>23.0</v>
      </c>
      <c r="B378" s="3">
        <v>17.05269</v>
      </c>
      <c r="C378" s="3">
        <v>6.588782</v>
      </c>
      <c r="D378" s="3">
        <v>3954.033</v>
      </c>
      <c r="E378" s="3">
        <v>6128.206</v>
      </c>
      <c r="F378" s="4" t="s">
        <v>7</v>
      </c>
      <c r="G378" s="3">
        <v>19.0</v>
      </c>
    </row>
    <row r="379">
      <c r="A379" s="3">
        <v>22.0</v>
      </c>
      <c r="B379" s="3">
        <v>16.57742</v>
      </c>
      <c r="C379" s="3">
        <v>6.541539</v>
      </c>
      <c r="D379" s="3">
        <v>4002.7</v>
      </c>
      <c r="E379" s="3">
        <v>6153.181</v>
      </c>
      <c r="F379" s="4" t="s">
        <v>7</v>
      </c>
      <c r="G379" s="3">
        <v>19.0</v>
      </c>
    </row>
    <row r="380">
      <c r="A380" s="3">
        <v>21.0</v>
      </c>
      <c r="B380" s="3">
        <v>16.06923</v>
      </c>
      <c r="C380" s="3">
        <v>6.455221</v>
      </c>
      <c r="D380" s="3">
        <v>4032.567</v>
      </c>
      <c r="E380" s="3">
        <v>6187.022</v>
      </c>
      <c r="F380" s="4" t="s">
        <v>7</v>
      </c>
      <c r="G380" s="3">
        <v>19.0</v>
      </c>
    </row>
    <row r="381">
      <c r="A381" s="3">
        <v>20.0</v>
      </c>
      <c r="B381" s="3">
        <v>15.88259</v>
      </c>
      <c r="C381" s="3">
        <v>6.355176</v>
      </c>
      <c r="D381" s="3">
        <v>4052.0</v>
      </c>
      <c r="E381" s="3">
        <v>6216.914</v>
      </c>
      <c r="F381" s="4" t="s">
        <v>7</v>
      </c>
      <c r="G381" s="3">
        <v>19.0</v>
      </c>
    </row>
    <row r="382">
      <c r="A382" s="3">
        <v>19.0</v>
      </c>
      <c r="B382" s="3">
        <v>15.6795</v>
      </c>
      <c r="C382" s="3">
        <v>6.218695</v>
      </c>
      <c r="D382" s="3">
        <v>4068.933</v>
      </c>
      <c r="E382" s="3">
        <v>6282.078</v>
      </c>
      <c r="F382" s="4" t="s">
        <v>7</v>
      </c>
      <c r="G382" s="3">
        <v>19.0</v>
      </c>
    </row>
    <row r="383">
      <c r="A383" s="3">
        <v>18.0</v>
      </c>
      <c r="B383" s="3">
        <v>14.87422</v>
      </c>
      <c r="C383" s="3">
        <v>6.15621</v>
      </c>
      <c r="D383" s="3">
        <v>4129.1</v>
      </c>
      <c r="E383" s="3">
        <v>6308.085</v>
      </c>
      <c r="F383" s="4" t="s">
        <v>7</v>
      </c>
      <c r="G383" s="3">
        <v>19.0</v>
      </c>
    </row>
    <row r="384">
      <c r="A384" s="3">
        <v>17.0</v>
      </c>
      <c r="B384" s="3">
        <v>14.61875</v>
      </c>
      <c r="C384" s="3">
        <v>6.092393</v>
      </c>
      <c r="D384" s="3">
        <v>4153.633</v>
      </c>
      <c r="E384" s="3">
        <v>6339.947</v>
      </c>
      <c r="F384" s="4" t="s">
        <v>7</v>
      </c>
      <c r="G384" s="3">
        <v>19.0</v>
      </c>
    </row>
    <row r="385">
      <c r="A385" s="3">
        <v>16.0</v>
      </c>
      <c r="B385" s="3">
        <v>14.39734</v>
      </c>
      <c r="C385" s="3">
        <v>6.001648</v>
      </c>
      <c r="D385" s="3">
        <v>4173.633</v>
      </c>
      <c r="E385" s="3">
        <v>6377.66</v>
      </c>
      <c r="F385" s="4" t="s">
        <v>7</v>
      </c>
      <c r="G385" s="3">
        <v>19.0</v>
      </c>
    </row>
    <row r="386">
      <c r="A386" s="3">
        <v>15.0</v>
      </c>
      <c r="B386" s="3">
        <v>14.13716</v>
      </c>
      <c r="C386" s="3">
        <v>5.907297</v>
      </c>
      <c r="D386" s="3">
        <v>4203.133</v>
      </c>
      <c r="E386" s="3">
        <v>6424.229</v>
      </c>
      <c r="F386" s="4" t="s">
        <v>7</v>
      </c>
      <c r="G386" s="3">
        <v>19.0</v>
      </c>
    </row>
    <row r="387">
      <c r="A387" s="3">
        <v>14.0</v>
      </c>
      <c r="B387" s="3">
        <v>13.47213</v>
      </c>
      <c r="C387" s="3">
        <v>5.813053</v>
      </c>
      <c r="D387" s="3">
        <v>4269.733</v>
      </c>
      <c r="E387" s="3">
        <v>6461.947</v>
      </c>
      <c r="F387" s="4" t="s">
        <v>7</v>
      </c>
      <c r="G387" s="3">
        <v>19.0</v>
      </c>
    </row>
    <row r="388">
      <c r="A388" s="3">
        <v>13.0</v>
      </c>
      <c r="B388" s="3">
        <v>13.11389</v>
      </c>
      <c r="C388" s="3">
        <v>5.733275</v>
      </c>
      <c r="D388" s="3">
        <v>4313.667</v>
      </c>
      <c r="E388" s="3">
        <v>6502.012</v>
      </c>
      <c r="F388" s="4" t="s">
        <v>7</v>
      </c>
      <c r="G388" s="3">
        <v>19.0</v>
      </c>
    </row>
    <row r="389">
      <c r="A389" s="3">
        <v>12.0</v>
      </c>
      <c r="B389" s="3">
        <v>12.87816</v>
      </c>
      <c r="C389" s="3">
        <v>5.640944</v>
      </c>
      <c r="D389" s="3">
        <v>4339.0</v>
      </c>
      <c r="E389" s="3">
        <v>6553.908</v>
      </c>
      <c r="F389" s="4" t="s">
        <v>7</v>
      </c>
      <c r="G389" s="3">
        <v>19.0</v>
      </c>
    </row>
    <row r="390">
      <c r="A390" s="3">
        <v>11.0</v>
      </c>
      <c r="B390" s="3">
        <v>12.53293</v>
      </c>
      <c r="C390" s="3">
        <v>5.627274</v>
      </c>
      <c r="D390" s="3">
        <v>4395.4</v>
      </c>
      <c r="E390" s="3">
        <v>6559.379</v>
      </c>
      <c r="F390" s="4" t="s">
        <v>7</v>
      </c>
      <c r="G390" s="3">
        <v>19.0</v>
      </c>
    </row>
    <row r="391">
      <c r="A391" s="3">
        <v>10.0</v>
      </c>
      <c r="B391" s="3">
        <v>12.19426</v>
      </c>
      <c r="C391" s="3">
        <v>5.557251</v>
      </c>
      <c r="D391" s="3">
        <v>4437.167</v>
      </c>
      <c r="E391" s="3">
        <v>6595.992</v>
      </c>
      <c r="F391" s="4" t="s">
        <v>7</v>
      </c>
      <c r="G391" s="3">
        <v>19.0</v>
      </c>
    </row>
    <row r="392">
      <c r="A392" s="3">
        <v>9.0</v>
      </c>
      <c r="B392" s="3">
        <v>11.62611</v>
      </c>
      <c r="C392" s="3">
        <v>5.519676</v>
      </c>
      <c r="D392" s="3">
        <v>4510.767</v>
      </c>
      <c r="E392" s="3">
        <v>6621.632</v>
      </c>
      <c r="F392" s="4" t="s">
        <v>7</v>
      </c>
      <c r="G392" s="3">
        <v>19.0</v>
      </c>
    </row>
    <row r="393">
      <c r="A393" s="3">
        <v>8.0</v>
      </c>
      <c r="B393" s="3">
        <v>11.36421</v>
      </c>
      <c r="C393" s="3">
        <v>5.443506</v>
      </c>
      <c r="D393" s="3">
        <v>4558.567</v>
      </c>
      <c r="E393" s="3">
        <v>6671.524</v>
      </c>
      <c r="F393" s="4" t="s">
        <v>7</v>
      </c>
      <c r="G393" s="3">
        <v>19.0</v>
      </c>
    </row>
    <row r="394">
      <c r="A394" s="3">
        <v>7.0</v>
      </c>
      <c r="B394" s="3">
        <v>10.78272</v>
      </c>
      <c r="C394" s="3">
        <v>5.34896</v>
      </c>
      <c r="D394" s="3">
        <v>4661.6</v>
      </c>
      <c r="E394" s="3">
        <v>6727.69</v>
      </c>
      <c r="F394" s="4" t="s">
        <v>7</v>
      </c>
      <c r="G394" s="3">
        <v>19.0</v>
      </c>
    </row>
    <row r="395">
      <c r="A395" s="3">
        <v>6.0</v>
      </c>
      <c r="B395" s="3">
        <v>10.47425</v>
      </c>
      <c r="C395" s="3">
        <v>5.26999</v>
      </c>
      <c r="D395" s="3">
        <v>4714.933</v>
      </c>
      <c r="E395" s="3">
        <v>6774.624</v>
      </c>
      <c r="F395" s="4" t="s">
        <v>7</v>
      </c>
      <c r="G395" s="3">
        <v>19.0</v>
      </c>
    </row>
    <row r="396">
      <c r="A396" s="3">
        <v>5.0</v>
      </c>
      <c r="B396" s="3">
        <v>10.20503</v>
      </c>
      <c r="C396" s="3">
        <v>5.21731</v>
      </c>
      <c r="D396" s="3">
        <v>4767.5</v>
      </c>
      <c r="E396" s="3">
        <v>6807.436</v>
      </c>
      <c r="F396" s="4" t="s">
        <v>7</v>
      </c>
      <c r="G396" s="3">
        <v>19.0</v>
      </c>
    </row>
    <row r="397">
      <c r="A397" s="3">
        <v>4.0</v>
      </c>
      <c r="B397" s="3">
        <v>9.855759</v>
      </c>
      <c r="C397" s="3">
        <v>5.147868</v>
      </c>
      <c r="D397" s="3">
        <v>4832.067</v>
      </c>
      <c r="E397" s="3">
        <v>6856.689</v>
      </c>
      <c r="F397" s="4" t="s">
        <v>7</v>
      </c>
      <c r="G397" s="3">
        <v>19.0</v>
      </c>
    </row>
    <row r="398">
      <c r="A398" s="3">
        <v>3.0</v>
      </c>
      <c r="B398" s="3">
        <v>9.725149</v>
      </c>
      <c r="C398" s="3">
        <v>5.081562</v>
      </c>
      <c r="D398" s="3">
        <v>4861.7</v>
      </c>
      <c r="E398" s="3">
        <v>6906.154</v>
      </c>
      <c r="F398" s="4" t="s">
        <v>7</v>
      </c>
      <c r="G398" s="3">
        <v>19.0</v>
      </c>
    </row>
    <row r="399">
      <c r="A399" s="3">
        <v>2.0</v>
      </c>
      <c r="B399" s="3">
        <v>9.440053</v>
      </c>
      <c r="C399" s="3">
        <v>5.021466</v>
      </c>
      <c r="D399" s="3">
        <v>4931.433</v>
      </c>
      <c r="E399" s="3">
        <v>6946.449</v>
      </c>
      <c r="F399" s="4" t="s">
        <v>7</v>
      </c>
      <c r="G399" s="3">
        <v>19.0</v>
      </c>
    </row>
    <row r="400">
      <c r="A400" s="3">
        <v>1.0</v>
      </c>
      <c r="B400" s="3">
        <v>9.05706</v>
      </c>
      <c r="C400" s="3">
        <v>4.963088</v>
      </c>
      <c r="D400" s="3">
        <v>5013.7</v>
      </c>
      <c r="E400" s="3">
        <v>6988.5</v>
      </c>
      <c r="F400" s="4" t="s">
        <v>7</v>
      </c>
      <c r="G400" s="3">
        <v>19.0</v>
      </c>
    </row>
    <row r="401">
      <c r="A401" s="3">
        <v>0.0</v>
      </c>
      <c r="B401" s="3">
        <v>8.332888</v>
      </c>
      <c r="C401" s="3">
        <v>4.889004</v>
      </c>
      <c r="D401" s="3">
        <v>5203.1</v>
      </c>
      <c r="E401" s="3">
        <v>7040.275</v>
      </c>
      <c r="F401" s="4" t="s">
        <v>7</v>
      </c>
      <c r="G401" s="3">
        <v>19.0</v>
      </c>
    </row>
    <row r="402">
      <c r="A402" s="3">
        <v>199.0</v>
      </c>
      <c r="B402" s="3">
        <v>183.7622</v>
      </c>
      <c r="C402" s="3">
        <v>80.04046</v>
      </c>
      <c r="D402" s="3">
        <v>2108.3</v>
      </c>
      <c r="E402" s="3">
        <v>2742.276</v>
      </c>
      <c r="F402" s="4" t="s">
        <v>7</v>
      </c>
      <c r="G402" s="3">
        <v>17.0</v>
      </c>
    </row>
    <row r="403">
      <c r="A403" s="3">
        <v>198.0</v>
      </c>
      <c r="B403" s="3">
        <v>183.7622</v>
      </c>
      <c r="C403" s="3">
        <v>80.86109</v>
      </c>
      <c r="D403" s="3">
        <v>2108.3</v>
      </c>
      <c r="E403" s="3">
        <v>2735.899</v>
      </c>
      <c r="F403" s="4" t="s">
        <v>7</v>
      </c>
      <c r="G403" s="3">
        <v>17.0</v>
      </c>
    </row>
    <row r="404">
      <c r="A404" s="3">
        <v>197.0</v>
      </c>
      <c r="B404" s="3">
        <v>183.7622</v>
      </c>
      <c r="C404" s="3">
        <v>79.50743</v>
      </c>
      <c r="D404" s="3">
        <v>2108.3</v>
      </c>
      <c r="E404" s="3">
        <v>2754.142</v>
      </c>
      <c r="F404" s="4" t="s">
        <v>7</v>
      </c>
      <c r="G404" s="3">
        <v>17.0</v>
      </c>
    </row>
    <row r="405">
      <c r="A405" s="3">
        <v>196.0</v>
      </c>
      <c r="B405" s="3">
        <v>183.7622</v>
      </c>
      <c r="C405" s="3">
        <v>78.90075</v>
      </c>
      <c r="D405" s="3">
        <v>2108.3</v>
      </c>
      <c r="E405" s="3">
        <v>2757.554</v>
      </c>
      <c r="F405" s="4" t="s">
        <v>7</v>
      </c>
      <c r="G405" s="3">
        <v>17.0</v>
      </c>
    </row>
    <row r="406">
      <c r="A406" s="3">
        <v>195.0</v>
      </c>
      <c r="B406" s="3">
        <v>183.7622</v>
      </c>
      <c r="C406" s="3">
        <v>79.59767</v>
      </c>
      <c r="D406" s="3">
        <v>2108.3</v>
      </c>
      <c r="E406" s="3">
        <v>2746.877</v>
      </c>
      <c r="F406" s="4" t="s">
        <v>7</v>
      </c>
      <c r="G406" s="3">
        <v>17.0</v>
      </c>
    </row>
    <row r="407">
      <c r="A407" s="3">
        <v>194.0</v>
      </c>
      <c r="B407" s="3">
        <v>183.7622</v>
      </c>
      <c r="C407" s="3">
        <v>79.37735</v>
      </c>
      <c r="D407" s="3">
        <v>2108.3</v>
      </c>
      <c r="E407" s="3">
        <v>2747.199</v>
      </c>
      <c r="F407" s="4" t="s">
        <v>7</v>
      </c>
      <c r="G407" s="3">
        <v>17.0</v>
      </c>
    </row>
    <row r="408">
      <c r="A408" s="3">
        <v>193.0</v>
      </c>
      <c r="B408" s="3">
        <v>183.7622</v>
      </c>
      <c r="C408" s="3">
        <v>80.73331</v>
      </c>
      <c r="D408" s="3">
        <v>2108.3</v>
      </c>
      <c r="E408" s="3">
        <v>2743.069</v>
      </c>
      <c r="F408" s="4" t="s">
        <v>7</v>
      </c>
      <c r="G408" s="3">
        <v>17.0</v>
      </c>
    </row>
    <row r="409">
      <c r="A409" s="3">
        <v>192.0</v>
      </c>
      <c r="B409" s="3">
        <v>183.7622</v>
      </c>
      <c r="C409" s="3">
        <v>80.29893</v>
      </c>
      <c r="D409" s="3">
        <v>2108.3</v>
      </c>
      <c r="E409" s="3">
        <v>2750.989</v>
      </c>
      <c r="F409" s="4" t="s">
        <v>7</v>
      </c>
      <c r="G409" s="3">
        <v>17.0</v>
      </c>
    </row>
    <row r="410">
      <c r="A410" s="3">
        <v>191.0</v>
      </c>
      <c r="B410" s="3">
        <v>183.7622</v>
      </c>
      <c r="C410" s="3">
        <v>80.43195</v>
      </c>
      <c r="D410" s="3">
        <v>2108.3</v>
      </c>
      <c r="E410" s="3">
        <v>2743.982</v>
      </c>
      <c r="F410" s="4" t="s">
        <v>7</v>
      </c>
      <c r="G410" s="3">
        <v>17.0</v>
      </c>
    </row>
    <row r="411">
      <c r="A411" s="3">
        <v>190.0</v>
      </c>
      <c r="B411" s="3">
        <v>183.7622</v>
      </c>
      <c r="C411" s="3">
        <v>80.16827</v>
      </c>
      <c r="D411" s="3">
        <v>2108.3</v>
      </c>
      <c r="E411" s="3">
        <v>2748.555</v>
      </c>
      <c r="F411" s="4" t="s">
        <v>7</v>
      </c>
      <c r="G411" s="3">
        <v>17.0</v>
      </c>
    </row>
    <row r="412">
      <c r="A412" s="3">
        <v>189.0</v>
      </c>
      <c r="B412" s="3">
        <v>183.7622</v>
      </c>
      <c r="C412" s="3">
        <v>79.521</v>
      </c>
      <c r="D412" s="3">
        <v>2108.3</v>
      </c>
      <c r="E412" s="3">
        <v>2750.985</v>
      </c>
      <c r="F412" s="4" t="s">
        <v>7</v>
      </c>
      <c r="G412" s="3">
        <v>17.0</v>
      </c>
    </row>
    <row r="413">
      <c r="A413" s="3">
        <v>188.0</v>
      </c>
      <c r="B413" s="3">
        <v>183.7622</v>
      </c>
      <c r="C413" s="3">
        <v>79.37334</v>
      </c>
      <c r="D413" s="3">
        <v>2108.3</v>
      </c>
      <c r="E413" s="3">
        <v>2751.931</v>
      </c>
      <c r="F413" s="4" t="s">
        <v>7</v>
      </c>
      <c r="G413" s="3">
        <v>17.0</v>
      </c>
    </row>
    <row r="414">
      <c r="A414" s="3">
        <v>187.0</v>
      </c>
      <c r="B414" s="3">
        <v>183.7622</v>
      </c>
      <c r="C414" s="3">
        <v>79.48221</v>
      </c>
      <c r="D414" s="3">
        <v>2108.3</v>
      </c>
      <c r="E414" s="3">
        <v>2747.044</v>
      </c>
      <c r="F414" s="4" t="s">
        <v>7</v>
      </c>
      <c r="G414" s="3">
        <v>17.0</v>
      </c>
    </row>
    <row r="415">
      <c r="A415" s="3">
        <v>186.0</v>
      </c>
      <c r="B415" s="3">
        <v>183.7622</v>
      </c>
      <c r="C415" s="3">
        <v>78.97985</v>
      </c>
      <c r="D415" s="3">
        <v>2108.3</v>
      </c>
      <c r="E415" s="3">
        <v>2756.266</v>
      </c>
      <c r="F415" s="4" t="s">
        <v>7</v>
      </c>
      <c r="G415" s="3">
        <v>17.0</v>
      </c>
    </row>
    <row r="416">
      <c r="A416" s="3">
        <v>185.0</v>
      </c>
      <c r="B416" s="3">
        <v>183.7622</v>
      </c>
      <c r="C416" s="3">
        <v>79.08368</v>
      </c>
      <c r="D416" s="3">
        <v>2108.3</v>
      </c>
      <c r="E416" s="3">
        <v>2755.641</v>
      </c>
      <c r="F416" s="4" t="s">
        <v>7</v>
      </c>
      <c r="G416" s="3">
        <v>17.0</v>
      </c>
    </row>
    <row r="417">
      <c r="A417" s="3">
        <v>184.0</v>
      </c>
      <c r="B417" s="3">
        <v>183.7622</v>
      </c>
      <c r="C417" s="3">
        <v>77.76514</v>
      </c>
      <c r="D417" s="3">
        <v>2108.3</v>
      </c>
      <c r="E417" s="3">
        <v>2766.827</v>
      </c>
      <c r="F417" s="4" t="s">
        <v>7</v>
      </c>
      <c r="G417" s="3">
        <v>17.0</v>
      </c>
    </row>
    <row r="418">
      <c r="A418" s="3">
        <v>183.0</v>
      </c>
      <c r="B418" s="3">
        <v>183.7622</v>
      </c>
      <c r="C418" s="3">
        <v>78.91118</v>
      </c>
      <c r="D418" s="3">
        <v>2108.3</v>
      </c>
      <c r="E418" s="3">
        <v>2755.232</v>
      </c>
      <c r="F418" s="4" t="s">
        <v>7</v>
      </c>
      <c r="G418" s="3">
        <v>17.0</v>
      </c>
    </row>
    <row r="419">
      <c r="A419" s="3">
        <v>182.0</v>
      </c>
      <c r="B419" s="3">
        <v>183.7622</v>
      </c>
      <c r="C419" s="3">
        <v>80.41526</v>
      </c>
      <c r="D419" s="3">
        <v>2108.3</v>
      </c>
      <c r="E419" s="3">
        <v>2739.948</v>
      </c>
      <c r="F419" s="4" t="s">
        <v>7</v>
      </c>
      <c r="G419" s="3">
        <v>17.0</v>
      </c>
    </row>
    <row r="420">
      <c r="A420" s="3">
        <v>181.0</v>
      </c>
      <c r="B420" s="3">
        <v>183.7622</v>
      </c>
      <c r="C420" s="3">
        <v>80.32394</v>
      </c>
      <c r="D420" s="3">
        <v>2108.3</v>
      </c>
      <c r="E420" s="3">
        <v>2743.498</v>
      </c>
      <c r="F420" s="4" t="s">
        <v>7</v>
      </c>
      <c r="G420" s="3">
        <v>17.0</v>
      </c>
    </row>
    <row r="421">
      <c r="A421" s="3">
        <v>180.0</v>
      </c>
      <c r="B421" s="3">
        <v>183.7622</v>
      </c>
      <c r="C421" s="3">
        <v>80.24056</v>
      </c>
      <c r="D421" s="3">
        <v>2108.3</v>
      </c>
      <c r="E421" s="3">
        <v>2746.903</v>
      </c>
      <c r="F421" s="4" t="s">
        <v>7</v>
      </c>
      <c r="G421" s="3">
        <v>17.0</v>
      </c>
    </row>
    <row r="422">
      <c r="A422" s="3">
        <v>179.0</v>
      </c>
      <c r="B422" s="3">
        <v>183.7622</v>
      </c>
      <c r="C422" s="3">
        <v>79.35517</v>
      </c>
      <c r="D422" s="3">
        <v>2108.3</v>
      </c>
      <c r="E422" s="3">
        <v>2753.614</v>
      </c>
      <c r="F422" s="4" t="s">
        <v>7</v>
      </c>
      <c r="G422" s="3">
        <v>17.0</v>
      </c>
    </row>
    <row r="423">
      <c r="A423" s="3">
        <v>178.0</v>
      </c>
      <c r="B423" s="3">
        <v>183.7622</v>
      </c>
      <c r="C423" s="3">
        <v>79.06428</v>
      </c>
      <c r="D423" s="3">
        <v>2108.3</v>
      </c>
      <c r="E423" s="3">
        <v>2757.102</v>
      </c>
      <c r="F423" s="4" t="s">
        <v>7</v>
      </c>
      <c r="G423" s="3">
        <v>17.0</v>
      </c>
    </row>
    <row r="424">
      <c r="A424" s="3">
        <v>177.0</v>
      </c>
      <c r="B424" s="3">
        <v>183.7622</v>
      </c>
      <c r="C424" s="3">
        <v>78.94804</v>
      </c>
      <c r="D424" s="3">
        <v>2108.3</v>
      </c>
      <c r="E424" s="3">
        <v>2754.133</v>
      </c>
      <c r="F424" s="4" t="s">
        <v>7</v>
      </c>
      <c r="G424" s="3">
        <v>17.0</v>
      </c>
    </row>
    <row r="425">
      <c r="A425" s="3">
        <v>176.0</v>
      </c>
      <c r="B425" s="3">
        <v>183.7622</v>
      </c>
      <c r="C425" s="3">
        <v>79.32979</v>
      </c>
      <c r="D425" s="3">
        <v>2108.3</v>
      </c>
      <c r="E425" s="3">
        <v>2749.165</v>
      </c>
      <c r="F425" s="4" t="s">
        <v>7</v>
      </c>
      <c r="G425" s="3">
        <v>17.0</v>
      </c>
    </row>
    <row r="426">
      <c r="A426" s="3">
        <v>175.0</v>
      </c>
      <c r="B426" s="3">
        <v>183.7622</v>
      </c>
      <c r="C426" s="3">
        <v>78.73022</v>
      </c>
      <c r="D426" s="3">
        <v>2108.3</v>
      </c>
      <c r="E426" s="3">
        <v>2758.496</v>
      </c>
      <c r="F426" s="4" t="s">
        <v>7</v>
      </c>
      <c r="G426" s="3">
        <v>17.0</v>
      </c>
    </row>
    <row r="427">
      <c r="A427" s="3">
        <v>174.0</v>
      </c>
      <c r="B427" s="3">
        <v>183.7622</v>
      </c>
      <c r="C427" s="3">
        <v>78.06847</v>
      </c>
      <c r="D427" s="3">
        <v>2108.3</v>
      </c>
      <c r="E427" s="3">
        <v>2760.343</v>
      </c>
      <c r="F427" s="4" t="s">
        <v>7</v>
      </c>
      <c r="G427" s="3">
        <v>17.0</v>
      </c>
    </row>
    <row r="428">
      <c r="A428" s="3">
        <v>173.0</v>
      </c>
      <c r="B428" s="3">
        <v>183.7622</v>
      </c>
      <c r="C428" s="3">
        <v>78.80545</v>
      </c>
      <c r="D428" s="3">
        <v>2108.3</v>
      </c>
      <c r="E428" s="3">
        <v>2755.269</v>
      </c>
      <c r="F428" s="4" t="s">
        <v>7</v>
      </c>
      <c r="G428" s="3">
        <v>17.0</v>
      </c>
    </row>
    <row r="429">
      <c r="A429" s="3">
        <v>172.0</v>
      </c>
      <c r="B429" s="3">
        <v>183.7622</v>
      </c>
      <c r="C429" s="3">
        <v>79.5696</v>
      </c>
      <c r="D429" s="3">
        <v>2108.3</v>
      </c>
      <c r="E429" s="3">
        <v>2748.559</v>
      </c>
      <c r="F429" s="4" t="s">
        <v>7</v>
      </c>
      <c r="G429" s="3">
        <v>17.0</v>
      </c>
    </row>
    <row r="430">
      <c r="A430" s="3">
        <v>171.0</v>
      </c>
      <c r="B430" s="3">
        <v>183.7622</v>
      </c>
      <c r="C430" s="3">
        <v>78.19087</v>
      </c>
      <c r="D430" s="3">
        <v>2108.3</v>
      </c>
      <c r="E430" s="3">
        <v>2762.323</v>
      </c>
      <c r="F430" s="4" t="s">
        <v>7</v>
      </c>
      <c r="G430" s="3">
        <v>17.0</v>
      </c>
    </row>
    <row r="431">
      <c r="A431" s="3">
        <v>170.0</v>
      </c>
      <c r="B431" s="3">
        <v>183.0291</v>
      </c>
      <c r="C431" s="3">
        <v>78.78901</v>
      </c>
      <c r="D431" s="3">
        <v>2110.033</v>
      </c>
      <c r="E431" s="3">
        <v>2759.122</v>
      </c>
      <c r="F431" s="4" t="s">
        <v>7</v>
      </c>
      <c r="G431" s="3">
        <v>17.0</v>
      </c>
    </row>
    <row r="432">
      <c r="A432" s="3">
        <v>169.0</v>
      </c>
      <c r="B432" s="3">
        <v>183.0291</v>
      </c>
      <c r="C432" s="3">
        <v>77.87732</v>
      </c>
      <c r="D432" s="3">
        <v>2110.033</v>
      </c>
      <c r="E432" s="3">
        <v>2762.991</v>
      </c>
      <c r="F432" s="4" t="s">
        <v>7</v>
      </c>
      <c r="G432" s="3">
        <v>17.0</v>
      </c>
    </row>
    <row r="433">
      <c r="A433" s="3">
        <v>168.0</v>
      </c>
      <c r="B433" s="3">
        <v>183.0291</v>
      </c>
      <c r="C433" s="3">
        <v>77.89907</v>
      </c>
      <c r="D433" s="3">
        <v>2110.033</v>
      </c>
      <c r="E433" s="3">
        <v>2761.467</v>
      </c>
      <c r="F433" s="4" t="s">
        <v>7</v>
      </c>
      <c r="G433" s="3">
        <v>17.0</v>
      </c>
    </row>
    <row r="434">
      <c r="A434" s="3">
        <v>167.0</v>
      </c>
      <c r="B434" s="3">
        <v>183.0291</v>
      </c>
      <c r="C434" s="3">
        <v>79.19735</v>
      </c>
      <c r="D434" s="3">
        <v>2110.033</v>
      </c>
      <c r="E434" s="3">
        <v>2748.716</v>
      </c>
      <c r="F434" s="4" t="s">
        <v>7</v>
      </c>
      <c r="G434" s="3">
        <v>17.0</v>
      </c>
    </row>
    <row r="435">
      <c r="A435" s="3">
        <v>166.0</v>
      </c>
      <c r="B435" s="3">
        <v>183.0291</v>
      </c>
      <c r="C435" s="3">
        <v>78.9402</v>
      </c>
      <c r="D435" s="3">
        <v>2110.033</v>
      </c>
      <c r="E435" s="3">
        <v>2752.244</v>
      </c>
      <c r="F435" s="4" t="s">
        <v>7</v>
      </c>
      <c r="G435" s="3">
        <v>17.0</v>
      </c>
    </row>
    <row r="436">
      <c r="A436" s="3">
        <v>165.0</v>
      </c>
      <c r="B436" s="3">
        <v>183.0291</v>
      </c>
      <c r="C436" s="3">
        <v>78.58106</v>
      </c>
      <c r="D436" s="3">
        <v>2110.033</v>
      </c>
      <c r="E436" s="3">
        <v>2752.516</v>
      </c>
      <c r="F436" s="4" t="s">
        <v>7</v>
      </c>
      <c r="G436" s="3">
        <v>17.0</v>
      </c>
    </row>
    <row r="437">
      <c r="A437" s="3">
        <v>164.0</v>
      </c>
      <c r="B437" s="3">
        <v>183.0291</v>
      </c>
      <c r="C437" s="3">
        <v>80.3228</v>
      </c>
      <c r="D437" s="3">
        <v>2110.033</v>
      </c>
      <c r="E437" s="3">
        <v>2741.291</v>
      </c>
      <c r="F437" s="4" t="s">
        <v>7</v>
      </c>
      <c r="G437" s="3">
        <v>17.0</v>
      </c>
    </row>
    <row r="438">
      <c r="A438" s="3">
        <v>163.0</v>
      </c>
      <c r="B438" s="3">
        <v>183.0291</v>
      </c>
      <c r="C438" s="3">
        <v>80.10076</v>
      </c>
      <c r="D438" s="3">
        <v>2110.033</v>
      </c>
      <c r="E438" s="3">
        <v>2745.723</v>
      </c>
      <c r="F438" s="4" t="s">
        <v>7</v>
      </c>
      <c r="G438" s="3">
        <v>17.0</v>
      </c>
    </row>
    <row r="439">
      <c r="A439" s="3">
        <v>162.0</v>
      </c>
      <c r="B439" s="3">
        <v>183.0291</v>
      </c>
      <c r="C439" s="3">
        <v>80.51342</v>
      </c>
      <c r="D439" s="3">
        <v>2110.033</v>
      </c>
      <c r="E439" s="3">
        <v>2742.835</v>
      </c>
      <c r="F439" s="4" t="s">
        <v>7</v>
      </c>
      <c r="G439" s="3">
        <v>17.0</v>
      </c>
    </row>
    <row r="440">
      <c r="A440" s="3">
        <v>161.0</v>
      </c>
      <c r="B440" s="3">
        <v>183.0291</v>
      </c>
      <c r="C440" s="3">
        <v>79.76248</v>
      </c>
      <c r="D440" s="3">
        <v>2110.033</v>
      </c>
      <c r="E440" s="3">
        <v>2744.627</v>
      </c>
      <c r="F440" s="4" t="s">
        <v>7</v>
      </c>
      <c r="G440" s="3">
        <v>17.0</v>
      </c>
    </row>
    <row r="441">
      <c r="A441" s="3">
        <v>160.0</v>
      </c>
      <c r="B441" s="3">
        <v>183.0291</v>
      </c>
      <c r="C441" s="3">
        <v>78.40733</v>
      </c>
      <c r="D441" s="3">
        <v>2110.033</v>
      </c>
      <c r="E441" s="3">
        <v>2758.455</v>
      </c>
      <c r="F441" s="4" t="s">
        <v>7</v>
      </c>
      <c r="G441" s="3">
        <v>17.0</v>
      </c>
    </row>
    <row r="442">
      <c r="A442" s="3">
        <v>159.0</v>
      </c>
      <c r="B442" s="3">
        <v>183.0291</v>
      </c>
      <c r="C442" s="3">
        <v>78.09912</v>
      </c>
      <c r="D442" s="3">
        <v>2110.033</v>
      </c>
      <c r="E442" s="3">
        <v>2767.413</v>
      </c>
      <c r="F442" s="4" t="s">
        <v>7</v>
      </c>
      <c r="G442" s="3">
        <v>17.0</v>
      </c>
    </row>
    <row r="443">
      <c r="A443" s="3">
        <v>158.0</v>
      </c>
      <c r="B443" s="3">
        <v>183.0291</v>
      </c>
      <c r="C443" s="3">
        <v>76.87923</v>
      </c>
      <c r="D443" s="3">
        <v>2110.033</v>
      </c>
      <c r="E443" s="3">
        <v>2777.104</v>
      </c>
      <c r="F443" s="4" t="s">
        <v>7</v>
      </c>
      <c r="G443" s="3">
        <v>17.0</v>
      </c>
    </row>
    <row r="444">
      <c r="A444" s="3">
        <v>157.0</v>
      </c>
      <c r="B444" s="3">
        <v>183.0291</v>
      </c>
      <c r="C444" s="3">
        <v>77.62179</v>
      </c>
      <c r="D444" s="3">
        <v>2110.033</v>
      </c>
      <c r="E444" s="3">
        <v>2763.698</v>
      </c>
      <c r="F444" s="4" t="s">
        <v>7</v>
      </c>
      <c r="G444" s="3">
        <v>17.0</v>
      </c>
    </row>
    <row r="445">
      <c r="A445" s="3">
        <v>156.0</v>
      </c>
      <c r="B445" s="3">
        <v>183.0291</v>
      </c>
      <c r="C445" s="3">
        <v>78.10539</v>
      </c>
      <c r="D445" s="3">
        <v>2110.033</v>
      </c>
      <c r="E445" s="3">
        <v>2758.564</v>
      </c>
      <c r="F445" s="4" t="s">
        <v>7</v>
      </c>
      <c r="G445" s="3">
        <v>17.0</v>
      </c>
    </row>
    <row r="446">
      <c r="A446" s="3">
        <v>155.0</v>
      </c>
      <c r="B446" s="3">
        <v>183.0291</v>
      </c>
      <c r="C446" s="3">
        <v>77.93907</v>
      </c>
      <c r="D446" s="3">
        <v>2110.033</v>
      </c>
      <c r="E446" s="3">
        <v>2765.672</v>
      </c>
      <c r="F446" s="4" t="s">
        <v>7</v>
      </c>
      <c r="G446" s="3">
        <v>17.0</v>
      </c>
    </row>
    <row r="447">
      <c r="A447" s="3">
        <v>154.0</v>
      </c>
      <c r="B447" s="3">
        <v>183.0291</v>
      </c>
      <c r="C447" s="3">
        <v>76.5527</v>
      </c>
      <c r="D447" s="3">
        <v>2110.033</v>
      </c>
      <c r="E447" s="3">
        <v>2776.198</v>
      </c>
      <c r="F447" s="4" t="s">
        <v>7</v>
      </c>
      <c r="G447" s="3">
        <v>17.0</v>
      </c>
    </row>
    <row r="448">
      <c r="A448" s="3">
        <v>153.0</v>
      </c>
      <c r="B448" s="3">
        <v>183.0291</v>
      </c>
      <c r="C448" s="3">
        <v>76.88449</v>
      </c>
      <c r="D448" s="3">
        <v>2110.033</v>
      </c>
      <c r="E448" s="3">
        <v>2773.683</v>
      </c>
      <c r="F448" s="4" t="s">
        <v>7</v>
      </c>
      <c r="G448" s="3">
        <v>17.0</v>
      </c>
    </row>
    <row r="449">
      <c r="A449" s="3">
        <v>152.0</v>
      </c>
      <c r="B449" s="3">
        <v>183.0291</v>
      </c>
      <c r="C449" s="3">
        <v>77.43144</v>
      </c>
      <c r="D449" s="3">
        <v>2110.033</v>
      </c>
      <c r="E449" s="3">
        <v>2770.663</v>
      </c>
      <c r="F449" s="4" t="s">
        <v>7</v>
      </c>
      <c r="G449" s="3">
        <v>17.0</v>
      </c>
    </row>
    <row r="450">
      <c r="A450" s="3">
        <v>151.0</v>
      </c>
      <c r="B450" s="3">
        <v>183.0291</v>
      </c>
      <c r="C450" s="3">
        <v>77.91461</v>
      </c>
      <c r="D450" s="3">
        <v>2110.033</v>
      </c>
      <c r="E450" s="3">
        <v>2762.322</v>
      </c>
      <c r="F450" s="4" t="s">
        <v>7</v>
      </c>
      <c r="G450" s="3">
        <v>17.0</v>
      </c>
    </row>
    <row r="451">
      <c r="A451" s="3">
        <v>150.0</v>
      </c>
      <c r="B451" s="3">
        <v>182.7319</v>
      </c>
      <c r="C451" s="3">
        <v>77.97986</v>
      </c>
      <c r="D451" s="3">
        <v>2110.7</v>
      </c>
      <c r="E451" s="3">
        <v>2768.246</v>
      </c>
      <c r="F451" s="4" t="s">
        <v>7</v>
      </c>
      <c r="G451" s="3">
        <v>17.0</v>
      </c>
    </row>
    <row r="452">
      <c r="A452" s="3">
        <v>149.0</v>
      </c>
      <c r="B452" s="3">
        <v>182.4924</v>
      </c>
      <c r="C452" s="3">
        <v>77.55691</v>
      </c>
      <c r="D452" s="3">
        <v>2111.367</v>
      </c>
      <c r="E452" s="3">
        <v>2766.752</v>
      </c>
      <c r="F452" s="4" t="s">
        <v>7</v>
      </c>
      <c r="G452" s="3">
        <v>17.0</v>
      </c>
    </row>
    <row r="453">
      <c r="A453" s="3">
        <v>148.0</v>
      </c>
      <c r="B453" s="3">
        <v>182.4924</v>
      </c>
      <c r="C453" s="3">
        <v>76.73595</v>
      </c>
      <c r="D453" s="3">
        <v>2111.367</v>
      </c>
      <c r="E453" s="3">
        <v>2779.296</v>
      </c>
      <c r="F453" s="4" t="s">
        <v>7</v>
      </c>
      <c r="G453" s="3">
        <v>17.0</v>
      </c>
    </row>
    <row r="454">
      <c r="A454" s="3">
        <v>147.0</v>
      </c>
      <c r="B454" s="3">
        <v>182.4924</v>
      </c>
      <c r="C454" s="3">
        <v>76.20368</v>
      </c>
      <c r="D454" s="3">
        <v>2111.367</v>
      </c>
      <c r="E454" s="3">
        <v>2779.825</v>
      </c>
      <c r="F454" s="4" t="s">
        <v>7</v>
      </c>
      <c r="G454" s="3">
        <v>17.0</v>
      </c>
    </row>
    <row r="455">
      <c r="A455" s="3">
        <v>146.0</v>
      </c>
      <c r="B455" s="3">
        <v>182.4924</v>
      </c>
      <c r="C455" s="3">
        <v>77.27087</v>
      </c>
      <c r="D455" s="3">
        <v>2111.367</v>
      </c>
      <c r="E455" s="3">
        <v>2765.933</v>
      </c>
      <c r="F455" s="4" t="s">
        <v>7</v>
      </c>
      <c r="G455" s="3">
        <v>17.0</v>
      </c>
    </row>
    <row r="456">
      <c r="A456" s="3">
        <v>145.0</v>
      </c>
      <c r="B456" s="3">
        <v>182.4924</v>
      </c>
      <c r="C456" s="3">
        <v>76.7969</v>
      </c>
      <c r="D456" s="3">
        <v>2111.367</v>
      </c>
      <c r="E456" s="3">
        <v>2769.152</v>
      </c>
      <c r="F456" s="4" t="s">
        <v>7</v>
      </c>
      <c r="G456" s="3">
        <v>17.0</v>
      </c>
    </row>
    <row r="457">
      <c r="A457" s="3">
        <v>144.0</v>
      </c>
      <c r="B457" s="3">
        <v>182.4924</v>
      </c>
      <c r="C457" s="3">
        <v>77.49326</v>
      </c>
      <c r="D457" s="3">
        <v>2111.367</v>
      </c>
      <c r="E457" s="3">
        <v>2769.67</v>
      </c>
      <c r="F457" s="4" t="s">
        <v>7</v>
      </c>
      <c r="G457" s="3">
        <v>17.0</v>
      </c>
    </row>
    <row r="458">
      <c r="A458" s="3">
        <v>143.0</v>
      </c>
      <c r="B458" s="3">
        <v>182.4924</v>
      </c>
      <c r="C458" s="3">
        <v>76.31736</v>
      </c>
      <c r="D458" s="3">
        <v>2111.367</v>
      </c>
      <c r="E458" s="3">
        <v>2773.614</v>
      </c>
      <c r="F458" s="4" t="s">
        <v>7</v>
      </c>
      <c r="G458" s="3">
        <v>17.0</v>
      </c>
    </row>
    <row r="459">
      <c r="A459" s="3">
        <v>142.0</v>
      </c>
      <c r="B459" s="3">
        <v>181.7594</v>
      </c>
      <c r="C459" s="3">
        <v>76.46592</v>
      </c>
      <c r="D459" s="3">
        <v>2113.1</v>
      </c>
      <c r="E459" s="3">
        <v>2774.883</v>
      </c>
      <c r="F459" s="4" t="s">
        <v>7</v>
      </c>
      <c r="G459" s="3">
        <v>17.0</v>
      </c>
    </row>
    <row r="460">
      <c r="A460" s="3">
        <v>141.0</v>
      </c>
      <c r="B460" s="3">
        <v>181.7594</v>
      </c>
      <c r="C460" s="3">
        <v>77.58735</v>
      </c>
      <c r="D460" s="3">
        <v>2113.1</v>
      </c>
      <c r="E460" s="3">
        <v>2763.638</v>
      </c>
      <c r="F460" s="4" t="s">
        <v>7</v>
      </c>
      <c r="G460" s="3">
        <v>17.0</v>
      </c>
    </row>
    <row r="461">
      <c r="A461" s="3">
        <v>140.0</v>
      </c>
      <c r="B461" s="3">
        <v>181.7594</v>
      </c>
      <c r="C461" s="3">
        <v>76.95549</v>
      </c>
      <c r="D461" s="3">
        <v>2113.1</v>
      </c>
      <c r="E461" s="3">
        <v>2766.546</v>
      </c>
      <c r="F461" s="4" t="s">
        <v>7</v>
      </c>
      <c r="G461" s="3">
        <v>17.0</v>
      </c>
    </row>
    <row r="462">
      <c r="A462" s="3">
        <v>139.0</v>
      </c>
      <c r="B462" s="3">
        <v>181.7594</v>
      </c>
      <c r="C462" s="3">
        <v>76.30055</v>
      </c>
      <c r="D462" s="3">
        <v>2113.1</v>
      </c>
      <c r="E462" s="3">
        <v>2771.971</v>
      </c>
      <c r="F462" s="4" t="s">
        <v>7</v>
      </c>
      <c r="G462" s="3">
        <v>17.0</v>
      </c>
    </row>
    <row r="463">
      <c r="A463" s="3">
        <v>138.0</v>
      </c>
      <c r="B463" s="3">
        <v>181.7594</v>
      </c>
      <c r="C463" s="3">
        <v>76.43817</v>
      </c>
      <c r="D463" s="3">
        <v>2113.1</v>
      </c>
      <c r="E463" s="3">
        <v>2774.438</v>
      </c>
      <c r="F463" s="4" t="s">
        <v>7</v>
      </c>
      <c r="G463" s="3">
        <v>17.0</v>
      </c>
    </row>
    <row r="464">
      <c r="A464" s="3">
        <v>137.0</v>
      </c>
      <c r="B464" s="3">
        <v>181.7594</v>
      </c>
      <c r="C464" s="3">
        <v>76.94848</v>
      </c>
      <c r="D464" s="3">
        <v>2113.1</v>
      </c>
      <c r="E464" s="3">
        <v>2769.717</v>
      </c>
      <c r="F464" s="4" t="s">
        <v>7</v>
      </c>
      <c r="G464" s="3">
        <v>17.0</v>
      </c>
    </row>
    <row r="465">
      <c r="A465" s="3">
        <v>136.0</v>
      </c>
      <c r="B465" s="3">
        <v>181.7594</v>
      </c>
      <c r="C465" s="3">
        <v>76.73241</v>
      </c>
      <c r="D465" s="3">
        <v>2113.1</v>
      </c>
      <c r="E465" s="3">
        <v>2772.767</v>
      </c>
      <c r="F465" s="4" t="s">
        <v>7</v>
      </c>
      <c r="G465" s="3">
        <v>17.0</v>
      </c>
    </row>
    <row r="466">
      <c r="A466" s="3">
        <v>135.0</v>
      </c>
      <c r="B466" s="3">
        <v>181.1709</v>
      </c>
      <c r="C466" s="3">
        <v>75.53258</v>
      </c>
      <c r="D466" s="3">
        <v>2114.467</v>
      </c>
      <c r="E466" s="3">
        <v>2785.074</v>
      </c>
      <c r="F466" s="4" t="s">
        <v>7</v>
      </c>
      <c r="G466" s="3">
        <v>17.0</v>
      </c>
    </row>
    <row r="467">
      <c r="A467" s="3">
        <v>134.0</v>
      </c>
      <c r="B467" s="3">
        <v>181.1709</v>
      </c>
      <c r="C467" s="3">
        <v>75.997</v>
      </c>
      <c r="D467" s="3">
        <v>2114.467</v>
      </c>
      <c r="E467" s="3">
        <v>2775.791</v>
      </c>
      <c r="F467" s="4" t="s">
        <v>7</v>
      </c>
      <c r="G467" s="3">
        <v>17.0</v>
      </c>
    </row>
    <row r="468">
      <c r="A468" s="3">
        <v>133.0</v>
      </c>
      <c r="B468" s="3">
        <v>181.1709</v>
      </c>
      <c r="C468" s="3">
        <v>76.81545</v>
      </c>
      <c r="D468" s="3">
        <v>2114.467</v>
      </c>
      <c r="E468" s="3">
        <v>2770.507</v>
      </c>
      <c r="F468" s="4" t="s">
        <v>7</v>
      </c>
      <c r="G468" s="3">
        <v>17.0</v>
      </c>
    </row>
    <row r="469">
      <c r="A469" s="3">
        <v>132.0</v>
      </c>
      <c r="B469" s="3">
        <v>180.3514</v>
      </c>
      <c r="C469" s="3">
        <v>76.35633</v>
      </c>
      <c r="D469" s="3">
        <v>2116.333</v>
      </c>
      <c r="E469" s="3">
        <v>2772.785</v>
      </c>
      <c r="F469" s="4" t="s">
        <v>7</v>
      </c>
      <c r="G469" s="3">
        <v>17.0</v>
      </c>
    </row>
    <row r="470">
      <c r="A470" s="3">
        <v>131.0</v>
      </c>
      <c r="B470" s="3">
        <v>180.3514</v>
      </c>
      <c r="C470" s="3">
        <v>76.67445</v>
      </c>
      <c r="D470" s="3">
        <v>2116.333</v>
      </c>
      <c r="E470" s="3">
        <v>2771.928</v>
      </c>
      <c r="F470" s="4" t="s">
        <v>7</v>
      </c>
      <c r="G470" s="3">
        <v>17.0</v>
      </c>
    </row>
    <row r="471">
      <c r="A471" s="3">
        <v>130.0</v>
      </c>
      <c r="B471" s="3">
        <v>179.8753</v>
      </c>
      <c r="C471" s="3">
        <v>76.30092</v>
      </c>
      <c r="D471" s="3">
        <v>2117.567</v>
      </c>
      <c r="E471" s="3">
        <v>2779.036</v>
      </c>
      <c r="F471" s="4" t="s">
        <v>7</v>
      </c>
      <c r="G471" s="3">
        <v>17.0</v>
      </c>
    </row>
    <row r="472">
      <c r="A472" s="3">
        <v>129.0</v>
      </c>
      <c r="B472" s="3">
        <v>179.8753</v>
      </c>
      <c r="C472" s="3">
        <v>76.54756</v>
      </c>
      <c r="D472" s="3">
        <v>2117.567</v>
      </c>
      <c r="E472" s="3">
        <v>2776.456</v>
      </c>
      <c r="F472" s="4" t="s">
        <v>7</v>
      </c>
      <c r="G472" s="3">
        <v>17.0</v>
      </c>
    </row>
    <row r="473">
      <c r="A473" s="3">
        <v>128.0</v>
      </c>
      <c r="B473" s="3">
        <v>179.2601</v>
      </c>
      <c r="C473" s="3">
        <v>76.24117</v>
      </c>
      <c r="D473" s="3">
        <v>2119.0</v>
      </c>
      <c r="E473" s="3">
        <v>2781.972</v>
      </c>
      <c r="F473" s="4" t="s">
        <v>7</v>
      </c>
      <c r="G473" s="3">
        <v>17.0</v>
      </c>
    </row>
    <row r="474">
      <c r="A474" s="3">
        <v>127.0</v>
      </c>
      <c r="B474" s="3">
        <v>179.2601</v>
      </c>
      <c r="C474" s="3">
        <v>75.66723</v>
      </c>
      <c r="D474" s="3">
        <v>2119.0</v>
      </c>
      <c r="E474" s="3">
        <v>2785.877</v>
      </c>
      <c r="F474" s="4" t="s">
        <v>7</v>
      </c>
      <c r="G474" s="3">
        <v>17.0</v>
      </c>
    </row>
    <row r="475">
      <c r="A475" s="3">
        <v>126.0</v>
      </c>
      <c r="B475" s="3">
        <v>179.2601</v>
      </c>
      <c r="C475" s="3">
        <v>74.99342</v>
      </c>
      <c r="D475" s="3">
        <v>2119.0</v>
      </c>
      <c r="E475" s="3">
        <v>2787.587</v>
      </c>
      <c r="F475" s="4" t="s">
        <v>7</v>
      </c>
      <c r="G475" s="3">
        <v>17.0</v>
      </c>
    </row>
    <row r="476">
      <c r="A476" s="3">
        <v>125.0</v>
      </c>
      <c r="B476" s="3">
        <v>179.2601</v>
      </c>
      <c r="C476" s="3">
        <v>76.13798</v>
      </c>
      <c r="D476" s="3">
        <v>2119.0</v>
      </c>
      <c r="E476" s="3">
        <v>2776.475</v>
      </c>
      <c r="F476" s="4" t="s">
        <v>7</v>
      </c>
      <c r="G476" s="3">
        <v>17.0</v>
      </c>
    </row>
    <row r="477">
      <c r="A477" s="3">
        <v>124.0</v>
      </c>
      <c r="B477" s="3">
        <v>178.9288</v>
      </c>
      <c r="C477" s="3">
        <v>75.56528</v>
      </c>
      <c r="D477" s="3">
        <v>2119.867</v>
      </c>
      <c r="E477" s="3">
        <v>2779.226</v>
      </c>
      <c r="F477" s="4" t="s">
        <v>7</v>
      </c>
      <c r="G477" s="3">
        <v>17.0</v>
      </c>
    </row>
    <row r="478">
      <c r="A478" s="3">
        <v>123.0</v>
      </c>
      <c r="B478" s="3">
        <v>178.9288</v>
      </c>
      <c r="C478" s="3">
        <v>76.07451</v>
      </c>
      <c r="D478" s="3">
        <v>2119.867</v>
      </c>
      <c r="E478" s="3">
        <v>2776.513</v>
      </c>
      <c r="F478" s="4" t="s">
        <v>7</v>
      </c>
      <c r="G478" s="3">
        <v>17.0</v>
      </c>
    </row>
    <row r="479">
      <c r="A479" s="3">
        <v>122.0</v>
      </c>
      <c r="B479" s="3">
        <v>178.9288</v>
      </c>
      <c r="C479" s="3">
        <v>74.58753</v>
      </c>
      <c r="D479" s="3">
        <v>2119.867</v>
      </c>
      <c r="E479" s="3">
        <v>2784.411</v>
      </c>
      <c r="F479" s="4" t="s">
        <v>7</v>
      </c>
      <c r="G479" s="3">
        <v>17.0</v>
      </c>
    </row>
    <row r="480">
      <c r="A480" s="3">
        <v>121.0</v>
      </c>
      <c r="B480" s="3">
        <v>178.8803</v>
      </c>
      <c r="C480" s="3">
        <v>74.99063</v>
      </c>
      <c r="D480" s="3">
        <v>2120.0</v>
      </c>
      <c r="E480" s="3">
        <v>2783.7</v>
      </c>
      <c r="F480" s="4" t="s">
        <v>7</v>
      </c>
      <c r="G480" s="3">
        <v>17.0</v>
      </c>
    </row>
    <row r="481">
      <c r="A481" s="3">
        <v>120.0</v>
      </c>
      <c r="B481" s="3">
        <v>178.8803</v>
      </c>
      <c r="C481" s="3">
        <v>74.49914</v>
      </c>
      <c r="D481" s="3">
        <v>2120.0</v>
      </c>
      <c r="E481" s="3">
        <v>2789.361</v>
      </c>
      <c r="F481" s="4" t="s">
        <v>7</v>
      </c>
      <c r="G481" s="3">
        <v>17.0</v>
      </c>
    </row>
    <row r="482">
      <c r="A482" s="3">
        <v>119.0</v>
      </c>
      <c r="B482" s="3">
        <v>178.8803</v>
      </c>
      <c r="C482" s="3">
        <v>74.25254</v>
      </c>
      <c r="D482" s="3">
        <v>2120.0</v>
      </c>
      <c r="E482" s="3">
        <v>2787.567</v>
      </c>
      <c r="F482" s="4" t="s">
        <v>7</v>
      </c>
      <c r="G482" s="3">
        <v>17.0</v>
      </c>
    </row>
    <row r="483">
      <c r="A483" s="3">
        <v>118.0</v>
      </c>
      <c r="B483" s="3">
        <v>178.8803</v>
      </c>
      <c r="C483" s="3">
        <v>75.59731</v>
      </c>
      <c r="D483" s="3">
        <v>2120.0</v>
      </c>
      <c r="E483" s="3">
        <v>2780.923</v>
      </c>
      <c r="F483" s="4" t="s">
        <v>7</v>
      </c>
      <c r="G483" s="3">
        <v>17.0</v>
      </c>
    </row>
    <row r="484">
      <c r="A484" s="3">
        <v>117.0</v>
      </c>
      <c r="B484" s="3">
        <v>178.8803</v>
      </c>
      <c r="C484" s="3">
        <v>74.28406</v>
      </c>
      <c r="D484" s="3">
        <v>2120.0</v>
      </c>
      <c r="E484" s="3">
        <v>2790.508</v>
      </c>
      <c r="F484" s="4" t="s">
        <v>7</v>
      </c>
      <c r="G484" s="3">
        <v>17.0</v>
      </c>
    </row>
    <row r="485">
      <c r="A485" s="3">
        <v>116.0</v>
      </c>
      <c r="B485" s="3">
        <v>178.8803</v>
      </c>
      <c r="C485" s="3">
        <v>74.30218</v>
      </c>
      <c r="D485" s="3">
        <v>2120.0</v>
      </c>
      <c r="E485" s="3">
        <v>2797.902</v>
      </c>
      <c r="F485" s="4" t="s">
        <v>7</v>
      </c>
      <c r="G485" s="3">
        <v>17.0</v>
      </c>
    </row>
    <row r="486">
      <c r="A486" s="3">
        <v>115.0</v>
      </c>
      <c r="B486" s="3">
        <v>178.8803</v>
      </c>
      <c r="C486" s="3">
        <v>73.48806</v>
      </c>
      <c r="D486" s="3">
        <v>2120.0</v>
      </c>
      <c r="E486" s="3">
        <v>2803.75</v>
      </c>
      <c r="F486" s="4" t="s">
        <v>7</v>
      </c>
      <c r="G486" s="3">
        <v>17.0</v>
      </c>
    </row>
    <row r="487">
      <c r="A487" s="3">
        <v>114.0</v>
      </c>
      <c r="B487" s="3">
        <v>177.94</v>
      </c>
      <c r="C487" s="3">
        <v>74.57418</v>
      </c>
      <c r="D487" s="3">
        <v>2122.133</v>
      </c>
      <c r="E487" s="3">
        <v>2788.162</v>
      </c>
      <c r="F487" s="4" t="s">
        <v>7</v>
      </c>
      <c r="G487" s="3">
        <v>17.0</v>
      </c>
    </row>
    <row r="488">
      <c r="A488" s="3">
        <v>113.0</v>
      </c>
      <c r="B488" s="3">
        <v>177.7004</v>
      </c>
      <c r="C488" s="3">
        <v>74.71837</v>
      </c>
      <c r="D488" s="3">
        <v>2122.8</v>
      </c>
      <c r="E488" s="3">
        <v>2793.114</v>
      </c>
      <c r="F488" s="4" t="s">
        <v>7</v>
      </c>
      <c r="G488" s="3">
        <v>17.0</v>
      </c>
    </row>
    <row r="489">
      <c r="A489" s="3">
        <v>112.0</v>
      </c>
      <c r="B489" s="3">
        <v>177.5396</v>
      </c>
      <c r="C489" s="3">
        <v>75.19769</v>
      </c>
      <c r="D489" s="3">
        <v>2123.133</v>
      </c>
      <c r="E489" s="3">
        <v>2785.345</v>
      </c>
      <c r="F489" s="4" t="s">
        <v>7</v>
      </c>
      <c r="G489" s="3">
        <v>17.0</v>
      </c>
    </row>
    <row r="490">
      <c r="A490" s="3">
        <v>111.0</v>
      </c>
      <c r="B490" s="3">
        <v>177.5396</v>
      </c>
      <c r="C490" s="3">
        <v>74.83295</v>
      </c>
      <c r="D490" s="3">
        <v>2123.133</v>
      </c>
      <c r="E490" s="3">
        <v>2792.027</v>
      </c>
      <c r="F490" s="4" t="s">
        <v>7</v>
      </c>
      <c r="G490" s="3">
        <v>17.0</v>
      </c>
    </row>
    <row r="491">
      <c r="A491" s="3">
        <v>110.0</v>
      </c>
      <c r="B491" s="3">
        <v>177.5396</v>
      </c>
      <c r="C491" s="3">
        <v>74.40245</v>
      </c>
      <c r="D491" s="3">
        <v>2123.133</v>
      </c>
      <c r="E491" s="3">
        <v>2796.985</v>
      </c>
      <c r="F491" s="4" t="s">
        <v>7</v>
      </c>
      <c r="G491" s="3">
        <v>17.0</v>
      </c>
    </row>
    <row r="492">
      <c r="A492" s="3">
        <v>109.0</v>
      </c>
      <c r="B492" s="3">
        <v>176.2947</v>
      </c>
      <c r="C492" s="3">
        <v>74.51707</v>
      </c>
      <c r="D492" s="3">
        <v>2126.233</v>
      </c>
      <c r="E492" s="3">
        <v>2796.145</v>
      </c>
      <c r="F492" s="4" t="s">
        <v>7</v>
      </c>
      <c r="G492" s="3">
        <v>17.0</v>
      </c>
    </row>
    <row r="493">
      <c r="A493" s="3">
        <v>108.0</v>
      </c>
      <c r="B493" s="3">
        <v>176.0498</v>
      </c>
      <c r="C493" s="3">
        <v>73.86578</v>
      </c>
      <c r="D493" s="3">
        <v>2126.833</v>
      </c>
      <c r="E493" s="3">
        <v>2799.763</v>
      </c>
      <c r="F493" s="4" t="s">
        <v>7</v>
      </c>
      <c r="G493" s="3">
        <v>17.0</v>
      </c>
    </row>
    <row r="494">
      <c r="A494" s="3">
        <v>107.0</v>
      </c>
      <c r="B494" s="3">
        <v>176.0498</v>
      </c>
      <c r="C494" s="3">
        <v>74.05135</v>
      </c>
      <c r="D494" s="3">
        <v>2126.833</v>
      </c>
      <c r="E494" s="3">
        <v>2801.091</v>
      </c>
      <c r="F494" s="4" t="s">
        <v>7</v>
      </c>
      <c r="G494" s="3">
        <v>17.0</v>
      </c>
    </row>
    <row r="495">
      <c r="A495" s="3">
        <v>106.0</v>
      </c>
      <c r="B495" s="3">
        <v>176.0498</v>
      </c>
      <c r="C495" s="3">
        <v>73.71513</v>
      </c>
      <c r="D495" s="3">
        <v>2126.833</v>
      </c>
      <c r="E495" s="3">
        <v>2807.262</v>
      </c>
      <c r="F495" s="4" t="s">
        <v>7</v>
      </c>
      <c r="G495" s="3">
        <v>17.0</v>
      </c>
    </row>
    <row r="496">
      <c r="A496" s="3">
        <v>105.0</v>
      </c>
      <c r="B496" s="3">
        <v>176.0498</v>
      </c>
      <c r="C496" s="3">
        <v>72.91737</v>
      </c>
      <c r="D496" s="3">
        <v>2126.833</v>
      </c>
      <c r="E496" s="3">
        <v>2806.106</v>
      </c>
      <c r="F496" s="4" t="s">
        <v>7</v>
      </c>
      <c r="G496" s="3">
        <v>17.0</v>
      </c>
    </row>
    <row r="497">
      <c r="A497" s="3">
        <v>104.0</v>
      </c>
      <c r="B497" s="3">
        <v>176.0498</v>
      </c>
      <c r="C497" s="3">
        <v>73.04625</v>
      </c>
      <c r="D497" s="3">
        <v>2126.833</v>
      </c>
      <c r="E497" s="3">
        <v>2801.187</v>
      </c>
      <c r="F497" s="4" t="s">
        <v>7</v>
      </c>
      <c r="G497" s="3">
        <v>17.0</v>
      </c>
    </row>
    <row r="498">
      <c r="A498" s="3">
        <v>103.0</v>
      </c>
      <c r="B498" s="3">
        <v>175.78</v>
      </c>
      <c r="C498" s="3">
        <v>72.79562</v>
      </c>
      <c r="D498" s="3">
        <v>2127.533</v>
      </c>
      <c r="E498" s="3">
        <v>2807.849</v>
      </c>
      <c r="F498" s="4" t="s">
        <v>7</v>
      </c>
      <c r="G498" s="3">
        <v>17.0</v>
      </c>
    </row>
    <row r="499">
      <c r="A499" s="3">
        <v>102.0</v>
      </c>
      <c r="B499" s="3">
        <v>175.78</v>
      </c>
      <c r="C499" s="3">
        <v>71.59494</v>
      </c>
      <c r="D499" s="3">
        <v>2127.533</v>
      </c>
      <c r="E499" s="3">
        <v>2820.193</v>
      </c>
      <c r="F499" s="4" t="s">
        <v>7</v>
      </c>
      <c r="G499" s="3">
        <v>17.0</v>
      </c>
    </row>
    <row r="500">
      <c r="A500" s="3">
        <v>101.0</v>
      </c>
      <c r="B500" s="3">
        <v>175.78</v>
      </c>
      <c r="C500" s="3">
        <v>71.53461</v>
      </c>
      <c r="D500" s="3">
        <v>2127.533</v>
      </c>
      <c r="E500" s="3">
        <v>2820.344</v>
      </c>
      <c r="F500" s="4" t="s">
        <v>7</v>
      </c>
      <c r="G500" s="3">
        <v>17.0</v>
      </c>
    </row>
    <row r="501">
      <c r="A501" s="3">
        <v>100.0</v>
      </c>
      <c r="B501" s="3">
        <v>175.78</v>
      </c>
      <c r="C501" s="3">
        <v>72.04146</v>
      </c>
      <c r="D501" s="3">
        <v>2127.533</v>
      </c>
      <c r="E501" s="3">
        <v>2815.482</v>
      </c>
      <c r="F501" s="4" t="s">
        <v>7</v>
      </c>
      <c r="G501" s="3">
        <v>17.0</v>
      </c>
    </row>
    <row r="502">
      <c r="A502" s="3">
        <v>99.0</v>
      </c>
      <c r="B502" s="3">
        <v>175.78</v>
      </c>
      <c r="C502" s="3">
        <v>70.86129</v>
      </c>
      <c r="D502" s="3">
        <v>2127.533</v>
      </c>
      <c r="E502" s="3">
        <v>2822.512</v>
      </c>
      <c r="F502" s="4" t="s">
        <v>7</v>
      </c>
      <c r="G502" s="3">
        <v>17.0</v>
      </c>
    </row>
    <row r="503">
      <c r="A503" s="3">
        <v>98.0</v>
      </c>
      <c r="B503" s="3">
        <v>175.78</v>
      </c>
      <c r="C503" s="3">
        <v>70.9755</v>
      </c>
      <c r="D503" s="3">
        <v>2127.533</v>
      </c>
      <c r="E503" s="3">
        <v>2817.411</v>
      </c>
      <c r="F503" s="4" t="s">
        <v>7</v>
      </c>
      <c r="G503" s="3">
        <v>17.0</v>
      </c>
    </row>
    <row r="504">
      <c r="A504" s="3">
        <v>97.0</v>
      </c>
      <c r="B504" s="3">
        <v>175.78</v>
      </c>
      <c r="C504" s="3">
        <v>70.90143</v>
      </c>
      <c r="D504" s="3">
        <v>2127.533</v>
      </c>
      <c r="E504" s="3">
        <v>2821.953</v>
      </c>
      <c r="F504" s="4" t="s">
        <v>7</v>
      </c>
      <c r="G504" s="3">
        <v>17.0</v>
      </c>
    </row>
    <row r="505">
      <c r="A505" s="3">
        <v>96.0</v>
      </c>
      <c r="B505" s="3">
        <v>175.6905</v>
      </c>
      <c r="C505" s="3">
        <v>70.19397</v>
      </c>
      <c r="D505" s="3">
        <v>2127.8</v>
      </c>
      <c r="E505" s="3">
        <v>2829.177</v>
      </c>
      <c r="F505" s="4" t="s">
        <v>7</v>
      </c>
      <c r="G505" s="3">
        <v>17.0</v>
      </c>
    </row>
    <row r="506">
      <c r="A506" s="3">
        <v>95.0</v>
      </c>
      <c r="B506" s="3">
        <v>175.6905</v>
      </c>
      <c r="C506" s="3">
        <v>70.30946</v>
      </c>
      <c r="D506" s="3">
        <v>2127.8</v>
      </c>
      <c r="E506" s="3">
        <v>2828.101</v>
      </c>
      <c r="F506" s="4" t="s">
        <v>7</v>
      </c>
      <c r="G506" s="3">
        <v>17.0</v>
      </c>
    </row>
    <row r="507">
      <c r="A507" s="3">
        <v>94.0</v>
      </c>
      <c r="B507" s="3">
        <v>175.6905</v>
      </c>
      <c r="C507" s="3">
        <v>70.80762</v>
      </c>
      <c r="D507" s="3">
        <v>2127.8</v>
      </c>
      <c r="E507" s="3">
        <v>2820.695</v>
      </c>
      <c r="F507" s="4" t="s">
        <v>7</v>
      </c>
      <c r="G507" s="3">
        <v>17.0</v>
      </c>
    </row>
    <row r="508">
      <c r="A508" s="3">
        <v>93.0</v>
      </c>
      <c r="B508" s="3">
        <v>175.5627</v>
      </c>
      <c r="C508" s="3">
        <v>70.51668</v>
      </c>
      <c r="D508" s="3">
        <v>2128.133</v>
      </c>
      <c r="E508" s="3">
        <v>2826.617</v>
      </c>
      <c r="F508" s="4" t="s">
        <v>7</v>
      </c>
      <c r="G508" s="3">
        <v>17.0</v>
      </c>
    </row>
    <row r="509">
      <c r="A509" s="3">
        <v>92.0</v>
      </c>
      <c r="B509" s="3">
        <v>175.5627</v>
      </c>
      <c r="C509" s="3">
        <v>70.30413</v>
      </c>
      <c r="D509" s="3">
        <v>2128.133</v>
      </c>
      <c r="E509" s="3">
        <v>2830.744</v>
      </c>
      <c r="F509" s="4" t="s">
        <v>7</v>
      </c>
      <c r="G509" s="3">
        <v>17.0</v>
      </c>
    </row>
    <row r="510">
      <c r="A510" s="3">
        <v>91.0</v>
      </c>
      <c r="B510" s="3">
        <v>175.5138</v>
      </c>
      <c r="C510" s="3">
        <v>69.74851</v>
      </c>
      <c r="D510" s="3">
        <v>2128.233</v>
      </c>
      <c r="E510" s="3">
        <v>2834.717</v>
      </c>
      <c r="F510" s="4" t="s">
        <v>7</v>
      </c>
      <c r="G510" s="3">
        <v>17.0</v>
      </c>
    </row>
    <row r="511">
      <c r="A511" s="3">
        <v>90.0</v>
      </c>
      <c r="B511" s="3">
        <v>175.2294</v>
      </c>
      <c r="C511" s="3">
        <v>69.28899</v>
      </c>
      <c r="D511" s="3">
        <v>2128.9</v>
      </c>
      <c r="E511" s="3">
        <v>2839.629</v>
      </c>
      <c r="F511" s="4" t="s">
        <v>7</v>
      </c>
      <c r="G511" s="3">
        <v>17.0</v>
      </c>
    </row>
    <row r="512">
      <c r="A512" s="3">
        <v>89.0</v>
      </c>
      <c r="B512" s="3">
        <v>175.2294</v>
      </c>
      <c r="C512" s="3">
        <v>69.60549</v>
      </c>
      <c r="D512" s="3">
        <v>2128.9</v>
      </c>
      <c r="E512" s="3">
        <v>2839.025</v>
      </c>
      <c r="F512" s="4" t="s">
        <v>7</v>
      </c>
      <c r="G512" s="3">
        <v>17.0</v>
      </c>
    </row>
    <row r="513">
      <c r="A513" s="3">
        <v>88.0</v>
      </c>
      <c r="B513" s="3">
        <v>174.9077</v>
      </c>
      <c r="C513" s="3">
        <v>69.76942</v>
      </c>
      <c r="D513" s="3">
        <v>2129.767</v>
      </c>
      <c r="E513" s="3">
        <v>2833.634</v>
      </c>
      <c r="F513" s="4" t="s">
        <v>7</v>
      </c>
      <c r="G513" s="3">
        <v>17.0</v>
      </c>
    </row>
    <row r="514">
      <c r="A514" s="3">
        <v>87.0</v>
      </c>
      <c r="B514" s="3">
        <v>174.9077</v>
      </c>
      <c r="C514" s="3">
        <v>70.53495</v>
      </c>
      <c r="D514" s="3">
        <v>2129.767</v>
      </c>
      <c r="E514" s="3">
        <v>2830.824</v>
      </c>
      <c r="F514" s="4" t="s">
        <v>7</v>
      </c>
      <c r="G514" s="3">
        <v>17.0</v>
      </c>
    </row>
    <row r="515">
      <c r="A515" s="3">
        <v>86.0</v>
      </c>
      <c r="B515" s="3">
        <v>174.9077</v>
      </c>
      <c r="C515" s="3">
        <v>68.89664</v>
      </c>
      <c r="D515" s="3">
        <v>2129.767</v>
      </c>
      <c r="E515" s="3">
        <v>2848.929</v>
      </c>
      <c r="F515" s="4" t="s">
        <v>7</v>
      </c>
      <c r="G515" s="3">
        <v>17.0</v>
      </c>
    </row>
    <row r="516">
      <c r="A516" s="3">
        <v>85.0</v>
      </c>
      <c r="B516" s="3">
        <v>174.9077</v>
      </c>
      <c r="C516" s="3">
        <v>67.75033</v>
      </c>
      <c r="D516" s="3">
        <v>2129.767</v>
      </c>
      <c r="E516" s="3">
        <v>2851.236</v>
      </c>
      <c r="F516" s="4" t="s">
        <v>7</v>
      </c>
      <c r="G516" s="3">
        <v>17.0</v>
      </c>
    </row>
    <row r="517">
      <c r="A517" s="3">
        <v>84.0</v>
      </c>
      <c r="B517" s="3">
        <v>174.7757</v>
      </c>
      <c r="C517" s="3">
        <v>67.75312</v>
      </c>
      <c r="D517" s="3">
        <v>2130.1</v>
      </c>
      <c r="E517" s="3">
        <v>2849.149</v>
      </c>
      <c r="F517" s="4" t="s">
        <v>7</v>
      </c>
      <c r="G517" s="3">
        <v>17.0</v>
      </c>
    </row>
    <row r="518">
      <c r="A518" s="3">
        <v>83.0</v>
      </c>
      <c r="B518" s="3">
        <v>174.2079</v>
      </c>
      <c r="C518" s="3">
        <v>69.26155</v>
      </c>
      <c r="D518" s="3">
        <v>2131.633</v>
      </c>
      <c r="E518" s="3">
        <v>2834.182</v>
      </c>
      <c r="F518" s="4" t="s">
        <v>7</v>
      </c>
      <c r="G518" s="3">
        <v>17.0</v>
      </c>
    </row>
    <row r="519">
      <c r="A519" s="3">
        <v>82.0</v>
      </c>
      <c r="B519" s="3">
        <v>173.9746</v>
      </c>
      <c r="C519" s="3">
        <v>69.5789</v>
      </c>
      <c r="D519" s="3">
        <v>2132.333</v>
      </c>
      <c r="E519" s="3">
        <v>2842.185</v>
      </c>
      <c r="F519" s="4" t="s">
        <v>7</v>
      </c>
      <c r="G519" s="3">
        <v>17.0</v>
      </c>
    </row>
    <row r="520">
      <c r="A520" s="3">
        <v>81.0</v>
      </c>
      <c r="B520" s="3">
        <v>173.7366</v>
      </c>
      <c r="C520" s="3">
        <v>68.81505</v>
      </c>
      <c r="D520" s="3">
        <v>2133.0</v>
      </c>
      <c r="E520" s="3">
        <v>2849.069</v>
      </c>
      <c r="F520" s="4" t="s">
        <v>7</v>
      </c>
      <c r="G520" s="3">
        <v>17.0</v>
      </c>
    </row>
    <row r="521">
      <c r="A521" s="3">
        <v>80.0</v>
      </c>
      <c r="B521" s="3">
        <v>173.7116</v>
      </c>
      <c r="C521" s="3">
        <v>68.50983</v>
      </c>
      <c r="D521" s="3">
        <v>2133.067</v>
      </c>
      <c r="E521" s="3">
        <v>2847.79</v>
      </c>
      <c r="F521" s="4" t="s">
        <v>7</v>
      </c>
      <c r="G521" s="3">
        <v>17.0</v>
      </c>
    </row>
    <row r="522">
      <c r="A522" s="3">
        <v>79.0</v>
      </c>
      <c r="B522" s="3">
        <v>173.7116</v>
      </c>
      <c r="C522" s="3">
        <v>67.73809</v>
      </c>
      <c r="D522" s="3">
        <v>2133.067</v>
      </c>
      <c r="E522" s="3">
        <v>2847.953</v>
      </c>
      <c r="F522" s="4" t="s">
        <v>7</v>
      </c>
      <c r="G522" s="3">
        <v>17.0</v>
      </c>
    </row>
    <row r="523">
      <c r="A523" s="3">
        <v>78.0</v>
      </c>
      <c r="B523" s="3">
        <v>173.7116</v>
      </c>
      <c r="C523" s="3">
        <v>67.40791</v>
      </c>
      <c r="D523" s="3">
        <v>2133.067</v>
      </c>
      <c r="E523" s="3">
        <v>2851.995</v>
      </c>
      <c r="F523" s="4" t="s">
        <v>7</v>
      </c>
      <c r="G523" s="3">
        <v>17.0</v>
      </c>
    </row>
    <row r="524">
      <c r="A524" s="3">
        <v>77.0</v>
      </c>
      <c r="B524" s="3">
        <v>173.5175</v>
      </c>
      <c r="C524" s="3">
        <v>67.7008</v>
      </c>
      <c r="D524" s="3">
        <v>2133.6</v>
      </c>
      <c r="E524" s="3">
        <v>2849.37</v>
      </c>
      <c r="F524" s="4" t="s">
        <v>7</v>
      </c>
      <c r="G524" s="3">
        <v>17.0</v>
      </c>
    </row>
    <row r="525">
      <c r="A525" s="3">
        <v>76.0</v>
      </c>
      <c r="B525" s="3">
        <v>173.5175</v>
      </c>
      <c r="C525" s="3">
        <v>66.94698</v>
      </c>
      <c r="D525" s="3">
        <v>2133.6</v>
      </c>
      <c r="E525" s="3">
        <v>2853.279</v>
      </c>
      <c r="F525" s="4" t="s">
        <v>7</v>
      </c>
      <c r="G525" s="3">
        <v>17.0</v>
      </c>
    </row>
    <row r="526">
      <c r="A526" s="3">
        <v>75.0</v>
      </c>
      <c r="B526" s="3">
        <v>173.5175</v>
      </c>
      <c r="C526" s="3">
        <v>66.19256</v>
      </c>
      <c r="D526" s="3">
        <v>2133.6</v>
      </c>
      <c r="E526" s="3">
        <v>2865.172</v>
      </c>
      <c r="F526" s="4" t="s">
        <v>7</v>
      </c>
      <c r="G526" s="3">
        <v>17.0</v>
      </c>
    </row>
    <row r="527">
      <c r="A527" s="3">
        <v>74.0</v>
      </c>
      <c r="B527" s="3">
        <v>173.5175</v>
      </c>
      <c r="C527" s="3">
        <v>66.36963</v>
      </c>
      <c r="D527" s="3">
        <v>2133.6</v>
      </c>
      <c r="E527" s="3">
        <v>2864.197</v>
      </c>
      <c r="F527" s="4" t="s">
        <v>7</v>
      </c>
      <c r="G527" s="3">
        <v>17.0</v>
      </c>
    </row>
    <row r="528">
      <c r="A528" s="3">
        <v>73.0</v>
      </c>
      <c r="B528" s="3">
        <v>172.6744</v>
      </c>
      <c r="C528" s="3">
        <v>66.7712</v>
      </c>
      <c r="D528" s="3">
        <v>2135.833</v>
      </c>
      <c r="E528" s="3">
        <v>2863.605</v>
      </c>
      <c r="F528" s="4" t="s">
        <v>7</v>
      </c>
      <c r="G528" s="3">
        <v>17.0</v>
      </c>
    </row>
    <row r="529">
      <c r="A529" s="3">
        <v>72.0</v>
      </c>
      <c r="B529" s="3">
        <v>172.6744</v>
      </c>
      <c r="C529" s="3">
        <v>66.97487</v>
      </c>
      <c r="D529" s="3">
        <v>2135.833</v>
      </c>
      <c r="E529" s="3">
        <v>2862.617</v>
      </c>
      <c r="F529" s="4" t="s">
        <v>7</v>
      </c>
      <c r="G529" s="3">
        <v>17.0</v>
      </c>
    </row>
    <row r="530">
      <c r="A530" s="3">
        <v>71.0</v>
      </c>
      <c r="B530" s="3">
        <v>172.5136</v>
      </c>
      <c r="C530" s="3">
        <v>66.16364</v>
      </c>
      <c r="D530" s="3">
        <v>2136.167</v>
      </c>
      <c r="E530" s="3">
        <v>2868.665</v>
      </c>
      <c r="F530" s="4" t="s">
        <v>7</v>
      </c>
      <c r="G530" s="3">
        <v>17.0</v>
      </c>
    </row>
    <row r="531">
      <c r="A531" s="3">
        <v>70.0</v>
      </c>
      <c r="B531" s="3">
        <v>172.5136</v>
      </c>
      <c r="C531" s="3">
        <v>65.73555</v>
      </c>
      <c r="D531" s="3">
        <v>2136.167</v>
      </c>
      <c r="E531" s="3">
        <v>2880.283</v>
      </c>
      <c r="F531" s="4" t="s">
        <v>7</v>
      </c>
      <c r="G531" s="3">
        <v>17.0</v>
      </c>
    </row>
    <row r="532">
      <c r="A532" s="3">
        <v>69.0</v>
      </c>
      <c r="B532" s="3">
        <v>171.5165</v>
      </c>
      <c r="C532" s="3">
        <v>65.65484</v>
      </c>
      <c r="D532" s="3">
        <v>2138.833</v>
      </c>
      <c r="E532" s="3">
        <v>2878.434</v>
      </c>
      <c r="F532" s="4" t="s">
        <v>7</v>
      </c>
      <c r="G532" s="3">
        <v>17.0</v>
      </c>
    </row>
    <row r="533">
      <c r="A533" s="3">
        <v>68.0</v>
      </c>
      <c r="B533" s="3">
        <v>171.0178</v>
      </c>
      <c r="C533" s="3">
        <v>64.87966</v>
      </c>
      <c r="D533" s="3">
        <v>2140.5</v>
      </c>
      <c r="E533" s="3">
        <v>2883.255</v>
      </c>
      <c r="F533" s="4" t="s">
        <v>7</v>
      </c>
      <c r="G533" s="3">
        <v>17.0</v>
      </c>
    </row>
    <row r="534">
      <c r="A534" s="3">
        <v>67.0</v>
      </c>
      <c r="B534" s="3">
        <v>171.0178</v>
      </c>
      <c r="C534" s="3">
        <v>65.17291</v>
      </c>
      <c r="D534" s="3">
        <v>2140.5</v>
      </c>
      <c r="E534" s="3">
        <v>2889.148</v>
      </c>
      <c r="F534" s="4" t="s">
        <v>7</v>
      </c>
      <c r="G534" s="3">
        <v>17.0</v>
      </c>
    </row>
    <row r="535">
      <c r="A535" s="3">
        <v>66.0</v>
      </c>
      <c r="B535" s="3">
        <v>168.9448</v>
      </c>
      <c r="C535" s="3">
        <v>63.55659</v>
      </c>
      <c r="D535" s="3">
        <v>2145.967</v>
      </c>
      <c r="E535" s="3">
        <v>2905.089</v>
      </c>
      <c r="F535" s="4" t="s">
        <v>7</v>
      </c>
      <c r="G535" s="3">
        <v>17.0</v>
      </c>
    </row>
    <row r="536">
      <c r="A536" s="3">
        <v>65.0</v>
      </c>
      <c r="B536" s="3">
        <v>168.896</v>
      </c>
      <c r="C536" s="3">
        <v>62.48244</v>
      </c>
      <c r="D536" s="3">
        <v>2146.067</v>
      </c>
      <c r="E536" s="3">
        <v>2910.99</v>
      </c>
      <c r="F536" s="4" t="s">
        <v>7</v>
      </c>
      <c r="G536" s="3">
        <v>17.0</v>
      </c>
    </row>
    <row r="537">
      <c r="A537" s="3">
        <v>64.0</v>
      </c>
      <c r="B537" s="3">
        <v>168.7794</v>
      </c>
      <c r="C537" s="3">
        <v>62.71516</v>
      </c>
      <c r="D537" s="3">
        <v>2146.467</v>
      </c>
      <c r="E537" s="3">
        <v>2911.095</v>
      </c>
      <c r="F537" s="4" t="s">
        <v>7</v>
      </c>
      <c r="G537" s="3">
        <v>17.0</v>
      </c>
    </row>
    <row r="538">
      <c r="A538" s="3">
        <v>63.0</v>
      </c>
      <c r="B538" s="3">
        <v>168.1322</v>
      </c>
      <c r="C538" s="3">
        <v>63.03676</v>
      </c>
      <c r="D538" s="3">
        <v>2148.267</v>
      </c>
      <c r="E538" s="3">
        <v>2906.07</v>
      </c>
      <c r="F538" s="4" t="s">
        <v>7</v>
      </c>
      <c r="G538" s="3">
        <v>17.0</v>
      </c>
    </row>
    <row r="539">
      <c r="A539" s="3">
        <v>62.0</v>
      </c>
      <c r="B539" s="3">
        <v>168.0472</v>
      </c>
      <c r="C539" s="3">
        <v>61.87486</v>
      </c>
      <c r="D539" s="3">
        <v>2148.5</v>
      </c>
      <c r="E539" s="3">
        <v>2917.687</v>
      </c>
      <c r="F539" s="4" t="s">
        <v>7</v>
      </c>
      <c r="G539" s="3">
        <v>17.0</v>
      </c>
    </row>
    <row r="540">
      <c r="A540" s="3">
        <v>61.0</v>
      </c>
      <c r="B540" s="3">
        <v>166.7178</v>
      </c>
      <c r="C540" s="3">
        <v>62.1582</v>
      </c>
      <c r="D540" s="3">
        <v>2151.933</v>
      </c>
      <c r="E540" s="3">
        <v>2918.63</v>
      </c>
      <c r="F540" s="4" t="s">
        <v>7</v>
      </c>
      <c r="G540" s="3">
        <v>17.0</v>
      </c>
    </row>
    <row r="541">
      <c r="A541" s="3">
        <v>60.0</v>
      </c>
      <c r="B541" s="3">
        <v>165.7639</v>
      </c>
      <c r="C541" s="3">
        <v>61.24514</v>
      </c>
      <c r="D541" s="3">
        <v>2154.333</v>
      </c>
      <c r="E541" s="3">
        <v>2923.205</v>
      </c>
      <c r="F541" s="4" t="s">
        <v>7</v>
      </c>
      <c r="G541" s="3">
        <v>17.0</v>
      </c>
    </row>
    <row r="542">
      <c r="A542" s="3">
        <v>59.0</v>
      </c>
      <c r="B542" s="3">
        <v>165.7639</v>
      </c>
      <c r="C542" s="3">
        <v>61.26397</v>
      </c>
      <c r="D542" s="3">
        <v>2154.333</v>
      </c>
      <c r="E542" s="3">
        <v>2918.685</v>
      </c>
      <c r="F542" s="4" t="s">
        <v>7</v>
      </c>
      <c r="G542" s="3">
        <v>17.0</v>
      </c>
    </row>
    <row r="543">
      <c r="A543" s="3">
        <v>58.0</v>
      </c>
      <c r="B543" s="3">
        <v>164.5611</v>
      </c>
      <c r="C543" s="3">
        <v>61.40654</v>
      </c>
      <c r="D543" s="3">
        <v>2158.0</v>
      </c>
      <c r="E543" s="3">
        <v>2920.229</v>
      </c>
      <c r="F543" s="4" t="s">
        <v>7</v>
      </c>
      <c r="G543" s="3">
        <v>17.0</v>
      </c>
    </row>
    <row r="544">
      <c r="A544" s="3">
        <v>57.0</v>
      </c>
      <c r="B544" s="3">
        <v>164.1294</v>
      </c>
      <c r="C544" s="3">
        <v>60.86041</v>
      </c>
      <c r="D544" s="3">
        <v>2159.2</v>
      </c>
      <c r="E544" s="3">
        <v>2932.988</v>
      </c>
      <c r="F544" s="4" t="s">
        <v>7</v>
      </c>
      <c r="G544" s="3">
        <v>17.0</v>
      </c>
    </row>
    <row r="545">
      <c r="A545" s="3">
        <v>56.0</v>
      </c>
      <c r="B545" s="3">
        <v>162.9447</v>
      </c>
      <c r="C545" s="3">
        <v>60.06631</v>
      </c>
      <c r="D545" s="3">
        <v>2162.867</v>
      </c>
      <c r="E545" s="3">
        <v>2941.788</v>
      </c>
      <c r="F545" s="4" t="s">
        <v>7</v>
      </c>
      <c r="G545" s="3">
        <v>17.0</v>
      </c>
    </row>
    <row r="546">
      <c r="A546" s="3">
        <v>55.0</v>
      </c>
      <c r="B546" s="3">
        <v>162.3071</v>
      </c>
      <c r="C546" s="3">
        <v>60.07603</v>
      </c>
      <c r="D546" s="3">
        <v>2164.433</v>
      </c>
      <c r="E546" s="3">
        <v>2936.511</v>
      </c>
      <c r="F546" s="4" t="s">
        <v>7</v>
      </c>
      <c r="G546" s="3">
        <v>17.0</v>
      </c>
    </row>
    <row r="547">
      <c r="A547" s="3">
        <v>54.0</v>
      </c>
      <c r="B547" s="3">
        <v>161.4976</v>
      </c>
      <c r="C547" s="3">
        <v>60.00529</v>
      </c>
      <c r="D547" s="3">
        <v>2166.667</v>
      </c>
      <c r="E547" s="3">
        <v>2935.034</v>
      </c>
      <c r="F547" s="4" t="s">
        <v>7</v>
      </c>
      <c r="G547" s="3">
        <v>17.0</v>
      </c>
    </row>
    <row r="548">
      <c r="A548" s="3">
        <v>53.0</v>
      </c>
      <c r="B548" s="3">
        <v>160.8929</v>
      </c>
      <c r="C548" s="3">
        <v>59.71236</v>
      </c>
      <c r="D548" s="3">
        <v>2168.433</v>
      </c>
      <c r="E548" s="3">
        <v>2937.773</v>
      </c>
      <c r="F548" s="4" t="s">
        <v>7</v>
      </c>
      <c r="G548" s="3">
        <v>17.0</v>
      </c>
    </row>
    <row r="549">
      <c r="A549" s="3">
        <v>52.0</v>
      </c>
      <c r="B549" s="3">
        <v>160.5072</v>
      </c>
      <c r="C549" s="3">
        <v>59.24079</v>
      </c>
      <c r="D549" s="3">
        <v>2169.5</v>
      </c>
      <c r="E549" s="3">
        <v>2947.809</v>
      </c>
      <c r="F549" s="4" t="s">
        <v>7</v>
      </c>
      <c r="G549" s="3">
        <v>17.0</v>
      </c>
    </row>
    <row r="550">
      <c r="A550" s="3">
        <v>51.0</v>
      </c>
      <c r="B550" s="3">
        <v>158.3539</v>
      </c>
      <c r="C550" s="3">
        <v>57.4862</v>
      </c>
      <c r="D550" s="3">
        <v>2175.633</v>
      </c>
      <c r="E550" s="3">
        <v>2969.441</v>
      </c>
      <c r="F550" s="4" t="s">
        <v>7</v>
      </c>
      <c r="G550" s="3">
        <v>17.0</v>
      </c>
    </row>
    <row r="551">
      <c r="A551" s="3">
        <v>50.0</v>
      </c>
      <c r="B551" s="3">
        <v>156.8635</v>
      </c>
      <c r="C551" s="3">
        <v>56.27406</v>
      </c>
      <c r="D551" s="3">
        <v>2180.333</v>
      </c>
      <c r="E551" s="3">
        <v>2981.275</v>
      </c>
      <c r="F551" s="4" t="s">
        <v>7</v>
      </c>
      <c r="G551" s="3">
        <v>17.0</v>
      </c>
    </row>
    <row r="552">
      <c r="A552" s="3">
        <v>49.0</v>
      </c>
      <c r="B552" s="3">
        <v>156.5305</v>
      </c>
      <c r="C552" s="3">
        <v>56.28735</v>
      </c>
      <c r="D552" s="3">
        <v>2181.367</v>
      </c>
      <c r="E552" s="3">
        <v>2976.022</v>
      </c>
      <c r="F552" s="4" t="s">
        <v>7</v>
      </c>
      <c r="G552" s="3">
        <v>17.0</v>
      </c>
    </row>
    <row r="553">
      <c r="A553" s="3">
        <v>48.0</v>
      </c>
      <c r="B553" s="3">
        <v>155.1731</v>
      </c>
      <c r="C553" s="3">
        <v>55.57326</v>
      </c>
      <c r="D553" s="3">
        <v>2187.367</v>
      </c>
      <c r="E553" s="3">
        <v>2983.701</v>
      </c>
      <c r="F553" s="4" t="s">
        <v>7</v>
      </c>
      <c r="G553" s="3">
        <v>17.0</v>
      </c>
    </row>
    <row r="554">
      <c r="A554" s="3">
        <v>47.0</v>
      </c>
      <c r="B554" s="3">
        <v>154.2449</v>
      </c>
      <c r="C554" s="3">
        <v>54.4209</v>
      </c>
      <c r="D554" s="3">
        <v>2189.7</v>
      </c>
      <c r="E554" s="3">
        <v>3001.552</v>
      </c>
      <c r="F554" s="4" t="s">
        <v>7</v>
      </c>
      <c r="G554" s="3">
        <v>17.0</v>
      </c>
    </row>
    <row r="555">
      <c r="A555" s="3">
        <v>46.0</v>
      </c>
      <c r="B555" s="3">
        <v>152.5797</v>
      </c>
      <c r="C555" s="3">
        <v>53.69369</v>
      </c>
      <c r="D555" s="3">
        <v>2193.767</v>
      </c>
      <c r="E555" s="3">
        <v>3014.217</v>
      </c>
      <c r="F555" s="4" t="s">
        <v>7</v>
      </c>
      <c r="G555" s="3">
        <v>17.0</v>
      </c>
    </row>
    <row r="556">
      <c r="A556" s="3">
        <v>45.0</v>
      </c>
      <c r="B556" s="3">
        <v>151.0651</v>
      </c>
      <c r="C556" s="3">
        <v>52.96201</v>
      </c>
      <c r="D556" s="3">
        <v>2197.433</v>
      </c>
      <c r="E556" s="3">
        <v>3018.359</v>
      </c>
      <c r="F556" s="4" t="s">
        <v>7</v>
      </c>
      <c r="G556" s="3">
        <v>17.0</v>
      </c>
    </row>
    <row r="557">
      <c r="A557" s="3">
        <v>44.0</v>
      </c>
      <c r="B557" s="3">
        <v>150.9943</v>
      </c>
      <c r="C557" s="3">
        <v>52.1659</v>
      </c>
      <c r="D557" s="3">
        <v>2197.633</v>
      </c>
      <c r="E557" s="3">
        <v>3027.578</v>
      </c>
      <c r="F557" s="4" t="s">
        <v>7</v>
      </c>
      <c r="G557" s="3">
        <v>17.0</v>
      </c>
    </row>
    <row r="558">
      <c r="A558" s="3">
        <v>43.0</v>
      </c>
      <c r="B558" s="3">
        <v>149.781</v>
      </c>
      <c r="C558" s="3">
        <v>51.35077</v>
      </c>
      <c r="D558" s="3">
        <v>2200.733</v>
      </c>
      <c r="E558" s="3">
        <v>3039.044</v>
      </c>
      <c r="F558" s="4" t="s">
        <v>7</v>
      </c>
      <c r="G558" s="3">
        <v>17.0</v>
      </c>
    </row>
    <row r="559">
      <c r="A559" s="3">
        <v>42.0</v>
      </c>
      <c r="B559" s="3">
        <v>148.3092</v>
      </c>
      <c r="C559" s="3">
        <v>51.03233</v>
      </c>
      <c r="D559" s="3">
        <v>2205.333</v>
      </c>
      <c r="E559" s="3">
        <v>3040.841</v>
      </c>
      <c r="F559" s="4" t="s">
        <v>7</v>
      </c>
      <c r="G559" s="3">
        <v>17.0</v>
      </c>
    </row>
    <row r="560">
      <c r="A560" s="3">
        <v>41.0</v>
      </c>
      <c r="B560" s="3">
        <v>147.7455</v>
      </c>
      <c r="C560" s="3">
        <v>50.66601</v>
      </c>
      <c r="D560" s="3">
        <v>2207.133</v>
      </c>
      <c r="E560" s="3">
        <v>3046.129</v>
      </c>
      <c r="F560" s="4" t="s">
        <v>7</v>
      </c>
      <c r="G560" s="3">
        <v>17.0</v>
      </c>
    </row>
    <row r="561">
      <c r="A561" s="3">
        <v>40.0</v>
      </c>
      <c r="B561" s="3">
        <v>146.3185</v>
      </c>
      <c r="C561" s="3">
        <v>49.81131</v>
      </c>
      <c r="D561" s="3">
        <v>2212.2</v>
      </c>
      <c r="E561" s="3">
        <v>3054.729</v>
      </c>
      <c r="F561" s="4" t="s">
        <v>7</v>
      </c>
      <c r="G561" s="3">
        <v>17.0</v>
      </c>
    </row>
    <row r="562">
      <c r="A562" s="3">
        <v>39.0</v>
      </c>
      <c r="B562" s="3">
        <v>145.0526</v>
      </c>
      <c r="C562" s="3">
        <v>49.98629</v>
      </c>
      <c r="D562" s="3">
        <v>2216.367</v>
      </c>
      <c r="E562" s="3">
        <v>3055.123</v>
      </c>
      <c r="F562" s="4" t="s">
        <v>7</v>
      </c>
      <c r="G562" s="3">
        <v>17.0</v>
      </c>
    </row>
    <row r="563">
      <c r="A563" s="3">
        <v>38.0</v>
      </c>
      <c r="B563" s="3">
        <v>143.1816</v>
      </c>
      <c r="C563" s="3">
        <v>48.60424</v>
      </c>
      <c r="D563" s="3">
        <v>2223.133</v>
      </c>
      <c r="E563" s="3">
        <v>3073.682</v>
      </c>
      <c r="F563" s="4" t="s">
        <v>7</v>
      </c>
      <c r="G563" s="3">
        <v>17.0</v>
      </c>
    </row>
    <row r="564">
      <c r="A564" s="3">
        <v>37.0</v>
      </c>
      <c r="B564" s="3">
        <v>140.3349</v>
      </c>
      <c r="C564" s="3">
        <v>48.33671</v>
      </c>
      <c r="D564" s="3">
        <v>2232.267</v>
      </c>
      <c r="E564" s="3">
        <v>3075.256</v>
      </c>
      <c r="F564" s="4" t="s">
        <v>7</v>
      </c>
      <c r="G564" s="3">
        <v>17.0</v>
      </c>
    </row>
    <row r="565">
      <c r="A565" s="3">
        <v>36.0</v>
      </c>
      <c r="B565" s="3">
        <v>139.468</v>
      </c>
      <c r="C565" s="3">
        <v>48.5124</v>
      </c>
      <c r="D565" s="3">
        <v>2234.9</v>
      </c>
      <c r="E565" s="3">
        <v>3071.848</v>
      </c>
      <c r="F565" s="4" t="s">
        <v>7</v>
      </c>
      <c r="G565" s="3">
        <v>17.0</v>
      </c>
    </row>
    <row r="566">
      <c r="A566" s="3">
        <v>35.0</v>
      </c>
      <c r="B566" s="3">
        <v>137.8999</v>
      </c>
      <c r="C566" s="3">
        <v>48.07492</v>
      </c>
      <c r="D566" s="3">
        <v>2239.467</v>
      </c>
      <c r="E566" s="3">
        <v>3079.908</v>
      </c>
      <c r="F566" s="4" t="s">
        <v>7</v>
      </c>
      <c r="G566" s="3">
        <v>17.0</v>
      </c>
    </row>
    <row r="567">
      <c r="A567" s="3">
        <v>34.0</v>
      </c>
      <c r="B567" s="3">
        <v>135.7154</v>
      </c>
      <c r="C567" s="3">
        <v>46.6582</v>
      </c>
      <c r="D567" s="3">
        <v>2246.867</v>
      </c>
      <c r="E567" s="3">
        <v>3105.275</v>
      </c>
      <c r="F567" s="4" t="s">
        <v>7</v>
      </c>
      <c r="G567" s="3">
        <v>17.0</v>
      </c>
    </row>
    <row r="568">
      <c r="A568" s="3">
        <v>33.0</v>
      </c>
      <c r="B568" s="3">
        <v>133.7144</v>
      </c>
      <c r="C568" s="3">
        <v>45.10916</v>
      </c>
      <c r="D568" s="3">
        <v>2254.4</v>
      </c>
      <c r="E568" s="3">
        <v>3133.544</v>
      </c>
      <c r="F568" s="4" t="s">
        <v>7</v>
      </c>
      <c r="G568" s="3">
        <v>17.0</v>
      </c>
    </row>
    <row r="569">
      <c r="A569" s="3">
        <v>32.0</v>
      </c>
      <c r="B569" s="3">
        <v>132.7531</v>
      </c>
      <c r="C569" s="3">
        <v>43.45742</v>
      </c>
      <c r="D569" s="3">
        <v>2257.967</v>
      </c>
      <c r="E569" s="3">
        <v>3160.886</v>
      </c>
      <c r="F569" s="4" t="s">
        <v>7</v>
      </c>
      <c r="G569" s="3">
        <v>17.0</v>
      </c>
    </row>
    <row r="570">
      <c r="A570" s="3">
        <v>31.0</v>
      </c>
      <c r="B570" s="3">
        <v>131.9279</v>
      </c>
      <c r="C570" s="3">
        <v>42.64949</v>
      </c>
      <c r="D570" s="3">
        <v>2261.3</v>
      </c>
      <c r="E570" s="3">
        <v>3169.242</v>
      </c>
      <c r="F570" s="4" t="s">
        <v>7</v>
      </c>
      <c r="G570" s="3">
        <v>17.0</v>
      </c>
    </row>
    <row r="571">
      <c r="A571" s="3">
        <v>30.0</v>
      </c>
      <c r="B571" s="3">
        <v>130.3385</v>
      </c>
      <c r="C571" s="3">
        <v>41.25163</v>
      </c>
      <c r="D571" s="3">
        <v>2267.667</v>
      </c>
      <c r="E571" s="3">
        <v>3192.658</v>
      </c>
      <c r="F571" s="4" t="s">
        <v>7</v>
      </c>
      <c r="G571" s="3">
        <v>17.0</v>
      </c>
    </row>
    <row r="572">
      <c r="A572" s="3">
        <v>29.0</v>
      </c>
      <c r="B572" s="3">
        <v>126.1972</v>
      </c>
      <c r="C572" s="3">
        <v>40.46116</v>
      </c>
      <c r="D572" s="3">
        <v>2284.6</v>
      </c>
      <c r="E572" s="3">
        <v>3210.934</v>
      </c>
      <c r="F572" s="4" t="s">
        <v>7</v>
      </c>
      <c r="G572" s="3">
        <v>17.0</v>
      </c>
    </row>
    <row r="573">
      <c r="A573" s="3">
        <v>28.0</v>
      </c>
      <c r="B573" s="3">
        <v>124.4656</v>
      </c>
      <c r="C573" s="3">
        <v>39.71843</v>
      </c>
      <c r="D573" s="3">
        <v>2290.4</v>
      </c>
      <c r="E573" s="3">
        <v>3229.566</v>
      </c>
      <c r="F573" s="4" t="s">
        <v>7</v>
      </c>
      <c r="G573" s="3">
        <v>17.0</v>
      </c>
    </row>
    <row r="574">
      <c r="A574" s="3">
        <v>27.0</v>
      </c>
      <c r="B574" s="3">
        <v>122.901</v>
      </c>
      <c r="C574" s="3">
        <v>38.54336</v>
      </c>
      <c r="D574" s="3">
        <v>2295.8</v>
      </c>
      <c r="E574" s="3">
        <v>3246.013</v>
      </c>
      <c r="F574" s="4" t="s">
        <v>7</v>
      </c>
      <c r="G574" s="3">
        <v>17.0</v>
      </c>
    </row>
    <row r="575">
      <c r="A575" s="3">
        <v>26.0</v>
      </c>
      <c r="B575" s="3">
        <v>120.9898</v>
      </c>
      <c r="C575" s="3">
        <v>37.73666</v>
      </c>
      <c r="D575" s="3">
        <v>2304.067</v>
      </c>
      <c r="E575" s="3">
        <v>3268.059</v>
      </c>
      <c r="F575" s="4" t="s">
        <v>7</v>
      </c>
      <c r="G575" s="3">
        <v>17.0</v>
      </c>
    </row>
    <row r="576">
      <c r="A576" s="3">
        <v>25.0</v>
      </c>
      <c r="B576" s="3">
        <v>119.2673</v>
      </c>
      <c r="C576" s="3">
        <v>36.69025</v>
      </c>
      <c r="D576" s="3">
        <v>2311.067</v>
      </c>
      <c r="E576" s="3">
        <v>3298.498</v>
      </c>
      <c r="F576" s="4" t="s">
        <v>7</v>
      </c>
      <c r="G576" s="3">
        <v>17.0</v>
      </c>
    </row>
    <row r="577">
      <c r="A577" s="3">
        <v>24.0</v>
      </c>
      <c r="B577" s="3">
        <v>115.6459</v>
      </c>
      <c r="C577" s="3">
        <v>35.23511</v>
      </c>
      <c r="D577" s="3">
        <v>2325.233</v>
      </c>
      <c r="E577" s="3">
        <v>3336.44</v>
      </c>
      <c r="F577" s="4" t="s">
        <v>7</v>
      </c>
      <c r="G577" s="3">
        <v>17.0</v>
      </c>
    </row>
    <row r="578">
      <c r="A578" s="3">
        <v>23.0</v>
      </c>
      <c r="B578" s="3">
        <v>112.1045</v>
      </c>
      <c r="C578" s="3">
        <v>33.48097</v>
      </c>
      <c r="D578" s="3">
        <v>2343.0</v>
      </c>
      <c r="E578" s="3">
        <v>3377.062</v>
      </c>
      <c r="F578" s="4" t="s">
        <v>7</v>
      </c>
      <c r="G578" s="3">
        <v>17.0</v>
      </c>
    </row>
    <row r="579">
      <c r="A579" s="3">
        <v>22.0</v>
      </c>
      <c r="B579" s="3">
        <v>109.2659</v>
      </c>
      <c r="C579" s="3">
        <v>32.54167</v>
      </c>
      <c r="D579" s="3">
        <v>2357.667</v>
      </c>
      <c r="E579" s="3">
        <v>3393.89</v>
      </c>
      <c r="F579" s="4" t="s">
        <v>7</v>
      </c>
      <c r="G579" s="3">
        <v>17.0</v>
      </c>
    </row>
    <row r="580">
      <c r="A580" s="3">
        <v>21.0</v>
      </c>
      <c r="B580" s="3">
        <v>104.38</v>
      </c>
      <c r="C580" s="3">
        <v>31.27166</v>
      </c>
      <c r="D580" s="3">
        <v>2382.467</v>
      </c>
      <c r="E580" s="3">
        <v>3430.457</v>
      </c>
      <c r="F580" s="4" t="s">
        <v>7</v>
      </c>
      <c r="G580" s="3">
        <v>17.0</v>
      </c>
    </row>
    <row r="581">
      <c r="A581" s="3">
        <v>20.0</v>
      </c>
      <c r="B581" s="3">
        <v>101.8294</v>
      </c>
      <c r="C581" s="3">
        <v>29.96845</v>
      </c>
      <c r="D581" s="3">
        <v>2393.233</v>
      </c>
      <c r="E581" s="3">
        <v>3477.789</v>
      </c>
      <c r="F581" s="4" t="s">
        <v>7</v>
      </c>
      <c r="G581" s="3">
        <v>17.0</v>
      </c>
    </row>
    <row r="582">
      <c r="A582" s="3">
        <v>19.0</v>
      </c>
      <c r="B582" s="3">
        <v>96.34394</v>
      </c>
      <c r="C582" s="3">
        <v>28.89241</v>
      </c>
      <c r="D582" s="3">
        <v>2420.467</v>
      </c>
      <c r="E582" s="3">
        <v>3505.573</v>
      </c>
      <c r="F582" s="4" t="s">
        <v>7</v>
      </c>
      <c r="G582" s="3">
        <v>17.0</v>
      </c>
    </row>
    <row r="583">
      <c r="A583" s="3">
        <v>18.0</v>
      </c>
      <c r="B583" s="3">
        <v>92.57543</v>
      </c>
      <c r="C583" s="3">
        <v>27.68682</v>
      </c>
      <c r="D583" s="3">
        <v>2444.3</v>
      </c>
      <c r="E583" s="3">
        <v>3546.666</v>
      </c>
      <c r="F583" s="4" t="s">
        <v>7</v>
      </c>
      <c r="G583" s="3">
        <v>17.0</v>
      </c>
    </row>
    <row r="584">
      <c r="A584" s="3">
        <v>17.0</v>
      </c>
      <c r="B584" s="3">
        <v>90.8441</v>
      </c>
      <c r="C584" s="3">
        <v>26.73673</v>
      </c>
      <c r="D584" s="3">
        <v>2455.767</v>
      </c>
      <c r="E584" s="3">
        <v>3575.304</v>
      </c>
      <c r="F584" s="4" t="s">
        <v>7</v>
      </c>
      <c r="G584" s="3">
        <v>17.0</v>
      </c>
    </row>
    <row r="585">
      <c r="A585" s="3">
        <v>16.0</v>
      </c>
      <c r="B585" s="3">
        <v>88.27936</v>
      </c>
      <c r="C585" s="3">
        <v>25.97209</v>
      </c>
      <c r="D585" s="3">
        <v>2474.667</v>
      </c>
      <c r="E585" s="3">
        <v>3603.87</v>
      </c>
      <c r="F585" s="4" t="s">
        <v>7</v>
      </c>
      <c r="G585" s="3">
        <v>17.0</v>
      </c>
    </row>
    <row r="586">
      <c r="A586" s="3">
        <v>15.0</v>
      </c>
      <c r="B586" s="3">
        <v>83.65623</v>
      </c>
      <c r="C586" s="3">
        <v>25.09731</v>
      </c>
      <c r="D586" s="3">
        <v>2507.2</v>
      </c>
      <c r="E586" s="3">
        <v>3643.565</v>
      </c>
      <c r="F586" s="4" t="s">
        <v>7</v>
      </c>
      <c r="G586" s="3">
        <v>17.0</v>
      </c>
    </row>
    <row r="587">
      <c r="A587" s="3">
        <v>14.0</v>
      </c>
      <c r="B587" s="3">
        <v>79.87105</v>
      </c>
      <c r="C587" s="3">
        <v>24.10554</v>
      </c>
      <c r="D587" s="3">
        <v>2537.4</v>
      </c>
      <c r="E587" s="3">
        <v>3690.515</v>
      </c>
      <c r="F587" s="4" t="s">
        <v>7</v>
      </c>
      <c r="G587" s="3">
        <v>17.0</v>
      </c>
    </row>
    <row r="588">
      <c r="A588" s="3">
        <v>13.0</v>
      </c>
      <c r="B588" s="3">
        <v>76.18226</v>
      </c>
      <c r="C588" s="3">
        <v>23.05083</v>
      </c>
      <c r="D588" s="3">
        <v>2563.267</v>
      </c>
      <c r="E588" s="3">
        <v>3727.724</v>
      </c>
      <c r="F588" s="4" t="s">
        <v>7</v>
      </c>
      <c r="G588" s="3">
        <v>17.0</v>
      </c>
    </row>
    <row r="589">
      <c r="A589" s="3">
        <v>12.0</v>
      </c>
      <c r="B589" s="3">
        <v>73.49753</v>
      </c>
      <c r="C589" s="3">
        <v>22.13432</v>
      </c>
      <c r="D589" s="3">
        <v>2582.667</v>
      </c>
      <c r="E589" s="3">
        <v>3767.476</v>
      </c>
      <c r="F589" s="4" t="s">
        <v>7</v>
      </c>
      <c r="G589" s="3">
        <v>17.0</v>
      </c>
    </row>
    <row r="590">
      <c r="A590" s="3">
        <v>11.0</v>
      </c>
      <c r="B590" s="3">
        <v>68.48875</v>
      </c>
      <c r="C590" s="3">
        <v>21.34673</v>
      </c>
      <c r="D590" s="3">
        <v>2622.333</v>
      </c>
      <c r="E590" s="3">
        <v>3806.97</v>
      </c>
      <c r="F590" s="4" t="s">
        <v>7</v>
      </c>
      <c r="G590" s="3">
        <v>17.0</v>
      </c>
    </row>
    <row r="591">
      <c r="A591" s="3">
        <v>10.0</v>
      </c>
      <c r="B591" s="3">
        <v>63.67281</v>
      </c>
      <c r="C591" s="3">
        <v>20.19568</v>
      </c>
      <c r="D591" s="3">
        <v>2671.2</v>
      </c>
      <c r="E591" s="3">
        <v>3866.975</v>
      </c>
      <c r="F591" s="4" t="s">
        <v>7</v>
      </c>
      <c r="G591" s="3">
        <v>17.0</v>
      </c>
    </row>
    <row r="592">
      <c r="A592" s="3">
        <v>9.0</v>
      </c>
      <c r="B592" s="3">
        <v>60.56038</v>
      </c>
      <c r="C592" s="3">
        <v>19.21359</v>
      </c>
      <c r="D592" s="3">
        <v>2700.233</v>
      </c>
      <c r="E592" s="3">
        <v>3928.036</v>
      </c>
      <c r="F592" s="4" t="s">
        <v>7</v>
      </c>
      <c r="G592" s="3">
        <v>17.0</v>
      </c>
    </row>
    <row r="593">
      <c r="A593" s="3">
        <v>8.0</v>
      </c>
      <c r="B593" s="3">
        <v>57.77461</v>
      </c>
      <c r="C593" s="3">
        <v>18.39502</v>
      </c>
      <c r="D593" s="3">
        <v>2733.567</v>
      </c>
      <c r="E593" s="3">
        <v>3974.179</v>
      </c>
      <c r="F593" s="4" t="s">
        <v>7</v>
      </c>
      <c r="G593" s="3">
        <v>17.0</v>
      </c>
    </row>
    <row r="594">
      <c r="A594" s="3">
        <v>7.0</v>
      </c>
      <c r="B594" s="3">
        <v>54.80984</v>
      </c>
      <c r="C594" s="3">
        <v>17.45656</v>
      </c>
      <c r="D594" s="3">
        <v>2777.233</v>
      </c>
      <c r="E594" s="3">
        <v>4034.64</v>
      </c>
      <c r="F594" s="4" t="s">
        <v>7</v>
      </c>
      <c r="G594" s="3">
        <v>17.0</v>
      </c>
    </row>
    <row r="595">
      <c r="A595" s="3">
        <v>6.0</v>
      </c>
      <c r="B595" s="3">
        <v>50.26106</v>
      </c>
      <c r="C595" s="3">
        <v>16.4609</v>
      </c>
      <c r="D595" s="3">
        <v>2832.767</v>
      </c>
      <c r="E595" s="3">
        <v>4105.477</v>
      </c>
      <c r="F595" s="4" t="s">
        <v>7</v>
      </c>
      <c r="G595" s="3">
        <v>17.0</v>
      </c>
    </row>
    <row r="596">
      <c r="A596" s="3">
        <v>5.0</v>
      </c>
      <c r="B596" s="3">
        <v>46.45568</v>
      </c>
      <c r="C596" s="3">
        <v>15.60119</v>
      </c>
      <c r="D596" s="3">
        <v>2899.233</v>
      </c>
      <c r="E596" s="3">
        <v>4169.747</v>
      </c>
      <c r="F596" s="4" t="s">
        <v>7</v>
      </c>
      <c r="G596" s="3">
        <v>17.0</v>
      </c>
    </row>
    <row r="597">
      <c r="A597" s="3">
        <v>4.0</v>
      </c>
      <c r="B597" s="3">
        <v>42.40728</v>
      </c>
      <c r="C597" s="3">
        <v>14.79289</v>
      </c>
      <c r="D597" s="3">
        <v>2961.633</v>
      </c>
      <c r="E597" s="3">
        <v>4234.835</v>
      </c>
      <c r="F597" s="4" t="s">
        <v>7</v>
      </c>
      <c r="G597" s="3">
        <v>17.0</v>
      </c>
    </row>
    <row r="598">
      <c r="A598" s="3">
        <v>3.0</v>
      </c>
      <c r="B598" s="3">
        <v>40.52632</v>
      </c>
      <c r="C598" s="3">
        <v>14.05953</v>
      </c>
      <c r="D598" s="3">
        <v>2999.6</v>
      </c>
      <c r="E598" s="3">
        <v>4310.247</v>
      </c>
      <c r="F598" s="4" t="s">
        <v>7</v>
      </c>
      <c r="G598" s="3">
        <v>17.0</v>
      </c>
    </row>
    <row r="599">
      <c r="A599" s="3">
        <v>2.0</v>
      </c>
      <c r="B599" s="3">
        <v>36.8927</v>
      </c>
      <c r="C599" s="3">
        <v>13.39337</v>
      </c>
      <c r="D599" s="3">
        <v>3072.467</v>
      </c>
      <c r="E599" s="3">
        <v>4385.415</v>
      </c>
      <c r="F599" s="4" t="s">
        <v>7</v>
      </c>
      <c r="G599" s="3">
        <v>17.0</v>
      </c>
    </row>
    <row r="600">
      <c r="A600" s="3">
        <v>1.0</v>
      </c>
      <c r="B600" s="3">
        <v>31.91433</v>
      </c>
      <c r="C600" s="3">
        <v>12.70575</v>
      </c>
      <c r="D600" s="3">
        <v>3190.233</v>
      </c>
      <c r="E600" s="3">
        <v>4457.727</v>
      </c>
      <c r="F600" s="4" t="s">
        <v>7</v>
      </c>
      <c r="G600" s="3">
        <v>17.0</v>
      </c>
    </row>
    <row r="601">
      <c r="A601" s="3">
        <v>0.0</v>
      </c>
      <c r="B601" s="3">
        <v>28.27065</v>
      </c>
      <c r="C601" s="3">
        <v>11.9492</v>
      </c>
      <c r="D601" s="3">
        <v>3301.233</v>
      </c>
      <c r="E601" s="3">
        <v>4548.812</v>
      </c>
      <c r="F601" s="4" t="s">
        <v>7</v>
      </c>
      <c r="G601" s="3">
        <v>17.0</v>
      </c>
    </row>
    <row r="602">
      <c r="A602" s="3">
        <v>199.0</v>
      </c>
      <c r="B602" s="3">
        <v>428.7363</v>
      </c>
      <c r="C602" s="3">
        <v>213.6687</v>
      </c>
      <c r="D602" s="3">
        <v>1814.233</v>
      </c>
      <c r="E602" s="3">
        <v>2269.86</v>
      </c>
      <c r="F602" s="4" t="s">
        <v>7</v>
      </c>
      <c r="G602" s="3">
        <v>12.0</v>
      </c>
    </row>
    <row r="603">
      <c r="A603" s="3">
        <v>198.0</v>
      </c>
      <c r="B603" s="3">
        <v>428.7363</v>
      </c>
      <c r="C603" s="3">
        <v>212.8448</v>
      </c>
      <c r="D603" s="3">
        <v>1814.233</v>
      </c>
      <c r="E603" s="3">
        <v>2272.645</v>
      </c>
      <c r="F603" s="4" t="s">
        <v>7</v>
      </c>
      <c r="G603" s="3">
        <v>12.0</v>
      </c>
    </row>
    <row r="604">
      <c r="A604" s="3">
        <v>197.0</v>
      </c>
      <c r="B604" s="3">
        <v>428.7363</v>
      </c>
      <c r="C604" s="3">
        <v>212.8219</v>
      </c>
      <c r="D604" s="3">
        <v>1814.233</v>
      </c>
      <c r="E604" s="3">
        <v>2272.805</v>
      </c>
      <c r="F604" s="4" t="s">
        <v>7</v>
      </c>
      <c r="G604" s="3">
        <v>12.0</v>
      </c>
    </row>
    <row r="605">
      <c r="A605" s="3">
        <v>196.0</v>
      </c>
      <c r="B605" s="3">
        <v>428.7363</v>
      </c>
      <c r="C605" s="3">
        <v>210.7183</v>
      </c>
      <c r="D605" s="3">
        <v>1814.233</v>
      </c>
      <c r="E605" s="3">
        <v>2283.34</v>
      </c>
      <c r="F605" s="4" t="s">
        <v>7</v>
      </c>
      <c r="G605" s="3">
        <v>12.0</v>
      </c>
    </row>
    <row r="606">
      <c r="A606" s="3">
        <v>195.0</v>
      </c>
      <c r="B606" s="3">
        <v>428.7363</v>
      </c>
      <c r="C606" s="3">
        <v>212.142</v>
      </c>
      <c r="D606" s="3">
        <v>1814.233</v>
      </c>
      <c r="E606" s="3">
        <v>2279.355</v>
      </c>
      <c r="F606" s="4" t="s">
        <v>7</v>
      </c>
      <c r="G606" s="3">
        <v>12.0</v>
      </c>
    </row>
    <row r="607">
      <c r="A607" s="3">
        <v>194.0</v>
      </c>
      <c r="B607" s="3">
        <v>428.7363</v>
      </c>
      <c r="C607" s="3">
        <v>211.6278</v>
      </c>
      <c r="D607" s="3">
        <v>1814.233</v>
      </c>
      <c r="E607" s="3">
        <v>2281.787</v>
      </c>
      <c r="F607" s="4" t="s">
        <v>7</v>
      </c>
      <c r="G607" s="3">
        <v>12.0</v>
      </c>
    </row>
    <row r="608">
      <c r="A608" s="3">
        <v>193.0</v>
      </c>
      <c r="B608" s="3">
        <v>428.7363</v>
      </c>
      <c r="C608" s="3">
        <v>210.2638</v>
      </c>
      <c r="D608" s="3">
        <v>1814.233</v>
      </c>
      <c r="E608" s="3">
        <v>2282.911</v>
      </c>
      <c r="F608" s="4" t="s">
        <v>7</v>
      </c>
      <c r="G608" s="3">
        <v>12.0</v>
      </c>
    </row>
    <row r="609">
      <c r="A609" s="3">
        <v>192.0</v>
      </c>
      <c r="B609" s="3">
        <v>428.7363</v>
      </c>
      <c r="C609" s="3">
        <v>214.9576</v>
      </c>
      <c r="D609" s="3">
        <v>1814.233</v>
      </c>
      <c r="E609" s="3">
        <v>2268.341</v>
      </c>
      <c r="F609" s="4" t="s">
        <v>7</v>
      </c>
      <c r="G609" s="3">
        <v>12.0</v>
      </c>
    </row>
    <row r="610">
      <c r="A610" s="3">
        <v>191.0</v>
      </c>
      <c r="B610" s="3">
        <v>428.7363</v>
      </c>
      <c r="C610" s="3">
        <v>213.1458</v>
      </c>
      <c r="D610" s="3">
        <v>1814.233</v>
      </c>
      <c r="E610" s="3">
        <v>2277.788</v>
      </c>
      <c r="F610" s="4" t="s">
        <v>7</v>
      </c>
      <c r="G610" s="3">
        <v>12.0</v>
      </c>
    </row>
    <row r="611">
      <c r="A611" s="3">
        <v>190.0</v>
      </c>
      <c r="B611" s="3">
        <v>428.7363</v>
      </c>
      <c r="C611" s="3">
        <v>208.686</v>
      </c>
      <c r="D611" s="3">
        <v>1814.233</v>
      </c>
      <c r="E611" s="3">
        <v>2291.463</v>
      </c>
      <c r="F611" s="4" t="s">
        <v>7</v>
      </c>
      <c r="G611" s="3">
        <v>12.0</v>
      </c>
    </row>
    <row r="612">
      <c r="A612" s="3">
        <v>189.0</v>
      </c>
      <c r="B612" s="3">
        <v>428.7363</v>
      </c>
      <c r="C612" s="3">
        <v>207.4984</v>
      </c>
      <c r="D612" s="3">
        <v>1814.233</v>
      </c>
      <c r="E612" s="3">
        <v>2291.002</v>
      </c>
      <c r="F612" s="4" t="s">
        <v>7</v>
      </c>
      <c r="G612" s="3">
        <v>12.0</v>
      </c>
    </row>
    <row r="613">
      <c r="A613" s="3">
        <v>188.0</v>
      </c>
      <c r="B613" s="3">
        <v>428.7363</v>
      </c>
      <c r="C613" s="3">
        <v>211.1951</v>
      </c>
      <c r="D613" s="3">
        <v>1814.233</v>
      </c>
      <c r="E613" s="3">
        <v>2281.551</v>
      </c>
      <c r="F613" s="4" t="s">
        <v>7</v>
      </c>
      <c r="G613" s="3">
        <v>12.0</v>
      </c>
    </row>
    <row r="614">
      <c r="A614" s="3">
        <v>187.0</v>
      </c>
      <c r="B614" s="3">
        <v>428.7363</v>
      </c>
      <c r="C614" s="3">
        <v>211.4648</v>
      </c>
      <c r="D614" s="3">
        <v>1814.233</v>
      </c>
      <c r="E614" s="3">
        <v>2280.656</v>
      </c>
      <c r="F614" s="4" t="s">
        <v>7</v>
      </c>
      <c r="G614" s="3">
        <v>12.0</v>
      </c>
    </row>
    <row r="615">
      <c r="A615" s="3">
        <v>186.0</v>
      </c>
      <c r="B615" s="3">
        <v>428.7363</v>
      </c>
      <c r="C615" s="3">
        <v>211.2739</v>
      </c>
      <c r="D615" s="3">
        <v>1814.233</v>
      </c>
      <c r="E615" s="3">
        <v>2281.258</v>
      </c>
      <c r="F615" s="4" t="s">
        <v>7</v>
      </c>
      <c r="G615" s="3">
        <v>12.0</v>
      </c>
    </row>
    <row r="616">
      <c r="A616" s="3">
        <v>185.0</v>
      </c>
      <c r="B616" s="3">
        <v>428.7363</v>
      </c>
      <c r="C616" s="3">
        <v>209.6395</v>
      </c>
      <c r="D616" s="3">
        <v>1814.233</v>
      </c>
      <c r="E616" s="3">
        <v>2290.61</v>
      </c>
      <c r="F616" s="4" t="s">
        <v>7</v>
      </c>
      <c r="G616" s="3">
        <v>12.0</v>
      </c>
    </row>
    <row r="617">
      <c r="A617" s="3">
        <v>184.0</v>
      </c>
      <c r="B617" s="3">
        <v>428.7363</v>
      </c>
      <c r="C617" s="3">
        <v>207.7479</v>
      </c>
      <c r="D617" s="3">
        <v>1814.233</v>
      </c>
      <c r="E617" s="3">
        <v>2294.974</v>
      </c>
      <c r="F617" s="4" t="s">
        <v>7</v>
      </c>
      <c r="G617" s="3">
        <v>12.0</v>
      </c>
    </row>
    <row r="618">
      <c r="A618" s="3">
        <v>183.0</v>
      </c>
      <c r="B618" s="3">
        <v>428.7363</v>
      </c>
      <c r="C618" s="3">
        <v>208.0449</v>
      </c>
      <c r="D618" s="3">
        <v>1814.233</v>
      </c>
      <c r="E618" s="3">
        <v>2287.995</v>
      </c>
      <c r="F618" s="4" t="s">
        <v>7</v>
      </c>
      <c r="G618" s="3">
        <v>12.0</v>
      </c>
    </row>
    <row r="619">
      <c r="A619" s="3">
        <v>182.0</v>
      </c>
      <c r="B619" s="3">
        <v>428.7363</v>
      </c>
      <c r="C619" s="3">
        <v>205.2098</v>
      </c>
      <c r="D619" s="3">
        <v>1814.233</v>
      </c>
      <c r="E619" s="3">
        <v>2295.949</v>
      </c>
      <c r="F619" s="4" t="s">
        <v>7</v>
      </c>
      <c r="G619" s="3">
        <v>12.0</v>
      </c>
    </row>
    <row r="620">
      <c r="A620" s="3">
        <v>181.0</v>
      </c>
      <c r="B620" s="3">
        <v>428.7363</v>
      </c>
      <c r="C620" s="3">
        <v>209.1106</v>
      </c>
      <c r="D620" s="3">
        <v>1814.233</v>
      </c>
      <c r="E620" s="3">
        <v>2282.688</v>
      </c>
      <c r="F620" s="4" t="s">
        <v>7</v>
      </c>
      <c r="G620" s="3">
        <v>12.0</v>
      </c>
    </row>
    <row r="621">
      <c r="A621" s="3">
        <v>180.0</v>
      </c>
      <c r="B621" s="3">
        <v>428.7363</v>
      </c>
      <c r="C621" s="3">
        <v>210.2101</v>
      </c>
      <c r="D621" s="3">
        <v>1814.233</v>
      </c>
      <c r="E621" s="3">
        <v>2290.415</v>
      </c>
      <c r="F621" s="4" t="s">
        <v>7</v>
      </c>
      <c r="G621" s="3">
        <v>12.0</v>
      </c>
    </row>
    <row r="622">
      <c r="A622" s="3">
        <v>179.0</v>
      </c>
      <c r="B622" s="3">
        <v>428.7363</v>
      </c>
      <c r="C622" s="3">
        <v>207.865</v>
      </c>
      <c r="D622" s="3">
        <v>1814.233</v>
      </c>
      <c r="E622" s="3">
        <v>2291.55</v>
      </c>
      <c r="F622" s="4" t="s">
        <v>7</v>
      </c>
      <c r="G622" s="3">
        <v>12.0</v>
      </c>
    </row>
    <row r="623">
      <c r="A623" s="3">
        <v>178.0</v>
      </c>
      <c r="B623" s="3">
        <v>428.7363</v>
      </c>
      <c r="C623" s="3">
        <v>207.2667</v>
      </c>
      <c r="D623" s="3">
        <v>1814.233</v>
      </c>
      <c r="E623" s="3">
        <v>2291.466</v>
      </c>
      <c r="F623" s="4" t="s">
        <v>7</v>
      </c>
      <c r="G623" s="3">
        <v>12.0</v>
      </c>
    </row>
    <row r="624">
      <c r="A624" s="3">
        <v>177.0</v>
      </c>
      <c r="B624" s="3">
        <v>428.7363</v>
      </c>
      <c r="C624" s="3">
        <v>210.2566</v>
      </c>
      <c r="D624" s="3">
        <v>1814.233</v>
      </c>
      <c r="E624" s="3">
        <v>2280.998</v>
      </c>
      <c r="F624" s="4" t="s">
        <v>7</v>
      </c>
      <c r="G624" s="3">
        <v>12.0</v>
      </c>
    </row>
    <row r="625">
      <c r="A625" s="3">
        <v>176.0</v>
      </c>
      <c r="B625" s="3">
        <v>428.7363</v>
      </c>
      <c r="C625" s="3">
        <v>212.2205</v>
      </c>
      <c r="D625" s="3">
        <v>1814.233</v>
      </c>
      <c r="E625" s="3">
        <v>2280.129</v>
      </c>
      <c r="F625" s="4" t="s">
        <v>7</v>
      </c>
      <c r="G625" s="3">
        <v>12.0</v>
      </c>
    </row>
    <row r="626">
      <c r="A626" s="3">
        <v>175.0</v>
      </c>
      <c r="B626" s="3">
        <v>428.7363</v>
      </c>
      <c r="C626" s="3">
        <v>214.0853</v>
      </c>
      <c r="D626" s="3">
        <v>1814.233</v>
      </c>
      <c r="E626" s="3">
        <v>2275.456</v>
      </c>
      <c r="F626" s="4" t="s">
        <v>7</v>
      </c>
      <c r="G626" s="3">
        <v>12.0</v>
      </c>
    </row>
    <row r="627">
      <c r="A627" s="3">
        <v>174.0</v>
      </c>
      <c r="B627" s="3">
        <v>428.7363</v>
      </c>
      <c r="C627" s="3">
        <v>212.3505</v>
      </c>
      <c r="D627" s="3">
        <v>1814.233</v>
      </c>
      <c r="E627" s="3">
        <v>2279.082</v>
      </c>
      <c r="F627" s="4" t="s">
        <v>7</v>
      </c>
      <c r="G627" s="3">
        <v>12.0</v>
      </c>
    </row>
    <row r="628">
      <c r="A628" s="3">
        <v>173.0</v>
      </c>
      <c r="B628" s="3">
        <v>428.7363</v>
      </c>
      <c r="C628" s="3">
        <v>214.7399</v>
      </c>
      <c r="D628" s="3">
        <v>1814.233</v>
      </c>
      <c r="E628" s="3">
        <v>2271.496</v>
      </c>
      <c r="F628" s="4" t="s">
        <v>7</v>
      </c>
      <c r="G628" s="3">
        <v>12.0</v>
      </c>
    </row>
    <row r="629">
      <c r="A629" s="3">
        <v>172.0</v>
      </c>
      <c r="B629" s="3">
        <v>428.7363</v>
      </c>
      <c r="C629" s="3">
        <v>215.0416</v>
      </c>
      <c r="D629" s="3">
        <v>1814.233</v>
      </c>
      <c r="E629" s="3">
        <v>2275.159</v>
      </c>
      <c r="F629" s="4" t="s">
        <v>7</v>
      </c>
      <c r="G629" s="3">
        <v>12.0</v>
      </c>
    </row>
    <row r="630">
      <c r="A630" s="3">
        <v>171.0</v>
      </c>
      <c r="B630" s="3">
        <v>428.7363</v>
      </c>
      <c r="C630" s="3">
        <v>213.4172</v>
      </c>
      <c r="D630" s="3">
        <v>1814.233</v>
      </c>
      <c r="E630" s="3">
        <v>2276.873</v>
      </c>
      <c r="F630" s="4" t="s">
        <v>7</v>
      </c>
      <c r="G630" s="3">
        <v>12.0</v>
      </c>
    </row>
    <row r="631">
      <c r="A631" s="3">
        <v>170.0</v>
      </c>
      <c r="B631" s="3">
        <v>428.3972</v>
      </c>
      <c r="C631" s="3">
        <v>210.8463</v>
      </c>
      <c r="D631" s="3">
        <v>1814.533</v>
      </c>
      <c r="E631" s="3">
        <v>2285.103</v>
      </c>
      <c r="F631" s="4" t="s">
        <v>7</v>
      </c>
      <c r="G631" s="3">
        <v>12.0</v>
      </c>
    </row>
    <row r="632">
      <c r="A632" s="3">
        <v>169.0</v>
      </c>
      <c r="B632" s="3">
        <v>428.3972</v>
      </c>
      <c r="C632" s="3">
        <v>216.5383</v>
      </c>
      <c r="D632" s="3">
        <v>1814.533</v>
      </c>
      <c r="E632" s="3">
        <v>2267.341</v>
      </c>
      <c r="F632" s="4" t="s">
        <v>7</v>
      </c>
      <c r="G632" s="3">
        <v>12.0</v>
      </c>
    </row>
    <row r="633">
      <c r="A633" s="3">
        <v>168.0</v>
      </c>
      <c r="B633" s="3">
        <v>428.3972</v>
      </c>
      <c r="C633" s="3">
        <v>214.5385</v>
      </c>
      <c r="D633" s="3">
        <v>1814.533</v>
      </c>
      <c r="E633" s="3">
        <v>2273.595</v>
      </c>
      <c r="F633" s="4" t="s">
        <v>7</v>
      </c>
      <c r="G633" s="3">
        <v>12.0</v>
      </c>
    </row>
    <row r="634">
      <c r="A634" s="3">
        <v>167.0</v>
      </c>
      <c r="B634" s="3">
        <v>428.3972</v>
      </c>
      <c r="C634" s="3">
        <v>216.2634</v>
      </c>
      <c r="D634" s="3">
        <v>1814.533</v>
      </c>
      <c r="E634" s="3">
        <v>2266.787</v>
      </c>
      <c r="F634" s="4" t="s">
        <v>7</v>
      </c>
      <c r="G634" s="3">
        <v>12.0</v>
      </c>
    </row>
    <row r="635">
      <c r="A635" s="3">
        <v>166.0</v>
      </c>
      <c r="B635" s="3">
        <v>428.3972</v>
      </c>
      <c r="C635" s="3">
        <v>214.4784</v>
      </c>
      <c r="D635" s="3">
        <v>1814.533</v>
      </c>
      <c r="E635" s="3">
        <v>2270.686</v>
      </c>
      <c r="F635" s="4" t="s">
        <v>7</v>
      </c>
      <c r="G635" s="3">
        <v>12.0</v>
      </c>
    </row>
    <row r="636">
      <c r="A636" s="3">
        <v>165.0</v>
      </c>
      <c r="B636" s="3">
        <v>428.3972</v>
      </c>
      <c r="C636" s="3">
        <v>212.7204</v>
      </c>
      <c r="D636" s="3">
        <v>1814.533</v>
      </c>
      <c r="E636" s="3">
        <v>2276.617</v>
      </c>
      <c r="F636" s="4" t="s">
        <v>7</v>
      </c>
      <c r="G636" s="3">
        <v>12.0</v>
      </c>
    </row>
    <row r="637">
      <c r="A637" s="3">
        <v>164.0</v>
      </c>
      <c r="B637" s="3">
        <v>428.3972</v>
      </c>
      <c r="C637" s="3">
        <v>210.0032</v>
      </c>
      <c r="D637" s="3">
        <v>1814.533</v>
      </c>
      <c r="E637" s="3">
        <v>2284.277</v>
      </c>
      <c r="F637" s="4" t="s">
        <v>7</v>
      </c>
      <c r="G637" s="3">
        <v>12.0</v>
      </c>
    </row>
    <row r="638">
      <c r="A638" s="3">
        <v>163.0</v>
      </c>
      <c r="B638" s="3">
        <v>428.3972</v>
      </c>
      <c r="C638" s="3">
        <v>210.9148</v>
      </c>
      <c r="D638" s="3">
        <v>1814.533</v>
      </c>
      <c r="E638" s="3">
        <v>2282.059</v>
      </c>
      <c r="F638" s="4" t="s">
        <v>7</v>
      </c>
      <c r="G638" s="3">
        <v>12.0</v>
      </c>
    </row>
    <row r="639">
      <c r="A639" s="3">
        <v>162.0</v>
      </c>
      <c r="B639" s="3">
        <v>428.3972</v>
      </c>
      <c r="C639" s="3">
        <v>209.8412</v>
      </c>
      <c r="D639" s="3">
        <v>1814.533</v>
      </c>
      <c r="E639" s="3">
        <v>2281.986</v>
      </c>
      <c r="F639" s="4" t="s">
        <v>7</v>
      </c>
      <c r="G639" s="3">
        <v>12.0</v>
      </c>
    </row>
    <row r="640">
      <c r="A640" s="3">
        <v>161.0</v>
      </c>
      <c r="B640" s="3">
        <v>428.3972</v>
      </c>
      <c r="C640" s="3">
        <v>209.646</v>
      </c>
      <c r="D640" s="3">
        <v>1814.533</v>
      </c>
      <c r="E640" s="3">
        <v>2283.164</v>
      </c>
      <c r="F640" s="4" t="s">
        <v>7</v>
      </c>
      <c r="G640" s="3">
        <v>12.0</v>
      </c>
    </row>
    <row r="641">
      <c r="A641" s="3">
        <v>160.0</v>
      </c>
      <c r="B641" s="3">
        <v>428.3972</v>
      </c>
      <c r="C641" s="3">
        <v>210.6825</v>
      </c>
      <c r="D641" s="3">
        <v>1814.533</v>
      </c>
      <c r="E641" s="3">
        <v>2281.28</v>
      </c>
      <c r="F641" s="4" t="s">
        <v>7</v>
      </c>
      <c r="G641" s="3">
        <v>12.0</v>
      </c>
    </row>
    <row r="642">
      <c r="A642" s="3">
        <v>159.0</v>
      </c>
      <c r="B642" s="3">
        <v>428.3972</v>
      </c>
      <c r="C642" s="3">
        <v>211.1253</v>
      </c>
      <c r="D642" s="3">
        <v>1814.533</v>
      </c>
      <c r="E642" s="3">
        <v>2281.335</v>
      </c>
      <c r="F642" s="4" t="s">
        <v>7</v>
      </c>
      <c r="G642" s="3">
        <v>12.0</v>
      </c>
    </row>
    <row r="643">
      <c r="A643" s="3">
        <v>158.0</v>
      </c>
      <c r="B643" s="3">
        <v>428.3972</v>
      </c>
      <c r="C643" s="3">
        <v>213.6537</v>
      </c>
      <c r="D643" s="3">
        <v>1814.533</v>
      </c>
      <c r="E643" s="3">
        <v>2273.634</v>
      </c>
      <c r="F643" s="4" t="s">
        <v>7</v>
      </c>
      <c r="G643" s="3">
        <v>12.0</v>
      </c>
    </row>
    <row r="644">
      <c r="A644" s="3">
        <v>157.0</v>
      </c>
      <c r="B644" s="3">
        <v>428.3972</v>
      </c>
      <c r="C644" s="3">
        <v>212.3389</v>
      </c>
      <c r="D644" s="3">
        <v>1814.533</v>
      </c>
      <c r="E644" s="3">
        <v>2281.429</v>
      </c>
      <c r="F644" s="4" t="s">
        <v>7</v>
      </c>
      <c r="G644" s="3">
        <v>12.0</v>
      </c>
    </row>
    <row r="645">
      <c r="A645" s="3">
        <v>156.0</v>
      </c>
      <c r="B645" s="3">
        <v>428.3972</v>
      </c>
      <c r="C645" s="3">
        <v>209.5985</v>
      </c>
      <c r="D645" s="3">
        <v>1814.533</v>
      </c>
      <c r="E645" s="3">
        <v>2286.174</v>
      </c>
      <c r="F645" s="4" t="s">
        <v>7</v>
      </c>
      <c r="G645" s="3">
        <v>12.0</v>
      </c>
    </row>
    <row r="646">
      <c r="A646" s="3">
        <v>155.0</v>
      </c>
      <c r="B646" s="3">
        <v>428.3972</v>
      </c>
      <c r="C646" s="3">
        <v>209.2967</v>
      </c>
      <c r="D646" s="3">
        <v>1814.533</v>
      </c>
      <c r="E646" s="3">
        <v>2284.855</v>
      </c>
      <c r="F646" s="4" t="s">
        <v>7</v>
      </c>
      <c r="G646" s="3">
        <v>12.0</v>
      </c>
    </row>
    <row r="647">
      <c r="A647" s="3">
        <v>154.0</v>
      </c>
      <c r="B647" s="3">
        <v>428.3972</v>
      </c>
      <c r="C647" s="3">
        <v>208.9204</v>
      </c>
      <c r="D647" s="3">
        <v>1814.533</v>
      </c>
      <c r="E647" s="3">
        <v>2284.857</v>
      </c>
      <c r="F647" s="4" t="s">
        <v>7</v>
      </c>
      <c r="G647" s="3">
        <v>12.0</v>
      </c>
    </row>
    <row r="648">
      <c r="A648" s="3">
        <v>153.0</v>
      </c>
      <c r="B648" s="3">
        <v>428.3972</v>
      </c>
      <c r="C648" s="3">
        <v>212.054</v>
      </c>
      <c r="D648" s="3">
        <v>1814.533</v>
      </c>
      <c r="E648" s="3">
        <v>2280.282</v>
      </c>
      <c r="F648" s="4" t="s">
        <v>7</v>
      </c>
      <c r="G648" s="3">
        <v>12.0</v>
      </c>
    </row>
    <row r="649">
      <c r="A649" s="3">
        <v>152.0</v>
      </c>
      <c r="B649" s="3">
        <v>428.3972</v>
      </c>
      <c r="C649" s="3">
        <v>214.2715</v>
      </c>
      <c r="D649" s="3">
        <v>1814.533</v>
      </c>
      <c r="E649" s="3">
        <v>2276.293</v>
      </c>
      <c r="F649" s="4" t="s">
        <v>7</v>
      </c>
      <c r="G649" s="3">
        <v>12.0</v>
      </c>
    </row>
    <row r="650">
      <c r="A650" s="3">
        <v>151.0</v>
      </c>
      <c r="B650" s="3">
        <v>428.3972</v>
      </c>
      <c r="C650" s="3">
        <v>214.0061</v>
      </c>
      <c r="D650" s="3">
        <v>1814.533</v>
      </c>
      <c r="E650" s="3">
        <v>2279.002</v>
      </c>
      <c r="F650" s="4" t="s">
        <v>7</v>
      </c>
      <c r="G650" s="3">
        <v>12.0</v>
      </c>
    </row>
    <row r="651">
      <c r="A651" s="3">
        <v>150.0</v>
      </c>
      <c r="B651" s="3">
        <v>428.3972</v>
      </c>
      <c r="C651" s="3">
        <v>211.7172</v>
      </c>
      <c r="D651" s="3">
        <v>1814.533</v>
      </c>
      <c r="E651" s="3">
        <v>2283.488</v>
      </c>
      <c r="F651" s="4" t="s">
        <v>7</v>
      </c>
      <c r="G651" s="3">
        <v>12.0</v>
      </c>
    </row>
    <row r="652">
      <c r="A652" s="3">
        <v>149.0</v>
      </c>
      <c r="B652" s="3">
        <v>428.3972</v>
      </c>
      <c r="C652" s="3">
        <v>209.8138</v>
      </c>
      <c r="D652" s="3">
        <v>1814.533</v>
      </c>
      <c r="E652" s="3">
        <v>2287.26</v>
      </c>
      <c r="F652" s="4" t="s">
        <v>7</v>
      </c>
      <c r="G652" s="3">
        <v>12.0</v>
      </c>
    </row>
    <row r="653">
      <c r="A653" s="3">
        <v>148.0</v>
      </c>
      <c r="B653" s="3">
        <v>428.3972</v>
      </c>
      <c r="C653" s="3">
        <v>210.6041</v>
      </c>
      <c r="D653" s="3">
        <v>1814.533</v>
      </c>
      <c r="E653" s="3">
        <v>2279.133</v>
      </c>
      <c r="F653" s="4" t="s">
        <v>7</v>
      </c>
      <c r="G653" s="3">
        <v>12.0</v>
      </c>
    </row>
    <row r="654">
      <c r="A654" s="3">
        <v>147.0</v>
      </c>
      <c r="B654" s="3">
        <v>428.3972</v>
      </c>
      <c r="C654" s="3">
        <v>211.707</v>
      </c>
      <c r="D654" s="3">
        <v>1814.533</v>
      </c>
      <c r="E654" s="3">
        <v>2276.222</v>
      </c>
      <c r="F654" s="4" t="s">
        <v>7</v>
      </c>
      <c r="G654" s="3">
        <v>12.0</v>
      </c>
    </row>
    <row r="655">
      <c r="A655" s="3">
        <v>146.0</v>
      </c>
      <c r="B655" s="3">
        <v>428.3972</v>
      </c>
      <c r="C655" s="3">
        <v>209.7108</v>
      </c>
      <c r="D655" s="3">
        <v>1814.533</v>
      </c>
      <c r="E655" s="3">
        <v>2281.464</v>
      </c>
      <c r="F655" s="4" t="s">
        <v>7</v>
      </c>
      <c r="G655" s="3">
        <v>12.0</v>
      </c>
    </row>
    <row r="656">
      <c r="A656" s="3">
        <v>145.0</v>
      </c>
      <c r="B656" s="3">
        <v>428.3972</v>
      </c>
      <c r="C656" s="3">
        <v>211.3621</v>
      </c>
      <c r="D656" s="3">
        <v>1814.533</v>
      </c>
      <c r="E656" s="3">
        <v>2275.808</v>
      </c>
      <c r="F656" s="4" t="s">
        <v>7</v>
      </c>
      <c r="G656" s="3">
        <v>12.0</v>
      </c>
    </row>
    <row r="657">
      <c r="A657" s="3">
        <v>144.0</v>
      </c>
      <c r="B657" s="3">
        <v>428.3972</v>
      </c>
      <c r="C657" s="3">
        <v>212.8897</v>
      </c>
      <c r="D657" s="3">
        <v>1814.533</v>
      </c>
      <c r="E657" s="3">
        <v>2278.37</v>
      </c>
      <c r="F657" s="4" t="s">
        <v>7</v>
      </c>
      <c r="G657" s="3">
        <v>12.0</v>
      </c>
    </row>
    <row r="658">
      <c r="A658" s="3">
        <v>143.0</v>
      </c>
      <c r="B658" s="3">
        <v>428.3972</v>
      </c>
      <c r="C658" s="3">
        <v>211.9209</v>
      </c>
      <c r="D658" s="3">
        <v>1814.533</v>
      </c>
      <c r="E658" s="3">
        <v>2281.611</v>
      </c>
      <c r="F658" s="4" t="s">
        <v>7</v>
      </c>
      <c r="G658" s="3">
        <v>12.0</v>
      </c>
    </row>
    <row r="659">
      <c r="A659" s="3">
        <v>142.0</v>
      </c>
      <c r="B659" s="3">
        <v>428.3972</v>
      </c>
      <c r="C659" s="3">
        <v>211.5617</v>
      </c>
      <c r="D659" s="3">
        <v>1814.533</v>
      </c>
      <c r="E659" s="3">
        <v>2281.356</v>
      </c>
      <c r="F659" s="4" t="s">
        <v>7</v>
      </c>
      <c r="G659" s="3">
        <v>12.0</v>
      </c>
    </row>
    <row r="660">
      <c r="A660" s="3">
        <v>141.0</v>
      </c>
      <c r="B660" s="3">
        <v>428.3972</v>
      </c>
      <c r="C660" s="3">
        <v>208.2964</v>
      </c>
      <c r="D660" s="3">
        <v>1814.533</v>
      </c>
      <c r="E660" s="3">
        <v>2288.389</v>
      </c>
      <c r="F660" s="4" t="s">
        <v>7</v>
      </c>
      <c r="G660" s="3">
        <v>12.0</v>
      </c>
    </row>
    <row r="661">
      <c r="A661" s="3">
        <v>140.0</v>
      </c>
      <c r="B661" s="3">
        <v>428.3972</v>
      </c>
      <c r="C661" s="3">
        <v>206.7912</v>
      </c>
      <c r="D661" s="3">
        <v>1814.533</v>
      </c>
      <c r="E661" s="3">
        <v>2291.368</v>
      </c>
      <c r="F661" s="4" t="s">
        <v>7</v>
      </c>
      <c r="G661" s="3">
        <v>12.0</v>
      </c>
    </row>
    <row r="662">
      <c r="A662" s="3">
        <v>139.0</v>
      </c>
      <c r="B662" s="3">
        <v>428.3972</v>
      </c>
      <c r="C662" s="3">
        <v>207.5319</v>
      </c>
      <c r="D662" s="3">
        <v>1814.533</v>
      </c>
      <c r="E662" s="3">
        <v>2289.767</v>
      </c>
      <c r="F662" s="4" t="s">
        <v>7</v>
      </c>
      <c r="G662" s="3">
        <v>12.0</v>
      </c>
    </row>
    <row r="663">
      <c r="A663" s="3">
        <v>138.0</v>
      </c>
      <c r="B663" s="3">
        <v>428.3972</v>
      </c>
      <c r="C663" s="3">
        <v>206.2654</v>
      </c>
      <c r="D663" s="3">
        <v>1814.533</v>
      </c>
      <c r="E663" s="3">
        <v>2292.191</v>
      </c>
      <c r="F663" s="4" t="s">
        <v>7</v>
      </c>
      <c r="G663" s="3">
        <v>12.0</v>
      </c>
    </row>
    <row r="664">
      <c r="A664" s="3">
        <v>137.0</v>
      </c>
      <c r="B664" s="3">
        <v>428.3972</v>
      </c>
      <c r="C664" s="3">
        <v>207.2023</v>
      </c>
      <c r="D664" s="3">
        <v>1814.533</v>
      </c>
      <c r="E664" s="3">
        <v>2289.972</v>
      </c>
      <c r="F664" s="4" t="s">
        <v>7</v>
      </c>
      <c r="G664" s="3">
        <v>12.0</v>
      </c>
    </row>
    <row r="665">
      <c r="A665" s="3">
        <v>136.0</v>
      </c>
      <c r="B665" s="3">
        <v>428.3972</v>
      </c>
      <c r="C665" s="3">
        <v>203.8015</v>
      </c>
      <c r="D665" s="3">
        <v>1814.533</v>
      </c>
      <c r="E665" s="3">
        <v>2299.89</v>
      </c>
      <c r="F665" s="4" t="s">
        <v>7</v>
      </c>
      <c r="G665" s="3">
        <v>12.0</v>
      </c>
    </row>
    <row r="666">
      <c r="A666" s="3">
        <v>135.0</v>
      </c>
      <c r="B666" s="3">
        <v>428.3972</v>
      </c>
      <c r="C666" s="3">
        <v>206.2546</v>
      </c>
      <c r="D666" s="3">
        <v>1814.533</v>
      </c>
      <c r="E666" s="3">
        <v>2294.191</v>
      </c>
      <c r="F666" s="4" t="s">
        <v>7</v>
      </c>
      <c r="G666" s="3">
        <v>12.0</v>
      </c>
    </row>
    <row r="667">
      <c r="A667" s="3">
        <v>134.0</v>
      </c>
      <c r="B667" s="3">
        <v>428.3972</v>
      </c>
      <c r="C667" s="3">
        <v>208.597</v>
      </c>
      <c r="D667" s="3">
        <v>1814.533</v>
      </c>
      <c r="E667" s="3">
        <v>2285.705</v>
      </c>
      <c r="F667" s="4" t="s">
        <v>7</v>
      </c>
      <c r="G667" s="3">
        <v>12.0</v>
      </c>
    </row>
    <row r="668">
      <c r="A668" s="3">
        <v>133.0</v>
      </c>
      <c r="B668" s="3">
        <v>425.5655</v>
      </c>
      <c r="C668" s="3">
        <v>208.7081</v>
      </c>
      <c r="D668" s="3">
        <v>1816.667</v>
      </c>
      <c r="E668" s="3">
        <v>2288.462</v>
      </c>
      <c r="F668" s="4" t="s">
        <v>7</v>
      </c>
      <c r="G668" s="3">
        <v>12.0</v>
      </c>
    </row>
    <row r="669">
      <c r="A669" s="3">
        <v>132.0</v>
      </c>
      <c r="B669" s="3">
        <v>425.5655</v>
      </c>
      <c r="C669" s="3">
        <v>207.5329</v>
      </c>
      <c r="D669" s="3">
        <v>1816.667</v>
      </c>
      <c r="E669" s="3">
        <v>2292.232</v>
      </c>
      <c r="F669" s="4" t="s">
        <v>7</v>
      </c>
      <c r="G669" s="3">
        <v>12.0</v>
      </c>
    </row>
    <row r="670">
      <c r="A670" s="3">
        <v>131.0</v>
      </c>
      <c r="B670" s="3">
        <v>425.5655</v>
      </c>
      <c r="C670" s="3">
        <v>206.123</v>
      </c>
      <c r="D670" s="3">
        <v>1816.667</v>
      </c>
      <c r="E670" s="3">
        <v>2291.674</v>
      </c>
      <c r="F670" s="4" t="s">
        <v>7</v>
      </c>
      <c r="G670" s="3">
        <v>12.0</v>
      </c>
    </row>
    <row r="671">
      <c r="A671" s="3">
        <v>130.0</v>
      </c>
      <c r="B671" s="3">
        <v>425.5655</v>
      </c>
      <c r="C671" s="3">
        <v>208.9428</v>
      </c>
      <c r="D671" s="3">
        <v>1816.667</v>
      </c>
      <c r="E671" s="3">
        <v>2281.35</v>
      </c>
      <c r="F671" s="4" t="s">
        <v>7</v>
      </c>
      <c r="G671" s="3">
        <v>12.0</v>
      </c>
    </row>
    <row r="672">
      <c r="A672" s="3">
        <v>129.0</v>
      </c>
      <c r="B672" s="3">
        <v>425.5655</v>
      </c>
      <c r="C672" s="3">
        <v>209.1537</v>
      </c>
      <c r="D672" s="3">
        <v>1816.667</v>
      </c>
      <c r="E672" s="3">
        <v>2286.953</v>
      </c>
      <c r="F672" s="4" t="s">
        <v>7</v>
      </c>
      <c r="G672" s="3">
        <v>12.0</v>
      </c>
    </row>
    <row r="673">
      <c r="A673" s="3">
        <v>128.0</v>
      </c>
      <c r="B673" s="3">
        <v>425.5655</v>
      </c>
      <c r="C673" s="3">
        <v>212.3998</v>
      </c>
      <c r="D673" s="3">
        <v>1816.667</v>
      </c>
      <c r="E673" s="3">
        <v>2274.276</v>
      </c>
      <c r="F673" s="4" t="s">
        <v>7</v>
      </c>
      <c r="G673" s="3">
        <v>12.0</v>
      </c>
    </row>
    <row r="674">
      <c r="A674" s="3">
        <v>127.0</v>
      </c>
      <c r="B674" s="3">
        <v>425.5655</v>
      </c>
      <c r="C674" s="3">
        <v>209.5456</v>
      </c>
      <c r="D674" s="3">
        <v>1816.667</v>
      </c>
      <c r="E674" s="3">
        <v>2282.606</v>
      </c>
      <c r="F674" s="4" t="s">
        <v>7</v>
      </c>
      <c r="G674" s="3">
        <v>12.0</v>
      </c>
    </row>
    <row r="675">
      <c r="A675" s="3">
        <v>126.0</v>
      </c>
      <c r="B675" s="3">
        <v>425.5655</v>
      </c>
      <c r="C675" s="3">
        <v>209.6963</v>
      </c>
      <c r="D675" s="3">
        <v>1816.667</v>
      </c>
      <c r="E675" s="3">
        <v>2280.923</v>
      </c>
      <c r="F675" s="4" t="s">
        <v>7</v>
      </c>
      <c r="G675" s="3">
        <v>12.0</v>
      </c>
    </row>
    <row r="676">
      <c r="A676" s="3">
        <v>125.0</v>
      </c>
      <c r="B676" s="3">
        <v>425.5655</v>
      </c>
      <c r="C676" s="3">
        <v>211.1109</v>
      </c>
      <c r="D676" s="3">
        <v>1816.667</v>
      </c>
      <c r="E676" s="3">
        <v>2275.925</v>
      </c>
      <c r="F676" s="4" t="s">
        <v>7</v>
      </c>
      <c r="G676" s="3">
        <v>12.0</v>
      </c>
    </row>
    <row r="677">
      <c r="A677" s="3">
        <v>124.0</v>
      </c>
      <c r="B677" s="3">
        <v>425.5655</v>
      </c>
      <c r="C677" s="3">
        <v>206.6223</v>
      </c>
      <c r="D677" s="3">
        <v>1816.667</v>
      </c>
      <c r="E677" s="3">
        <v>2293.376</v>
      </c>
      <c r="F677" s="4" t="s">
        <v>7</v>
      </c>
      <c r="G677" s="3">
        <v>12.0</v>
      </c>
    </row>
    <row r="678">
      <c r="A678" s="3">
        <v>123.0</v>
      </c>
      <c r="B678" s="3">
        <v>425.5655</v>
      </c>
      <c r="C678" s="3">
        <v>205.6356</v>
      </c>
      <c r="D678" s="3">
        <v>1816.667</v>
      </c>
      <c r="E678" s="3">
        <v>2294.699</v>
      </c>
      <c r="F678" s="4" t="s">
        <v>7</v>
      </c>
      <c r="G678" s="3">
        <v>12.0</v>
      </c>
    </row>
    <row r="679">
      <c r="A679" s="3">
        <v>122.0</v>
      </c>
      <c r="B679" s="3">
        <v>425.5655</v>
      </c>
      <c r="C679" s="3">
        <v>207.3646</v>
      </c>
      <c r="D679" s="3">
        <v>1816.667</v>
      </c>
      <c r="E679" s="3">
        <v>2287.092</v>
      </c>
      <c r="F679" s="4" t="s">
        <v>7</v>
      </c>
      <c r="G679" s="3">
        <v>12.0</v>
      </c>
    </row>
    <row r="680">
      <c r="A680" s="3">
        <v>121.0</v>
      </c>
      <c r="B680" s="3">
        <v>425.5655</v>
      </c>
      <c r="C680" s="3">
        <v>206.0795</v>
      </c>
      <c r="D680" s="3">
        <v>1816.667</v>
      </c>
      <c r="E680" s="3">
        <v>2288.914</v>
      </c>
      <c r="F680" s="4" t="s">
        <v>7</v>
      </c>
      <c r="G680" s="3">
        <v>12.0</v>
      </c>
    </row>
    <row r="681">
      <c r="A681" s="3">
        <v>120.0</v>
      </c>
      <c r="B681" s="3">
        <v>425.5655</v>
      </c>
      <c r="C681" s="3">
        <v>206.2828</v>
      </c>
      <c r="D681" s="3">
        <v>1816.667</v>
      </c>
      <c r="E681" s="3">
        <v>2295.039</v>
      </c>
      <c r="F681" s="4" t="s">
        <v>7</v>
      </c>
      <c r="G681" s="3">
        <v>12.0</v>
      </c>
    </row>
    <row r="682">
      <c r="A682" s="3">
        <v>119.0</v>
      </c>
      <c r="B682" s="3">
        <v>425.5655</v>
      </c>
      <c r="C682" s="3">
        <v>204.736</v>
      </c>
      <c r="D682" s="3">
        <v>1816.667</v>
      </c>
      <c r="E682" s="3">
        <v>2292.716</v>
      </c>
      <c r="F682" s="4" t="s">
        <v>7</v>
      </c>
      <c r="G682" s="3">
        <v>12.0</v>
      </c>
    </row>
    <row r="683">
      <c r="A683" s="3">
        <v>118.0</v>
      </c>
      <c r="B683" s="3">
        <v>425.5655</v>
      </c>
      <c r="C683" s="3">
        <v>203.5323</v>
      </c>
      <c r="D683" s="3">
        <v>1816.667</v>
      </c>
      <c r="E683" s="3">
        <v>2296.608</v>
      </c>
      <c r="F683" s="4" t="s">
        <v>7</v>
      </c>
      <c r="G683" s="3">
        <v>12.0</v>
      </c>
    </row>
    <row r="684">
      <c r="A684" s="3">
        <v>117.0</v>
      </c>
      <c r="B684" s="3">
        <v>425.5655</v>
      </c>
      <c r="C684" s="3">
        <v>204.9808</v>
      </c>
      <c r="D684" s="3">
        <v>1816.667</v>
      </c>
      <c r="E684" s="3">
        <v>2289.665</v>
      </c>
      <c r="F684" s="4" t="s">
        <v>7</v>
      </c>
      <c r="G684" s="3">
        <v>12.0</v>
      </c>
    </row>
    <row r="685">
      <c r="A685" s="3">
        <v>116.0</v>
      </c>
      <c r="B685" s="3">
        <v>425.5655</v>
      </c>
      <c r="C685" s="3">
        <v>208.2274</v>
      </c>
      <c r="D685" s="3">
        <v>1816.667</v>
      </c>
      <c r="E685" s="3">
        <v>2279.205</v>
      </c>
      <c r="F685" s="4" t="s">
        <v>7</v>
      </c>
      <c r="G685" s="3">
        <v>12.0</v>
      </c>
    </row>
    <row r="686">
      <c r="A686" s="3">
        <v>115.0</v>
      </c>
      <c r="B686" s="3">
        <v>425.5655</v>
      </c>
      <c r="C686" s="3">
        <v>207.5806</v>
      </c>
      <c r="D686" s="3">
        <v>1816.667</v>
      </c>
      <c r="E686" s="3">
        <v>2286.749</v>
      </c>
      <c r="F686" s="4" t="s">
        <v>7</v>
      </c>
      <c r="G686" s="3">
        <v>12.0</v>
      </c>
    </row>
    <row r="687">
      <c r="A687" s="3">
        <v>114.0</v>
      </c>
      <c r="B687" s="3">
        <v>425.5655</v>
      </c>
      <c r="C687" s="3">
        <v>205.3024</v>
      </c>
      <c r="D687" s="3">
        <v>1816.667</v>
      </c>
      <c r="E687" s="3">
        <v>2295.313</v>
      </c>
      <c r="F687" s="4" t="s">
        <v>7</v>
      </c>
      <c r="G687" s="3">
        <v>12.0</v>
      </c>
    </row>
    <row r="688">
      <c r="A688" s="3">
        <v>113.0</v>
      </c>
      <c r="B688" s="3">
        <v>425.5655</v>
      </c>
      <c r="C688" s="3">
        <v>205.9738</v>
      </c>
      <c r="D688" s="3">
        <v>1816.667</v>
      </c>
      <c r="E688" s="3">
        <v>2291.327</v>
      </c>
      <c r="F688" s="4" t="s">
        <v>7</v>
      </c>
      <c r="G688" s="3">
        <v>12.0</v>
      </c>
    </row>
    <row r="689">
      <c r="A689" s="3">
        <v>112.0</v>
      </c>
      <c r="B689" s="3">
        <v>425.5655</v>
      </c>
      <c r="C689" s="3">
        <v>209.0723</v>
      </c>
      <c r="D689" s="3">
        <v>1816.667</v>
      </c>
      <c r="E689" s="3">
        <v>2286.877</v>
      </c>
      <c r="F689" s="4" t="s">
        <v>7</v>
      </c>
      <c r="G689" s="3">
        <v>12.0</v>
      </c>
    </row>
    <row r="690">
      <c r="A690" s="3">
        <v>111.0</v>
      </c>
      <c r="B690" s="3">
        <v>425.5655</v>
      </c>
      <c r="C690" s="3">
        <v>208.996</v>
      </c>
      <c r="D690" s="3">
        <v>1816.667</v>
      </c>
      <c r="E690" s="3">
        <v>2286.811</v>
      </c>
      <c r="F690" s="4" t="s">
        <v>7</v>
      </c>
      <c r="G690" s="3">
        <v>12.0</v>
      </c>
    </row>
    <row r="691">
      <c r="A691" s="3">
        <v>110.0</v>
      </c>
      <c r="B691" s="3">
        <v>425.5655</v>
      </c>
      <c r="C691" s="3">
        <v>208.0626</v>
      </c>
      <c r="D691" s="3">
        <v>1816.667</v>
      </c>
      <c r="E691" s="3">
        <v>2289.246</v>
      </c>
      <c r="F691" s="4" t="s">
        <v>7</v>
      </c>
      <c r="G691" s="3">
        <v>12.0</v>
      </c>
    </row>
    <row r="692">
      <c r="A692" s="3">
        <v>109.0</v>
      </c>
      <c r="B692" s="3">
        <v>425.5655</v>
      </c>
      <c r="C692" s="3">
        <v>206.8646</v>
      </c>
      <c r="D692" s="3">
        <v>1816.667</v>
      </c>
      <c r="E692" s="3">
        <v>2291.845</v>
      </c>
      <c r="F692" s="4" t="s">
        <v>7</v>
      </c>
      <c r="G692" s="3">
        <v>12.0</v>
      </c>
    </row>
    <row r="693">
      <c r="A693" s="3">
        <v>108.0</v>
      </c>
      <c r="B693" s="3">
        <v>425.5655</v>
      </c>
      <c r="C693" s="3">
        <v>207.9361</v>
      </c>
      <c r="D693" s="3">
        <v>1816.667</v>
      </c>
      <c r="E693" s="3">
        <v>2281.602</v>
      </c>
      <c r="F693" s="4" t="s">
        <v>7</v>
      </c>
      <c r="G693" s="3">
        <v>12.0</v>
      </c>
    </row>
    <row r="694">
      <c r="A694" s="3">
        <v>107.0</v>
      </c>
      <c r="B694" s="3">
        <v>425.5655</v>
      </c>
      <c r="C694" s="3">
        <v>209.0383</v>
      </c>
      <c r="D694" s="3">
        <v>1816.667</v>
      </c>
      <c r="E694" s="3">
        <v>2281.477</v>
      </c>
      <c r="F694" s="4" t="s">
        <v>7</v>
      </c>
      <c r="G694" s="3">
        <v>12.0</v>
      </c>
    </row>
    <row r="695">
      <c r="A695" s="3">
        <v>106.0</v>
      </c>
      <c r="B695" s="3">
        <v>425.5655</v>
      </c>
      <c r="C695" s="3">
        <v>204.5981</v>
      </c>
      <c r="D695" s="3">
        <v>1816.667</v>
      </c>
      <c r="E695" s="3">
        <v>2295.201</v>
      </c>
      <c r="F695" s="4" t="s">
        <v>7</v>
      </c>
      <c r="G695" s="3">
        <v>12.0</v>
      </c>
    </row>
    <row r="696">
      <c r="A696" s="3">
        <v>105.0</v>
      </c>
      <c r="B696" s="3">
        <v>425.5655</v>
      </c>
      <c r="C696" s="3">
        <v>202.2318</v>
      </c>
      <c r="D696" s="3">
        <v>1816.667</v>
      </c>
      <c r="E696" s="3">
        <v>2298.293</v>
      </c>
      <c r="F696" s="4" t="s">
        <v>7</v>
      </c>
      <c r="G696" s="3">
        <v>12.0</v>
      </c>
    </row>
    <row r="697">
      <c r="A697" s="3">
        <v>104.0</v>
      </c>
      <c r="B697" s="3">
        <v>422.7338</v>
      </c>
      <c r="C697" s="3">
        <v>204.3357</v>
      </c>
      <c r="D697" s="3">
        <v>1818.8</v>
      </c>
      <c r="E697" s="3">
        <v>2294.656</v>
      </c>
      <c r="F697" s="4" t="s">
        <v>7</v>
      </c>
      <c r="G697" s="3">
        <v>12.0</v>
      </c>
    </row>
    <row r="698">
      <c r="A698" s="3">
        <v>103.0</v>
      </c>
      <c r="B698" s="3">
        <v>422.7338</v>
      </c>
      <c r="C698" s="3">
        <v>201.7616</v>
      </c>
      <c r="D698" s="3">
        <v>1818.8</v>
      </c>
      <c r="E698" s="3">
        <v>2295.732</v>
      </c>
      <c r="F698" s="4" t="s">
        <v>7</v>
      </c>
      <c r="G698" s="3">
        <v>12.0</v>
      </c>
    </row>
    <row r="699">
      <c r="A699" s="3">
        <v>102.0</v>
      </c>
      <c r="B699" s="3">
        <v>422.7338</v>
      </c>
      <c r="C699" s="3">
        <v>205.8474</v>
      </c>
      <c r="D699" s="3">
        <v>1818.8</v>
      </c>
      <c r="E699" s="3">
        <v>2289.346</v>
      </c>
      <c r="F699" s="4" t="s">
        <v>7</v>
      </c>
      <c r="G699" s="3">
        <v>12.0</v>
      </c>
    </row>
    <row r="700">
      <c r="A700" s="3">
        <v>101.0</v>
      </c>
      <c r="B700" s="3">
        <v>422.7338</v>
      </c>
      <c r="C700" s="3">
        <v>206.6344</v>
      </c>
      <c r="D700" s="3">
        <v>1818.8</v>
      </c>
      <c r="E700" s="3">
        <v>2288.602</v>
      </c>
      <c r="F700" s="4" t="s">
        <v>7</v>
      </c>
      <c r="G700" s="3">
        <v>12.0</v>
      </c>
    </row>
    <row r="701">
      <c r="A701" s="3">
        <v>100.0</v>
      </c>
      <c r="B701" s="3">
        <v>422.7338</v>
      </c>
      <c r="C701" s="3">
        <v>206.788</v>
      </c>
      <c r="D701" s="3">
        <v>1818.8</v>
      </c>
      <c r="E701" s="3">
        <v>2288.387</v>
      </c>
      <c r="F701" s="4" t="s">
        <v>7</v>
      </c>
      <c r="G701" s="3">
        <v>12.0</v>
      </c>
    </row>
    <row r="702">
      <c r="A702" s="3">
        <v>99.0</v>
      </c>
      <c r="B702" s="3">
        <v>422.7338</v>
      </c>
      <c r="C702" s="3">
        <v>205.244</v>
      </c>
      <c r="D702" s="3">
        <v>1818.8</v>
      </c>
      <c r="E702" s="3">
        <v>2289.131</v>
      </c>
      <c r="F702" s="4" t="s">
        <v>7</v>
      </c>
      <c r="G702" s="3">
        <v>12.0</v>
      </c>
    </row>
    <row r="703">
      <c r="A703" s="3">
        <v>98.0</v>
      </c>
      <c r="B703" s="3">
        <v>422.7338</v>
      </c>
      <c r="C703" s="3">
        <v>208.3048</v>
      </c>
      <c r="D703" s="3">
        <v>1818.8</v>
      </c>
      <c r="E703" s="3">
        <v>2282.335</v>
      </c>
      <c r="F703" s="4" t="s">
        <v>7</v>
      </c>
      <c r="G703" s="3">
        <v>12.0</v>
      </c>
    </row>
    <row r="704">
      <c r="A704" s="3">
        <v>97.0</v>
      </c>
      <c r="B704" s="3">
        <v>422.7338</v>
      </c>
      <c r="C704" s="3">
        <v>206.9978</v>
      </c>
      <c r="D704" s="3">
        <v>1818.8</v>
      </c>
      <c r="E704" s="3">
        <v>2294.691</v>
      </c>
      <c r="F704" s="4" t="s">
        <v>7</v>
      </c>
      <c r="G704" s="3">
        <v>12.0</v>
      </c>
    </row>
    <row r="705">
      <c r="A705" s="3">
        <v>96.0</v>
      </c>
      <c r="B705" s="3">
        <v>422.7338</v>
      </c>
      <c r="C705" s="3">
        <v>206.0686</v>
      </c>
      <c r="D705" s="3">
        <v>1818.8</v>
      </c>
      <c r="E705" s="3">
        <v>2290.897</v>
      </c>
      <c r="F705" s="4" t="s">
        <v>7</v>
      </c>
      <c r="G705" s="3">
        <v>12.0</v>
      </c>
    </row>
    <row r="706">
      <c r="A706" s="3">
        <v>95.0</v>
      </c>
      <c r="B706" s="3">
        <v>422.7338</v>
      </c>
      <c r="C706" s="3">
        <v>203.1739</v>
      </c>
      <c r="D706" s="3">
        <v>1818.8</v>
      </c>
      <c r="E706" s="3">
        <v>2296.583</v>
      </c>
      <c r="F706" s="4" t="s">
        <v>7</v>
      </c>
      <c r="G706" s="3">
        <v>12.0</v>
      </c>
    </row>
    <row r="707">
      <c r="A707" s="3">
        <v>94.0</v>
      </c>
      <c r="B707" s="3">
        <v>422.7338</v>
      </c>
      <c r="C707" s="3">
        <v>206.714</v>
      </c>
      <c r="D707" s="3">
        <v>1818.8</v>
      </c>
      <c r="E707" s="3">
        <v>2283.974</v>
      </c>
      <c r="F707" s="4" t="s">
        <v>7</v>
      </c>
      <c r="G707" s="3">
        <v>12.0</v>
      </c>
    </row>
    <row r="708">
      <c r="A708" s="3">
        <v>93.0</v>
      </c>
      <c r="B708" s="3">
        <v>422.7338</v>
      </c>
      <c r="C708" s="3">
        <v>204.3546</v>
      </c>
      <c r="D708" s="3">
        <v>1818.8</v>
      </c>
      <c r="E708" s="3">
        <v>2291.309</v>
      </c>
      <c r="F708" s="4" t="s">
        <v>7</v>
      </c>
      <c r="G708" s="3">
        <v>12.0</v>
      </c>
    </row>
    <row r="709">
      <c r="A709" s="3">
        <v>92.0</v>
      </c>
      <c r="B709" s="3">
        <v>422.7338</v>
      </c>
      <c r="C709" s="3">
        <v>206.1248</v>
      </c>
      <c r="D709" s="3">
        <v>1818.8</v>
      </c>
      <c r="E709" s="3">
        <v>2288.366</v>
      </c>
      <c r="F709" s="4" t="s">
        <v>7</v>
      </c>
      <c r="G709" s="3">
        <v>12.0</v>
      </c>
    </row>
    <row r="710">
      <c r="A710" s="3">
        <v>91.0</v>
      </c>
      <c r="B710" s="3">
        <v>422.7338</v>
      </c>
      <c r="C710" s="3">
        <v>205.1646</v>
      </c>
      <c r="D710" s="3">
        <v>1818.8</v>
      </c>
      <c r="E710" s="3">
        <v>2291.709</v>
      </c>
      <c r="F710" s="4" t="s">
        <v>7</v>
      </c>
      <c r="G710" s="3">
        <v>12.0</v>
      </c>
    </row>
    <row r="711">
      <c r="A711" s="3">
        <v>90.0</v>
      </c>
      <c r="B711" s="3">
        <v>419.9021</v>
      </c>
      <c r="C711" s="3">
        <v>204.7337</v>
      </c>
      <c r="D711" s="3">
        <v>1820.933</v>
      </c>
      <c r="E711" s="3">
        <v>2293.827</v>
      </c>
      <c r="F711" s="4" t="s">
        <v>7</v>
      </c>
      <c r="G711" s="3">
        <v>12.0</v>
      </c>
    </row>
    <row r="712">
      <c r="A712" s="3">
        <v>89.0</v>
      </c>
      <c r="B712" s="3">
        <v>419.9021</v>
      </c>
      <c r="C712" s="3">
        <v>203.5433</v>
      </c>
      <c r="D712" s="3">
        <v>1820.933</v>
      </c>
      <c r="E712" s="3">
        <v>2298.469</v>
      </c>
      <c r="F712" s="4" t="s">
        <v>7</v>
      </c>
      <c r="G712" s="3">
        <v>12.0</v>
      </c>
    </row>
    <row r="713">
      <c r="A713" s="3">
        <v>88.0</v>
      </c>
      <c r="B713" s="3">
        <v>419.9021</v>
      </c>
      <c r="C713" s="3">
        <v>203.1787</v>
      </c>
      <c r="D713" s="3">
        <v>1820.933</v>
      </c>
      <c r="E713" s="3">
        <v>2295.294</v>
      </c>
      <c r="F713" s="4" t="s">
        <v>7</v>
      </c>
      <c r="G713" s="3">
        <v>12.0</v>
      </c>
    </row>
    <row r="714">
      <c r="A714" s="3">
        <v>87.0</v>
      </c>
      <c r="B714" s="3">
        <v>419.9021</v>
      </c>
      <c r="C714" s="3">
        <v>203.5548</v>
      </c>
      <c r="D714" s="3">
        <v>1820.933</v>
      </c>
      <c r="E714" s="3">
        <v>2294.994</v>
      </c>
      <c r="F714" s="4" t="s">
        <v>7</v>
      </c>
      <c r="G714" s="3">
        <v>12.0</v>
      </c>
    </row>
    <row r="715">
      <c r="A715" s="3">
        <v>86.0</v>
      </c>
      <c r="B715" s="3">
        <v>419.9021</v>
      </c>
      <c r="C715" s="3">
        <v>205.3585</v>
      </c>
      <c r="D715" s="3">
        <v>1820.933</v>
      </c>
      <c r="E715" s="3">
        <v>2295.239</v>
      </c>
      <c r="F715" s="4" t="s">
        <v>7</v>
      </c>
      <c r="G715" s="3">
        <v>12.0</v>
      </c>
    </row>
    <row r="716">
      <c r="A716" s="3">
        <v>85.0</v>
      </c>
      <c r="B716" s="3">
        <v>419.563</v>
      </c>
      <c r="C716" s="3">
        <v>206.6829</v>
      </c>
      <c r="D716" s="3">
        <v>1821.233</v>
      </c>
      <c r="E716" s="3">
        <v>2286.371</v>
      </c>
      <c r="F716" s="4" t="s">
        <v>7</v>
      </c>
      <c r="G716" s="3">
        <v>12.0</v>
      </c>
    </row>
    <row r="717">
      <c r="A717" s="3">
        <v>84.0</v>
      </c>
      <c r="B717" s="3">
        <v>419.563</v>
      </c>
      <c r="C717" s="3">
        <v>206.2064</v>
      </c>
      <c r="D717" s="3">
        <v>1821.233</v>
      </c>
      <c r="E717" s="3">
        <v>2285.144</v>
      </c>
      <c r="F717" s="4" t="s">
        <v>7</v>
      </c>
      <c r="G717" s="3">
        <v>12.0</v>
      </c>
    </row>
    <row r="718">
      <c r="A718" s="3">
        <v>83.0</v>
      </c>
      <c r="B718" s="3">
        <v>419.563</v>
      </c>
      <c r="C718" s="3">
        <v>205.5857</v>
      </c>
      <c r="D718" s="3">
        <v>1821.233</v>
      </c>
      <c r="E718" s="3">
        <v>2297.006</v>
      </c>
      <c r="F718" s="4" t="s">
        <v>7</v>
      </c>
      <c r="G718" s="3">
        <v>12.0</v>
      </c>
    </row>
    <row r="719">
      <c r="A719" s="3">
        <v>82.0</v>
      </c>
      <c r="B719" s="3">
        <v>419.563</v>
      </c>
      <c r="C719" s="3">
        <v>206.7688</v>
      </c>
      <c r="D719" s="3">
        <v>1821.233</v>
      </c>
      <c r="E719" s="3">
        <v>2290.394</v>
      </c>
      <c r="F719" s="4" t="s">
        <v>7</v>
      </c>
      <c r="G719" s="3">
        <v>12.0</v>
      </c>
    </row>
    <row r="720">
      <c r="A720" s="3">
        <v>81.0</v>
      </c>
      <c r="B720" s="3">
        <v>419.563</v>
      </c>
      <c r="C720" s="3">
        <v>209.5294</v>
      </c>
      <c r="D720" s="3">
        <v>1821.233</v>
      </c>
      <c r="E720" s="3">
        <v>2281.612</v>
      </c>
      <c r="F720" s="4" t="s">
        <v>7</v>
      </c>
      <c r="G720" s="3">
        <v>12.0</v>
      </c>
    </row>
    <row r="721">
      <c r="A721" s="3">
        <v>80.0</v>
      </c>
      <c r="B721" s="3">
        <v>419.563</v>
      </c>
      <c r="C721" s="3">
        <v>209.0364</v>
      </c>
      <c r="D721" s="3">
        <v>1821.233</v>
      </c>
      <c r="E721" s="3">
        <v>2281.771</v>
      </c>
      <c r="F721" s="4" t="s">
        <v>7</v>
      </c>
      <c r="G721" s="3">
        <v>12.0</v>
      </c>
    </row>
    <row r="722">
      <c r="A722" s="3">
        <v>79.0</v>
      </c>
      <c r="B722" s="3">
        <v>419.563</v>
      </c>
      <c r="C722" s="3">
        <v>204.1783</v>
      </c>
      <c r="D722" s="3">
        <v>1821.233</v>
      </c>
      <c r="E722" s="3">
        <v>2293.253</v>
      </c>
      <c r="F722" s="4" t="s">
        <v>7</v>
      </c>
      <c r="G722" s="3">
        <v>12.0</v>
      </c>
    </row>
    <row r="723">
      <c r="A723" s="3">
        <v>78.0</v>
      </c>
      <c r="B723" s="3">
        <v>419.563</v>
      </c>
      <c r="C723" s="3">
        <v>207.3172</v>
      </c>
      <c r="D723" s="3">
        <v>1821.233</v>
      </c>
      <c r="E723" s="3">
        <v>2290.861</v>
      </c>
      <c r="F723" s="4" t="s">
        <v>7</v>
      </c>
      <c r="G723" s="3">
        <v>12.0</v>
      </c>
    </row>
    <row r="724">
      <c r="A724" s="3">
        <v>77.0</v>
      </c>
      <c r="B724" s="3">
        <v>419.563</v>
      </c>
      <c r="C724" s="3">
        <v>206.7246</v>
      </c>
      <c r="D724" s="3">
        <v>1821.233</v>
      </c>
      <c r="E724" s="3">
        <v>2297.765</v>
      </c>
      <c r="F724" s="4" t="s">
        <v>7</v>
      </c>
      <c r="G724" s="3">
        <v>12.0</v>
      </c>
    </row>
    <row r="725">
      <c r="A725" s="3">
        <v>76.0</v>
      </c>
      <c r="B725" s="3">
        <v>419.563</v>
      </c>
      <c r="C725" s="3">
        <v>205.5688</v>
      </c>
      <c r="D725" s="3">
        <v>1821.233</v>
      </c>
      <c r="E725" s="3">
        <v>2294.202</v>
      </c>
      <c r="F725" s="4" t="s">
        <v>7</v>
      </c>
      <c r="G725" s="3">
        <v>12.0</v>
      </c>
    </row>
    <row r="726">
      <c r="A726" s="3">
        <v>75.0</v>
      </c>
      <c r="B726" s="3">
        <v>419.563</v>
      </c>
      <c r="C726" s="3">
        <v>207.5016</v>
      </c>
      <c r="D726" s="3">
        <v>1821.233</v>
      </c>
      <c r="E726" s="3">
        <v>2288.913</v>
      </c>
      <c r="F726" s="4" t="s">
        <v>7</v>
      </c>
      <c r="G726" s="3">
        <v>12.0</v>
      </c>
    </row>
    <row r="727">
      <c r="A727" s="3">
        <v>74.0</v>
      </c>
      <c r="B727" s="3">
        <v>419.563</v>
      </c>
      <c r="C727" s="3">
        <v>205.3808</v>
      </c>
      <c r="D727" s="3">
        <v>1821.233</v>
      </c>
      <c r="E727" s="3">
        <v>2294.607</v>
      </c>
      <c r="F727" s="4" t="s">
        <v>7</v>
      </c>
      <c r="G727" s="3">
        <v>12.0</v>
      </c>
    </row>
    <row r="728">
      <c r="A728" s="3">
        <v>73.0</v>
      </c>
      <c r="B728" s="3">
        <v>419.563</v>
      </c>
      <c r="C728" s="3">
        <v>202.9866</v>
      </c>
      <c r="D728" s="3">
        <v>1821.233</v>
      </c>
      <c r="E728" s="3">
        <v>2297.487</v>
      </c>
      <c r="F728" s="4" t="s">
        <v>7</v>
      </c>
      <c r="G728" s="3">
        <v>12.0</v>
      </c>
    </row>
    <row r="729">
      <c r="A729" s="3">
        <v>72.0</v>
      </c>
      <c r="B729" s="3">
        <v>419.563</v>
      </c>
      <c r="C729" s="3">
        <v>206.0296</v>
      </c>
      <c r="D729" s="3">
        <v>1821.233</v>
      </c>
      <c r="E729" s="3">
        <v>2294.01</v>
      </c>
      <c r="F729" s="4" t="s">
        <v>7</v>
      </c>
      <c r="G729" s="3">
        <v>12.0</v>
      </c>
    </row>
    <row r="730">
      <c r="A730" s="3">
        <v>71.0</v>
      </c>
      <c r="B730" s="3">
        <v>419.2239</v>
      </c>
      <c r="C730" s="3">
        <v>208.0881</v>
      </c>
      <c r="D730" s="3">
        <v>1821.533</v>
      </c>
      <c r="E730" s="3">
        <v>2285.504</v>
      </c>
      <c r="F730" s="4" t="s">
        <v>7</v>
      </c>
      <c r="G730" s="3">
        <v>12.0</v>
      </c>
    </row>
    <row r="731">
      <c r="A731" s="3">
        <v>70.0</v>
      </c>
      <c r="B731" s="3">
        <v>419.2239</v>
      </c>
      <c r="C731" s="3">
        <v>209.7148</v>
      </c>
      <c r="D731" s="3">
        <v>1821.533</v>
      </c>
      <c r="E731" s="3">
        <v>2285.848</v>
      </c>
      <c r="F731" s="4" t="s">
        <v>7</v>
      </c>
      <c r="G731" s="3">
        <v>12.0</v>
      </c>
    </row>
    <row r="732">
      <c r="A732" s="3">
        <v>69.0</v>
      </c>
      <c r="B732" s="3">
        <v>419.2239</v>
      </c>
      <c r="C732" s="3">
        <v>209.3225</v>
      </c>
      <c r="D732" s="3">
        <v>1821.533</v>
      </c>
      <c r="E732" s="3">
        <v>2285.149</v>
      </c>
      <c r="F732" s="4" t="s">
        <v>7</v>
      </c>
      <c r="G732" s="3">
        <v>12.0</v>
      </c>
    </row>
    <row r="733">
      <c r="A733" s="3">
        <v>68.0</v>
      </c>
      <c r="B733" s="3">
        <v>419.2239</v>
      </c>
      <c r="C733" s="3">
        <v>209.7325</v>
      </c>
      <c r="D733" s="3">
        <v>1821.533</v>
      </c>
      <c r="E733" s="3">
        <v>2281.507</v>
      </c>
      <c r="F733" s="4" t="s">
        <v>7</v>
      </c>
      <c r="G733" s="3">
        <v>12.0</v>
      </c>
    </row>
    <row r="734">
      <c r="A734" s="3">
        <v>67.0</v>
      </c>
      <c r="B734" s="3">
        <v>419.2239</v>
      </c>
      <c r="C734" s="3">
        <v>207.8115</v>
      </c>
      <c r="D734" s="3">
        <v>1821.533</v>
      </c>
      <c r="E734" s="3">
        <v>2285.42</v>
      </c>
      <c r="F734" s="4" t="s">
        <v>7</v>
      </c>
      <c r="G734" s="3">
        <v>12.0</v>
      </c>
    </row>
    <row r="735">
      <c r="A735" s="3">
        <v>66.0</v>
      </c>
      <c r="B735" s="3">
        <v>419.2239</v>
      </c>
      <c r="C735" s="3">
        <v>211.3071</v>
      </c>
      <c r="D735" s="3">
        <v>1821.533</v>
      </c>
      <c r="E735" s="3">
        <v>2278.073</v>
      </c>
      <c r="F735" s="4" t="s">
        <v>7</v>
      </c>
      <c r="G735" s="3">
        <v>12.0</v>
      </c>
    </row>
    <row r="736">
      <c r="A736" s="3">
        <v>65.0</v>
      </c>
      <c r="B736" s="3">
        <v>419.2239</v>
      </c>
      <c r="C736" s="3">
        <v>208.9089</v>
      </c>
      <c r="D736" s="3">
        <v>1821.533</v>
      </c>
      <c r="E736" s="3">
        <v>2281.455</v>
      </c>
      <c r="F736" s="4" t="s">
        <v>7</v>
      </c>
      <c r="G736" s="3">
        <v>12.0</v>
      </c>
    </row>
    <row r="737">
      <c r="A737" s="3">
        <v>64.0</v>
      </c>
      <c r="B737" s="3">
        <v>419.2239</v>
      </c>
      <c r="C737" s="3">
        <v>205.7241</v>
      </c>
      <c r="D737" s="3">
        <v>1821.533</v>
      </c>
      <c r="E737" s="3">
        <v>2288.655</v>
      </c>
      <c r="F737" s="4" t="s">
        <v>7</v>
      </c>
      <c r="G737" s="3">
        <v>12.0</v>
      </c>
    </row>
    <row r="738">
      <c r="A738" s="3">
        <v>63.0</v>
      </c>
      <c r="B738" s="3">
        <v>419.2239</v>
      </c>
      <c r="C738" s="3">
        <v>207.0499</v>
      </c>
      <c r="D738" s="3">
        <v>1821.533</v>
      </c>
      <c r="E738" s="3">
        <v>2284.586</v>
      </c>
      <c r="F738" s="4" t="s">
        <v>7</v>
      </c>
      <c r="G738" s="3">
        <v>12.0</v>
      </c>
    </row>
    <row r="739">
      <c r="A739" s="3">
        <v>62.0</v>
      </c>
      <c r="B739" s="3">
        <v>419.2239</v>
      </c>
      <c r="C739" s="3">
        <v>206.9005</v>
      </c>
      <c r="D739" s="3">
        <v>1821.533</v>
      </c>
      <c r="E739" s="3">
        <v>2288.075</v>
      </c>
      <c r="F739" s="4" t="s">
        <v>7</v>
      </c>
      <c r="G739" s="3">
        <v>12.0</v>
      </c>
    </row>
    <row r="740">
      <c r="A740" s="3">
        <v>61.0</v>
      </c>
      <c r="B740" s="3">
        <v>419.2239</v>
      </c>
      <c r="C740" s="3">
        <v>206.514</v>
      </c>
      <c r="D740" s="3">
        <v>1821.533</v>
      </c>
      <c r="E740" s="3">
        <v>2286.582</v>
      </c>
      <c r="F740" s="4" t="s">
        <v>7</v>
      </c>
      <c r="G740" s="3">
        <v>12.0</v>
      </c>
    </row>
    <row r="741">
      <c r="A741" s="3">
        <v>60.0</v>
      </c>
      <c r="B741" s="3">
        <v>419.2239</v>
      </c>
      <c r="C741" s="3">
        <v>207.3604</v>
      </c>
      <c r="D741" s="3">
        <v>1821.533</v>
      </c>
      <c r="E741" s="3">
        <v>2285.615</v>
      </c>
      <c r="F741" s="4" t="s">
        <v>7</v>
      </c>
      <c r="G741" s="3">
        <v>12.0</v>
      </c>
    </row>
    <row r="742">
      <c r="A742" s="3">
        <v>59.0</v>
      </c>
      <c r="B742" s="3">
        <v>419.2239</v>
      </c>
      <c r="C742" s="3">
        <v>206.3709</v>
      </c>
      <c r="D742" s="3">
        <v>1821.533</v>
      </c>
      <c r="E742" s="3">
        <v>2290.554</v>
      </c>
      <c r="F742" s="4" t="s">
        <v>7</v>
      </c>
      <c r="G742" s="3">
        <v>12.0</v>
      </c>
    </row>
    <row r="743">
      <c r="A743" s="3">
        <v>58.0</v>
      </c>
      <c r="B743" s="3">
        <v>419.2239</v>
      </c>
      <c r="C743" s="3">
        <v>208.6538</v>
      </c>
      <c r="D743" s="3">
        <v>1821.533</v>
      </c>
      <c r="E743" s="3">
        <v>2279.909</v>
      </c>
      <c r="F743" s="4" t="s">
        <v>7</v>
      </c>
      <c r="G743" s="3">
        <v>12.0</v>
      </c>
    </row>
    <row r="744">
      <c r="A744" s="3">
        <v>57.0</v>
      </c>
      <c r="B744" s="3">
        <v>419.2239</v>
      </c>
      <c r="C744" s="3">
        <v>210.1351</v>
      </c>
      <c r="D744" s="3">
        <v>1821.533</v>
      </c>
      <c r="E744" s="3">
        <v>2277.19</v>
      </c>
      <c r="F744" s="4" t="s">
        <v>7</v>
      </c>
      <c r="G744" s="3">
        <v>12.0</v>
      </c>
    </row>
    <row r="745">
      <c r="A745" s="3">
        <v>56.0</v>
      </c>
      <c r="B745" s="3">
        <v>419.2239</v>
      </c>
      <c r="C745" s="3">
        <v>209.427</v>
      </c>
      <c r="D745" s="3">
        <v>1821.533</v>
      </c>
      <c r="E745" s="3">
        <v>2282.609</v>
      </c>
      <c r="F745" s="4" t="s">
        <v>7</v>
      </c>
      <c r="G745" s="3">
        <v>12.0</v>
      </c>
    </row>
    <row r="746">
      <c r="A746" s="3">
        <v>55.0</v>
      </c>
      <c r="B746" s="3">
        <v>419.2239</v>
      </c>
      <c r="C746" s="3">
        <v>211.9781</v>
      </c>
      <c r="D746" s="3">
        <v>1821.533</v>
      </c>
      <c r="E746" s="3">
        <v>2277.432</v>
      </c>
      <c r="F746" s="4" t="s">
        <v>7</v>
      </c>
      <c r="G746" s="3">
        <v>12.0</v>
      </c>
    </row>
    <row r="747">
      <c r="A747" s="3">
        <v>54.0</v>
      </c>
      <c r="B747" s="3">
        <v>419.2239</v>
      </c>
      <c r="C747" s="3">
        <v>211.0053</v>
      </c>
      <c r="D747" s="3">
        <v>1821.533</v>
      </c>
      <c r="E747" s="3">
        <v>2280.246</v>
      </c>
      <c r="F747" s="4" t="s">
        <v>7</v>
      </c>
      <c r="G747" s="3">
        <v>12.0</v>
      </c>
    </row>
    <row r="748">
      <c r="A748" s="3">
        <v>53.0</v>
      </c>
      <c r="B748" s="3">
        <v>419.2239</v>
      </c>
      <c r="C748" s="3">
        <v>210.5435</v>
      </c>
      <c r="D748" s="3">
        <v>1821.533</v>
      </c>
      <c r="E748" s="3">
        <v>2278.555</v>
      </c>
      <c r="F748" s="4" t="s">
        <v>7</v>
      </c>
      <c r="G748" s="3">
        <v>12.0</v>
      </c>
    </row>
    <row r="749">
      <c r="A749" s="3">
        <v>52.0</v>
      </c>
      <c r="B749" s="3">
        <v>419.2239</v>
      </c>
      <c r="C749" s="3">
        <v>211.8169</v>
      </c>
      <c r="D749" s="3">
        <v>1821.533</v>
      </c>
      <c r="E749" s="3">
        <v>2279.019</v>
      </c>
      <c r="F749" s="4" t="s">
        <v>7</v>
      </c>
      <c r="G749" s="3">
        <v>12.0</v>
      </c>
    </row>
    <row r="750">
      <c r="A750" s="3">
        <v>51.0</v>
      </c>
      <c r="B750" s="3">
        <v>418.8848</v>
      </c>
      <c r="C750" s="3">
        <v>207.6371</v>
      </c>
      <c r="D750" s="3">
        <v>1821.833</v>
      </c>
      <c r="E750" s="3">
        <v>2288.694</v>
      </c>
      <c r="F750" s="4" t="s">
        <v>7</v>
      </c>
      <c r="G750" s="3">
        <v>12.0</v>
      </c>
    </row>
    <row r="751">
      <c r="A751" s="3">
        <v>50.0</v>
      </c>
      <c r="B751" s="3">
        <v>418.8848</v>
      </c>
      <c r="C751" s="3">
        <v>206.3127</v>
      </c>
      <c r="D751" s="3">
        <v>1821.833</v>
      </c>
      <c r="E751" s="3">
        <v>2289.383</v>
      </c>
      <c r="F751" s="4" t="s">
        <v>7</v>
      </c>
      <c r="G751" s="3">
        <v>12.0</v>
      </c>
    </row>
    <row r="752">
      <c r="A752" s="3">
        <v>49.0</v>
      </c>
      <c r="B752" s="3">
        <v>418.8848</v>
      </c>
      <c r="C752" s="3">
        <v>207.3527</v>
      </c>
      <c r="D752" s="3">
        <v>1821.833</v>
      </c>
      <c r="E752" s="3">
        <v>2287.251</v>
      </c>
      <c r="F752" s="4" t="s">
        <v>7</v>
      </c>
      <c r="G752" s="3">
        <v>12.0</v>
      </c>
    </row>
    <row r="753">
      <c r="A753" s="3">
        <v>48.0</v>
      </c>
      <c r="B753" s="3">
        <v>418.8848</v>
      </c>
      <c r="C753" s="3">
        <v>207.1078</v>
      </c>
      <c r="D753" s="3">
        <v>1821.833</v>
      </c>
      <c r="E753" s="3">
        <v>2286.354</v>
      </c>
      <c r="F753" s="4" t="s">
        <v>7</v>
      </c>
      <c r="G753" s="3">
        <v>12.0</v>
      </c>
    </row>
    <row r="754">
      <c r="A754" s="3">
        <v>47.0</v>
      </c>
      <c r="B754" s="3">
        <v>418.8848</v>
      </c>
      <c r="C754" s="3">
        <v>204.3601</v>
      </c>
      <c r="D754" s="3">
        <v>1821.833</v>
      </c>
      <c r="E754" s="3">
        <v>2296.668</v>
      </c>
      <c r="F754" s="4" t="s">
        <v>7</v>
      </c>
      <c r="G754" s="3">
        <v>12.0</v>
      </c>
    </row>
    <row r="755">
      <c r="A755" s="3">
        <v>46.0</v>
      </c>
      <c r="B755" s="3">
        <v>418.8848</v>
      </c>
      <c r="C755" s="3">
        <v>202.2995</v>
      </c>
      <c r="D755" s="3">
        <v>1821.833</v>
      </c>
      <c r="E755" s="3">
        <v>2297.88</v>
      </c>
      <c r="F755" s="4" t="s">
        <v>7</v>
      </c>
      <c r="G755" s="3">
        <v>12.0</v>
      </c>
    </row>
    <row r="756">
      <c r="A756" s="3">
        <v>45.0</v>
      </c>
      <c r="B756" s="3">
        <v>418.8848</v>
      </c>
      <c r="C756" s="3">
        <v>202.1465</v>
      </c>
      <c r="D756" s="3">
        <v>1821.833</v>
      </c>
      <c r="E756" s="3">
        <v>2300.611</v>
      </c>
      <c r="F756" s="4" t="s">
        <v>7</v>
      </c>
      <c r="G756" s="3">
        <v>12.0</v>
      </c>
    </row>
    <row r="757">
      <c r="A757" s="3">
        <v>44.0</v>
      </c>
      <c r="B757" s="3">
        <v>418.8848</v>
      </c>
      <c r="C757" s="3">
        <v>203.2957</v>
      </c>
      <c r="D757" s="3">
        <v>1821.833</v>
      </c>
      <c r="E757" s="3">
        <v>2293.964</v>
      </c>
      <c r="F757" s="4" t="s">
        <v>7</v>
      </c>
      <c r="G757" s="3">
        <v>12.0</v>
      </c>
    </row>
    <row r="758">
      <c r="A758" s="3">
        <v>43.0</v>
      </c>
      <c r="B758" s="3">
        <v>418.8848</v>
      </c>
      <c r="C758" s="3">
        <v>204.2102</v>
      </c>
      <c r="D758" s="3">
        <v>1821.833</v>
      </c>
      <c r="E758" s="3">
        <v>2289.946</v>
      </c>
      <c r="F758" s="4" t="s">
        <v>7</v>
      </c>
      <c r="G758" s="3">
        <v>12.0</v>
      </c>
    </row>
    <row r="759">
      <c r="A759" s="3">
        <v>42.0</v>
      </c>
      <c r="B759" s="3">
        <v>418.5457</v>
      </c>
      <c r="C759" s="3">
        <v>198.2733</v>
      </c>
      <c r="D759" s="3">
        <v>1822.133</v>
      </c>
      <c r="E759" s="3">
        <v>2312.375</v>
      </c>
      <c r="F759" s="4" t="s">
        <v>7</v>
      </c>
      <c r="G759" s="3">
        <v>12.0</v>
      </c>
    </row>
    <row r="760">
      <c r="A760" s="3">
        <v>41.0</v>
      </c>
      <c r="B760" s="3">
        <v>418.5457</v>
      </c>
      <c r="C760" s="3">
        <v>198.8639</v>
      </c>
      <c r="D760" s="3">
        <v>1822.133</v>
      </c>
      <c r="E760" s="3">
        <v>2306.052</v>
      </c>
      <c r="F760" s="4" t="s">
        <v>7</v>
      </c>
      <c r="G760" s="3">
        <v>12.0</v>
      </c>
    </row>
    <row r="761">
      <c r="A761" s="3">
        <v>40.0</v>
      </c>
      <c r="B761" s="3">
        <v>418.5457</v>
      </c>
      <c r="C761" s="3">
        <v>202.051</v>
      </c>
      <c r="D761" s="3">
        <v>1822.133</v>
      </c>
      <c r="E761" s="3">
        <v>2294.022</v>
      </c>
      <c r="F761" s="4" t="s">
        <v>7</v>
      </c>
      <c r="G761" s="3">
        <v>12.0</v>
      </c>
    </row>
    <row r="762">
      <c r="A762" s="3">
        <v>39.0</v>
      </c>
      <c r="B762" s="3">
        <v>418.5457</v>
      </c>
      <c r="C762" s="3">
        <v>197.9079</v>
      </c>
      <c r="D762" s="3">
        <v>1822.133</v>
      </c>
      <c r="E762" s="3">
        <v>2311.301</v>
      </c>
      <c r="F762" s="4" t="s">
        <v>7</v>
      </c>
      <c r="G762" s="3">
        <v>12.0</v>
      </c>
    </row>
    <row r="763">
      <c r="A763" s="3">
        <v>38.0</v>
      </c>
      <c r="B763" s="3">
        <v>418.5457</v>
      </c>
      <c r="C763" s="3">
        <v>201.9241</v>
      </c>
      <c r="D763" s="3">
        <v>1822.133</v>
      </c>
      <c r="E763" s="3">
        <v>2297.4</v>
      </c>
      <c r="F763" s="4" t="s">
        <v>7</v>
      </c>
      <c r="G763" s="3">
        <v>12.0</v>
      </c>
    </row>
    <row r="764">
      <c r="A764" s="3">
        <v>37.0</v>
      </c>
      <c r="B764" s="3">
        <v>418.5457</v>
      </c>
      <c r="C764" s="3">
        <v>199.1452</v>
      </c>
      <c r="D764" s="3">
        <v>1822.133</v>
      </c>
      <c r="E764" s="3">
        <v>2302.807</v>
      </c>
      <c r="F764" s="4" t="s">
        <v>7</v>
      </c>
      <c r="G764" s="3">
        <v>12.0</v>
      </c>
    </row>
    <row r="765">
      <c r="A765" s="3">
        <v>36.0</v>
      </c>
      <c r="B765" s="3">
        <v>418.5457</v>
      </c>
      <c r="C765" s="3">
        <v>198.7316</v>
      </c>
      <c r="D765" s="3">
        <v>1822.133</v>
      </c>
      <c r="E765" s="3">
        <v>2304.944</v>
      </c>
      <c r="F765" s="4" t="s">
        <v>7</v>
      </c>
      <c r="G765" s="3">
        <v>12.0</v>
      </c>
    </row>
    <row r="766">
      <c r="A766" s="3">
        <v>35.0</v>
      </c>
      <c r="B766" s="3">
        <v>415.084</v>
      </c>
      <c r="C766" s="3">
        <v>196.7009</v>
      </c>
      <c r="D766" s="3">
        <v>1824.833</v>
      </c>
      <c r="E766" s="3">
        <v>2311.289</v>
      </c>
      <c r="F766" s="4" t="s">
        <v>7</v>
      </c>
      <c r="G766" s="3">
        <v>12.0</v>
      </c>
    </row>
    <row r="767">
      <c r="A767" s="3">
        <v>34.0</v>
      </c>
      <c r="B767" s="3">
        <v>415.084</v>
      </c>
      <c r="C767" s="3">
        <v>195.7601</v>
      </c>
      <c r="D767" s="3">
        <v>1824.833</v>
      </c>
      <c r="E767" s="3">
        <v>2319.693</v>
      </c>
      <c r="F767" s="4" t="s">
        <v>7</v>
      </c>
      <c r="G767" s="3">
        <v>12.0</v>
      </c>
    </row>
    <row r="768">
      <c r="A768" s="3">
        <v>33.0</v>
      </c>
      <c r="B768" s="3">
        <v>415.084</v>
      </c>
      <c r="C768" s="3">
        <v>190.9866</v>
      </c>
      <c r="D768" s="3">
        <v>1824.833</v>
      </c>
      <c r="E768" s="3">
        <v>2328.007</v>
      </c>
      <c r="F768" s="4" t="s">
        <v>7</v>
      </c>
      <c r="G768" s="3">
        <v>12.0</v>
      </c>
    </row>
    <row r="769">
      <c r="A769" s="3">
        <v>32.0</v>
      </c>
      <c r="B769" s="3">
        <v>415.084</v>
      </c>
      <c r="C769" s="3">
        <v>189.7208</v>
      </c>
      <c r="D769" s="3">
        <v>1824.833</v>
      </c>
      <c r="E769" s="3">
        <v>2327.16</v>
      </c>
      <c r="F769" s="4" t="s">
        <v>7</v>
      </c>
      <c r="G769" s="3">
        <v>12.0</v>
      </c>
    </row>
    <row r="770">
      <c r="A770" s="3">
        <v>31.0</v>
      </c>
      <c r="B770" s="3">
        <v>415.084</v>
      </c>
      <c r="C770" s="3">
        <v>188.4618</v>
      </c>
      <c r="D770" s="3">
        <v>1824.833</v>
      </c>
      <c r="E770" s="3">
        <v>2337.657</v>
      </c>
      <c r="F770" s="4" t="s">
        <v>7</v>
      </c>
      <c r="G770" s="3">
        <v>12.0</v>
      </c>
    </row>
    <row r="771">
      <c r="A771" s="3">
        <v>30.0</v>
      </c>
      <c r="B771" s="3">
        <v>411.9555</v>
      </c>
      <c r="C771" s="3">
        <v>186.6595</v>
      </c>
      <c r="D771" s="3">
        <v>1828.433</v>
      </c>
      <c r="E771" s="3">
        <v>2342.285</v>
      </c>
      <c r="F771" s="4" t="s">
        <v>7</v>
      </c>
      <c r="G771" s="3">
        <v>12.0</v>
      </c>
    </row>
    <row r="772">
      <c r="A772" s="3">
        <v>29.0</v>
      </c>
      <c r="B772" s="3">
        <v>411.9555</v>
      </c>
      <c r="C772" s="3">
        <v>185.6109</v>
      </c>
      <c r="D772" s="3">
        <v>1828.433</v>
      </c>
      <c r="E772" s="3">
        <v>2339.545</v>
      </c>
      <c r="F772" s="4" t="s">
        <v>7</v>
      </c>
      <c r="G772" s="3">
        <v>12.0</v>
      </c>
    </row>
    <row r="773">
      <c r="A773" s="3">
        <v>28.0</v>
      </c>
      <c r="B773" s="3">
        <v>408.1437</v>
      </c>
      <c r="C773" s="3">
        <v>182.8199</v>
      </c>
      <c r="D773" s="3">
        <v>1831.467</v>
      </c>
      <c r="E773" s="3">
        <v>2346.692</v>
      </c>
      <c r="F773" s="4" t="s">
        <v>7</v>
      </c>
      <c r="G773" s="3">
        <v>12.0</v>
      </c>
    </row>
    <row r="774">
      <c r="A774" s="3">
        <v>27.0</v>
      </c>
      <c r="B774" s="3">
        <v>408.1437</v>
      </c>
      <c r="C774" s="3">
        <v>180.2136</v>
      </c>
      <c r="D774" s="3">
        <v>1831.467</v>
      </c>
      <c r="E774" s="3">
        <v>2357.229</v>
      </c>
      <c r="F774" s="4" t="s">
        <v>7</v>
      </c>
      <c r="G774" s="3">
        <v>12.0</v>
      </c>
    </row>
    <row r="775">
      <c r="A775" s="3">
        <v>26.0</v>
      </c>
      <c r="B775" s="3">
        <v>408.1437</v>
      </c>
      <c r="C775" s="3">
        <v>177.7396</v>
      </c>
      <c r="D775" s="3">
        <v>1831.467</v>
      </c>
      <c r="E775" s="3">
        <v>2363.541</v>
      </c>
      <c r="F775" s="4" t="s">
        <v>7</v>
      </c>
      <c r="G775" s="3">
        <v>12.0</v>
      </c>
    </row>
    <row r="776">
      <c r="A776" s="3">
        <v>25.0</v>
      </c>
      <c r="B776" s="3">
        <v>408.1437</v>
      </c>
      <c r="C776" s="3">
        <v>172.0772</v>
      </c>
      <c r="D776" s="3">
        <v>1831.467</v>
      </c>
      <c r="E776" s="3">
        <v>2372.375</v>
      </c>
      <c r="F776" s="4" t="s">
        <v>7</v>
      </c>
      <c r="G776" s="3">
        <v>12.0</v>
      </c>
    </row>
    <row r="777">
      <c r="A777" s="3">
        <v>24.0</v>
      </c>
      <c r="B777" s="3">
        <v>408.1437</v>
      </c>
      <c r="C777" s="3">
        <v>168.2335</v>
      </c>
      <c r="D777" s="3">
        <v>1831.467</v>
      </c>
      <c r="E777" s="3">
        <v>2388.638</v>
      </c>
      <c r="F777" s="4" t="s">
        <v>7</v>
      </c>
      <c r="G777" s="3">
        <v>12.0</v>
      </c>
    </row>
    <row r="778">
      <c r="A778" s="3">
        <v>23.0</v>
      </c>
      <c r="B778" s="3">
        <v>406.4808</v>
      </c>
      <c r="C778" s="3">
        <v>164.5318</v>
      </c>
      <c r="D778" s="3">
        <v>1833.167</v>
      </c>
      <c r="E778" s="3">
        <v>2399.146</v>
      </c>
      <c r="F778" s="4" t="s">
        <v>7</v>
      </c>
      <c r="G778" s="3">
        <v>12.0</v>
      </c>
    </row>
    <row r="779">
      <c r="A779" s="3">
        <v>22.0</v>
      </c>
      <c r="B779" s="3">
        <v>404.7617</v>
      </c>
      <c r="C779" s="3">
        <v>159.0475</v>
      </c>
      <c r="D779" s="3">
        <v>1834.6</v>
      </c>
      <c r="E779" s="3">
        <v>2417.616</v>
      </c>
      <c r="F779" s="4" t="s">
        <v>7</v>
      </c>
      <c r="G779" s="3">
        <v>12.0</v>
      </c>
    </row>
    <row r="780">
      <c r="A780" s="3">
        <v>21.0</v>
      </c>
      <c r="B780" s="3">
        <v>400.9499</v>
      </c>
      <c r="C780" s="3">
        <v>153.9768</v>
      </c>
      <c r="D780" s="3">
        <v>1837.633</v>
      </c>
      <c r="E780" s="3">
        <v>2423.62</v>
      </c>
      <c r="F780" s="4" t="s">
        <v>7</v>
      </c>
      <c r="G780" s="3">
        <v>12.0</v>
      </c>
    </row>
    <row r="781">
      <c r="A781" s="3">
        <v>20.0</v>
      </c>
      <c r="B781" s="3">
        <v>398.4463</v>
      </c>
      <c r="C781" s="3">
        <v>145.3255</v>
      </c>
      <c r="D781" s="3">
        <v>1840.167</v>
      </c>
      <c r="E781" s="3">
        <v>2458.924</v>
      </c>
      <c r="F781" s="4" t="s">
        <v>7</v>
      </c>
      <c r="G781" s="3">
        <v>12.0</v>
      </c>
    </row>
    <row r="782">
      <c r="A782" s="3">
        <v>19.0</v>
      </c>
      <c r="B782" s="3">
        <v>396.6609</v>
      </c>
      <c r="C782" s="3">
        <v>138.015</v>
      </c>
      <c r="D782" s="3">
        <v>1842.2</v>
      </c>
      <c r="E782" s="3">
        <v>2473.173</v>
      </c>
      <c r="F782" s="4" t="s">
        <v>7</v>
      </c>
      <c r="G782" s="3">
        <v>12.0</v>
      </c>
    </row>
    <row r="783">
      <c r="A783" s="3">
        <v>18.0</v>
      </c>
      <c r="B783" s="3">
        <v>384.6082</v>
      </c>
      <c r="C783" s="3">
        <v>129.6708</v>
      </c>
      <c r="D783" s="3">
        <v>1852.533</v>
      </c>
      <c r="E783" s="3">
        <v>2499.218</v>
      </c>
      <c r="F783" s="4" t="s">
        <v>7</v>
      </c>
      <c r="G783" s="3">
        <v>12.0</v>
      </c>
    </row>
    <row r="784">
      <c r="A784" s="3">
        <v>17.0</v>
      </c>
      <c r="B784" s="3">
        <v>383.8975</v>
      </c>
      <c r="C784" s="3">
        <v>122.0671</v>
      </c>
      <c r="D784" s="3">
        <v>1853.467</v>
      </c>
      <c r="E784" s="3">
        <v>2523.216</v>
      </c>
      <c r="F784" s="4" t="s">
        <v>7</v>
      </c>
      <c r="G784" s="3">
        <v>12.0</v>
      </c>
    </row>
    <row r="785">
      <c r="A785" s="3">
        <v>16.0</v>
      </c>
      <c r="B785" s="3">
        <v>377.1338</v>
      </c>
      <c r="C785" s="3">
        <v>116.7417</v>
      </c>
      <c r="D785" s="3">
        <v>1859.567</v>
      </c>
      <c r="E785" s="3">
        <v>2538.405</v>
      </c>
      <c r="F785" s="4" t="s">
        <v>7</v>
      </c>
      <c r="G785" s="3">
        <v>12.0</v>
      </c>
    </row>
    <row r="786">
      <c r="A786" s="3">
        <v>15.0</v>
      </c>
      <c r="B786" s="3">
        <v>360.4799</v>
      </c>
      <c r="C786" s="3">
        <v>107.695</v>
      </c>
      <c r="D786" s="3">
        <v>1873.967</v>
      </c>
      <c r="E786" s="3">
        <v>2580.05</v>
      </c>
      <c r="F786" s="4" t="s">
        <v>7</v>
      </c>
      <c r="G786" s="3">
        <v>12.0</v>
      </c>
    </row>
    <row r="787">
      <c r="A787" s="3">
        <v>14.0</v>
      </c>
      <c r="B787" s="3">
        <v>344.0282</v>
      </c>
      <c r="C787" s="3">
        <v>102.4764</v>
      </c>
      <c r="D787" s="3">
        <v>1889.633</v>
      </c>
      <c r="E787" s="3">
        <v>2596.851</v>
      </c>
      <c r="F787" s="4" t="s">
        <v>7</v>
      </c>
      <c r="G787" s="3">
        <v>12.0</v>
      </c>
    </row>
    <row r="788">
      <c r="A788" s="3">
        <v>13.0</v>
      </c>
      <c r="B788" s="3">
        <v>332.2325</v>
      </c>
      <c r="C788" s="3">
        <v>97.46487</v>
      </c>
      <c r="D788" s="3">
        <v>1900.6</v>
      </c>
      <c r="E788" s="3">
        <v>2621.226</v>
      </c>
      <c r="F788" s="4" t="s">
        <v>7</v>
      </c>
      <c r="G788" s="3">
        <v>12.0</v>
      </c>
    </row>
    <row r="789">
      <c r="A789" s="3">
        <v>12.0</v>
      </c>
      <c r="B789" s="3">
        <v>317.1295</v>
      </c>
      <c r="C789" s="3">
        <v>92.04684</v>
      </c>
      <c r="D789" s="3">
        <v>1917.167</v>
      </c>
      <c r="E789" s="3">
        <v>2644.54</v>
      </c>
      <c r="F789" s="4" t="s">
        <v>7</v>
      </c>
      <c r="G789" s="3">
        <v>12.0</v>
      </c>
    </row>
    <row r="790">
      <c r="A790" s="3">
        <v>11.0</v>
      </c>
      <c r="B790" s="3">
        <v>301.3643</v>
      </c>
      <c r="C790" s="3">
        <v>89.17253</v>
      </c>
      <c r="D790" s="3">
        <v>1933.367</v>
      </c>
      <c r="E790" s="3">
        <v>2662.529</v>
      </c>
      <c r="F790" s="4" t="s">
        <v>7</v>
      </c>
      <c r="G790" s="3">
        <v>12.0</v>
      </c>
    </row>
    <row r="791">
      <c r="A791" s="3">
        <v>10.0</v>
      </c>
      <c r="B791" s="3">
        <v>282.8507</v>
      </c>
      <c r="C791" s="3">
        <v>83.79649</v>
      </c>
      <c r="D791" s="3">
        <v>1951.767</v>
      </c>
      <c r="E791" s="3">
        <v>2692.206</v>
      </c>
      <c r="F791" s="4" t="s">
        <v>7</v>
      </c>
      <c r="G791" s="3">
        <v>12.0</v>
      </c>
    </row>
    <row r="792">
      <c r="A792" s="3">
        <v>9.0</v>
      </c>
      <c r="B792" s="3">
        <v>274.7314</v>
      </c>
      <c r="C792" s="3">
        <v>79.07293</v>
      </c>
      <c r="D792" s="3">
        <v>1961.567</v>
      </c>
      <c r="E792" s="3">
        <v>2727.241</v>
      </c>
      <c r="F792" s="4" t="s">
        <v>7</v>
      </c>
      <c r="G792" s="3">
        <v>12.0</v>
      </c>
    </row>
    <row r="793">
      <c r="A793" s="3">
        <v>8.0</v>
      </c>
      <c r="B793" s="3">
        <v>259.2744</v>
      </c>
      <c r="C793" s="3">
        <v>76.02884</v>
      </c>
      <c r="D793" s="3">
        <v>1981.433</v>
      </c>
      <c r="E793" s="3">
        <v>2747.247</v>
      </c>
      <c r="F793" s="4" t="s">
        <v>7</v>
      </c>
      <c r="G793" s="3">
        <v>12.0</v>
      </c>
    </row>
    <row r="794">
      <c r="A794" s="3">
        <v>7.0</v>
      </c>
      <c r="B794" s="3">
        <v>243.1504</v>
      </c>
      <c r="C794" s="3">
        <v>71.63374</v>
      </c>
      <c r="D794" s="3">
        <v>2003.9</v>
      </c>
      <c r="E794" s="3">
        <v>2778.2</v>
      </c>
      <c r="F794" s="4" t="s">
        <v>7</v>
      </c>
      <c r="G794" s="3">
        <v>12.0</v>
      </c>
    </row>
    <row r="795">
      <c r="A795" s="3">
        <v>6.0</v>
      </c>
      <c r="B795" s="3">
        <v>233.451</v>
      </c>
      <c r="C795" s="3">
        <v>66.23182</v>
      </c>
      <c r="D795" s="3">
        <v>2018.733</v>
      </c>
      <c r="E795" s="3">
        <v>2831.844</v>
      </c>
      <c r="F795" s="4" t="s">
        <v>7</v>
      </c>
      <c r="G795" s="3">
        <v>12.0</v>
      </c>
    </row>
    <row r="796">
      <c r="A796" s="3">
        <v>5.0</v>
      </c>
      <c r="B796" s="3">
        <v>218.0424</v>
      </c>
      <c r="C796" s="3">
        <v>60.87732</v>
      </c>
      <c r="D796" s="3">
        <v>2045.367</v>
      </c>
      <c r="E796" s="3">
        <v>2893.993</v>
      </c>
      <c r="F796" s="4" t="s">
        <v>7</v>
      </c>
      <c r="G796" s="3">
        <v>12.0</v>
      </c>
    </row>
    <row r="797">
      <c r="A797" s="3">
        <v>4.0</v>
      </c>
      <c r="B797" s="3">
        <v>205.603</v>
      </c>
      <c r="C797" s="3">
        <v>54.07589</v>
      </c>
      <c r="D797" s="3">
        <v>2069.633</v>
      </c>
      <c r="E797" s="3">
        <v>2974.074</v>
      </c>
      <c r="F797" s="4" t="s">
        <v>7</v>
      </c>
      <c r="G797" s="3">
        <v>12.0</v>
      </c>
    </row>
    <row r="798">
      <c r="A798" s="3">
        <v>3.0</v>
      </c>
      <c r="B798" s="3">
        <v>185.825</v>
      </c>
      <c r="C798" s="3">
        <v>47.27539</v>
      </c>
      <c r="D798" s="3">
        <v>2111.733</v>
      </c>
      <c r="E798" s="3">
        <v>3069.65</v>
      </c>
      <c r="F798" s="4" t="s">
        <v>7</v>
      </c>
      <c r="G798" s="3">
        <v>12.0</v>
      </c>
    </row>
    <row r="799">
      <c r="A799" s="3">
        <v>2.0</v>
      </c>
      <c r="B799" s="3">
        <v>167.7839</v>
      </c>
      <c r="C799" s="3">
        <v>40.13534</v>
      </c>
      <c r="D799" s="3">
        <v>2154.367</v>
      </c>
      <c r="E799" s="3">
        <v>3183.439</v>
      </c>
      <c r="F799" s="4" t="s">
        <v>7</v>
      </c>
      <c r="G799" s="3">
        <v>12.0</v>
      </c>
    </row>
    <row r="800">
      <c r="A800" s="3">
        <v>1.0</v>
      </c>
      <c r="B800" s="3">
        <v>149.1786</v>
      </c>
      <c r="C800" s="3">
        <v>34.62112</v>
      </c>
      <c r="D800" s="3">
        <v>2202.533</v>
      </c>
      <c r="E800" s="3">
        <v>3290.823</v>
      </c>
      <c r="F800" s="4" t="s">
        <v>7</v>
      </c>
      <c r="G800" s="3">
        <v>12.0</v>
      </c>
    </row>
    <row r="801">
      <c r="A801" s="3">
        <v>0.0</v>
      </c>
      <c r="B801" s="3">
        <v>135.594</v>
      </c>
      <c r="C801" s="3">
        <v>29.58556</v>
      </c>
      <c r="D801" s="3">
        <v>2241.1</v>
      </c>
      <c r="E801" s="3">
        <v>3416.032</v>
      </c>
      <c r="F801" s="4" t="s">
        <v>7</v>
      </c>
      <c r="G801" s="3">
        <v>12.0</v>
      </c>
    </row>
    <row r="802">
      <c r="A802" s="3">
        <v>199.0</v>
      </c>
      <c r="B802" s="5">
        <v>36.73531</v>
      </c>
      <c r="C802" s="5">
        <v>24.81559</v>
      </c>
      <c r="D802" s="5">
        <v>3136.233</v>
      </c>
      <c r="E802" s="5">
        <v>3850.891</v>
      </c>
      <c r="F802" s="4" t="s">
        <v>8</v>
      </c>
      <c r="G802" s="3">
        <v>21.0</v>
      </c>
    </row>
    <row r="803">
      <c r="A803" s="3">
        <v>198.0</v>
      </c>
      <c r="B803" s="5">
        <v>36.70099</v>
      </c>
      <c r="C803" s="5">
        <v>24.55676</v>
      </c>
      <c r="D803" s="3">
        <v>3137.2</v>
      </c>
      <c r="E803" s="5">
        <v>3866.639</v>
      </c>
      <c r="F803" s="4" t="s">
        <v>8</v>
      </c>
      <c r="G803" s="3">
        <v>21.0</v>
      </c>
    </row>
    <row r="804">
      <c r="A804" s="3">
        <v>197.0</v>
      </c>
      <c r="B804" s="5">
        <v>36.67045</v>
      </c>
      <c r="C804" s="5">
        <v>24.16205</v>
      </c>
      <c r="D804" s="5">
        <v>3138.833</v>
      </c>
      <c r="E804" s="5">
        <v>3894.966</v>
      </c>
      <c r="F804" s="4" t="s">
        <v>8</v>
      </c>
      <c r="G804" s="3">
        <v>21.0</v>
      </c>
    </row>
    <row r="805">
      <c r="A805" s="3">
        <v>196.0</v>
      </c>
      <c r="B805" s="5">
        <v>36.43845</v>
      </c>
      <c r="C805" s="5">
        <v>23.9612</v>
      </c>
      <c r="D805" s="5">
        <v>3146.167</v>
      </c>
      <c r="E805" s="5">
        <v>3906.117</v>
      </c>
      <c r="F805" s="4" t="s">
        <v>8</v>
      </c>
      <c r="G805" s="3">
        <v>21.0</v>
      </c>
    </row>
    <row r="806">
      <c r="A806" s="3">
        <v>195.0</v>
      </c>
      <c r="B806" s="5">
        <v>36.38382</v>
      </c>
      <c r="C806" s="5">
        <v>23.85915</v>
      </c>
      <c r="D806" s="5">
        <v>3148.067</v>
      </c>
      <c r="E806" s="5">
        <v>3923.507</v>
      </c>
      <c r="F806" s="4" t="s">
        <v>8</v>
      </c>
      <c r="G806" s="3">
        <v>21.0</v>
      </c>
    </row>
    <row r="807">
      <c r="A807" s="3">
        <v>194.0</v>
      </c>
      <c r="B807" s="5">
        <v>36.319</v>
      </c>
      <c r="C807" s="5">
        <v>23.81162</v>
      </c>
      <c r="D807" s="5">
        <v>3150.433</v>
      </c>
      <c r="E807" s="5">
        <v>3931.442</v>
      </c>
      <c r="F807" s="4" t="s">
        <v>8</v>
      </c>
      <c r="G807" s="3">
        <v>21.0</v>
      </c>
    </row>
    <row r="808">
      <c r="A808" s="3">
        <v>193.0</v>
      </c>
      <c r="B808" s="5">
        <v>36.31756</v>
      </c>
      <c r="C808" s="5">
        <v>23.50467</v>
      </c>
      <c r="D808" s="5">
        <v>3150.467</v>
      </c>
      <c r="E808" s="3">
        <v>3958.02</v>
      </c>
      <c r="F808" s="4" t="s">
        <v>8</v>
      </c>
      <c r="G808" s="3">
        <v>21.0</v>
      </c>
    </row>
    <row r="809">
      <c r="A809" s="3">
        <v>192.0</v>
      </c>
      <c r="B809" s="5">
        <v>36.20174</v>
      </c>
      <c r="C809" s="5">
        <v>23.09398</v>
      </c>
      <c r="D809" s="5">
        <v>3156.633</v>
      </c>
      <c r="E809" s="5">
        <v>3987.905</v>
      </c>
      <c r="F809" s="4" t="s">
        <v>8</v>
      </c>
      <c r="G809" s="3">
        <v>21.0</v>
      </c>
    </row>
    <row r="810">
      <c r="A810" s="3">
        <v>191.0</v>
      </c>
      <c r="B810" s="5">
        <v>36.08451</v>
      </c>
      <c r="C810" s="5">
        <v>22.8058</v>
      </c>
      <c r="D810" s="5">
        <v>3159.833</v>
      </c>
      <c r="E810" s="5">
        <v>4007.802</v>
      </c>
      <c r="F810" s="4" t="s">
        <v>8</v>
      </c>
      <c r="G810" s="3">
        <v>21.0</v>
      </c>
    </row>
    <row r="811">
      <c r="A811" s="3">
        <v>190.0</v>
      </c>
      <c r="B811" s="5">
        <v>35.89857</v>
      </c>
      <c r="C811" s="5">
        <v>22.61058</v>
      </c>
      <c r="D811" s="3">
        <v>3164.9</v>
      </c>
      <c r="E811" s="5">
        <v>4035.803</v>
      </c>
      <c r="F811" s="4" t="s">
        <v>8</v>
      </c>
      <c r="G811" s="3">
        <v>21.0</v>
      </c>
    </row>
    <row r="812">
      <c r="A812" s="3">
        <v>189.0</v>
      </c>
      <c r="B812" s="5">
        <v>35.83305</v>
      </c>
      <c r="C812" s="5">
        <v>22.20269</v>
      </c>
      <c r="D812" s="3">
        <v>3167.8</v>
      </c>
      <c r="E812" s="5">
        <v>4071.357</v>
      </c>
      <c r="F812" s="4" t="s">
        <v>8</v>
      </c>
      <c r="G812" s="3">
        <v>21.0</v>
      </c>
    </row>
    <row r="813">
      <c r="A813" s="3">
        <v>188.0</v>
      </c>
      <c r="B813" s="5">
        <v>35.60404</v>
      </c>
      <c r="C813" s="5">
        <v>21.91674</v>
      </c>
      <c r="D813" s="5">
        <v>3172.667</v>
      </c>
      <c r="E813" s="5">
        <v>4101.855</v>
      </c>
      <c r="F813" s="4" t="s">
        <v>8</v>
      </c>
      <c r="G813" s="3">
        <v>21.0</v>
      </c>
    </row>
    <row r="814">
      <c r="A814" s="3">
        <v>187.0</v>
      </c>
      <c r="B814" s="5">
        <v>35.36869</v>
      </c>
      <c r="C814" s="5">
        <v>21.67785</v>
      </c>
      <c r="D814" s="5">
        <v>3181.833</v>
      </c>
      <c r="E814" s="5">
        <v>4120.246</v>
      </c>
      <c r="F814" s="4" t="s">
        <v>8</v>
      </c>
      <c r="G814" s="3">
        <v>21.0</v>
      </c>
    </row>
    <row r="815">
      <c r="A815" s="3">
        <v>186.0</v>
      </c>
      <c r="B815" s="5">
        <v>35.08515</v>
      </c>
      <c r="C815" s="5">
        <v>21.42358</v>
      </c>
      <c r="D815" s="5">
        <v>3192.167</v>
      </c>
      <c r="E815" s="5">
        <v>4152.752</v>
      </c>
      <c r="F815" s="4" t="s">
        <v>8</v>
      </c>
      <c r="G815" s="3">
        <v>21.0</v>
      </c>
    </row>
    <row r="816">
      <c r="A816" s="3">
        <v>185.0</v>
      </c>
      <c r="B816" s="5">
        <v>34.98068</v>
      </c>
      <c r="C816" s="5">
        <v>21.16624</v>
      </c>
      <c r="D816" s="3">
        <v>3193.9</v>
      </c>
      <c r="E816" s="5">
        <v>4176.299</v>
      </c>
      <c r="F816" s="4" t="s">
        <v>8</v>
      </c>
      <c r="G816" s="3">
        <v>21.0</v>
      </c>
    </row>
    <row r="817">
      <c r="A817" s="3">
        <v>184.0</v>
      </c>
      <c r="B817" s="5">
        <v>34.69972</v>
      </c>
      <c r="C817" s="5">
        <v>20.84745</v>
      </c>
      <c r="D817" s="3">
        <v>3199.9</v>
      </c>
      <c r="E817" s="5">
        <v>4214.755</v>
      </c>
      <c r="F817" s="4" t="s">
        <v>8</v>
      </c>
      <c r="G817" s="3">
        <v>21.0</v>
      </c>
    </row>
    <row r="818">
      <c r="A818" s="3">
        <v>183.0</v>
      </c>
      <c r="B818" s="5">
        <v>34.45046</v>
      </c>
      <c r="C818" s="5">
        <v>20.71142</v>
      </c>
      <c r="D818" s="3">
        <v>3210.2</v>
      </c>
      <c r="E818" s="5">
        <v>4230.759</v>
      </c>
      <c r="F818" s="4" t="s">
        <v>8</v>
      </c>
      <c r="G818" s="3">
        <v>21.0</v>
      </c>
    </row>
    <row r="819">
      <c r="A819" s="3">
        <v>182.0</v>
      </c>
      <c r="B819" s="5">
        <v>34.36013</v>
      </c>
      <c r="C819" s="5">
        <v>20.48867</v>
      </c>
      <c r="D819" s="5">
        <v>3213.733</v>
      </c>
      <c r="E819" s="5">
        <v>4250.604</v>
      </c>
      <c r="F819" s="4" t="s">
        <v>8</v>
      </c>
      <c r="G819" s="3">
        <v>21.0</v>
      </c>
    </row>
    <row r="820">
      <c r="A820" s="3">
        <v>181.0</v>
      </c>
      <c r="B820" s="5">
        <v>34.22185</v>
      </c>
      <c r="C820" s="5">
        <v>20.23046</v>
      </c>
      <c r="D820" s="5">
        <v>3221.767</v>
      </c>
      <c r="E820" s="5">
        <v>4278.604</v>
      </c>
      <c r="F820" s="4" t="s">
        <v>8</v>
      </c>
      <c r="G820" s="3">
        <v>21.0</v>
      </c>
    </row>
    <row r="821">
      <c r="A821" s="3">
        <v>180.0</v>
      </c>
      <c r="B821" s="5">
        <v>33.88325</v>
      </c>
      <c r="C821" s="5">
        <v>19.97953</v>
      </c>
      <c r="D821" s="5">
        <v>3232.033</v>
      </c>
      <c r="E821" s="5">
        <v>4297.601</v>
      </c>
      <c r="F821" s="4" t="s">
        <v>8</v>
      </c>
      <c r="G821" s="3">
        <v>21.0</v>
      </c>
    </row>
    <row r="822">
      <c r="A822" s="3">
        <v>179.0</v>
      </c>
      <c r="B822" s="5">
        <v>33.60163</v>
      </c>
      <c r="C822" s="5">
        <v>19.56427</v>
      </c>
      <c r="D822" s="3">
        <v>3243.6</v>
      </c>
      <c r="E822" s="5">
        <v>4321.392</v>
      </c>
      <c r="F822" s="4" t="s">
        <v>8</v>
      </c>
      <c r="G822" s="3">
        <v>21.0</v>
      </c>
    </row>
    <row r="823">
      <c r="A823" s="3">
        <v>178.0</v>
      </c>
      <c r="B823" s="5">
        <v>33.42241</v>
      </c>
      <c r="C823" s="5">
        <v>19.2299</v>
      </c>
      <c r="D823" s="5">
        <v>3253.433</v>
      </c>
      <c r="E823" s="5">
        <v>4355.954</v>
      </c>
      <c r="F823" s="4" t="s">
        <v>8</v>
      </c>
      <c r="G823" s="3">
        <v>21.0</v>
      </c>
    </row>
    <row r="824">
      <c r="A824" s="3">
        <v>177.0</v>
      </c>
      <c r="B824" s="5">
        <v>33.3136</v>
      </c>
      <c r="C824" s="5">
        <v>18.88939</v>
      </c>
      <c r="D824" s="5">
        <v>3261.033</v>
      </c>
      <c r="E824" s="5">
        <v>4383.578</v>
      </c>
      <c r="F824" s="4" t="s">
        <v>8</v>
      </c>
      <c r="G824" s="3">
        <v>21.0</v>
      </c>
    </row>
    <row r="825">
      <c r="A825" s="3">
        <v>176.0</v>
      </c>
      <c r="B825" s="5">
        <v>32.50231</v>
      </c>
      <c r="C825" s="5">
        <v>18.58937</v>
      </c>
      <c r="D825" s="3">
        <v>3280.6</v>
      </c>
      <c r="E825" s="5">
        <v>4422.825</v>
      </c>
      <c r="F825" s="4" t="s">
        <v>8</v>
      </c>
      <c r="G825" s="3">
        <v>21.0</v>
      </c>
    </row>
    <row r="826">
      <c r="A826" s="3">
        <v>175.0</v>
      </c>
      <c r="B826" s="5">
        <v>32.42414</v>
      </c>
      <c r="C826" s="5">
        <v>18.32474</v>
      </c>
      <c r="D826" s="3">
        <v>3286.0</v>
      </c>
      <c r="E826" s="5">
        <v>4455.281</v>
      </c>
      <c r="F826" s="4" t="s">
        <v>8</v>
      </c>
      <c r="G826" s="3">
        <v>21.0</v>
      </c>
    </row>
    <row r="827">
      <c r="A827" s="3">
        <v>174.0</v>
      </c>
      <c r="B827" s="5">
        <v>32.09373</v>
      </c>
      <c r="C827" s="5">
        <v>18.09903</v>
      </c>
      <c r="D827" s="5">
        <v>3296.267</v>
      </c>
      <c r="E827" s="5">
        <v>4479.527</v>
      </c>
      <c r="F827" s="4" t="s">
        <v>8</v>
      </c>
      <c r="G827" s="3">
        <v>21.0</v>
      </c>
    </row>
    <row r="828">
      <c r="A828" s="3">
        <v>173.0</v>
      </c>
      <c r="B828" s="5">
        <v>31.31473</v>
      </c>
      <c r="C828" s="5">
        <v>17.88733</v>
      </c>
      <c r="D828" s="5">
        <v>3315.933</v>
      </c>
      <c r="E828" s="5">
        <v>4498.406</v>
      </c>
      <c r="F828" s="4" t="s">
        <v>8</v>
      </c>
      <c r="G828" s="3">
        <v>21.0</v>
      </c>
    </row>
    <row r="829">
      <c r="A829" s="3">
        <v>172.0</v>
      </c>
      <c r="B829" s="5">
        <v>31.06629</v>
      </c>
      <c r="C829" s="5">
        <v>17.6359</v>
      </c>
      <c r="D829" s="3">
        <v>3325.0</v>
      </c>
      <c r="E829" s="5">
        <v>4530.417</v>
      </c>
      <c r="F829" s="4" t="s">
        <v>8</v>
      </c>
      <c r="G829" s="3">
        <v>21.0</v>
      </c>
    </row>
    <row r="830">
      <c r="A830" s="3">
        <v>171.0</v>
      </c>
      <c r="B830" s="5">
        <v>30.79387</v>
      </c>
      <c r="C830" s="5">
        <v>17.28318</v>
      </c>
      <c r="D830" s="5">
        <v>3335.467</v>
      </c>
      <c r="E830" s="5">
        <v>4576.875</v>
      </c>
      <c r="F830" s="4" t="s">
        <v>8</v>
      </c>
      <c r="G830" s="3">
        <v>21.0</v>
      </c>
    </row>
    <row r="831">
      <c r="A831" s="3">
        <v>170.0</v>
      </c>
      <c r="B831" s="5">
        <v>30.60013</v>
      </c>
      <c r="C831" s="5">
        <v>16.98027</v>
      </c>
      <c r="D831" s="5">
        <v>3339.467</v>
      </c>
      <c r="E831" s="5">
        <v>4603.669</v>
      </c>
      <c r="F831" s="4" t="s">
        <v>8</v>
      </c>
      <c r="G831" s="3">
        <v>21.0</v>
      </c>
    </row>
    <row r="832">
      <c r="A832" s="3">
        <v>169.0</v>
      </c>
      <c r="B832" s="5">
        <v>30.30784</v>
      </c>
      <c r="C832" s="5">
        <v>16.79204</v>
      </c>
      <c r="D832" s="3">
        <v>3347.4</v>
      </c>
      <c r="E832" s="5">
        <v>4623.909</v>
      </c>
      <c r="F832" s="4" t="s">
        <v>8</v>
      </c>
      <c r="G832" s="3">
        <v>21.0</v>
      </c>
    </row>
    <row r="833">
      <c r="A833" s="3">
        <v>168.0</v>
      </c>
      <c r="B833" s="5">
        <v>29.98119</v>
      </c>
      <c r="C833" s="5">
        <v>16.62799</v>
      </c>
      <c r="D833" s="3">
        <v>3358.6</v>
      </c>
      <c r="E833" s="5">
        <v>4645.022</v>
      </c>
      <c r="F833" s="4" t="s">
        <v>8</v>
      </c>
      <c r="G833" s="3">
        <v>21.0</v>
      </c>
    </row>
    <row r="834">
      <c r="A834" s="3">
        <v>167.0</v>
      </c>
      <c r="B834" s="5">
        <v>29.84958</v>
      </c>
      <c r="C834" s="5">
        <v>16.33468</v>
      </c>
      <c r="D834" s="5">
        <v>3364.367</v>
      </c>
      <c r="E834" s="5">
        <v>4684.704</v>
      </c>
      <c r="F834" s="4" t="s">
        <v>8</v>
      </c>
      <c r="G834" s="3">
        <v>21.0</v>
      </c>
    </row>
    <row r="835">
      <c r="A835" s="3">
        <v>166.0</v>
      </c>
      <c r="B835" s="5">
        <v>29.68138</v>
      </c>
      <c r="C835" s="5">
        <v>16.05372</v>
      </c>
      <c r="D835" s="5">
        <v>3370.667</v>
      </c>
      <c r="E835" s="3">
        <v>4711.8</v>
      </c>
      <c r="F835" s="4" t="s">
        <v>8</v>
      </c>
      <c r="G835" s="3">
        <v>21.0</v>
      </c>
    </row>
    <row r="836">
      <c r="A836" s="3">
        <v>165.0</v>
      </c>
      <c r="B836" s="5">
        <v>29.59929</v>
      </c>
      <c r="C836" s="5">
        <v>15.77143</v>
      </c>
      <c r="D836" s="3">
        <v>3373.6</v>
      </c>
      <c r="E836" s="5">
        <v>4755.013</v>
      </c>
      <c r="F836" s="4" t="s">
        <v>8</v>
      </c>
      <c r="G836" s="3">
        <v>21.0</v>
      </c>
    </row>
    <row r="837">
      <c r="A837" s="3">
        <v>164.0</v>
      </c>
      <c r="B837" s="5">
        <v>29.34583</v>
      </c>
      <c r="C837" s="5">
        <v>15.51723</v>
      </c>
      <c r="D837" s="5">
        <v>3385.367</v>
      </c>
      <c r="E837" s="5">
        <v>4790.986</v>
      </c>
      <c r="F837" s="4" t="s">
        <v>8</v>
      </c>
      <c r="G837" s="3">
        <v>21.0</v>
      </c>
    </row>
    <row r="838">
      <c r="A838" s="3">
        <v>163.0</v>
      </c>
      <c r="B838" s="5">
        <v>28.96613</v>
      </c>
      <c r="C838" s="5">
        <v>15.3451</v>
      </c>
      <c r="D838" s="5">
        <v>3408.867</v>
      </c>
      <c r="E838" s="5">
        <v>4802.453</v>
      </c>
      <c r="F838" s="4" t="s">
        <v>8</v>
      </c>
      <c r="G838" s="3">
        <v>21.0</v>
      </c>
    </row>
    <row r="839">
      <c r="A839" s="3">
        <v>162.0</v>
      </c>
      <c r="B839" s="5">
        <v>28.21169</v>
      </c>
      <c r="C839" s="5">
        <v>15.08429</v>
      </c>
      <c r="D839" s="5">
        <v>3427.467</v>
      </c>
      <c r="E839" s="5">
        <v>4839.667</v>
      </c>
      <c r="F839" s="4" t="s">
        <v>8</v>
      </c>
      <c r="G839" s="3">
        <v>21.0</v>
      </c>
    </row>
    <row r="840">
      <c r="A840" s="3">
        <v>161.0</v>
      </c>
      <c r="B840" s="5">
        <v>28.03692</v>
      </c>
      <c r="C840" s="5">
        <v>14.89703</v>
      </c>
      <c r="D840" s="3">
        <v>3435.8</v>
      </c>
      <c r="E840" s="5">
        <v>4859.474</v>
      </c>
      <c r="F840" s="4" t="s">
        <v>8</v>
      </c>
      <c r="G840" s="3">
        <v>21.0</v>
      </c>
    </row>
    <row r="841">
      <c r="A841" s="3">
        <v>160.0</v>
      </c>
      <c r="B841" s="5">
        <v>27.92013</v>
      </c>
      <c r="C841" s="5">
        <v>14.69472</v>
      </c>
      <c r="D841" s="3">
        <v>3439.1</v>
      </c>
      <c r="E841" s="3">
        <v>4891.22</v>
      </c>
      <c r="F841" s="4" t="s">
        <v>8</v>
      </c>
      <c r="G841" s="3">
        <v>21.0</v>
      </c>
    </row>
    <row r="842">
      <c r="A842" s="3">
        <v>159.0</v>
      </c>
      <c r="B842" s="5">
        <v>27.77372</v>
      </c>
      <c r="C842" s="5">
        <v>14.47161</v>
      </c>
      <c r="D842" s="5">
        <v>3448.967</v>
      </c>
      <c r="E842" s="5">
        <v>4914.928</v>
      </c>
      <c r="F842" s="4" t="s">
        <v>8</v>
      </c>
      <c r="G842" s="3">
        <v>21.0</v>
      </c>
    </row>
    <row r="843">
      <c r="A843" s="3">
        <v>158.0</v>
      </c>
      <c r="B843" s="5">
        <v>27.39937</v>
      </c>
      <c r="C843" s="5">
        <v>14.32567</v>
      </c>
      <c r="D843" s="3">
        <v>3464.4</v>
      </c>
      <c r="E843" s="5">
        <v>4955.422</v>
      </c>
      <c r="F843" s="4" t="s">
        <v>8</v>
      </c>
      <c r="G843" s="3">
        <v>21.0</v>
      </c>
    </row>
    <row r="844">
      <c r="A844" s="3">
        <v>157.0</v>
      </c>
      <c r="B844" s="5">
        <v>27.07789</v>
      </c>
      <c r="C844" s="5">
        <v>14.11557</v>
      </c>
      <c r="D844" s="5">
        <v>3480.633</v>
      </c>
      <c r="E844" s="5">
        <v>4993.135</v>
      </c>
      <c r="F844" s="4" t="s">
        <v>8</v>
      </c>
      <c r="G844" s="3">
        <v>21.0</v>
      </c>
    </row>
    <row r="845">
      <c r="A845" s="3">
        <v>156.0</v>
      </c>
      <c r="B845" s="5">
        <v>26.9912</v>
      </c>
      <c r="C845" s="5">
        <v>13.87092</v>
      </c>
      <c r="D845" s="5">
        <v>3486.467</v>
      </c>
      <c r="E845" s="5">
        <v>5022.687</v>
      </c>
      <c r="F845" s="4" t="s">
        <v>8</v>
      </c>
      <c r="G845" s="3">
        <v>21.0</v>
      </c>
    </row>
    <row r="846">
      <c r="A846" s="3">
        <v>155.0</v>
      </c>
      <c r="B846" s="5">
        <v>26.89595</v>
      </c>
      <c r="C846" s="5">
        <v>13.68284</v>
      </c>
      <c r="D846" s="5">
        <v>3491.433</v>
      </c>
      <c r="E846" s="5">
        <v>5058.899</v>
      </c>
      <c r="F846" s="4" t="s">
        <v>8</v>
      </c>
      <c r="G846" s="3">
        <v>21.0</v>
      </c>
    </row>
    <row r="847">
      <c r="A847" s="3">
        <v>154.0</v>
      </c>
      <c r="B847" s="5">
        <v>26.26642</v>
      </c>
      <c r="C847" s="5">
        <v>13.5049</v>
      </c>
      <c r="D847" s="5">
        <v>3521.333</v>
      </c>
      <c r="E847" s="5">
        <v>5093.485</v>
      </c>
      <c r="F847" s="4" t="s">
        <v>8</v>
      </c>
      <c r="G847" s="3">
        <v>21.0</v>
      </c>
    </row>
    <row r="848">
      <c r="A848" s="3">
        <v>153.0</v>
      </c>
      <c r="B848" s="5">
        <v>26.18746</v>
      </c>
      <c r="C848" s="5">
        <v>13.22671</v>
      </c>
      <c r="D848" s="3">
        <v>3528.8</v>
      </c>
      <c r="E848" s="3">
        <v>5125.65</v>
      </c>
      <c r="F848" s="4" t="s">
        <v>8</v>
      </c>
      <c r="G848" s="3">
        <v>21.0</v>
      </c>
    </row>
    <row r="849">
      <c r="A849" s="3">
        <v>152.0</v>
      </c>
      <c r="B849" s="5">
        <v>26.15363</v>
      </c>
      <c r="C849" s="5">
        <v>13.02415</v>
      </c>
      <c r="D849" s="3">
        <v>3531.7</v>
      </c>
      <c r="E849" s="5">
        <v>5166.457</v>
      </c>
      <c r="F849" s="4" t="s">
        <v>8</v>
      </c>
      <c r="G849" s="3">
        <v>21.0</v>
      </c>
    </row>
    <row r="850">
      <c r="A850" s="3">
        <v>151.0</v>
      </c>
      <c r="B850" s="5">
        <v>26.02409</v>
      </c>
      <c r="C850" s="5">
        <v>12.85036</v>
      </c>
      <c r="D850" s="5">
        <v>3538.567</v>
      </c>
      <c r="E850" s="5">
        <v>5194.173</v>
      </c>
      <c r="F850" s="4" t="s">
        <v>8</v>
      </c>
      <c r="G850" s="3">
        <v>21.0</v>
      </c>
    </row>
    <row r="851">
      <c r="A851" s="3">
        <v>150.0</v>
      </c>
      <c r="B851" s="5">
        <v>25.74908</v>
      </c>
      <c r="C851" s="5">
        <v>12.70756</v>
      </c>
      <c r="D851" s="3">
        <v>3561.5</v>
      </c>
      <c r="E851" s="5">
        <v>5217.149</v>
      </c>
      <c r="F851" s="4" t="s">
        <v>8</v>
      </c>
      <c r="G851" s="3">
        <v>21.0</v>
      </c>
    </row>
    <row r="852">
      <c r="A852" s="3">
        <v>149.0</v>
      </c>
      <c r="B852" s="5">
        <v>25.49211</v>
      </c>
      <c r="C852" s="5">
        <v>12.51057</v>
      </c>
      <c r="D852" s="5">
        <v>3567.133</v>
      </c>
      <c r="E852" s="5">
        <v>5247.457</v>
      </c>
      <c r="F852" s="4" t="s">
        <v>8</v>
      </c>
      <c r="G852" s="3">
        <v>21.0</v>
      </c>
    </row>
    <row r="853">
      <c r="A853" s="3">
        <v>148.0</v>
      </c>
      <c r="B853" s="5">
        <v>25.40381</v>
      </c>
      <c r="C853" s="5">
        <v>12.4428</v>
      </c>
      <c r="D853" s="5">
        <v>3571.833</v>
      </c>
      <c r="E853" s="5">
        <v>5253.246</v>
      </c>
      <c r="F853" s="4" t="s">
        <v>8</v>
      </c>
      <c r="G853" s="3">
        <v>21.0</v>
      </c>
    </row>
    <row r="854">
      <c r="A854" s="3">
        <v>147.0</v>
      </c>
      <c r="B854" s="5">
        <v>25.40381</v>
      </c>
      <c r="C854" s="5">
        <v>12.32721</v>
      </c>
      <c r="D854" s="5">
        <v>3571.833</v>
      </c>
      <c r="E854" s="5">
        <v>5272.704</v>
      </c>
      <c r="F854" s="4" t="s">
        <v>8</v>
      </c>
      <c r="G854" s="3">
        <v>21.0</v>
      </c>
    </row>
    <row r="855">
      <c r="A855" s="3">
        <v>146.0</v>
      </c>
      <c r="B855" s="5">
        <v>25.36538</v>
      </c>
      <c r="C855" s="5">
        <v>12.21356</v>
      </c>
      <c r="D855" s="5">
        <v>3575.167</v>
      </c>
      <c r="E855" s="5">
        <v>5287.067</v>
      </c>
      <c r="F855" s="4" t="s">
        <v>8</v>
      </c>
      <c r="G855" s="3">
        <v>21.0</v>
      </c>
    </row>
    <row r="856">
      <c r="A856" s="3">
        <v>145.0</v>
      </c>
      <c r="B856" s="5">
        <v>24.61647</v>
      </c>
      <c r="C856" s="5">
        <v>12.01292</v>
      </c>
      <c r="D856" s="3">
        <v>3610.9</v>
      </c>
      <c r="E856" s="5">
        <v>5317.052</v>
      </c>
      <c r="F856" s="4" t="s">
        <v>8</v>
      </c>
      <c r="G856" s="3">
        <v>21.0</v>
      </c>
    </row>
    <row r="857">
      <c r="A857" s="3">
        <v>144.0</v>
      </c>
      <c r="B857" s="5">
        <v>24.28765</v>
      </c>
      <c r="C857" s="5">
        <v>11.79933</v>
      </c>
      <c r="D857" s="3">
        <v>3630.8</v>
      </c>
      <c r="E857" s="5">
        <v>5336.778</v>
      </c>
      <c r="F857" s="4" t="s">
        <v>8</v>
      </c>
      <c r="G857" s="3">
        <v>21.0</v>
      </c>
    </row>
    <row r="858">
      <c r="A858" s="3">
        <v>143.0</v>
      </c>
      <c r="B858" s="5">
        <v>23.75995</v>
      </c>
      <c r="C858" s="5">
        <v>11.5292</v>
      </c>
      <c r="D858" s="3">
        <v>3651.4</v>
      </c>
      <c r="E858" s="5">
        <v>5370.725</v>
      </c>
      <c r="F858" s="4" t="s">
        <v>8</v>
      </c>
      <c r="G858" s="3">
        <v>21.0</v>
      </c>
    </row>
    <row r="859">
      <c r="A859" s="3">
        <v>142.0</v>
      </c>
      <c r="B859" s="5">
        <v>23.54466</v>
      </c>
      <c r="C859" s="5">
        <v>11.36387</v>
      </c>
      <c r="D859" s="5">
        <v>3657.367</v>
      </c>
      <c r="E859" s="5">
        <v>5392.537</v>
      </c>
      <c r="F859" s="4" t="s">
        <v>8</v>
      </c>
      <c r="G859" s="3">
        <v>21.0</v>
      </c>
    </row>
    <row r="860">
      <c r="A860" s="3">
        <v>141.0</v>
      </c>
      <c r="B860" s="5">
        <v>23.44878</v>
      </c>
      <c r="C860" s="5">
        <v>11.09758</v>
      </c>
      <c r="D860" s="5">
        <v>3660.467</v>
      </c>
      <c r="E860" s="5">
        <v>5433.073</v>
      </c>
      <c r="F860" s="4" t="s">
        <v>8</v>
      </c>
      <c r="G860" s="3">
        <v>21.0</v>
      </c>
    </row>
    <row r="861">
      <c r="A861" s="3">
        <v>140.0</v>
      </c>
      <c r="B861" s="5">
        <v>22.97765</v>
      </c>
      <c r="C861" s="5">
        <v>10.8877</v>
      </c>
      <c r="D861" s="3">
        <v>3680.5</v>
      </c>
      <c r="E861" s="5">
        <v>5450.461</v>
      </c>
      <c r="F861" s="4" t="s">
        <v>8</v>
      </c>
      <c r="G861" s="3">
        <v>21.0</v>
      </c>
    </row>
    <row r="862">
      <c r="A862" s="3">
        <v>139.0</v>
      </c>
      <c r="B862" s="5">
        <v>22.7657</v>
      </c>
      <c r="C862" s="5">
        <v>10.63371</v>
      </c>
      <c r="D862" s="5">
        <v>3697.167</v>
      </c>
      <c r="E862" s="5">
        <v>5494.136</v>
      </c>
      <c r="F862" s="4" t="s">
        <v>8</v>
      </c>
      <c r="G862" s="3">
        <v>21.0</v>
      </c>
    </row>
    <row r="863">
      <c r="A863" s="3">
        <v>138.0</v>
      </c>
      <c r="B863" s="5">
        <v>22.53351</v>
      </c>
      <c r="C863" s="5">
        <v>10.40763</v>
      </c>
      <c r="D863" s="5">
        <v>3706.767</v>
      </c>
      <c r="E863" s="5">
        <v>5512.855</v>
      </c>
      <c r="F863" s="4" t="s">
        <v>8</v>
      </c>
      <c r="G863" s="3">
        <v>21.0</v>
      </c>
    </row>
    <row r="864">
      <c r="A864" s="3">
        <v>137.0</v>
      </c>
      <c r="B864" s="5">
        <v>22.53351</v>
      </c>
      <c r="C864" s="5">
        <v>10.27815</v>
      </c>
      <c r="D864" s="5">
        <v>3706.767</v>
      </c>
      <c r="E864" s="5">
        <v>5528.688</v>
      </c>
      <c r="F864" s="4" t="s">
        <v>8</v>
      </c>
      <c r="G864" s="3">
        <v>21.0</v>
      </c>
    </row>
    <row r="865">
      <c r="A865" s="3">
        <v>136.0</v>
      </c>
      <c r="B865" s="5">
        <v>22.3813</v>
      </c>
      <c r="C865" s="5">
        <v>10.00681</v>
      </c>
      <c r="D865" s="5">
        <v>3710.967</v>
      </c>
      <c r="E865" s="5">
        <v>5555.324</v>
      </c>
      <c r="F865" s="4" t="s">
        <v>8</v>
      </c>
      <c r="G865" s="3">
        <v>21.0</v>
      </c>
    </row>
    <row r="866">
      <c r="A866" s="3">
        <v>135.0</v>
      </c>
      <c r="B866" s="5">
        <v>22.13842</v>
      </c>
      <c r="C866" s="5">
        <v>9.793</v>
      </c>
      <c r="D866" s="3">
        <v>3719.9</v>
      </c>
      <c r="E866" s="5">
        <v>5597.003</v>
      </c>
      <c r="F866" s="4" t="s">
        <v>8</v>
      </c>
      <c r="G866" s="3">
        <v>21.0</v>
      </c>
    </row>
    <row r="867">
      <c r="A867" s="3">
        <v>134.0</v>
      </c>
      <c r="B867" s="5">
        <v>21.83096</v>
      </c>
      <c r="C867" s="5">
        <v>9.54513</v>
      </c>
      <c r="D867" s="5">
        <v>3729.733</v>
      </c>
      <c r="E867" s="5">
        <v>5639.331</v>
      </c>
      <c r="F867" s="4" t="s">
        <v>8</v>
      </c>
      <c r="G867" s="3">
        <v>21.0</v>
      </c>
    </row>
    <row r="868">
      <c r="A868" s="3">
        <v>133.0</v>
      </c>
      <c r="B868" s="5">
        <v>21.23843</v>
      </c>
      <c r="C868" s="5">
        <v>9.310425</v>
      </c>
      <c r="D868" s="5">
        <v>3766.333</v>
      </c>
      <c r="E868" s="5">
        <v>5677.961</v>
      </c>
      <c r="F868" s="4" t="s">
        <v>8</v>
      </c>
      <c r="G868" s="3">
        <v>21.0</v>
      </c>
    </row>
    <row r="869">
      <c r="A869" s="3">
        <v>132.0</v>
      </c>
      <c r="B869" s="5">
        <v>21.00924</v>
      </c>
      <c r="C869" s="5">
        <v>9.099781</v>
      </c>
      <c r="D869" s="5">
        <v>3782.533</v>
      </c>
      <c r="E869" s="5">
        <v>5696.657</v>
      </c>
      <c r="F869" s="4" t="s">
        <v>8</v>
      </c>
      <c r="G869" s="3">
        <v>21.0</v>
      </c>
    </row>
    <row r="870">
      <c r="A870" s="3">
        <v>131.0</v>
      </c>
      <c r="B870" s="5">
        <v>20.59701</v>
      </c>
      <c r="C870" s="5">
        <v>8.838598</v>
      </c>
      <c r="D870" s="3">
        <v>3795.9</v>
      </c>
      <c r="E870" s="5">
        <v>5734.154</v>
      </c>
      <c r="F870" s="4" t="s">
        <v>8</v>
      </c>
      <c r="G870" s="3">
        <v>21.0</v>
      </c>
    </row>
    <row r="871">
      <c r="A871" s="3">
        <v>130.0</v>
      </c>
      <c r="B871" s="5">
        <v>20.44638</v>
      </c>
      <c r="C871" s="5">
        <v>8.674147</v>
      </c>
      <c r="D871" s="5">
        <v>3806.667</v>
      </c>
      <c r="E871" s="5">
        <v>5753.578</v>
      </c>
      <c r="F871" s="4" t="s">
        <v>8</v>
      </c>
      <c r="G871" s="3">
        <v>21.0</v>
      </c>
    </row>
    <row r="872">
      <c r="A872" s="3">
        <v>129.0</v>
      </c>
      <c r="B872" s="5">
        <v>20.25694</v>
      </c>
      <c r="C872" s="5">
        <v>8.452426</v>
      </c>
      <c r="D872" s="3">
        <v>3816.3</v>
      </c>
      <c r="E872" s="5">
        <v>5791.371</v>
      </c>
      <c r="F872" s="4" t="s">
        <v>8</v>
      </c>
      <c r="G872" s="3">
        <v>21.0</v>
      </c>
    </row>
    <row r="873">
      <c r="A873" s="3">
        <v>128.0</v>
      </c>
      <c r="B873" s="5">
        <v>20.16969</v>
      </c>
      <c r="C873" s="5">
        <v>8.276057</v>
      </c>
      <c r="D873" s="3">
        <v>3822.4</v>
      </c>
      <c r="E873" s="5">
        <v>5812.289</v>
      </c>
      <c r="F873" s="4" t="s">
        <v>8</v>
      </c>
      <c r="G873" s="3">
        <v>21.0</v>
      </c>
    </row>
    <row r="874">
      <c r="A874" s="3">
        <v>127.0</v>
      </c>
      <c r="B874" s="5">
        <v>19.99227</v>
      </c>
      <c r="C874" s="5">
        <v>8.096036</v>
      </c>
      <c r="D874" s="3">
        <v>3838.9</v>
      </c>
      <c r="E874" s="5">
        <v>5833.673</v>
      </c>
      <c r="F874" s="4" t="s">
        <v>8</v>
      </c>
      <c r="G874" s="3">
        <v>21.0</v>
      </c>
    </row>
    <row r="875">
      <c r="A875" s="3">
        <v>126.0</v>
      </c>
      <c r="B875" s="5">
        <v>19.71659</v>
      </c>
      <c r="C875" s="5">
        <v>7.92266</v>
      </c>
      <c r="D875" s="5">
        <v>3853.467</v>
      </c>
      <c r="E875" s="5">
        <v>5866.274</v>
      </c>
      <c r="F875" s="4" t="s">
        <v>8</v>
      </c>
      <c r="G875" s="3">
        <v>21.0</v>
      </c>
    </row>
    <row r="876">
      <c r="A876" s="3">
        <v>125.0</v>
      </c>
      <c r="B876" s="5">
        <v>19.2553</v>
      </c>
      <c r="C876" s="5">
        <v>7.764951</v>
      </c>
      <c r="D876" s="5">
        <v>3870.633</v>
      </c>
      <c r="E876" s="3">
        <v>5890.0</v>
      </c>
      <c r="F876" s="4" t="s">
        <v>8</v>
      </c>
      <c r="G876" s="3">
        <v>21.0</v>
      </c>
    </row>
    <row r="877">
      <c r="A877" s="3">
        <v>124.0</v>
      </c>
      <c r="B877" s="5">
        <v>18.99722</v>
      </c>
      <c r="C877" s="5">
        <v>7.584623</v>
      </c>
      <c r="D877" s="3">
        <v>3893.7</v>
      </c>
      <c r="E877" s="5">
        <v>5919.531</v>
      </c>
      <c r="F877" s="4" t="s">
        <v>8</v>
      </c>
      <c r="G877" s="3">
        <v>21.0</v>
      </c>
    </row>
    <row r="878">
      <c r="A878" s="3">
        <v>123.0</v>
      </c>
      <c r="B878" s="5">
        <v>18.86153</v>
      </c>
      <c r="C878" s="5">
        <v>7.409641</v>
      </c>
      <c r="D878" s="5">
        <v>3898.967</v>
      </c>
      <c r="E878" s="5">
        <v>5961.162</v>
      </c>
      <c r="F878" s="4" t="s">
        <v>8</v>
      </c>
      <c r="G878" s="3">
        <v>21.0</v>
      </c>
    </row>
    <row r="879">
      <c r="A879" s="3">
        <v>122.0</v>
      </c>
      <c r="B879" s="5">
        <v>18.3874</v>
      </c>
      <c r="C879" s="5">
        <v>7.179803</v>
      </c>
      <c r="D879" s="3">
        <v>3909.0</v>
      </c>
      <c r="E879" s="5">
        <v>6021.317</v>
      </c>
      <c r="F879" s="4" t="s">
        <v>8</v>
      </c>
      <c r="G879" s="3">
        <v>21.0</v>
      </c>
    </row>
    <row r="880">
      <c r="A880" s="3">
        <v>121.0</v>
      </c>
      <c r="B880" s="5">
        <v>18.12925</v>
      </c>
      <c r="C880" s="5">
        <v>7.061385</v>
      </c>
      <c r="D880" s="3">
        <v>3918.2</v>
      </c>
      <c r="E880" s="5">
        <v>6046.807</v>
      </c>
      <c r="F880" s="4" t="s">
        <v>8</v>
      </c>
      <c r="G880" s="3">
        <v>21.0</v>
      </c>
    </row>
    <row r="881">
      <c r="A881" s="3">
        <v>120.0</v>
      </c>
      <c r="B881" s="5">
        <v>18.09929</v>
      </c>
      <c r="C881" s="5">
        <v>6.94445</v>
      </c>
      <c r="D881" s="5">
        <v>3920.233</v>
      </c>
      <c r="E881" s="5">
        <v>6072.401</v>
      </c>
      <c r="F881" s="4" t="s">
        <v>8</v>
      </c>
      <c r="G881" s="3">
        <v>21.0</v>
      </c>
    </row>
    <row r="882">
      <c r="A882" s="3">
        <v>119.0</v>
      </c>
      <c r="B882" s="5">
        <v>17.54152</v>
      </c>
      <c r="C882" s="5">
        <v>6.793555</v>
      </c>
      <c r="D882" s="5">
        <v>3952.033</v>
      </c>
      <c r="E882" s="5">
        <v>6102.664</v>
      </c>
      <c r="F882" s="4" t="s">
        <v>8</v>
      </c>
      <c r="G882" s="3">
        <v>21.0</v>
      </c>
    </row>
    <row r="883">
      <c r="A883" s="3">
        <v>118.0</v>
      </c>
      <c r="B883" s="5">
        <v>17.06103</v>
      </c>
      <c r="C883" s="5">
        <v>6.68032</v>
      </c>
      <c r="D883" s="5">
        <v>3970.833</v>
      </c>
      <c r="E883" s="3">
        <v>6131.88</v>
      </c>
      <c r="F883" s="4" t="s">
        <v>8</v>
      </c>
      <c r="G883" s="3">
        <v>21.0</v>
      </c>
    </row>
    <row r="884">
      <c r="A884" s="3">
        <v>117.0</v>
      </c>
      <c r="B884" s="5">
        <v>16.71937</v>
      </c>
      <c r="C884" s="5">
        <v>6.571234</v>
      </c>
      <c r="D884" s="3">
        <v>3990.2</v>
      </c>
      <c r="E884" s="5">
        <v>6164.445</v>
      </c>
      <c r="F884" s="4" t="s">
        <v>8</v>
      </c>
      <c r="G884" s="3">
        <v>21.0</v>
      </c>
    </row>
    <row r="885">
      <c r="A885" s="3">
        <v>116.0</v>
      </c>
      <c r="B885" s="5">
        <v>16.52492</v>
      </c>
      <c r="C885" s="5">
        <v>6.523672</v>
      </c>
      <c r="D885" s="5">
        <v>4001.467</v>
      </c>
      <c r="E885" s="5">
        <v>6181.498</v>
      </c>
      <c r="F885" s="4" t="s">
        <v>8</v>
      </c>
      <c r="G885" s="3">
        <v>21.0</v>
      </c>
    </row>
    <row r="886">
      <c r="A886" s="3">
        <v>115.0</v>
      </c>
      <c r="B886" s="5">
        <v>16.45435</v>
      </c>
      <c r="C886" s="5">
        <v>6.42824</v>
      </c>
      <c r="D886" s="5">
        <v>4007.133</v>
      </c>
      <c r="E886" s="5">
        <v>6218.598</v>
      </c>
      <c r="F886" s="4" t="s">
        <v>8</v>
      </c>
      <c r="G886" s="3">
        <v>21.0</v>
      </c>
    </row>
    <row r="887">
      <c r="A887" s="3">
        <v>114.0</v>
      </c>
      <c r="B887" s="5">
        <v>16.16789</v>
      </c>
      <c r="C887" s="5">
        <v>6.347429</v>
      </c>
      <c r="D887" s="5">
        <v>4024.233</v>
      </c>
      <c r="E887" s="5">
        <v>6243.901</v>
      </c>
      <c r="F887" s="4" t="s">
        <v>8</v>
      </c>
      <c r="G887" s="3">
        <v>21.0</v>
      </c>
    </row>
    <row r="888">
      <c r="A888" s="3">
        <v>113.0</v>
      </c>
      <c r="B888" s="5">
        <v>16.14288</v>
      </c>
      <c r="C888" s="5">
        <v>6.304054</v>
      </c>
      <c r="D888" s="5">
        <v>4029.133</v>
      </c>
      <c r="E888" s="5">
        <v>6259.648</v>
      </c>
      <c r="F888" s="4" t="s">
        <v>8</v>
      </c>
      <c r="G888" s="3">
        <v>21.0</v>
      </c>
    </row>
    <row r="889">
      <c r="A889" s="3">
        <v>112.0</v>
      </c>
      <c r="B889" s="5">
        <v>16.05838</v>
      </c>
      <c r="C889" s="5">
        <v>6.238929</v>
      </c>
      <c r="D889" s="5">
        <v>4033.667</v>
      </c>
      <c r="E889" s="5">
        <v>6289.278</v>
      </c>
      <c r="F889" s="4" t="s">
        <v>8</v>
      </c>
      <c r="G889" s="3">
        <v>21.0</v>
      </c>
    </row>
    <row r="890">
      <c r="A890" s="3">
        <v>111.0</v>
      </c>
      <c r="B890" s="5">
        <v>15.67801</v>
      </c>
      <c r="C890" s="5">
        <v>6.202906</v>
      </c>
      <c r="D890" s="3">
        <v>4062.6</v>
      </c>
      <c r="E890" s="5">
        <v>6312.285</v>
      </c>
      <c r="F890" s="4" t="s">
        <v>8</v>
      </c>
      <c r="G890" s="3">
        <v>21.0</v>
      </c>
    </row>
    <row r="891">
      <c r="A891" s="3">
        <v>110.0</v>
      </c>
      <c r="B891" s="5">
        <v>15.67801</v>
      </c>
      <c r="C891" s="5">
        <v>6.167306</v>
      </c>
      <c r="D891" s="3">
        <v>4062.6</v>
      </c>
      <c r="E891" s="3">
        <v>6318.51</v>
      </c>
      <c r="F891" s="4" t="s">
        <v>8</v>
      </c>
      <c r="G891" s="3">
        <v>21.0</v>
      </c>
    </row>
    <row r="892">
      <c r="A892" s="3">
        <v>109.0</v>
      </c>
      <c r="B892" s="5">
        <v>15.51681</v>
      </c>
      <c r="C892" s="5">
        <v>6.11962</v>
      </c>
      <c r="D892" s="5">
        <v>4075.567</v>
      </c>
      <c r="E892" s="5">
        <v>6337.323</v>
      </c>
      <c r="F892" s="4" t="s">
        <v>8</v>
      </c>
      <c r="G892" s="3">
        <v>21.0</v>
      </c>
    </row>
    <row r="893">
      <c r="A893" s="3">
        <v>108.0</v>
      </c>
      <c r="B893" s="5">
        <v>15.36874</v>
      </c>
      <c r="C893" s="5">
        <v>6.082551</v>
      </c>
      <c r="D893" s="3">
        <v>4090.3</v>
      </c>
      <c r="E893" s="5">
        <v>6355.007</v>
      </c>
      <c r="F893" s="4" t="s">
        <v>8</v>
      </c>
      <c r="G893" s="3">
        <v>21.0</v>
      </c>
    </row>
    <row r="894">
      <c r="A894" s="3">
        <v>107.0</v>
      </c>
      <c r="B894" s="5">
        <v>15.3402</v>
      </c>
      <c r="C894" s="5">
        <v>6.017749</v>
      </c>
      <c r="D894" s="5">
        <v>4096.167</v>
      </c>
      <c r="E894" s="5">
        <v>6383.768</v>
      </c>
      <c r="F894" s="4" t="s">
        <v>8</v>
      </c>
      <c r="G894" s="3">
        <v>21.0</v>
      </c>
    </row>
    <row r="895">
      <c r="A895" s="3">
        <v>106.0</v>
      </c>
      <c r="B895" s="5">
        <v>15.16362</v>
      </c>
      <c r="C895" s="5">
        <v>5.980268</v>
      </c>
      <c r="D895" s="5">
        <v>4110.233</v>
      </c>
      <c r="E895" s="5">
        <v>6398.101</v>
      </c>
      <c r="F895" s="4" t="s">
        <v>8</v>
      </c>
      <c r="G895" s="3">
        <v>21.0</v>
      </c>
    </row>
    <row r="896">
      <c r="A896" s="3">
        <v>105.0</v>
      </c>
      <c r="B896" s="5">
        <v>15.03649</v>
      </c>
      <c r="C896" s="5">
        <v>5.925593</v>
      </c>
      <c r="D896" s="5">
        <v>4119.167</v>
      </c>
      <c r="E896" s="5">
        <v>6426.926</v>
      </c>
      <c r="F896" s="4" t="s">
        <v>8</v>
      </c>
      <c r="G896" s="3">
        <v>21.0</v>
      </c>
    </row>
    <row r="897">
      <c r="A897" s="3">
        <v>104.0</v>
      </c>
      <c r="B897" s="5">
        <v>14.98442</v>
      </c>
      <c r="C897" s="5">
        <v>5.89466</v>
      </c>
      <c r="D897" s="3">
        <v>4125.1</v>
      </c>
      <c r="E897" s="5">
        <v>6441.085</v>
      </c>
      <c r="F897" s="4" t="s">
        <v>8</v>
      </c>
      <c r="G897" s="3">
        <v>21.0</v>
      </c>
    </row>
    <row r="898">
      <c r="A898" s="3">
        <v>103.0</v>
      </c>
      <c r="B898" s="5">
        <v>14.87562</v>
      </c>
      <c r="C898" s="5">
        <v>5.837811</v>
      </c>
      <c r="D898" s="5">
        <v>4133.367</v>
      </c>
      <c r="E898" s="3">
        <v>6463.12</v>
      </c>
      <c r="F898" s="4" t="s">
        <v>8</v>
      </c>
      <c r="G898" s="3">
        <v>21.0</v>
      </c>
    </row>
    <row r="899">
      <c r="A899" s="3">
        <v>102.0</v>
      </c>
      <c r="B899" s="5">
        <v>14.78148</v>
      </c>
      <c r="C899" s="5">
        <v>5.856059</v>
      </c>
      <c r="D899" s="3">
        <v>4140.8</v>
      </c>
      <c r="E899" s="5">
        <v>6454.579</v>
      </c>
      <c r="F899" s="4" t="s">
        <v>8</v>
      </c>
      <c r="G899" s="3">
        <v>21.0</v>
      </c>
    </row>
    <row r="900">
      <c r="A900" s="3">
        <v>101.0</v>
      </c>
      <c r="B900" s="5">
        <v>14.50115</v>
      </c>
      <c r="C900" s="5">
        <v>5.823604</v>
      </c>
      <c r="D900" s="5">
        <v>4169.933</v>
      </c>
      <c r="E900" s="5">
        <v>6478.664</v>
      </c>
      <c r="F900" s="4" t="s">
        <v>8</v>
      </c>
      <c r="G900" s="3">
        <v>21.0</v>
      </c>
    </row>
    <row r="901">
      <c r="A901" s="3">
        <v>100.0</v>
      </c>
      <c r="B901" s="5">
        <v>14.45074</v>
      </c>
      <c r="C901" s="5">
        <v>5.75622</v>
      </c>
      <c r="D901" s="3">
        <v>4175.4</v>
      </c>
      <c r="E901" s="5">
        <v>6515.178</v>
      </c>
      <c r="F901" s="4" t="s">
        <v>8</v>
      </c>
      <c r="G901" s="3">
        <v>21.0</v>
      </c>
    </row>
    <row r="902">
      <c r="A902" s="3">
        <v>99.0</v>
      </c>
      <c r="B902" s="5">
        <v>14.45074</v>
      </c>
      <c r="C902" s="5">
        <v>5.704155</v>
      </c>
      <c r="D902" s="3">
        <v>4175.4</v>
      </c>
      <c r="E902" s="5">
        <v>6543.938</v>
      </c>
      <c r="F902" s="4" t="s">
        <v>8</v>
      </c>
      <c r="G902" s="3">
        <v>21.0</v>
      </c>
    </row>
    <row r="903">
      <c r="A903" s="3">
        <v>98.0</v>
      </c>
      <c r="B903" s="5">
        <v>14.41386</v>
      </c>
      <c r="C903" s="5">
        <v>5.690337</v>
      </c>
      <c r="D903" s="5">
        <v>4180.733</v>
      </c>
      <c r="E903" s="5">
        <v>6549.717</v>
      </c>
      <c r="F903" s="4" t="s">
        <v>8</v>
      </c>
      <c r="G903" s="3">
        <v>21.0</v>
      </c>
    </row>
    <row r="904">
      <c r="A904" s="3">
        <v>97.0</v>
      </c>
      <c r="B904" s="5">
        <v>14.27588</v>
      </c>
      <c r="C904" s="5">
        <v>5.681959</v>
      </c>
      <c r="D904" s="5">
        <v>4190.467</v>
      </c>
      <c r="E904" s="5">
        <v>6557.657</v>
      </c>
      <c r="F904" s="4" t="s">
        <v>8</v>
      </c>
      <c r="G904" s="3">
        <v>21.0</v>
      </c>
    </row>
    <row r="905">
      <c r="A905" s="3">
        <v>96.0</v>
      </c>
      <c r="B905" s="5">
        <v>14.24613</v>
      </c>
      <c r="C905" s="5">
        <v>5.646507</v>
      </c>
      <c r="D905" s="5">
        <v>4193.967</v>
      </c>
      <c r="E905" s="5">
        <v>6576.878</v>
      </c>
      <c r="F905" s="4" t="s">
        <v>8</v>
      </c>
      <c r="G905" s="3">
        <v>21.0</v>
      </c>
    </row>
    <row r="906">
      <c r="A906" s="3">
        <v>95.0</v>
      </c>
      <c r="B906" s="5">
        <v>14.17302</v>
      </c>
      <c r="C906" s="5">
        <v>5.661203</v>
      </c>
      <c r="D906" s="3">
        <v>4202.9</v>
      </c>
      <c r="E906" s="5">
        <v>6560.555</v>
      </c>
      <c r="F906" s="4" t="s">
        <v>8</v>
      </c>
      <c r="G906" s="3">
        <v>21.0</v>
      </c>
    </row>
    <row r="907">
      <c r="A907" s="3">
        <v>94.0</v>
      </c>
      <c r="B907" s="5">
        <v>14.10209</v>
      </c>
      <c r="C907" s="5">
        <v>5.643373</v>
      </c>
      <c r="D907" s="3">
        <v>4207.9</v>
      </c>
      <c r="E907" s="5">
        <v>6579.239</v>
      </c>
      <c r="F907" s="4" t="s">
        <v>8</v>
      </c>
      <c r="G907" s="3">
        <v>21.0</v>
      </c>
    </row>
    <row r="908">
      <c r="A908" s="3">
        <v>93.0</v>
      </c>
      <c r="B908" s="5">
        <v>13.92381</v>
      </c>
      <c r="C908" s="5">
        <v>5.62643</v>
      </c>
      <c r="D908" s="5">
        <v>4225.733</v>
      </c>
      <c r="E908" s="5">
        <v>6589.627</v>
      </c>
      <c r="F908" s="4" t="s">
        <v>8</v>
      </c>
      <c r="G908" s="3">
        <v>21.0</v>
      </c>
    </row>
    <row r="909">
      <c r="A909" s="3">
        <v>92.0</v>
      </c>
      <c r="B909" s="5">
        <v>13.83253</v>
      </c>
      <c r="C909" s="5">
        <v>5.585985</v>
      </c>
      <c r="D909" s="5">
        <v>4235.667</v>
      </c>
      <c r="E909" s="5">
        <v>6610.565</v>
      </c>
      <c r="F909" s="4" t="s">
        <v>8</v>
      </c>
      <c r="G909" s="3">
        <v>21.0</v>
      </c>
    </row>
    <row r="910">
      <c r="A910" s="3">
        <v>91.0</v>
      </c>
      <c r="B910" s="5">
        <v>13.76571</v>
      </c>
      <c r="C910" s="5">
        <v>5.564206</v>
      </c>
      <c r="D910" s="5">
        <v>4243.633</v>
      </c>
      <c r="E910" s="5">
        <v>6622.004</v>
      </c>
      <c r="F910" s="4" t="s">
        <v>8</v>
      </c>
      <c r="G910" s="3">
        <v>21.0</v>
      </c>
    </row>
    <row r="911">
      <c r="A911" s="3">
        <v>90.0</v>
      </c>
      <c r="B911" s="5">
        <v>13.76571</v>
      </c>
      <c r="C911" s="5">
        <v>5.554401</v>
      </c>
      <c r="D911" s="5">
        <v>4243.633</v>
      </c>
      <c r="E911" s="3">
        <v>6631.83</v>
      </c>
      <c r="F911" s="4" t="s">
        <v>8</v>
      </c>
      <c r="G911" s="3">
        <v>21.0</v>
      </c>
    </row>
    <row r="912">
      <c r="A912" s="3">
        <v>89.0</v>
      </c>
      <c r="B912" s="5">
        <v>13.71887</v>
      </c>
      <c r="C912" s="5">
        <v>5.512969</v>
      </c>
      <c r="D912" s="5">
        <v>4249.967</v>
      </c>
      <c r="E912" s="5">
        <v>6655.812</v>
      </c>
      <c r="F912" s="4" t="s">
        <v>8</v>
      </c>
      <c r="G912" s="3">
        <v>21.0</v>
      </c>
    </row>
    <row r="913">
      <c r="A913" s="3">
        <v>88.0</v>
      </c>
      <c r="B913" s="5">
        <v>13.71851</v>
      </c>
      <c r="C913" s="5">
        <v>5.473853</v>
      </c>
      <c r="D913" s="3">
        <v>4250.0</v>
      </c>
      <c r="E913" s="5">
        <v>6679.454</v>
      </c>
      <c r="F913" s="4" t="s">
        <v>8</v>
      </c>
      <c r="G913" s="3">
        <v>21.0</v>
      </c>
    </row>
    <row r="914">
      <c r="A914" s="3">
        <v>87.0</v>
      </c>
      <c r="B914" s="5">
        <v>13.62476</v>
      </c>
      <c r="C914" s="5">
        <v>5.457632</v>
      </c>
      <c r="D914" s="5">
        <v>4262.467</v>
      </c>
      <c r="E914" s="5">
        <v>6685.562</v>
      </c>
      <c r="F914" s="4" t="s">
        <v>8</v>
      </c>
      <c r="G914" s="3">
        <v>21.0</v>
      </c>
    </row>
    <row r="915">
      <c r="A915" s="3">
        <v>86.0</v>
      </c>
      <c r="B915" s="5">
        <v>13.62476</v>
      </c>
      <c r="C915" s="5">
        <v>5.417678</v>
      </c>
      <c r="D915" s="5">
        <v>4262.467</v>
      </c>
      <c r="E915" s="5">
        <v>6712.003</v>
      </c>
      <c r="F915" s="4" t="s">
        <v>8</v>
      </c>
      <c r="G915" s="3">
        <v>21.0</v>
      </c>
    </row>
    <row r="916">
      <c r="A916" s="3">
        <v>85.0</v>
      </c>
      <c r="B916" s="5">
        <v>13.54655</v>
      </c>
      <c r="C916" s="5">
        <v>5.424404</v>
      </c>
      <c r="D916" s="5">
        <v>4272.467</v>
      </c>
      <c r="E916" s="5">
        <v>6709.898</v>
      </c>
      <c r="F916" s="4" t="s">
        <v>8</v>
      </c>
      <c r="G916" s="3">
        <v>21.0</v>
      </c>
    </row>
    <row r="917">
      <c r="A917" s="3">
        <v>84.0</v>
      </c>
      <c r="B917" s="5">
        <v>13.43205</v>
      </c>
      <c r="C917" s="5">
        <v>5.408309</v>
      </c>
      <c r="D917" s="5">
        <v>4288.333</v>
      </c>
      <c r="E917" s="5">
        <v>6719.443</v>
      </c>
      <c r="F917" s="4" t="s">
        <v>8</v>
      </c>
      <c r="G917" s="3">
        <v>21.0</v>
      </c>
    </row>
    <row r="918">
      <c r="A918" s="3">
        <v>83.0</v>
      </c>
      <c r="B918" s="5">
        <v>13.28875</v>
      </c>
      <c r="C918" s="5">
        <v>5.363587</v>
      </c>
      <c r="D918" s="5">
        <v>4303.267</v>
      </c>
      <c r="E918" s="5">
        <v>6745.048</v>
      </c>
      <c r="F918" s="4" t="s">
        <v>8</v>
      </c>
      <c r="G918" s="3">
        <v>21.0</v>
      </c>
    </row>
    <row r="919">
      <c r="A919" s="3">
        <v>82.0</v>
      </c>
      <c r="B919" s="5">
        <v>13.08599</v>
      </c>
      <c r="C919" s="5">
        <v>5.370465</v>
      </c>
      <c r="D919" s="5">
        <v>4329.867</v>
      </c>
      <c r="E919" s="5">
        <v>6749.629</v>
      </c>
      <c r="F919" s="4" t="s">
        <v>8</v>
      </c>
      <c r="G919" s="3">
        <v>21.0</v>
      </c>
    </row>
    <row r="920">
      <c r="A920" s="3">
        <v>81.0</v>
      </c>
      <c r="B920" s="5">
        <v>13.03983</v>
      </c>
      <c r="C920" s="5">
        <v>5.313316</v>
      </c>
      <c r="D920" s="3">
        <v>4337.0</v>
      </c>
      <c r="E920" s="5">
        <v>6793.103</v>
      </c>
      <c r="F920" s="4" t="s">
        <v>8</v>
      </c>
      <c r="G920" s="3">
        <v>21.0</v>
      </c>
    </row>
    <row r="921">
      <c r="A921" s="3">
        <v>80.0</v>
      </c>
      <c r="B921" s="5">
        <v>12.92595</v>
      </c>
      <c r="C921" s="5">
        <v>5.281423</v>
      </c>
      <c r="D921" s="5">
        <v>4349.833</v>
      </c>
      <c r="E921" s="5">
        <v>6811.597</v>
      </c>
      <c r="F921" s="4" t="s">
        <v>8</v>
      </c>
      <c r="G921" s="3">
        <v>21.0</v>
      </c>
    </row>
    <row r="922">
      <c r="A922" s="3">
        <v>79.0</v>
      </c>
      <c r="B922" s="5">
        <v>12.82192</v>
      </c>
      <c r="C922" s="5">
        <v>5.270274</v>
      </c>
      <c r="D922" s="5">
        <v>4362.067</v>
      </c>
      <c r="E922" s="5">
        <v>6813.039</v>
      </c>
      <c r="F922" s="4" t="s">
        <v>8</v>
      </c>
      <c r="G922" s="3">
        <v>21.0</v>
      </c>
    </row>
    <row r="923">
      <c r="A923" s="3">
        <v>78.0</v>
      </c>
      <c r="B923" s="5">
        <v>12.78734</v>
      </c>
      <c r="C923" s="5">
        <v>5.233093</v>
      </c>
      <c r="D923" s="3">
        <v>4367.5</v>
      </c>
      <c r="E923" s="5">
        <v>6841.683</v>
      </c>
      <c r="F923" s="4" t="s">
        <v>8</v>
      </c>
      <c r="G923" s="3">
        <v>21.0</v>
      </c>
    </row>
    <row r="924">
      <c r="A924" s="3">
        <v>77.0</v>
      </c>
      <c r="B924" s="5">
        <v>12.45431</v>
      </c>
      <c r="C924" s="5">
        <v>5.221362</v>
      </c>
      <c r="D924" s="5">
        <v>4400.433</v>
      </c>
      <c r="E924" s="5">
        <v>6850.467</v>
      </c>
      <c r="F924" s="4" t="s">
        <v>8</v>
      </c>
      <c r="G924" s="3">
        <v>21.0</v>
      </c>
    </row>
    <row r="925">
      <c r="A925" s="3">
        <v>76.0</v>
      </c>
      <c r="B925" s="5">
        <v>12.36668</v>
      </c>
      <c r="C925" s="5">
        <v>5.199271</v>
      </c>
      <c r="D925" s="3">
        <v>4411.4</v>
      </c>
      <c r="E925" s="5">
        <v>6859.978</v>
      </c>
      <c r="F925" s="4" t="s">
        <v>8</v>
      </c>
      <c r="G925" s="3">
        <v>21.0</v>
      </c>
    </row>
    <row r="926">
      <c r="A926" s="3">
        <v>75.0</v>
      </c>
      <c r="B926" s="5">
        <v>12.35454</v>
      </c>
      <c r="C926" s="5">
        <v>5.181715</v>
      </c>
      <c r="D926" s="5">
        <v>4413.433</v>
      </c>
      <c r="E926" s="5">
        <v>6875.413</v>
      </c>
      <c r="F926" s="4" t="s">
        <v>8</v>
      </c>
      <c r="G926" s="3">
        <v>21.0</v>
      </c>
    </row>
    <row r="927">
      <c r="A927" s="3">
        <v>74.0</v>
      </c>
      <c r="B927" s="5">
        <v>12.24333</v>
      </c>
      <c r="C927" s="5">
        <v>5.136</v>
      </c>
      <c r="D927" s="5">
        <v>4428.833</v>
      </c>
      <c r="E927" s="3">
        <v>6906.41</v>
      </c>
      <c r="F927" s="4" t="s">
        <v>8</v>
      </c>
      <c r="G927" s="3">
        <v>21.0</v>
      </c>
    </row>
    <row r="928">
      <c r="A928" s="3">
        <v>73.0</v>
      </c>
      <c r="B928" s="5">
        <v>12.24333</v>
      </c>
      <c r="C928" s="5">
        <v>5.121014</v>
      </c>
      <c r="D928" s="5">
        <v>4428.833</v>
      </c>
      <c r="E928" s="5">
        <v>6915.912</v>
      </c>
      <c r="F928" s="4" t="s">
        <v>8</v>
      </c>
      <c r="G928" s="3">
        <v>21.0</v>
      </c>
    </row>
    <row r="929">
      <c r="A929" s="3">
        <v>72.0</v>
      </c>
      <c r="B929" s="5">
        <v>12.24333</v>
      </c>
      <c r="C929" s="5">
        <v>5.127258</v>
      </c>
      <c r="D929" s="5">
        <v>4428.833</v>
      </c>
      <c r="E929" s="5">
        <v>6918.755</v>
      </c>
      <c r="F929" s="4" t="s">
        <v>8</v>
      </c>
      <c r="G929" s="3">
        <v>21.0</v>
      </c>
    </row>
    <row r="930">
      <c r="A930" s="3">
        <v>71.0</v>
      </c>
      <c r="B930" s="5">
        <v>12.16393</v>
      </c>
      <c r="C930" s="5">
        <v>5.125254</v>
      </c>
      <c r="D930" s="5">
        <v>4441.167</v>
      </c>
      <c r="E930" s="5">
        <v>6922.869</v>
      </c>
      <c r="F930" s="4" t="s">
        <v>8</v>
      </c>
      <c r="G930" s="3">
        <v>21.0</v>
      </c>
    </row>
    <row r="931">
      <c r="A931" s="3">
        <v>70.0</v>
      </c>
      <c r="B931" s="5">
        <v>12.04507</v>
      </c>
      <c r="C931" s="5">
        <v>5.096904</v>
      </c>
      <c r="D931" s="3">
        <v>4450.5</v>
      </c>
      <c r="E931" s="5">
        <v>6939.985</v>
      </c>
      <c r="F931" s="4" t="s">
        <v>8</v>
      </c>
      <c r="G931" s="3">
        <v>21.0</v>
      </c>
    </row>
    <row r="932">
      <c r="A932" s="3">
        <v>69.0</v>
      </c>
      <c r="B932" s="5">
        <v>12.03683</v>
      </c>
      <c r="C932" s="5">
        <v>5.091305</v>
      </c>
      <c r="D932" s="5">
        <v>4451.933</v>
      </c>
      <c r="E932" s="5">
        <v>6945.083</v>
      </c>
      <c r="F932" s="4" t="s">
        <v>8</v>
      </c>
      <c r="G932" s="3">
        <v>21.0</v>
      </c>
    </row>
    <row r="933">
      <c r="A933" s="3">
        <v>68.0</v>
      </c>
      <c r="B933" s="5">
        <v>11.94413</v>
      </c>
      <c r="C933" s="5">
        <v>5.052024</v>
      </c>
      <c r="D933" s="5">
        <v>4466.233</v>
      </c>
      <c r="E933" s="5">
        <v>6971.986</v>
      </c>
      <c r="F933" s="4" t="s">
        <v>8</v>
      </c>
      <c r="G933" s="3">
        <v>21.0</v>
      </c>
    </row>
    <row r="934">
      <c r="A934" s="3">
        <v>67.0</v>
      </c>
      <c r="B934" s="5">
        <v>11.72234</v>
      </c>
      <c r="C934" s="5">
        <v>5.047725</v>
      </c>
      <c r="D934" s="3">
        <v>4493.6</v>
      </c>
      <c r="E934" s="5">
        <v>6973.411</v>
      </c>
      <c r="F934" s="4" t="s">
        <v>8</v>
      </c>
      <c r="G934" s="3">
        <v>21.0</v>
      </c>
    </row>
    <row r="935">
      <c r="A935" s="3">
        <v>66.0</v>
      </c>
      <c r="B935" s="5">
        <v>11.68198</v>
      </c>
      <c r="C935" s="5">
        <v>5.036615</v>
      </c>
      <c r="D935" s="3">
        <v>4502.1</v>
      </c>
      <c r="E935" s="5">
        <v>6982.535</v>
      </c>
      <c r="F935" s="4" t="s">
        <v>8</v>
      </c>
      <c r="G935" s="3">
        <v>21.0</v>
      </c>
    </row>
    <row r="936">
      <c r="A936" s="3">
        <v>65.0</v>
      </c>
      <c r="B936" s="5">
        <v>11.4623</v>
      </c>
      <c r="C936" s="5">
        <v>5.0457</v>
      </c>
      <c r="D936" s="5">
        <v>4529.133</v>
      </c>
      <c r="E936" s="5">
        <v>6973.633</v>
      </c>
      <c r="F936" s="4" t="s">
        <v>8</v>
      </c>
      <c r="G936" s="3">
        <v>21.0</v>
      </c>
    </row>
    <row r="937">
      <c r="A937" s="3">
        <v>64.0</v>
      </c>
      <c r="B937" s="5">
        <v>11.44235</v>
      </c>
      <c r="C937" s="5">
        <v>5.037438</v>
      </c>
      <c r="D937" s="5">
        <v>4532.467</v>
      </c>
      <c r="E937" s="5">
        <v>6979.945</v>
      </c>
      <c r="F937" s="4" t="s">
        <v>8</v>
      </c>
      <c r="G937" s="3">
        <v>21.0</v>
      </c>
    </row>
    <row r="938">
      <c r="A938" s="3">
        <v>63.0</v>
      </c>
      <c r="B938" s="5">
        <v>11.41319</v>
      </c>
      <c r="C938" s="5">
        <v>4.993089</v>
      </c>
      <c r="D938" s="5">
        <v>4535.667</v>
      </c>
      <c r="E938" s="5">
        <v>7015.202</v>
      </c>
      <c r="F938" s="4" t="s">
        <v>8</v>
      </c>
      <c r="G938" s="3">
        <v>21.0</v>
      </c>
    </row>
    <row r="939">
      <c r="A939" s="3">
        <v>62.0</v>
      </c>
      <c r="B939" s="5">
        <v>11.31737</v>
      </c>
      <c r="C939" s="5">
        <v>4.970491</v>
      </c>
      <c r="D939" s="5">
        <v>4554.967</v>
      </c>
      <c r="E939" s="5">
        <v>7030.274</v>
      </c>
      <c r="F939" s="4" t="s">
        <v>8</v>
      </c>
      <c r="G939" s="3">
        <v>21.0</v>
      </c>
    </row>
    <row r="940">
      <c r="A940" s="3">
        <v>61.0</v>
      </c>
      <c r="B940" s="5">
        <v>10.98496</v>
      </c>
      <c r="C940" s="5">
        <v>4.92747</v>
      </c>
      <c r="D940" s="5">
        <v>4606.233</v>
      </c>
      <c r="E940" s="5">
        <v>7062.488</v>
      </c>
      <c r="F940" s="4" t="s">
        <v>8</v>
      </c>
      <c r="G940" s="3">
        <v>21.0</v>
      </c>
    </row>
    <row r="941">
      <c r="A941" s="3">
        <v>60.0</v>
      </c>
      <c r="B941" s="5">
        <v>10.91785</v>
      </c>
      <c r="C941" s="5">
        <v>4.911612</v>
      </c>
      <c r="D941" s="5">
        <v>4613.033</v>
      </c>
      <c r="E941" s="5">
        <v>7075.435</v>
      </c>
      <c r="F941" s="4" t="s">
        <v>8</v>
      </c>
      <c r="G941" s="3">
        <v>21.0</v>
      </c>
    </row>
    <row r="942">
      <c r="A942" s="3">
        <v>59.0</v>
      </c>
      <c r="B942" s="5">
        <v>10.91785</v>
      </c>
      <c r="C942" s="5">
        <v>4.911664</v>
      </c>
      <c r="D942" s="5">
        <v>4613.033</v>
      </c>
      <c r="E942" s="5">
        <v>7073.604</v>
      </c>
      <c r="F942" s="4" t="s">
        <v>8</v>
      </c>
      <c r="G942" s="3">
        <v>21.0</v>
      </c>
    </row>
    <row r="943">
      <c r="A943" s="3">
        <v>58.0</v>
      </c>
      <c r="B943" s="5">
        <v>10.91785</v>
      </c>
      <c r="C943" s="5">
        <v>4.901172</v>
      </c>
      <c r="D943" s="5">
        <v>4613.033</v>
      </c>
      <c r="E943" s="5">
        <v>7082.326</v>
      </c>
      <c r="F943" s="4" t="s">
        <v>8</v>
      </c>
      <c r="G943" s="3">
        <v>21.0</v>
      </c>
    </row>
    <row r="944">
      <c r="A944" s="3">
        <v>57.0</v>
      </c>
      <c r="B944" s="5">
        <v>10.83286</v>
      </c>
      <c r="C944" s="5">
        <v>4.87786</v>
      </c>
      <c r="D944" s="5">
        <v>4631.033</v>
      </c>
      <c r="E944" s="5">
        <v>7101.367</v>
      </c>
      <c r="F944" s="4" t="s">
        <v>8</v>
      </c>
      <c r="G944" s="3">
        <v>21.0</v>
      </c>
    </row>
    <row r="945">
      <c r="A945" s="3">
        <v>56.0</v>
      </c>
      <c r="B945" s="5">
        <v>10.70845</v>
      </c>
      <c r="C945" s="5">
        <v>4.863897</v>
      </c>
      <c r="D945" s="5">
        <v>4655.733</v>
      </c>
      <c r="E945" s="5">
        <v>7109.125</v>
      </c>
      <c r="F945" s="4" t="s">
        <v>8</v>
      </c>
      <c r="G945" s="3">
        <v>21.0</v>
      </c>
    </row>
    <row r="946">
      <c r="A946" s="3">
        <v>55.0</v>
      </c>
      <c r="B946" s="5">
        <v>10.6688</v>
      </c>
      <c r="C946" s="5">
        <v>4.838943</v>
      </c>
      <c r="D946" s="3">
        <v>4663.1</v>
      </c>
      <c r="E946" s="5">
        <v>7133.353</v>
      </c>
      <c r="F946" s="4" t="s">
        <v>8</v>
      </c>
      <c r="G946" s="3">
        <v>21.0</v>
      </c>
    </row>
    <row r="947">
      <c r="A947" s="3">
        <v>54.0</v>
      </c>
      <c r="B947" s="5">
        <v>10.65776</v>
      </c>
      <c r="C947" s="5">
        <v>4.824369</v>
      </c>
      <c r="D947" s="3">
        <v>4665.8</v>
      </c>
      <c r="E947" s="5">
        <v>7145.233</v>
      </c>
      <c r="F947" s="4" t="s">
        <v>8</v>
      </c>
      <c r="G947" s="3">
        <v>21.0</v>
      </c>
    </row>
    <row r="948">
      <c r="A948" s="3">
        <v>53.0</v>
      </c>
      <c r="B948" s="5">
        <v>10.55479</v>
      </c>
      <c r="C948" s="5">
        <v>4.810234</v>
      </c>
      <c r="D948" s="3">
        <v>4687.2</v>
      </c>
      <c r="E948" s="5">
        <v>7156.674</v>
      </c>
      <c r="F948" s="4" t="s">
        <v>8</v>
      </c>
      <c r="G948" s="3">
        <v>21.0</v>
      </c>
    </row>
    <row r="949">
      <c r="A949" s="3">
        <v>52.0</v>
      </c>
      <c r="B949" s="5">
        <v>10.50809</v>
      </c>
      <c r="C949" s="5">
        <v>4.809666</v>
      </c>
      <c r="D949" s="5">
        <v>4696.533</v>
      </c>
      <c r="E949" s="5">
        <v>7154.513</v>
      </c>
      <c r="F949" s="4" t="s">
        <v>8</v>
      </c>
      <c r="G949" s="3">
        <v>21.0</v>
      </c>
    </row>
    <row r="950">
      <c r="A950" s="3">
        <v>51.0</v>
      </c>
      <c r="B950" s="5">
        <v>10.48226</v>
      </c>
      <c r="C950" s="5">
        <v>4.781583</v>
      </c>
      <c r="D950" s="5">
        <v>4702.633</v>
      </c>
      <c r="E950" s="5">
        <v>7179.997</v>
      </c>
      <c r="F950" s="4" t="s">
        <v>8</v>
      </c>
      <c r="G950" s="3">
        <v>21.0</v>
      </c>
    </row>
    <row r="951">
      <c r="A951" s="3">
        <v>50.0</v>
      </c>
      <c r="B951" s="5">
        <v>10.449</v>
      </c>
      <c r="C951" s="5">
        <v>4.767587</v>
      </c>
      <c r="D951" s="3">
        <v>4709.4</v>
      </c>
      <c r="E951" s="5">
        <v>7194.481</v>
      </c>
      <c r="F951" s="4" t="s">
        <v>8</v>
      </c>
      <c r="G951" s="3">
        <v>21.0</v>
      </c>
    </row>
    <row r="952">
      <c r="A952" s="3">
        <v>49.0</v>
      </c>
      <c r="B952" s="5">
        <v>10.30385</v>
      </c>
      <c r="C952" s="5">
        <v>4.743771</v>
      </c>
      <c r="D952" s="5">
        <v>4737.733</v>
      </c>
      <c r="E952" s="5">
        <v>7215.702</v>
      </c>
      <c r="F952" s="4" t="s">
        <v>8</v>
      </c>
      <c r="G952" s="3">
        <v>21.0</v>
      </c>
    </row>
    <row r="953">
      <c r="A953" s="3">
        <v>48.0</v>
      </c>
      <c r="B953" s="5">
        <v>10.20996</v>
      </c>
      <c r="C953" s="5">
        <v>4.730562</v>
      </c>
      <c r="D953" s="5">
        <v>4756.333</v>
      </c>
      <c r="E953" s="5">
        <v>7222.864</v>
      </c>
      <c r="F953" s="4" t="s">
        <v>8</v>
      </c>
      <c r="G953" s="3">
        <v>21.0</v>
      </c>
    </row>
    <row r="954">
      <c r="A954" s="3">
        <v>47.0</v>
      </c>
      <c r="B954" s="5">
        <v>10.20996</v>
      </c>
      <c r="C954" s="5">
        <v>4.70508</v>
      </c>
      <c r="D954" s="5">
        <v>4756.333</v>
      </c>
      <c r="E954" s="5">
        <v>7247.648</v>
      </c>
      <c r="F954" s="4" t="s">
        <v>8</v>
      </c>
      <c r="G954" s="3">
        <v>21.0</v>
      </c>
    </row>
    <row r="955">
      <c r="A955" s="3">
        <v>46.0</v>
      </c>
      <c r="B955" s="5">
        <v>10.16663</v>
      </c>
      <c r="C955" s="5">
        <v>4.70955</v>
      </c>
      <c r="D955" s="3">
        <v>4763.7</v>
      </c>
      <c r="E955" s="5">
        <v>7244.227</v>
      </c>
      <c r="F955" s="4" t="s">
        <v>8</v>
      </c>
      <c r="G955" s="3">
        <v>21.0</v>
      </c>
    </row>
    <row r="956">
      <c r="A956" s="3">
        <v>45.0</v>
      </c>
      <c r="B956" s="5">
        <v>10.12857</v>
      </c>
      <c r="C956" s="5">
        <v>4.687039</v>
      </c>
      <c r="D956" s="3">
        <v>4773.0</v>
      </c>
      <c r="E956" s="5">
        <v>7262.769</v>
      </c>
      <c r="F956" s="4" t="s">
        <v>8</v>
      </c>
      <c r="G956" s="3">
        <v>21.0</v>
      </c>
    </row>
    <row r="957">
      <c r="A957" s="3">
        <v>44.0</v>
      </c>
      <c r="B957" s="5">
        <v>10.00757</v>
      </c>
      <c r="C957" s="5">
        <v>4.682058</v>
      </c>
      <c r="D957" s="3">
        <v>4798.0</v>
      </c>
      <c r="E957" s="5">
        <v>7267.106</v>
      </c>
      <c r="F957" s="4" t="s">
        <v>8</v>
      </c>
      <c r="G957" s="3">
        <v>21.0</v>
      </c>
    </row>
    <row r="958">
      <c r="A958" s="3">
        <v>43.0</v>
      </c>
      <c r="B958" s="5">
        <v>10.00757</v>
      </c>
      <c r="C958" s="5">
        <v>4.662591</v>
      </c>
      <c r="D958" s="3">
        <v>4798.0</v>
      </c>
      <c r="E958" s="3">
        <v>7283.0</v>
      </c>
      <c r="F958" s="4" t="s">
        <v>8</v>
      </c>
      <c r="G958" s="3">
        <v>21.0</v>
      </c>
    </row>
    <row r="959">
      <c r="A959" s="3">
        <v>42.0</v>
      </c>
      <c r="B959" s="5">
        <v>9.996427</v>
      </c>
      <c r="C959" s="5">
        <v>4.662732</v>
      </c>
      <c r="D959" s="3">
        <v>4801.0</v>
      </c>
      <c r="E959" s="5">
        <v>7286.812</v>
      </c>
      <c r="F959" s="4" t="s">
        <v>8</v>
      </c>
      <c r="G959" s="3">
        <v>21.0</v>
      </c>
    </row>
    <row r="960">
      <c r="A960" s="3">
        <v>41.0</v>
      </c>
      <c r="B960" s="5">
        <v>9.991555</v>
      </c>
      <c r="C960" s="5">
        <v>4.638853</v>
      </c>
      <c r="D960" s="3">
        <v>4802.2</v>
      </c>
      <c r="E960" s="5">
        <v>7305.892</v>
      </c>
      <c r="F960" s="4" t="s">
        <v>8</v>
      </c>
      <c r="G960" s="3">
        <v>21.0</v>
      </c>
    </row>
    <row r="961">
      <c r="A961" s="3">
        <v>40.0</v>
      </c>
      <c r="B961" s="5">
        <v>9.94273</v>
      </c>
      <c r="C961" s="5">
        <v>4.628996</v>
      </c>
      <c r="D961" s="5">
        <v>4810.433</v>
      </c>
      <c r="E961" s="5">
        <v>7316.831</v>
      </c>
      <c r="F961" s="4" t="s">
        <v>8</v>
      </c>
      <c r="G961" s="3">
        <v>21.0</v>
      </c>
    </row>
    <row r="962">
      <c r="A962" s="3">
        <v>39.0</v>
      </c>
      <c r="B962" s="5">
        <v>9.919116</v>
      </c>
      <c r="C962" s="5">
        <v>4.628246</v>
      </c>
      <c r="D962" s="3">
        <v>4815.1</v>
      </c>
      <c r="E962" s="5">
        <v>7319.107</v>
      </c>
      <c r="F962" s="4" t="s">
        <v>8</v>
      </c>
      <c r="G962" s="3">
        <v>21.0</v>
      </c>
    </row>
    <row r="963">
      <c r="A963" s="3">
        <v>38.0</v>
      </c>
      <c r="B963" s="5">
        <v>9.872137</v>
      </c>
      <c r="C963" s="5">
        <v>4.607541</v>
      </c>
      <c r="D963" s="3">
        <v>4826.2</v>
      </c>
      <c r="E963" s="5">
        <v>7336.938</v>
      </c>
      <c r="F963" s="4" t="s">
        <v>8</v>
      </c>
      <c r="G963" s="3">
        <v>21.0</v>
      </c>
    </row>
    <row r="964">
      <c r="A964" s="3">
        <v>37.0</v>
      </c>
      <c r="B964" s="5">
        <v>9.871482</v>
      </c>
      <c r="C964" s="5">
        <v>4.616827</v>
      </c>
      <c r="D964" s="5">
        <v>4826.367</v>
      </c>
      <c r="E964" s="5">
        <v>7327.188</v>
      </c>
      <c r="F964" s="4" t="s">
        <v>8</v>
      </c>
      <c r="G964" s="3">
        <v>21.0</v>
      </c>
    </row>
    <row r="965">
      <c r="A965" s="3">
        <v>36.0</v>
      </c>
      <c r="B965" s="5">
        <v>9.735791</v>
      </c>
      <c r="C965" s="5">
        <v>4.600291</v>
      </c>
      <c r="D965" s="5">
        <v>4858.533</v>
      </c>
      <c r="E965" s="5">
        <v>7341.934</v>
      </c>
      <c r="F965" s="4" t="s">
        <v>8</v>
      </c>
      <c r="G965" s="3">
        <v>21.0</v>
      </c>
    </row>
    <row r="966">
      <c r="A966" s="3">
        <v>35.0</v>
      </c>
      <c r="B966" s="5">
        <v>9.503504</v>
      </c>
      <c r="C966" s="5">
        <v>4.566931</v>
      </c>
      <c r="D966" s="5">
        <v>4901.567</v>
      </c>
      <c r="E966" s="5">
        <v>7372.094</v>
      </c>
      <c r="F966" s="4" t="s">
        <v>8</v>
      </c>
      <c r="G966" s="3">
        <v>21.0</v>
      </c>
    </row>
    <row r="967">
      <c r="A967" s="3">
        <v>34.0</v>
      </c>
      <c r="B967" s="5">
        <v>9.384895</v>
      </c>
      <c r="C967" s="5">
        <v>4.56569</v>
      </c>
      <c r="D967" s="3">
        <v>4922.9</v>
      </c>
      <c r="E967" s="5">
        <v>7370.655</v>
      </c>
      <c r="F967" s="4" t="s">
        <v>8</v>
      </c>
      <c r="G967" s="3">
        <v>21.0</v>
      </c>
    </row>
    <row r="968">
      <c r="A968" s="3">
        <v>33.0</v>
      </c>
      <c r="B968" s="5">
        <v>9.379739</v>
      </c>
      <c r="C968" s="5">
        <v>4.54732</v>
      </c>
      <c r="D968" s="3">
        <v>4924.4</v>
      </c>
      <c r="E968" s="5">
        <v>7390.803</v>
      </c>
      <c r="F968" s="4" t="s">
        <v>8</v>
      </c>
      <c r="G968" s="3">
        <v>21.0</v>
      </c>
    </row>
    <row r="969">
      <c r="A969" s="3">
        <v>32.0</v>
      </c>
      <c r="B969" s="5">
        <v>9.354867</v>
      </c>
      <c r="C969" s="5">
        <v>4.522631</v>
      </c>
      <c r="D969" s="5">
        <v>4931.467</v>
      </c>
      <c r="E969" s="5">
        <v>7413.171</v>
      </c>
      <c r="F969" s="4" t="s">
        <v>8</v>
      </c>
      <c r="G969" s="3">
        <v>21.0</v>
      </c>
    </row>
    <row r="970">
      <c r="A970" s="3">
        <v>31.0</v>
      </c>
      <c r="B970" s="5">
        <v>9.288531</v>
      </c>
      <c r="C970" s="5">
        <v>4.5195</v>
      </c>
      <c r="D970" s="5">
        <v>4948.233</v>
      </c>
      <c r="E970" s="5">
        <v>7415.637</v>
      </c>
      <c r="F970" s="4" t="s">
        <v>8</v>
      </c>
      <c r="G970" s="3">
        <v>21.0</v>
      </c>
    </row>
    <row r="971">
      <c r="A971" s="3">
        <v>30.0</v>
      </c>
      <c r="B971" s="5">
        <v>9.28104</v>
      </c>
      <c r="C971" s="5">
        <v>4.5108</v>
      </c>
      <c r="D971" s="5">
        <v>4949.767</v>
      </c>
      <c r="E971" s="3">
        <v>7428.63</v>
      </c>
      <c r="F971" s="4" t="s">
        <v>8</v>
      </c>
      <c r="G971" s="3">
        <v>21.0</v>
      </c>
    </row>
    <row r="972">
      <c r="A972" s="3">
        <v>29.0</v>
      </c>
      <c r="B972" s="5">
        <v>9.273909</v>
      </c>
      <c r="C972" s="5">
        <v>4.516029</v>
      </c>
      <c r="D972" s="5">
        <v>4951.933</v>
      </c>
      <c r="E972" s="5">
        <v>7417.832</v>
      </c>
      <c r="F972" s="4" t="s">
        <v>8</v>
      </c>
      <c r="G972" s="3">
        <v>21.0</v>
      </c>
    </row>
    <row r="973">
      <c r="A973" s="3">
        <v>28.0</v>
      </c>
      <c r="B973" s="5">
        <v>9.226839</v>
      </c>
      <c r="C973" s="5">
        <v>4.519745</v>
      </c>
      <c r="D973" s="3">
        <v>4961.1</v>
      </c>
      <c r="E973" s="5">
        <v>7415.328</v>
      </c>
      <c r="F973" s="4" t="s">
        <v>8</v>
      </c>
      <c r="G973" s="3">
        <v>21.0</v>
      </c>
    </row>
    <row r="974">
      <c r="A974" s="3">
        <v>27.0</v>
      </c>
      <c r="B974" s="5">
        <v>9.226839</v>
      </c>
      <c r="C974" s="5">
        <v>4.504992</v>
      </c>
      <c r="D974" s="3">
        <v>4961.1</v>
      </c>
      <c r="E974" s="5">
        <v>7431.746</v>
      </c>
      <c r="F974" s="4" t="s">
        <v>8</v>
      </c>
      <c r="G974" s="3">
        <v>21.0</v>
      </c>
    </row>
    <row r="975">
      <c r="A975" s="3">
        <v>26.0</v>
      </c>
      <c r="B975" s="5">
        <v>9.140669</v>
      </c>
      <c r="C975" s="5">
        <v>4.50178</v>
      </c>
      <c r="D975" s="5">
        <v>4983.533</v>
      </c>
      <c r="E975" s="5">
        <v>7434.104</v>
      </c>
      <c r="F975" s="4" t="s">
        <v>8</v>
      </c>
      <c r="G975" s="3">
        <v>21.0</v>
      </c>
    </row>
    <row r="976">
      <c r="A976" s="3">
        <v>25.0</v>
      </c>
      <c r="B976" s="5">
        <v>9.057485</v>
      </c>
      <c r="C976" s="5">
        <v>4.508932</v>
      </c>
      <c r="D976" s="5">
        <v>5004.567</v>
      </c>
      <c r="E976" s="5">
        <v>7428.116</v>
      </c>
      <c r="F976" s="4" t="s">
        <v>8</v>
      </c>
      <c r="G976" s="3">
        <v>21.0</v>
      </c>
    </row>
    <row r="977">
      <c r="A977" s="3">
        <v>24.0</v>
      </c>
      <c r="B977" s="5">
        <v>8.976212</v>
      </c>
      <c r="C977" s="5">
        <v>4.499385</v>
      </c>
      <c r="D977" s="5">
        <v>5021.467</v>
      </c>
      <c r="E977" s="5">
        <v>7435.296</v>
      </c>
      <c r="F977" s="4" t="s">
        <v>8</v>
      </c>
      <c r="G977" s="3">
        <v>21.0</v>
      </c>
    </row>
    <row r="978">
      <c r="A978" s="3">
        <v>23.0</v>
      </c>
      <c r="B978" s="5">
        <v>8.965223</v>
      </c>
      <c r="C978" s="5">
        <v>4.495962</v>
      </c>
      <c r="D978" s="5">
        <v>5024.867</v>
      </c>
      <c r="E978" s="5">
        <v>7438.806</v>
      </c>
      <c r="F978" s="4" t="s">
        <v>8</v>
      </c>
      <c r="G978" s="3">
        <v>21.0</v>
      </c>
    </row>
    <row r="979">
      <c r="A979" s="3">
        <v>22.0</v>
      </c>
      <c r="B979" s="5">
        <v>8.914215</v>
      </c>
      <c r="C979" s="5">
        <v>4.48761</v>
      </c>
      <c r="D979" s="5">
        <v>5040.333</v>
      </c>
      <c r="E979" s="5">
        <v>7446.625</v>
      </c>
      <c r="F979" s="4" t="s">
        <v>8</v>
      </c>
      <c r="G979" s="3">
        <v>21.0</v>
      </c>
    </row>
    <row r="980">
      <c r="A980" s="3">
        <v>21.0</v>
      </c>
      <c r="B980" s="5">
        <v>8.900042</v>
      </c>
      <c r="C980" s="5">
        <v>4.498705</v>
      </c>
      <c r="D980" s="3">
        <v>5044.0</v>
      </c>
      <c r="E980" s="5">
        <v>7436.349</v>
      </c>
      <c r="F980" s="4" t="s">
        <v>8</v>
      </c>
      <c r="G980" s="3">
        <v>21.0</v>
      </c>
    </row>
    <row r="981">
      <c r="A981" s="3">
        <v>20.0</v>
      </c>
      <c r="B981" s="5">
        <v>8.900042</v>
      </c>
      <c r="C981" s="5">
        <v>4.484818</v>
      </c>
      <c r="D981" s="3">
        <v>5044.0</v>
      </c>
      <c r="E981" s="3">
        <v>7445.35</v>
      </c>
      <c r="F981" s="4" t="s">
        <v>8</v>
      </c>
      <c r="G981" s="3">
        <v>21.0</v>
      </c>
    </row>
    <row r="982">
      <c r="A982" s="3">
        <v>19.0</v>
      </c>
      <c r="B982" s="5">
        <v>8.866591</v>
      </c>
      <c r="C982" s="5">
        <v>4.485571</v>
      </c>
      <c r="D982" s="3">
        <v>5051.9</v>
      </c>
      <c r="E982" s="5">
        <v>7445.487</v>
      </c>
      <c r="F982" s="4" t="s">
        <v>8</v>
      </c>
      <c r="G982" s="3">
        <v>21.0</v>
      </c>
    </row>
    <row r="983">
      <c r="A983" s="3">
        <v>18.0</v>
      </c>
      <c r="B983" s="5">
        <v>8.830135</v>
      </c>
      <c r="C983" s="5">
        <v>4.456666</v>
      </c>
      <c r="D983" s="5">
        <v>5063.067</v>
      </c>
      <c r="E983" s="5">
        <v>7476.678</v>
      </c>
      <c r="F983" s="4" t="s">
        <v>8</v>
      </c>
      <c r="G983" s="3">
        <v>21.0</v>
      </c>
    </row>
    <row r="984">
      <c r="A984" s="3">
        <v>17.0</v>
      </c>
      <c r="B984" s="5">
        <v>8.821682</v>
      </c>
      <c r="C984" s="5">
        <v>4.453872</v>
      </c>
      <c r="D984" s="5">
        <v>5065.233</v>
      </c>
      <c r="E984" s="3">
        <v>7480.86</v>
      </c>
      <c r="F984" s="4" t="s">
        <v>8</v>
      </c>
      <c r="G984" s="3">
        <v>21.0</v>
      </c>
    </row>
    <row r="985">
      <c r="A985" s="3">
        <v>16.0</v>
      </c>
      <c r="B985" s="5">
        <v>8.812497</v>
      </c>
      <c r="C985" s="5">
        <v>4.440888</v>
      </c>
      <c r="D985" s="5">
        <v>5067.867</v>
      </c>
      <c r="E985" s="5">
        <v>7492.921</v>
      </c>
      <c r="F985" s="4" t="s">
        <v>8</v>
      </c>
      <c r="G985" s="3">
        <v>21.0</v>
      </c>
    </row>
    <row r="986">
      <c r="A986" s="3">
        <v>15.0</v>
      </c>
      <c r="B986" s="5">
        <v>8.709608</v>
      </c>
      <c r="C986" s="5">
        <v>4.43601</v>
      </c>
      <c r="D986" s="5">
        <v>5096.033</v>
      </c>
      <c r="E986" s="5">
        <v>7497.085</v>
      </c>
      <c r="F986" s="4" t="s">
        <v>8</v>
      </c>
      <c r="G986" s="3">
        <v>21.0</v>
      </c>
    </row>
    <row r="987">
      <c r="A987" s="3">
        <v>14.0</v>
      </c>
      <c r="B987" s="5">
        <v>8.68729</v>
      </c>
      <c r="C987" s="5">
        <v>4.42678</v>
      </c>
      <c r="D987" s="5">
        <v>5102.567</v>
      </c>
      <c r="E987" s="5">
        <v>7504.533</v>
      </c>
      <c r="F987" s="4" t="s">
        <v>8</v>
      </c>
      <c r="G987" s="3">
        <v>21.0</v>
      </c>
    </row>
    <row r="988">
      <c r="A988" s="3">
        <v>13.0</v>
      </c>
      <c r="B988" s="5">
        <v>8.617437</v>
      </c>
      <c r="C988" s="5">
        <v>4.443766</v>
      </c>
      <c r="D988" s="5">
        <v>5123.067</v>
      </c>
      <c r="E988" s="5">
        <v>7488.251</v>
      </c>
      <c r="F988" s="4" t="s">
        <v>8</v>
      </c>
      <c r="G988" s="3">
        <v>21.0</v>
      </c>
    </row>
    <row r="989">
      <c r="A989" s="3">
        <v>12.0</v>
      </c>
      <c r="B989" s="5">
        <v>8.485658</v>
      </c>
      <c r="C989" s="5">
        <v>4.429569</v>
      </c>
      <c r="D989" s="3">
        <v>5158.5</v>
      </c>
      <c r="E989" s="5">
        <v>7504.516</v>
      </c>
      <c r="F989" s="4" t="s">
        <v>8</v>
      </c>
      <c r="G989" s="3">
        <v>21.0</v>
      </c>
    </row>
    <row r="990">
      <c r="A990" s="3">
        <v>11.0</v>
      </c>
      <c r="B990" s="5">
        <v>8.395073</v>
      </c>
      <c r="C990" s="5">
        <v>4.427799</v>
      </c>
      <c r="D990" s="5">
        <v>5182.167</v>
      </c>
      <c r="E990" s="5">
        <v>7501.947</v>
      </c>
      <c r="F990" s="4" t="s">
        <v>8</v>
      </c>
      <c r="G990" s="3">
        <v>21.0</v>
      </c>
    </row>
    <row r="991">
      <c r="A991" s="3">
        <v>10.0</v>
      </c>
      <c r="B991" s="5">
        <v>8.350075</v>
      </c>
      <c r="C991" s="5">
        <v>4.425457</v>
      </c>
      <c r="D991" s="3">
        <v>5196.5</v>
      </c>
      <c r="E991" s="5">
        <v>7503.453</v>
      </c>
      <c r="F991" s="4" t="s">
        <v>8</v>
      </c>
      <c r="G991" s="3">
        <v>21.0</v>
      </c>
    </row>
    <row r="992">
      <c r="A992" s="3">
        <v>9.0</v>
      </c>
      <c r="B992" s="5">
        <v>8.285599</v>
      </c>
      <c r="C992" s="5">
        <v>4.425344</v>
      </c>
      <c r="D992" s="5">
        <v>5216.233</v>
      </c>
      <c r="E992" s="5">
        <v>7508.623</v>
      </c>
      <c r="F992" s="4" t="s">
        <v>8</v>
      </c>
      <c r="G992" s="3">
        <v>21.0</v>
      </c>
    </row>
    <row r="993">
      <c r="A993" s="3">
        <v>8.0</v>
      </c>
      <c r="B993" s="5">
        <v>8.085355</v>
      </c>
      <c r="C993" s="5">
        <v>4.415783</v>
      </c>
      <c r="D993" s="5">
        <v>5276.833</v>
      </c>
      <c r="E993" s="5">
        <v>7517.095</v>
      </c>
      <c r="F993" s="4" t="s">
        <v>8</v>
      </c>
      <c r="G993" s="3">
        <v>21.0</v>
      </c>
    </row>
    <row r="994">
      <c r="A994" s="3">
        <v>7.0</v>
      </c>
      <c r="B994" s="5">
        <v>7.906545</v>
      </c>
      <c r="C994" s="5">
        <v>4.411033</v>
      </c>
      <c r="D994" s="5">
        <v>5333.467</v>
      </c>
      <c r="E994" s="5">
        <v>7519.254</v>
      </c>
      <c r="F994" s="4" t="s">
        <v>8</v>
      </c>
      <c r="G994" s="3">
        <v>21.0</v>
      </c>
    </row>
    <row r="995">
      <c r="A995" s="3">
        <v>6.0</v>
      </c>
      <c r="B995" s="5">
        <v>7.76484</v>
      </c>
      <c r="C995" s="5">
        <v>4.388794</v>
      </c>
      <c r="D995" s="5">
        <v>5379.567</v>
      </c>
      <c r="E995" s="5">
        <v>7543.175</v>
      </c>
      <c r="F995" s="4" t="s">
        <v>8</v>
      </c>
      <c r="G995" s="3">
        <v>21.0</v>
      </c>
    </row>
    <row r="996">
      <c r="A996" s="3">
        <v>5.0</v>
      </c>
      <c r="B996" s="5">
        <v>7.697765</v>
      </c>
      <c r="C996" s="5">
        <v>4.399719</v>
      </c>
      <c r="D996" s="5">
        <v>5400.267</v>
      </c>
      <c r="E996" s="5">
        <v>7531.881</v>
      </c>
      <c r="F996" s="4" t="s">
        <v>8</v>
      </c>
      <c r="G996" s="3">
        <v>21.0</v>
      </c>
    </row>
    <row r="997">
      <c r="A997" s="3">
        <v>4.0</v>
      </c>
      <c r="B997" s="5">
        <v>7.616678</v>
      </c>
      <c r="C997" s="5">
        <v>4.392429</v>
      </c>
      <c r="D997" s="3">
        <v>5425.7</v>
      </c>
      <c r="E997" s="5">
        <v>7540.659</v>
      </c>
      <c r="F997" s="4" t="s">
        <v>8</v>
      </c>
      <c r="G997" s="3">
        <v>21.0</v>
      </c>
    </row>
    <row r="998">
      <c r="A998" s="3">
        <v>3.0</v>
      </c>
      <c r="B998" s="5">
        <v>7.392506</v>
      </c>
      <c r="C998" s="5">
        <v>4.374085</v>
      </c>
      <c r="D998" s="5">
        <v>5508.033</v>
      </c>
      <c r="E998" s="5">
        <v>7555.265</v>
      </c>
      <c r="F998" s="4" t="s">
        <v>8</v>
      </c>
      <c r="G998" s="3">
        <v>21.0</v>
      </c>
    </row>
    <row r="999">
      <c r="A999" s="3">
        <v>2.0</v>
      </c>
      <c r="B999" s="5">
        <v>7.18889</v>
      </c>
      <c r="C999" s="5">
        <v>4.360424</v>
      </c>
      <c r="D999" s="5">
        <v>5577.967</v>
      </c>
      <c r="E999" s="5">
        <v>7566.833</v>
      </c>
      <c r="F999" s="4" t="s">
        <v>8</v>
      </c>
      <c r="G999" s="3">
        <v>21.0</v>
      </c>
    </row>
    <row r="1000">
      <c r="A1000" s="3">
        <v>1.0</v>
      </c>
      <c r="B1000" s="5">
        <v>7.020592</v>
      </c>
      <c r="C1000" s="5">
        <v>4.350518</v>
      </c>
      <c r="D1000" s="5">
        <v>5644.367</v>
      </c>
      <c r="E1000" s="5">
        <v>7581.069</v>
      </c>
      <c r="F1000" s="4" t="s">
        <v>8</v>
      </c>
      <c r="G1000" s="3">
        <v>21.0</v>
      </c>
    </row>
    <row r="1001">
      <c r="A1001" s="3">
        <v>0.0</v>
      </c>
      <c r="B1001" s="5">
        <v>6.822006</v>
      </c>
      <c r="C1001" s="5">
        <v>4.325137</v>
      </c>
      <c r="D1001" s="3">
        <v>5729.1</v>
      </c>
      <c r="E1001" s="3">
        <v>7603.71</v>
      </c>
      <c r="F1001" s="4" t="s">
        <v>8</v>
      </c>
      <c r="G1001" s="3">
        <v>21.0</v>
      </c>
    </row>
    <row r="1002">
      <c r="A1002" s="3">
        <v>199.0</v>
      </c>
      <c r="B1002" s="5">
        <v>69.20286</v>
      </c>
      <c r="C1002" s="5">
        <v>57.88346</v>
      </c>
      <c r="D1002" s="5">
        <v>2659.233</v>
      </c>
      <c r="E1002" s="5">
        <v>2819.605</v>
      </c>
      <c r="F1002" s="4" t="s">
        <v>8</v>
      </c>
      <c r="G1002" s="3">
        <v>19.0</v>
      </c>
    </row>
    <row r="1003">
      <c r="A1003" s="3">
        <v>198.0</v>
      </c>
      <c r="B1003" s="5">
        <v>69.20286</v>
      </c>
      <c r="C1003" s="5">
        <v>57.85452</v>
      </c>
      <c r="D1003" s="5">
        <v>2659.233</v>
      </c>
      <c r="E1003" s="5">
        <v>2823.552</v>
      </c>
      <c r="F1003" s="4" t="s">
        <v>8</v>
      </c>
      <c r="G1003" s="3">
        <v>19.0</v>
      </c>
    </row>
    <row r="1004">
      <c r="A1004" s="3">
        <v>197.0</v>
      </c>
      <c r="B1004" s="5">
        <v>69.20286</v>
      </c>
      <c r="C1004" s="5">
        <v>57.86896</v>
      </c>
      <c r="D1004" s="5">
        <v>2659.233</v>
      </c>
      <c r="E1004" s="5">
        <v>2829.206</v>
      </c>
      <c r="F1004" s="4" t="s">
        <v>8</v>
      </c>
      <c r="G1004" s="3">
        <v>19.0</v>
      </c>
    </row>
    <row r="1005">
      <c r="A1005" s="3">
        <v>196.0</v>
      </c>
      <c r="B1005" s="5">
        <v>69.20101</v>
      </c>
      <c r="C1005" s="5">
        <v>57.66927</v>
      </c>
      <c r="D1005" s="5">
        <v>2659.267</v>
      </c>
      <c r="E1005" s="5">
        <v>2836.156</v>
      </c>
      <c r="F1005" s="4" t="s">
        <v>8</v>
      </c>
      <c r="G1005" s="3">
        <v>19.0</v>
      </c>
    </row>
    <row r="1006">
      <c r="A1006" s="3">
        <v>195.0</v>
      </c>
      <c r="B1006" s="5">
        <v>69.1881</v>
      </c>
      <c r="C1006" s="5">
        <v>57.7377</v>
      </c>
      <c r="D1006" s="3">
        <v>2659.5</v>
      </c>
      <c r="E1006" s="5">
        <v>2843.146</v>
      </c>
      <c r="F1006" s="4" t="s">
        <v>8</v>
      </c>
      <c r="G1006" s="3">
        <v>19.0</v>
      </c>
    </row>
    <row r="1007">
      <c r="A1007" s="3">
        <v>194.0</v>
      </c>
      <c r="B1007" s="5">
        <v>69.1881</v>
      </c>
      <c r="C1007" s="5">
        <v>57.27962</v>
      </c>
      <c r="D1007" s="3">
        <v>2659.5</v>
      </c>
      <c r="E1007" s="5">
        <v>2857.698</v>
      </c>
      <c r="F1007" s="4" t="s">
        <v>8</v>
      </c>
      <c r="G1007" s="3">
        <v>19.0</v>
      </c>
    </row>
    <row r="1008">
      <c r="A1008" s="3">
        <v>193.0</v>
      </c>
      <c r="B1008" s="5">
        <v>69.1881</v>
      </c>
      <c r="C1008" s="5">
        <v>57.5911</v>
      </c>
      <c r="D1008" s="3">
        <v>2659.5</v>
      </c>
      <c r="E1008" s="5">
        <v>2855.598</v>
      </c>
      <c r="F1008" s="4" t="s">
        <v>8</v>
      </c>
      <c r="G1008" s="3">
        <v>19.0</v>
      </c>
    </row>
    <row r="1009">
      <c r="A1009" s="3">
        <v>192.0</v>
      </c>
      <c r="B1009" s="5">
        <v>69.1881</v>
      </c>
      <c r="C1009" s="5">
        <v>57.4401</v>
      </c>
      <c r="D1009" s="3">
        <v>2659.5</v>
      </c>
      <c r="E1009" s="3">
        <v>2862.6</v>
      </c>
      <c r="F1009" s="4" t="s">
        <v>8</v>
      </c>
      <c r="G1009" s="3">
        <v>19.0</v>
      </c>
    </row>
    <row r="1010">
      <c r="A1010" s="3">
        <v>191.0</v>
      </c>
      <c r="B1010" s="5">
        <v>69.1881</v>
      </c>
      <c r="C1010" s="5">
        <v>57.36448</v>
      </c>
      <c r="D1010" s="3">
        <v>2659.5</v>
      </c>
      <c r="E1010" s="3">
        <v>2870.52</v>
      </c>
      <c r="F1010" s="4" t="s">
        <v>8</v>
      </c>
      <c r="G1010" s="3">
        <v>19.0</v>
      </c>
    </row>
    <row r="1011">
      <c r="A1011" s="3">
        <v>190.0</v>
      </c>
      <c r="B1011" s="5">
        <v>69.1881</v>
      </c>
      <c r="C1011" s="5">
        <v>57.16237</v>
      </c>
      <c r="D1011" s="3">
        <v>2659.5</v>
      </c>
      <c r="E1011" s="5">
        <v>2878.986</v>
      </c>
      <c r="F1011" s="4" t="s">
        <v>8</v>
      </c>
      <c r="G1011" s="3">
        <v>19.0</v>
      </c>
    </row>
    <row r="1012">
      <c r="A1012" s="3">
        <v>189.0</v>
      </c>
      <c r="B1012" s="5">
        <v>68.61161</v>
      </c>
      <c r="C1012" s="5">
        <v>57.17155</v>
      </c>
      <c r="D1012" s="3">
        <v>2675.1</v>
      </c>
      <c r="E1012" s="5">
        <v>2880.353</v>
      </c>
      <c r="F1012" s="4" t="s">
        <v>8</v>
      </c>
      <c r="G1012" s="3">
        <v>19.0</v>
      </c>
    </row>
    <row r="1013">
      <c r="A1013" s="3">
        <v>188.0</v>
      </c>
      <c r="B1013" s="5">
        <v>68.61161</v>
      </c>
      <c r="C1013" s="5">
        <v>57.47598</v>
      </c>
      <c r="D1013" s="3">
        <v>2675.1</v>
      </c>
      <c r="E1013" s="5">
        <v>2878.745</v>
      </c>
      <c r="F1013" s="4" t="s">
        <v>8</v>
      </c>
      <c r="G1013" s="3">
        <v>19.0</v>
      </c>
    </row>
    <row r="1014">
      <c r="A1014" s="3">
        <v>187.0</v>
      </c>
      <c r="B1014" s="5">
        <v>68.61161</v>
      </c>
      <c r="C1014" s="5">
        <v>57.38875</v>
      </c>
      <c r="D1014" s="3">
        <v>2675.1</v>
      </c>
      <c r="E1014" s="5">
        <v>2879.895</v>
      </c>
      <c r="F1014" s="4" t="s">
        <v>8</v>
      </c>
      <c r="G1014" s="3">
        <v>19.0</v>
      </c>
    </row>
    <row r="1015">
      <c r="A1015" s="3">
        <v>186.0</v>
      </c>
      <c r="B1015" s="5">
        <v>68.61161</v>
      </c>
      <c r="C1015" s="5">
        <v>57.18096</v>
      </c>
      <c r="D1015" s="3">
        <v>2675.1</v>
      </c>
      <c r="E1015" s="5">
        <v>2890.572</v>
      </c>
      <c r="F1015" s="4" t="s">
        <v>8</v>
      </c>
      <c r="G1015" s="3">
        <v>19.0</v>
      </c>
    </row>
    <row r="1016">
      <c r="A1016" s="3">
        <v>185.0</v>
      </c>
      <c r="B1016" s="5">
        <v>68.55926</v>
      </c>
      <c r="C1016" s="5">
        <v>56.65839</v>
      </c>
      <c r="D1016" s="5">
        <v>2677.367</v>
      </c>
      <c r="E1016" s="3">
        <v>2899.96</v>
      </c>
      <c r="F1016" s="4" t="s">
        <v>8</v>
      </c>
      <c r="G1016" s="3">
        <v>19.0</v>
      </c>
    </row>
    <row r="1017">
      <c r="A1017" s="3">
        <v>184.0</v>
      </c>
      <c r="B1017" s="5">
        <v>68.55926</v>
      </c>
      <c r="C1017" s="5">
        <v>56.73037</v>
      </c>
      <c r="D1017" s="5">
        <v>2677.367</v>
      </c>
      <c r="E1017" s="5">
        <v>2901.462</v>
      </c>
      <c r="F1017" s="4" t="s">
        <v>8</v>
      </c>
      <c r="G1017" s="3">
        <v>19.0</v>
      </c>
    </row>
    <row r="1018">
      <c r="A1018" s="3">
        <v>183.0</v>
      </c>
      <c r="B1018" s="5">
        <v>68.55926</v>
      </c>
      <c r="C1018" s="5">
        <v>56.8439</v>
      </c>
      <c r="D1018" s="5">
        <v>2677.367</v>
      </c>
      <c r="E1018" s="5">
        <v>2895.554</v>
      </c>
      <c r="F1018" s="4" t="s">
        <v>8</v>
      </c>
      <c r="G1018" s="3">
        <v>19.0</v>
      </c>
    </row>
    <row r="1019">
      <c r="A1019" s="3">
        <v>182.0</v>
      </c>
      <c r="B1019" s="5">
        <v>68.55926</v>
      </c>
      <c r="C1019" s="5">
        <v>56.90224</v>
      </c>
      <c r="D1019" s="5">
        <v>2677.367</v>
      </c>
      <c r="E1019" s="5">
        <v>2900.134</v>
      </c>
      <c r="F1019" s="4" t="s">
        <v>8</v>
      </c>
      <c r="G1019" s="3">
        <v>19.0</v>
      </c>
    </row>
    <row r="1020">
      <c r="A1020" s="3">
        <v>181.0</v>
      </c>
      <c r="B1020" s="5">
        <v>68.54344</v>
      </c>
      <c r="C1020" s="5">
        <v>56.94985</v>
      </c>
      <c r="D1020" s="3">
        <v>2678.1</v>
      </c>
      <c r="E1020" s="5">
        <v>2899.842</v>
      </c>
      <c r="F1020" s="4" t="s">
        <v>8</v>
      </c>
      <c r="G1020" s="3">
        <v>19.0</v>
      </c>
    </row>
    <row r="1021">
      <c r="A1021" s="3">
        <v>180.0</v>
      </c>
      <c r="B1021" s="5">
        <v>68.54344</v>
      </c>
      <c r="C1021" s="5">
        <v>56.58994</v>
      </c>
      <c r="D1021" s="3">
        <v>2678.1</v>
      </c>
      <c r="E1021" s="3">
        <v>2911.36</v>
      </c>
      <c r="F1021" s="4" t="s">
        <v>8</v>
      </c>
      <c r="G1021" s="3">
        <v>19.0</v>
      </c>
    </row>
    <row r="1022">
      <c r="A1022" s="3">
        <v>179.0</v>
      </c>
      <c r="B1022" s="5">
        <v>68.54344</v>
      </c>
      <c r="C1022" s="5">
        <v>56.41147</v>
      </c>
      <c r="D1022" s="3">
        <v>2678.1</v>
      </c>
      <c r="E1022" s="5">
        <v>2915.177</v>
      </c>
      <c r="F1022" s="4" t="s">
        <v>8</v>
      </c>
      <c r="G1022" s="3">
        <v>19.0</v>
      </c>
    </row>
    <row r="1023">
      <c r="A1023" s="3">
        <v>178.0</v>
      </c>
      <c r="B1023" s="5">
        <v>68.54344</v>
      </c>
      <c r="C1023" s="5">
        <v>56.47309</v>
      </c>
      <c r="D1023" s="3">
        <v>2678.1</v>
      </c>
      <c r="E1023" s="5">
        <v>2912.102</v>
      </c>
      <c r="F1023" s="4" t="s">
        <v>8</v>
      </c>
      <c r="G1023" s="3">
        <v>19.0</v>
      </c>
    </row>
    <row r="1024">
      <c r="A1024" s="3">
        <v>177.0</v>
      </c>
      <c r="B1024" s="5">
        <v>68.41676</v>
      </c>
      <c r="C1024" s="5">
        <v>56.34374</v>
      </c>
      <c r="D1024" s="3">
        <v>2685.0</v>
      </c>
      <c r="E1024" s="5">
        <v>2909.105</v>
      </c>
      <c r="F1024" s="4" t="s">
        <v>8</v>
      </c>
      <c r="G1024" s="3">
        <v>19.0</v>
      </c>
    </row>
    <row r="1025">
      <c r="A1025" s="3">
        <v>176.0</v>
      </c>
      <c r="B1025" s="5">
        <v>68.41676</v>
      </c>
      <c r="C1025" s="5">
        <v>56.32575</v>
      </c>
      <c r="D1025" s="3">
        <v>2685.0</v>
      </c>
      <c r="E1025" s="5">
        <v>2916.149</v>
      </c>
      <c r="F1025" s="4" t="s">
        <v>8</v>
      </c>
      <c r="G1025" s="3">
        <v>19.0</v>
      </c>
    </row>
    <row r="1026">
      <c r="A1026" s="3">
        <v>175.0</v>
      </c>
      <c r="B1026" s="5">
        <v>68.41676</v>
      </c>
      <c r="C1026" s="5">
        <v>56.43618</v>
      </c>
      <c r="D1026" s="3">
        <v>2685.0</v>
      </c>
      <c r="E1026" s="5">
        <v>2913.614</v>
      </c>
      <c r="F1026" s="4" t="s">
        <v>8</v>
      </c>
      <c r="G1026" s="3">
        <v>19.0</v>
      </c>
    </row>
    <row r="1027">
      <c r="A1027" s="3">
        <v>174.0</v>
      </c>
      <c r="B1027" s="5">
        <v>68.41676</v>
      </c>
      <c r="C1027" s="5">
        <v>56.1328</v>
      </c>
      <c r="D1027" s="3">
        <v>2685.0</v>
      </c>
      <c r="E1027" s="3">
        <v>2914.3</v>
      </c>
      <c r="F1027" s="4" t="s">
        <v>8</v>
      </c>
      <c r="G1027" s="3">
        <v>19.0</v>
      </c>
    </row>
    <row r="1028">
      <c r="A1028" s="3">
        <v>173.0</v>
      </c>
      <c r="B1028" s="5">
        <v>68.41676</v>
      </c>
      <c r="C1028" s="5">
        <v>56.14552</v>
      </c>
      <c r="D1028" s="3">
        <v>2685.0</v>
      </c>
      <c r="E1028" s="5">
        <v>2917.195</v>
      </c>
      <c r="F1028" s="4" t="s">
        <v>8</v>
      </c>
      <c r="G1028" s="3">
        <v>19.0</v>
      </c>
    </row>
    <row r="1029">
      <c r="A1029" s="3">
        <v>172.0</v>
      </c>
      <c r="B1029" s="5">
        <v>68.35638</v>
      </c>
      <c r="C1029" s="5">
        <v>56.0616</v>
      </c>
      <c r="D1029" s="5">
        <v>2689.133</v>
      </c>
      <c r="E1029" s="5">
        <v>2917.027</v>
      </c>
      <c r="F1029" s="4" t="s">
        <v>8</v>
      </c>
      <c r="G1029" s="3">
        <v>19.0</v>
      </c>
    </row>
    <row r="1030">
      <c r="A1030" s="3">
        <v>171.0</v>
      </c>
      <c r="B1030" s="5">
        <v>68.35638</v>
      </c>
      <c r="C1030" s="5">
        <v>56.19595</v>
      </c>
      <c r="D1030" s="5">
        <v>2689.133</v>
      </c>
      <c r="E1030" s="5">
        <v>2915.075</v>
      </c>
      <c r="F1030" s="4" t="s">
        <v>8</v>
      </c>
      <c r="G1030" s="3">
        <v>19.0</v>
      </c>
    </row>
    <row r="1031">
      <c r="A1031" s="3">
        <v>170.0</v>
      </c>
      <c r="B1031" s="5">
        <v>68.35638</v>
      </c>
      <c r="C1031" s="5">
        <v>55.79906</v>
      </c>
      <c r="D1031" s="5">
        <v>2689.133</v>
      </c>
      <c r="E1031" s="5">
        <v>2920.145</v>
      </c>
      <c r="F1031" s="4" t="s">
        <v>8</v>
      </c>
      <c r="G1031" s="3">
        <v>19.0</v>
      </c>
    </row>
    <row r="1032">
      <c r="A1032" s="3">
        <v>169.0</v>
      </c>
      <c r="B1032" s="5">
        <v>68.35638</v>
      </c>
      <c r="C1032" s="5">
        <v>55.91281</v>
      </c>
      <c r="D1032" s="5">
        <v>2689.133</v>
      </c>
      <c r="E1032" s="5">
        <v>2922.332</v>
      </c>
      <c r="F1032" s="4" t="s">
        <v>8</v>
      </c>
      <c r="G1032" s="3">
        <v>19.0</v>
      </c>
    </row>
    <row r="1033">
      <c r="A1033" s="3">
        <v>168.0</v>
      </c>
      <c r="B1033" s="5">
        <v>68.35638</v>
      </c>
      <c r="C1033" s="5">
        <v>55.75959</v>
      </c>
      <c r="D1033" s="5">
        <v>2689.133</v>
      </c>
      <c r="E1033" s="5">
        <v>2929.465</v>
      </c>
      <c r="F1033" s="4" t="s">
        <v>8</v>
      </c>
      <c r="G1033" s="3">
        <v>19.0</v>
      </c>
    </row>
    <row r="1034">
      <c r="A1034" s="3">
        <v>167.0</v>
      </c>
      <c r="B1034" s="5">
        <v>68.35638</v>
      </c>
      <c r="C1034" s="5">
        <v>55.57054</v>
      </c>
      <c r="D1034" s="5">
        <v>2689.133</v>
      </c>
      <c r="E1034" s="5">
        <v>2930.132</v>
      </c>
      <c r="F1034" s="4" t="s">
        <v>8</v>
      </c>
      <c r="G1034" s="3">
        <v>19.0</v>
      </c>
    </row>
    <row r="1035">
      <c r="A1035" s="3">
        <v>166.0</v>
      </c>
      <c r="B1035" s="5">
        <v>68.35638</v>
      </c>
      <c r="C1035" s="5">
        <v>55.20299</v>
      </c>
      <c r="D1035" s="5">
        <v>2689.133</v>
      </c>
      <c r="E1035" s="5">
        <v>2938.679</v>
      </c>
      <c r="F1035" s="4" t="s">
        <v>8</v>
      </c>
      <c r="G1035" s="3">
        <v>19.0</v>
      </c>
    </row>
    <row r="1036">
      <c r="A1036" s="3">
        <v>165.0</v>
      </c>
      <c r="B1036" s="5">
        <v>68.35638</v>
      </c>
      <c r="C1036" s="5">
        <v>55.17122</v>
      </c>
      <c r="D1036" s="5">
        <v>2689.133</v>
      </c>
      <c r="E1036" s="5">
        <v>2939.749</v>
      </c>
      <c r="F1036" s="4" t="s">
        <v>8</v>
      </c>
      <c r="G1036" s="3">
        <v>19.0</v>
      </c>
    </row>
    <row r="1037">
      <c r="A1037" s="3">
        <v>164.0</v>
      </c>
      <c r="B1037" s="5">
        <v>68.35638</v>
      </c>
      <c r="C1037" s="5">
        <v>54.96199</v>
      </c>
      <c r="D1037" s="5">
        <v>2689.133</v>
      </c>
      <c r="E1037" s="5">
        <v>2944.533</v>
      </c>
      <c r="F1037" s="4" t="s">
        <v>8</v>
      </c>
      <c r="G1037" s="3">
        <v>19.0</v>
      </c>
    </row>
    <row r="1038">
      <c r="A1038" s="3">
        <v>163.0</v>
      </c>
      <c r="B1038" s="5">
        <v>68.35638</v>
      </c>
      <c r="C1038" s="5">
        <v>54.89312</v>
      </c>
      <c r="D1038" s="5">
        <v>2689.133</v>
      </c>
      <c r="E1038" s="5">
        <v>2946.129</v>
      </c>
      <c r="F1038" s="4" t="s">
        <v>8</v>
      </c>
      <c r="G1038" s="3">
        <v>19.0</v>
      </c>
    </row>
    <row r="1039">
      <c r="A1039" s="3">
        <v>162.0</v>
      </c>
      <c r="B1039" s="5">
        <v>68.35638</v>
      </c>
      <c r="C1039" s="5">
        <v>54.50428</v>
      </c>
      <c r="D1039" s="5">
        <v>2689.133</v>
      </c>
      <c r="E1039" s="5">
        <v>2957.947</v>
      </c>
      <c r="F1039" s="4" t="s">
        <v>8</v>
      </c>
      <c r="G1039" s="3">
        <v>19.0</v>
      </c>
    </row>
    <row r="1040">
      <c r="A1040" s="3">
        <v>161.0</v>
      </c>
      <c r="B1040" s="5">
        <v>68.35325</v>
      </c>
      <c r="C1040" s="5">
        <v>54.25821</v>
      </c>
      <c r="D1040" s="5">
        <v>2689.367</v>
      </c>
      <c r="E1040" s="5">
        <v>2969.915</v>
      </c>
      <c r="F1040" s="4" t="s">
        <v>8</v>
      </c>
      <c r="G1040" s="3">
        <v>19.0</v>
      </c>
    </row>
    <row r="1041">
      <c r="A1041" s="3">
        <v>160.0</v>
      </c>
      <c r="B1041" s="5">
        <v>68.35325</v>
      </c>
      <c r="C1041" s="5">
        <v>54.19243</v>
      </c>
      <c r="D1041" s="5">
        <v>2689.367</v>
      </c>
      <c r="E1041" s="5">
        <v>2973.546</v>
      </c>
      <c r="F1041" s="4" t="s">
        <v>8</v>
      </c>
      <c r="G1041" s="3">
        <v>19.0</v>
      </c>
    </row>
    <row r="1042">
      <c r="A1042" s="3">
        <v>159.0</v>
      </c>
      <c r="B1042" s="5">
        <v>67.67871</v>
      </c>
      <c r="C1042" s="5">
        <v>53.60728</v>
      </c>
      <c r="D1042" s="5">
        <v>2693.867</v>
      </c>
      <c r="E1042" s="5">
        <v>2992.506</v>
      </c>
      <c r="F1042" s="4" t="s">
        <v>8</v>
      </c>
      <c r="G1042" s="3">
        <v>19.0</v>
      </c>
    </row>
    <row r="1043">
      <c r="A1043" s="3">
        <v>158.0</v>
      </c>
      <c r="B1043" s="5">
        <v>67.67871</v>
      </c>
      <c r="C1043" s="5">
        <v>53.23786</v>
      </c>
      <c r="D1043" s="5">
        <v>2693.867</v>
      </c>
      <c r="E1043" s="5">
        <v>3007.783</v>
      </c>
      <c r="F1043" s="4" t="s">
        <v>8</v>
      </c>
      <c r="G1043" s="3">
        <v>19.0</v>
      </c>
    </row>
    <row r="1044">
      <c r="A1044" s="3">
        <v>157.0</v>
      </c>
      <c r="B1044" s="5">
        <v>67.11951</v>
      </c>
      <c r="C1044" s="5">
        <v>52.88655</v>
      </c>
      <c r="D1044" s="5">
        <v>2699.233</v>
      </c>
      <c r="E1044" s="5">
        <v>3023.975</v>
      </c>
      <c r="F1044" s="4" t="s">
        <v>8</v>
      </c>
      <c r="G1044" s="3">
        <v>19.0</v>
      </c>
    </row>
    <row r="1045">
      <c r="A1045" s="3">
        <v>156.0</v>
      </c>
      <c r="B1045" s="5">
        <v>66.59859</v>
      </c>
      <c r="C1045" s="5">
        <v>52.55939</v>
      </c>
      <c r="D1045" s="3">
        <v>2706.9</v>
      </c>
      <c r="E1045" s="5">
        <v>3030.687</v>
      </c>
      <c r="F1045" s="4" t="s">
        <v>8</v>
      </c>
      <c r="G1045" s="3">
        <v>19.0</v>
      </c>
    </row>
    <row r="1046">
      <c r="A1046" s="3">
        <v>155.0</v>
      </c>
      <c r="B1046" s="5">
        <v>66.56892</v>
      </c>
      <c r="C1046" s="5">
        <v>52.62383</v>
      </c>
      <c r="D1046" s="5">
        <v>2707.467</v>
      </c>
      <c r="E1046" s="5">
        <v>3034.403</v>
      </c>
      <c r="F1046" s="4" t="s">
        <v>8</v>
      </c>
      <c r="G1046" s="3">
        <v>19.0</v>
      </c>
    </row>
    <row r="1047">
      <c r="A1047" s="3">
        <v>154.0</v>
      </c>
      <c r="B1047" s="5">
        <v>66.37154</v>
      </c>
      <c r="C1047" s="5">
        <v>52.50994</v>
      </c>
      <c r="D1047" s="3">
        <v>2711.3</v>
      </c>
      <c r="E1047" s="5">
        <v>3044.214</v>
      </c>
      <c r="F1047" s="4" t="s">
        <v>8</v>
      </c>
      <c r="G1047" s="3">
        <v>19.0</v>
      </c>
    </row>
    <row r="1048">
      <c r="A1048" s="3">
        <v>153.0</v>
      </c>
      <c r="B1048" s="5">
        <v>66.31743</v>
      </c>
      <c r="C1048" s="5">
        <v>52.17387</v>
      </c>
      <c r="D1048" s="5">
        <v>2712.567</v>
      </c>
      <c r="E1048" s="5">
        <v>3057.989</v>
      </c>
      <c r="F1048" s="4" t="s">
        <v>8</v>
      </c>
      <c r="G1048" s="3">
        <v>19.0</v>
      </c>
    </row>
    <row r="1049">
      <c r="A1049" s="3">
        <v>152.0</v>
      </c>
      <c r="B1049" s="5">
        <v>66.22743</v>
      </c>
      <c r="C1049" s="5">
        <v>51.92598</v>
      </c>
      <c r="D1049" s="3">
        <v>2715.0</v>
      </c>
      <c r="E1049" s="5">
        <v>3068.005</v>
      </c>
      <c r="F1049" s="4" t="s">
        <v>8</v>
      </c>
      <c r="G1049" s="3">
        <v>19.0</v>
      </c>
    </row>
    <row r="1050">
      <c r="A1050" s="3">
        <v>151.0</v>
      </c>
      <c r="B1050" s="5">
        <v>66.01954</v>
      </c>
      <c r="C1050" s="5">
        <v>51.85625</v>
      </c>
      <c r="D1050" s="5">
        <v>2716.967</v>
      </c>
      <c r="E1050" s="5">
        <v>3078.463</v>
      </c>
      <c r="F1050" s="4" t="s">
        <v>8</v>
      </c>
      <c r="G1050" s="3">
        <v>19.0</v>
      </c>
    </row>
    <row r="1051">
      <c r="A1051" s="3">
        <v>150.0</v>
      </c>
      <c r="B1051" s="5">
        <v>66.01954</v>
      </c>
      <c r="C1051" s="5">
        <v>51.88481</v>
      </c>
      <c r="D1051" s="5">
        <v>2716.967</v>
      </c>
      <c r="E1051" s="5">
        <v>3080.889</v>
      </c>
      <c r="F1051" s="4" t="s">
        <v>8</v>
      </c>
      <c r="G1051" s="3">
        <v>19.0</v>
      </c>
    </row>
    <row r="1052">
      <c r="A1052" s="3">
        <v>149.0</v>
      </c>
      <c r="B1052" s="5">
        <v>65.91539</v>
      </c>
      <c r="C1052" s="5">
        <v>51.34859</v>
      </c>
      <c r="D1052" s="5">
        <v>2720.267</v>
      </c>
      <c r="E1052" s="5">
        <v>3092.487</v>
      </c>
      <c r="F1052" s="4" t="s">
        <v>8</v>
      </c>
      <c r="G1052" s="3">
        <v>19.0</v>
      </c>
    </row>
    <row r="1053">
      <c r="A1053" s="3">
        <v>148.0</v>
      </c>
      <c r="B1053" s="5">
        <v>65.32242</v>
      </c>
      <c r="C1053" s="5">
        <v>51.2742</v>
      </c>
      <c r="D1053" s="5">
        <v>2727.467</v>
      </c>
      <c r="E1053" s="5">
        <v>3089.475</v>
      </c>
      <c r="F1053" s="4" t="s">
        <v>8</v>
      </c>
      <c r="G1053" s="3">
        <v>19.0</v>
      </c>
    </row>
    <row r="1054">
      <c r="A1054" s="3">
        <v>147.0</v>
      </c>
      <c r="B1054" s="5">
        <v>64.8444</v>
      </c>
      <c r="C1054" s="5">
        <v>51.54313</v>
      </c>
      <c r="D1054" s="5">
        <v>2737.233</v>
      </c>
      <c r="E1054" s="5">
        <v>3086.225</v>
      </c>
      <c r="F1054" s="4" t="s">
        <v>8</v>
      </c>
      <c r="G1054" s="3">
        <v>19.0</v>
      </c>
    </row>
    <row r="1055">
      <c r="A1055" s="3">
        <v>146.0</v>
      </c>
      <c r="B1055" s="5">
        <v>64.82218</v>
      </c>
      <c r="C1055" s="5">
        <v>51.02608</v>
      </c>
      <c r="D1055" s="3">
        <v>2737.7</v>
      </c>
      <c r="E1055" s="5">
        <v>3101.738</v>
      </c>
      <c r="F1055" s="4" t="s">
        <v>8</v>
      </c>
      <c r="G1055" s="3">
        <v>19.0</v>
      </c>
    </row>
    <row r="1056">
      <c r="A1056" s="3">
        <v>145.0</v>
      </c>
      <c r="B1056" s="5">
        <v>64.22958</v>
      </c>
      <c r="C1056" s="5">
        <v>50.76048</v>
      </c>
      <c r="D1056" s="5">
        <v>2741.567</v>
      </c>
      <c r="E1056" s="5">
        <v>3117.584</v>
      </c>
      <c r="F1056" s="4" t="s">
        <v>8</v>
      </c>
      <c r="G1056" s="3">
        <v>19.0</v>
      </c>
    </row>
    <row r="1057">
      <c r="A1057" s="3">
        <v>144.0</v>
      </c>
      <c r="B1057" s="5">
        <v>63.88679</v>
      </c>
      <c r="C1057" s="5">
        <v>50.17485</v>
      </c>
      <c r="D1057" s="5">
        <v>2750.667</v>
      </c>
      <c r="E1057" s="5">
        <v>3139.986</v>
      </c>
      <c r="F1057" s="4" t="s">
        <v>8</v>
      </c>
      <c r="G1057" s="3">
        <v>19.0</v>
      </c>
    </row>
    <row r="1058">
      <c r="A1058" s="3">
        <v>143.0</v>
      </c>
      <c r="B1058" s="5">
        <v>63.86307</v>
      </c>
      <c r="C1058" s="5">
        <v>49.65747</v>
      </c>
      <c r="D1058" s="3">
        <v>2751.5</v>
      </c>
      <c r="E1058" s="5">
        <v>3151.415</v>
      </c>
      <c r="F1058" s="4" t="s">
        <v>8</v>
      </c>
      <c r="G1058" s="3">
        <v>19.0</v>
      </c>
    </row>
    <row r="1059">
      <c r="A1059" s="3">
        <v>142.0</v>
      </c>
      <c r="B1059" s="5">
        <v>63.86307</v>
      </c>
      <c r="C1059" s="5">
        <v>49.06443</v>
      </c>
      <c r="D1059" s="3">
        <v>2751.5</v>
      </c>
      <c r="E1059" s="5">
        <v>3171.831</v>
      </c>
      <c r="F1059" s="4" t="s">
        <v>8</v>
      </c>
      <c r="G1059" s="3">
        <v>19.0</v>
      </c>
    </row>
    <row r="1060">
      <c r="A1060" s="3">
        <v>141.0</v>
      </c>
      <c r="B1060" s="5">
        <v>63.86307</v>
      </c>
      <c r="C1060" s="5">
        <v>48.766</v>
      </c>
      <c r="D1060" s="3">
        <v>2751.5</v>
      </c>
      <c r="E1060" s="3">
        <v>3186.27</v>
      </c>
      <c r="F1060" s="4" t="s">
        <v>8</v>
      </c>
      <c r="G1060" s="3">
        <v>19.0</v>
      </c>
    </row>
    <row r="1061">
      <c r="A1061" s="3">
        <v>140.0</v>
      </c>
      <c r="B1061" s="5">
        <v>63.43532</v>
      </c>
      <c r="C1061" s="5">
        <v>48.04657</v>
      </c>
      <c r="D1061" s="5">
        <v>2754.167</v>
      </c>
      <c r="E1061" s="3">
        <v>3210.07</v>
      </c>
      <c r="F1061" s="4" t="s">
        <v>8</v>
      </c>
      <c r="G1061" s="3">
        <v>19.0</v>
      </c>
    </row>
    <row r="1062">
      <c r="A1062" s="3">
        <v>139.0</v>
      </c>
      <c r="B1062" s="5">
        <v>62.7062</v>
      </c>
      <c r="C1062" s="5">
        <v>47.53189</v>
      </c>
      <c r="D1062" s="3">
        <v>2766.0</v>
      </c>
      <c r="E1062" s="5">
        <v>3233.172</v>
      </c>
      <c r="F1062" s="4" t="s">
        <v>8</v>
      </c>
      <c r="G1062" s="3">
        <v>19.0</v>
      </c>
    </row>
    <row r="1063">
      <c r="A1063" s="3">
        <v>138.0</v>
      </c>
      <c r="B1063" s="5">
        <v>62.15516</v>
      </c>
      <c r="C1063" s="5">
        <v>46.93583</v>
      </c>
      <c r="D1063" s="3">
        <v>2770.5</v>
      </c>
      <c r="E1063" s="5">
        <v>3259.754</v>
      </c>
      <c r="F1063" s="4" t="s">
        <v>8</v>
      </c>
      <c r="G1063" s="3">
        <v>19.0</v>
      </c>
    </row>
    <row r="1064">
      <c r="A1064" s="3">
        <v>137.0</v>
      </c>
      <c r="B1064" s="5">
        <v>61.59067</v>
      </c>
      <c r="C1064" s="5">
        <v>46.78638</v>
      </c>
      <c r="D1064" s="3">
        <v>2775.7</v>
      </c>
      <c r="E1064" s="5">
        <v>3274.862</v>
      </c>
      <c r="F1064" s="4" t="s">
        <v>8</v>
      </c>
      <c r="G1064" s="3">
        <v>19.0</v>
      </c>
    </row>
    <row r="1065">
      <c r="A1065" s="3">
        <v>136.0</v>
      </c>
      <c r="B1065" s="5">
        <v>61.03161</v>
      </c>
      <c r="C1065" s="5">
        <v>46.57856</v>
      </c>
      <c r="D1065" s="5">
        <v>2782.133</v>
      </c>
      <c r="E1065" s="5">
        <v>3294.599</v>
      </c>
      <c r="F1065" s="4" t="s">
        <v>8</v>
      </c>
      <c r="G1065" s="3">
        <v>19.0</v>
      </c>
    </row>
    <row r="1066">
      <c r="A1066" s="3">
        <v>135.0</v>
      </c>
      <c r="B1066" s="5">
        <v>60.49932</v>
      </c>
      <c r="C1066" s="5">
        <v>46.13026</v>
      </c>
      <c r="D1066" s="5">
        <v>2791.833</v>
      </c>
      <c r="E1066" s="5">
        <v>3317.401</v>
      </c>
      <c r="F1066" s="4" t="s">
        <v>8</v>
      </c>
      <c r="G1066" s="3">
        <v>19.0</v>
      </c>
    </row>
    <row r="1067">
      <c r="A1067" s="3">
        <v>134.0</v>
      </c>
      <c r="B1067" s="5">
        <v>60.49932</v>
      </c>
      <c r="C1067" s="5">
        <v>46.0468</v>
      </c>
      <c r="D1067" s="5">
        <v>2791.833</v>
      </c>
      <c r="E1067" s="5">
        <v>3333.553</v>
      </c>
      <c r="F1067" s="4" t="s">
        <v>8</v>
      </c>
      <c r="G1067" s="3">
        <v>19.0</v>
      </c>
    </row>
    <row r="1068">
      <c r="A1068" s="3">
        <v>133.0</v>
      </c>
      <c r="B1068" s="5">
        <v>60.01839</v>
      </c>
      <c r="C1068" s="5">
        <v>45.89045</v>
      </c>
      <c r="D1068" s="5">
        <v>2797.467</v>
      </c>
      <c r="E1068" s="5">
        <v>3346.165</v>
      </c>
      <c r="F1068" s="4" t="s">
        <v>8</v>
      </c>
      <c r="G1068" s="3">
        <v>19.0</v>
      </c>
    </row>
    <row r="1069">
      <c r="A1069" s="3">
        <v>132.0</v>
      </c>
      <c r="B1069" s="5">
        <v>59.58149</v>
      </c>
      <c r="C1069" s="5">
        <v>45.24493</v>
      </c>
      <c r="D1069" s="5">
        <v>2806.067</v>
      </c>
      <c r="E1069" s="5">
        <v>3375.919</v>
      </c>
      <c r="F1069" s="4" t="s">
        <v>8</v>
      </c>
      <c r="G1069" s="3">
        <v>19.0</v>
      </c>
    </row>
    <row r="1070">
      <c r="A1070" s="3">
        <v>131.0</v>
      </c>
      <c r="B1070" s="5">
        <v>59.58149</v>
      </c>
      <c r="C1070" s="5">
        <v>45.03392</v>
      </c>
      <c r="D1070" s="5">
        <v>2806.067</v>
      </c>
      <c r="E1070" s="5">
        <v>3395.105</v>
      </c>
      <c r="F1070" s="4" t="s">
        <v>8</v>
      </c>
      <c r="G1070" s="3">
        <v>19.0</v>
      </c>
    </row>
    <row r="1071">
      <c r="A1071" s="3">
        <v>130.0</v>
      </c>
      <c r="B1071" s="5">
        <v>59.02733</v>
      </c>
      <c r="C1071" s="5">
        <v>44.61733</v>
      </c>
      <c r="D1071" s="5">
        <v>2822.633</v>
      </c>
      <c r="E1071" s="5">
        <v>3411.145</v>
      </c>
      <c r="F1071" s="4" t="s">
        <v>8</v>
      </c>
      <c r="G1071" s="3">
        <v>19.0</v>
      </c>
    </row>
    <row r="1072">
      <c r="A1072" s="3">
        <v>129.0</v>
      </c>
      <c r="B1072" s="5">
        <v>59.02733</v>
      </c>
      <c r="C1072" s="5">
        <v>44.40957</v>
      </c>
      <c r="D1072" s="5">
        <v>2822.633</v>
      </c>
      <c r="E1072" s="5">
        <v>3425.233</v>
      </c>
      <c r="F1072" s="4" t="s">
        <v>8</v>
      </c>
      <c r="G1072" s="3">
        <v>19.0</v>
      </c>
    </row>
    <row r="1073">
      <c r="A1073" s="3">
        <v>128.0</v>
      </c>
      <c r="B1073" s="5">
        <v>58.87665</v>
      </c>
      <c r="C1073" s="5">
        <v>44.04935</v>
      </c>
      <c r="D1073" s="5">
        <v>2828.267</v>
      </c>
      <c r="E1073" s="5">
        <v>3443.656</v>
      </c>
      <c r="F1073" s="4" t="s">
        <v>8</v>
      </c>
      <c r="G1073" s="3">
        <v>19.0</v>
      </c>
    </row>
    <row r="1074">
      <c r="A1074" s="3">
        <v>127.0</v>
      </c>
      <c r="B1074" s="5">
        <v>58.42866</v>
      </c>
      <c r="C1074" s="5">
        <v>43.39123</v>
      </c>
      <c r="D1074" s="5">
        <v>2843.933</v>
      </c>
      <c r="E1074" s="5">
        <v>3462.755</v>
      </c>
      <c r="F1074" s="4" t="s">
        <v>8</v>
      </c>
      <c r="G1074" s="3">
        <v>19.0</v>
      </c>
    </row>
    <row r="1075">
      <c r="A1075" s="3">
        <v>126.0</v>
      </c>
      <c r="B1075" s="5">
        <v>58.37602</v>
      </c>
      <c r="C1075" s="5">
        <v>42.87983</v>
      </c>
      <c r="D1075" s="5">
        <v>2846.667</v>
      </c>
      <c r="E1075" s="5">
        <v>3482.772</v>
      </c>
      <c r="F1075" s="4" t="s">
        <v>8</v>
      </c>
      <c r="G1075" s="3">
        <v>19.0</v>
      </c>
    </row>
    <row r="1076">
      <c r="A1076" s="3">
        <v>125.0</v>
      </c>
      <c r="B1076" s="5">
        <v>58.24306</v>
      </c>
      <c r="C1076" s="5">
        <v>42.5258</v>
      </c>
      <c r="D1076" s="5">
        <v>2853.233</v>
      </c>
      <c r="E1076" s="5">
        <v>3500.561</v>
      </c>
      <c r="F1076" s="4" t="s">
        <v>8</v>
      </c>
      <c r="G1076" s="3">
        <v>19.0</v>
      </c>
    </row>
    <row r="1077">
      <c r="A1077" s="3">
        <v>124.0</v>
      </c>
      <c r="B1077" s="5">
        <v>57.92922</v>
      </c>
      <c r="C1077" s="5">
        <v>42.30561</v>
      </c>
      <c r="D1077" s="5">
        <v>2855.133</v>
      </c>
      <c r="E1077" s="5">
        <v>3517.938</v>
      </c>
      <c r="F1077" s="4" t="s">
        <v>8</v>
      </c>
      <c r="G1077" s="3">
        <v>19.0</v>
      </c>
    </row>
    <row r="1078">
      <c r="A1078" s="3">
        <v>123.0</v>
      </c>
      <c r="B1078" s="5">
        <v>57.92922</v>
      </c>
      <c r="C1078" s="5">
        <v>41.67705</v>
      </c>
      <c r="D1078" s="5">
        <v>2855.133</v>
      </c>
      <c r="E1078" s="5">
        <v>3536.844</v>
      </c>
      <c r="F1078" s="4" t="s">
        <v>8</v>
      </c>
      <c r="G1078" s="3">
        <v>19.0</v>
      </c>
    </row>
    <row r="1079">
      <c r="A1079" s="3">
        <v>122.0</v>
      </c>
      <c r="B1079" s="5">
        <v>57.51239</v>
      </c>
      <c r="C1079" s="5">
        <v>41.36983</v>
      </c>
      <c r="D1079" s="5">
        <v>2859.367</v>
      </c>
      <c r="E1079" s="5">
        <v>3553.496</v>
      </c>
      <c r="F1079" s="4" t="s">
        <v>8</v>
      </c>
      <c r="G1079" s="3">
        <v>19.0</v>
      </c>
    </row>
    <row r="1080">
      <c r="A1080" s="3">
        <v>121.0</v>
      </c>
      <c r="B1080" s="5">
        <v>56.84611</v>
      </c>
      <c r="C1080" s="5">
        <v>40.71224</v>
      </c>
      <c r="D1080" s="5">
        <v>2872.767</v>
      </c>
      <c r="E1080" s="5">
        <v>3582.802</v>
      </c>
      <c r="F1080" s="4" t="s">
        <v>8</v>
      </c>
      <c r="G1080" s="3">
        <v>19.0</v>
      </c>
    </row>
    <row r="1081">
      <c r="A1081" s="3">
        <v>120.0</v>
      </c>
      <c r="B1081" s="5">
        <v>56.79361</v>
      </c>
      <c r="C1081" s="5">
        <v>40.25728</v>
      </c>
      <c r="D1081" s="3">
        <v>2874.3</v>
      </c>
      <c r="E1081" s="5">
        <v>3596.273</v>
      </c>
      <c r="F1081" s="4" t="s">
        <v>8</v>
      </c>
      <c r="G1081" s="3">
        <v>19.0</v>
      </c>
    </row>
    <row r="1082">
      <c r="A1082" s="3">
        <v>119.0</v>
      </c>
      <c r="B1082" s="5">
        <v>56.49349</v>
      </c>
      <c r="C1082" s="5">
        <v>39.84666</v>
      </c>
      <c r="D1082" s="3">
        <v>2878.5</v>
      </c>
      <c r="E1082" s="5">
        <v>3609.616</v>
      </c>
      <c r="F1082" s="4" t="s">
        <v>8</v>
      </c>
      <c r="G1082" s="3">
        <v>19.0</v>
      </c>
    </row>
    <row r="1083">
      <c r="A1083" s="3">
        <v>118.0</v>
      </c>
      <c r="B1083" s="5">
        <v>55.64161</v>
      </c>
      <c r="C1083" s="5">
        <v>39.09656</v>
      </c>
      <c r="D1083" s="5">
        <v>2887.267</v>
      </c>
      <c r="E1083" s="5">
        <v>3635.942</v>
      </c>
      <c r="F1083" s="4" t="s">
        <v>8</v>
      </c>
      <c r="G1083" s="3">
        <v>19.0</v>
      </c>
    </row>
    <row r="1084">
      <c r="A1084" s="3">
        <v>117.0</v>
      </c>
      <c r="B1084" s="5">
        <v>55.30577</v>
      </c>
      <c r="C1084" s="5">
        <v>38.13175</v>
      </c>
      <c r="D1084" s="3">
        <v>2892.8</v>
      </c>
      <c r="E1084" s="5">
        <v>3677.578</v>
      </c>
      <c r="F1084" s="4" t="s">
        <v>8</v>
      </c>
      <c r="G1084" s="3">
        <v>19.0</v>
      </c>
    </row>
    <row r="1085">
      <c r="A1085" s="3">
        <v>116.0</v>
      </c>
      <c r="B1085" s="5">
        <v>55.09159</v>
      </c>
      <c r="C1085" s="5">
        <v>37.56984</v>
      </c>
      <c r="D1085" s="3">
        <v>2897.1</v>
      </c>
      <c r="E1085" s="3">
        <v>3707.03</v>
      </c>
      <c r="F1085" s="4" t="s">
        <v>8</v>
      </c>
      <c r="G1085" s="3">
        <v>19.0</v>
      </c>
    </row>
    <row r="1086">
      <c r="A1086" s="3">
        <v>115.0</v>
      </c>
      <c r="B1086" s="5">
        <v>54.54092</v>
      </c>
      <c r="C1086" s="5">
        <v>36.73395</v>
      </c>
      <c r="D1086" s="5">
        <v>2913.633</v>
      </c>
      <c r="E1086" s="5">
        <v>3738.928</v>
      </c>
      <c r="F1086" s="4" t="s">
        <v>8</v>
      </c>
      <c r="G1086" s="3">
        <v>19.0</v>
      </c>
    </row>
    <row r="1087">
      <c r="A1087" s="3">
        <v>114.0</v>
      </c>
      <c r="B1087" s="5">
        <v>54.51948</v>
      </c>
      <c r="C1087" s="5">
        <v>35.60337</v>
      </c>
      <c r="D1087" s="5">
        <v>2914.967</v>
      </c>
      <c r="E1087" s="5">
        <v>3772.676</v>
      </c>
      <c r="F1087" s="4" t="s">
        <v>8</v>
      </c>
      <c r="G1087" s="3">
        <v>19.0</v>
      </c>
    </row>
    <row r="1088">
      <c r="A1088" s="3">
        <v>113.0</v>
      </c>
      <c r="B1088" s="5">
        <v>53.37755</v>
      </c>
      <c r="C1088" s="5">
        <v>34.56695</v>
      </c>
      <c r="D1088" s="5">
        <v>2927.167</v>
      </c>
      <c r="E1088" s="5">
        <v>3814.372</v>
      </c>
      <c r="F1088" s="4" t="s">
        <v>8</v>
      </c>
      <c r="G1088" s="3">
        <v>19.0</v>
      </c>
    </row>
    <row r="1089">
      <c r="A1089" s="3">
        <v>112.0</v>
      </c>
      <c r="B1089" s="5">
        <v>52.47229</v>
      </c>
      <c r="C1089" s="5">
        <v>33.61904</v>
      </c>
      <c r="D1089" s="5">
        <v>2948.667</v>
      </c>
      <c r="E1089" s="3">
        <v>3843.48</v>
      </c>
      <c r="F1089" s="4" t="s">
        <v>8</v>
      </c>
      <c r="G1089" s="3">
        <v>19.0</v>
      </c>
    </row>
    <row r="1090">
      <c r="A1090" s="3">
        <v>111.0</v>
      </c>
      <c r="B1090" s="5">
        <v>52.00975</v>
      </c>
      <c r="C1090" s="5">
        <v>32.6422</v>
      </c>
      <c r="D1090" s="5">
        <v>2963.233</v>
      </c>
      <c r="E1090" s="5">
        <v>3882.253</v>
      </c>
      <c r="F1090" s="4" t="s">
        <v>8</v>
      </c>
      <c r="G1090" s="3">
        <v>19.0</v>
      </c>
    </row>
    <row r="1091">
      <c r="A1091" s="3">
        <v>110.0</v>
      </c>
      <c r="B1091" s="5">
        <v>51.40207</v>
      </c>
      <c r="C1091" s="5">
        <v>31.69459</v>
      </c>
      <c r="D1091" s="5">
        <v>2975.167</v>
      </c>
      <c r="E1091" s="5">
        <v>3917.868</v>
      </c>
      <c r="F1091" s="4" t="s">
        <v>8</v>
      </c>
      <c r="G1091" s="3">
        <v>19.0</v>
      </c>
    </row>
    <row r="1092">
      <c r="A1092" s="3">
        <v>109.0</v>
      </c>
      <c r="B1092" s="5">
        <v>51.19002</v>
      </c>
      <c r="C1092" s="5">
        <v>30.85209</v>
      </c>
      <c r="D1092" s="3">
        <v>2979.6</v>
      </c>
      <c r="E1092" s="5">
        <v>3957.589</v>
      </c>
      <c r="F1092" s="4" t="s">
        <v>8</v>
      </c>
      <c r="G1092" s="3">
        <v>19.0</v>
      </c>
    </row>
    <row r="1093">
      <c r="A1093" s="3">
        <v>108.0</v>
      </c>
      <c r="B1093" s="5">
        <v>50.4415</v>
      </c>
      <c r="C1093" s="5">
        <v>29.93363</v>
      </c>
      <c r="D1093" s="5">
        <v>2992.367</v>
      </c>
      <c r="E1093" s="5">
        <v>4004.973</v>
      </c>
      <c r="F1093" s="4" t="s">
        <v>8</v>
      </c>
      <c r="G1093" s="3">
        <v>19.0</v>
      </c>
    </row>
    <row r="1094">
      <c r="A1094" s="3">
        <v>107.0</v>
      </c>
      <c r="B1094" s="5">
        <v>49.97523</v>
      </c>
      <c r="C1094" s="5">
        <v>29.02479</v>
      </c>
      <c r="D1094" s="5">
        <v>3003.733</v>
      </c>
      <c r="E1094" s="5">
        <v>4067.799</v>
      </c>
      <c r="F1094" s="4" t="s">
        <v>8</v>
      </c>
      <c r="G1094" s="3">
        <v>19.0</v>
      </c>
    </row>
    <row r="1095">
      <c r="A1095" s="3">
        <v>106.0</v>
      </c>
      <c r="B1095" s="5">
        <v>47.65287</v>
      </c>
      <c r="C1095" s="5">
        <v>28.05893</v>
      </c>
      <c r="D1095" s="5">
        <v>3032.033</v>
      </c>
      <c r="E1095" s="5">
        <v>4124.461</v>
      </c>
      <c r="F1095" s="4" t="s">
        <v>8</v>
      </c>
      <c r="G1095" s="3">
        <v>19.0</v>
      </c>
    </row>
    <row r="1096">
      <c r="A1096" s="3">
        <v>105.0</v>
      </c>
      <c r="B1096" s="5">
        <v>47.03881</v>
      </c>
      <c r="C1096" s="5">
        <v>27.21325</v>
      </c>
      <c r="D1096" s="3">
        <v>3045.6</v>
      </c>
      <c r="E1096" s="5">
        <v>4175.231</v>
      </c>
      <c r="F1096" s="4" t="s">
        <v>8</v>
      </c>
      <c r="G1096" s="3">
        <v>19.0</v>
      </c>
    </row>
    <row r="1097">
      <c r="A1097" s="3">
        <v>104.0</v>
      </c>
      <c r="B1097" s="5">
        <v>45.76103</v>
      </c>
      <c r="C1097" s="5">
        <v>26.25667</v>
      </c>
      <c r="D1097" s="3">
        <v>3073.5</v>
      </c>
      <c r="E1097" s="5">
        <v>4232.959</v>
      </c>
      <c r="F1097" s="4" t="s">
        <v>8</v>
      </c>
      <c r="G1097" s="3">
        <v>19.0</v>
      </c>
    </row>
    <row r="1098">
      <c r="A1098" s="3">
        <v>103.0</v>
      </c>
      <c r="B1098" s="5">
        <v>45.03315</v>
      </c>
      <c r="C1098" s="5">
        <v>25.44102</v>
      </c>
      <c r="D1098" s="3">
        <v>3088.0</v>
      </c>
      <c r="E1098" s="3">
        <v>4283.22</v>
      </c>
      <c r="F1098" s="4" t="s">
        <v>8</v>
      </c>
      <c r="G1098" s="3">
        <v>19.0</v>
      </c>
    </row>
    <row r="1099">
      <c r="A1099" s="3">
        <v>102.0</v>
      </c>
      <c r="B1099" s="5">
        <v>44.24231</v>
      </c>
      <c r="C1099" s="5">
        <v>24.94741</v>
      </c>
      <c r="D1099" s="5">
        <v>3101.133</v>
      </c>
      <c r="E1099" s="5">
        <v>4334.251</v>
      </c>
      <c r="F1099" s="4" t="s">
        <v>8</v>
      </c>
      <c r="G1099" s="3">
        <v>19.0</v>
      </c>
    </row>
    <row r="1100">
      <c r="A1100" s="3">
        <v>101.0</v>
      </c>
      <c r="B1100" s="5">
        <v>42.7711</v>
      </c>
      <c r="C1100" s="5">
        <v>24.24034</v>
      </c>
      <c r="D1100" s="5">
        <v>3120.267</v>
      </c>
      <c r="E1100" s="5">
        <v>4379.375</v>
      </c>
      <c r="F1100" s="4" t="s">
        <v>8</v>
      </c>
      <c r="G1100" s="3">
        <v>19.0</v>
      </c>
    </row>
    <row r="1101">
      <c r="A1101" s="3">
        <v>100.0</v>
      </c>
      <c r="B1101" s="5">
        <v>41.67348</v>
      </c>
      <c r="C1101" s="5">
        <v>23.51406</v>
      </c>
      <c r="D1101" s="3">
        <v>3144.2</v>
      </c>
      <c r="E1101" s="5">
        <v>4443.167</v>
      </c>
      <c r="F1101" s="4" t="s">
        <v>8</v>
      </c>
      <c r="G1101" s="3">
        <v>19.0</v>
      </c>
    </row>
    <row r="1102">
      <c r="A1102" s="3">
        <v>99.0</v>
      </c>
      <c r="B1102" s="5">
        <v>40.97689</v>
      </c>
      <c r="C1102" s="5">
        <v>22.63048</v>
      </c>
      <c r="D1102" s="5">
        <v>3167.233</v>
      </c>
      <c r="E1102" s="5">
        <v>4488.384</v>
      </c>
      <c r="F1102" s="4" t="s">
        <v>8</v>
      </c>
      <c r="G1102" s="3">
        <v>19.0</v>
      </c>
    </row>
    <row r="1103">
      <c r="A1103" s="3">
        <v>98.0</v>
      </c>
      <c r="B1103" s="5">
        <v>40.84681</v>
      </c>
      <c r="C1103" s="5">
        <v>21.96185</v>
      </c>
      <c r="D1103" s="3">
        <v>3169.0</v>
      </c>
      <c r="E1103" s="5">
        <v>4553.697</v>
      </c>
      <c r="F1103" s="4" t="s">
        <v>8</v>
      </c>
      <c r="G1103" s="3">
        <v>19.0</v>
      </c>
    </row>
    <row r="1104">
      <c r="A1104" s="3">
        <v>97.0</v>
      </c>
      <c r="B1104" s="5">
        <v>38.85784</v>
      </c>
      <c r="C1104" s="5">
        <v>21.1616</v>
      </c>
      <c r="D1104" s="3">
        <v>3201.3</v>
      </c>
      <c r="E1104" s="5">
        <v>4612.308</v>
      </c>
      <c r="F1104" s="4" t="s">
        <v>8</v>
      </c>
      <c r="G1104" s="3">
        <v>19.0</v>
      </c>
    </row>
    <row r="1105">
      <c r="A1105" s="3">
        <v>96.0</v>
      </c>
      <c r="B1105" s="5">
        <v>38.33509</v>
      </c>
      <c r="C1105" s="5">
        <v>20.45917</v>
      </c>
      <c r="D1105" s="5">
        <v>3224.933</v>
      </c>
      <c r="E1105" s="5">
        <v>4690.089</v>
      </c>
      <c r="F1105" s="4" t="s">
        <v>8</v>
      </c>
      <c r="G1105" s="3">
        <v>19.0</v>
      </c>
    </row>
    <row r="1106">
      <c r="A1106" s="3">
        <v>95.0</v>
      </c>
      <c r="B1106" s="5">
        <v>37.3729</v>
      </c>
      <c r="C1106" s="5">
        <v>19.90765</v>
      </c>
      <c r="D1106" s="3">
        <v>3245.5</v>
      </c>
      <c r="E1106" s="5">
        <v>4741.134</v>
      </c>
      <c r="F1106" s="4" t="s">
        <v>8</v>
      </c>
      <c r="G1106" s="3">
        <v>19.0</v>
      </c>
    </row>
    <row r="1107">
      <c r="A1107" s="3">
        <v>94.0</v>
      </c>
      <c r="B1107" s="5">
        <v>35.67661</v>
      </c>
      <c r="C1107" s="5">
        <v>19.27607</v>
      </c>
      <c r="D1107" s="3">
        <v>3295.5</v>
      </c>
      <c r="E1107" s="5">
        <v>4799.714</v>
      </c>
      <c r="F1107" s="4" t="s">
        <v>8</v>
      </c>
      <c r="G1107" s="3">
        <v>19.0</v>
      </c>
    </row>
    <row r="1108">
      <c r="A1108" s="3">
        <v>93.0</v>
      </c>
      <c r="B1108" s="5">
        <v>35.01668</v>
      </c>
      <c r="C1108" s="5">
        <v>18.81238</v>
      </c>
      <c r="D1108" s="5">
        <v>3309.767</v>
      </c>
      <c r="E1108" s="5">
        <v>4853.015</v>
      </c>
      <c r="F1108" s="4" t="s">
        <v>8</v>
      </c>
      <c r="G1108" s="3">
        <v>19.0</v>
      </c>
    </row>
    <row r="1109">
      <c r="A1109" s="3">
        <v>92.0</v>
      </c>
      <c r="B1109" s="5">
        <v>34.86809</v>
      </c>
      <c r="C1109" s="5">
        <v>18.24982</v>
      </c>
      <c r="D1109" s="3">
        <v>3316.1</v>
      </c>
      <c r="E1109" s="5">
        <v>4904.628</v>
      </c>
      <c r="F1109" s="4" t="s">
        <v>8</v>
      </c>
      <c r="G1109" s="3">
        <v>19.0</v>
      </c>
    </row>
    <row r="1110">
      <c r="A1110" s="3">
        <v>91.0</v>
      </c>
      <c r="B1110" s="5">
        <v>34.62699</v>
      </c>
      <c r="C1110" s="5">
        <v>17.65492</v>
      </c>
      <c r="D1110" s="5">
        <v>3326.067</v>
      </c>
      <c r="E1110" s="5">
        <v>4966.006</v>
      </c>
      <c r="F1110" s="4" t="s">
        <v>8</v>
      </c>
      <c r="G1110" s="3">
        <v>19.0</v>
      </c>
    </row>
    <row r="1111">
      <c r="A1111" s="3">
        <v>90.0</v>
      </c>
      <c r="B1111" s="5">
        <v>34.23268</v>
      </c>
      <c r="C1111" s="5">
        <v>17.07585</v>
      </c>
      <c r="D1111" s="5">
        <v>3343.967</v>
      </c>
      <c r="E1111" s="5">
        <v>5009.833</v>
      </c>
      <c r="F1111" s="4" t="s">
        <v>8</v>
      </c>
      <c r="G1111" s="3">
        <v>19.0</v>
      </c>
    </row>
    <row r="1112">
      <c r="A1112" s="3">
        <v>89.0</v>
      </c>
      <c r="B1112" s="5">
        <v>33.34302</v>
      </c>
      <c r="C1112" s="5">
        <v>16.51491</v>
      </c>
      <c r="D1112" s="5">
        <v>3370.467</v>
      </c>
      <c r="E1112" s="5">
        <v>5042.993</v>
      </c>
      <c r="F1112" s="4" t="s">
        <v>8</v>
      </c>
      <c r="G1112" s="3">
        <v>19.0</v>
      </c>
    </row>
    <row r="1113">
      <c r="A1113" s="3">
        <v>88.0</v>
      </c>
      <c r="B1113" s="5">
        <v>32.14183</v>
      </c>
      <c r="C1113" s="5">
        <v>16.10102</v>
      </c>
      <c r="D1113" s="5">
        <v>3394.767</v>
      </c>
      <c r="E1113" s="5">
        <v>5092.035</v>
      </c>
      <c r="F1113" s="4" t="s">
        <v>8</v>
      </c>
      <c r="G1113" s="3">
        <v>19.0</v>
      </c>
    </row>
    <row r="1114">
      <c r="A1114" s="3">
        <v>87.0</v>
      </c>
      <c r="B1114" s="5">
        <v>31.8275</v>
      </c>
      <c r="C1114" s="5">
        <v>15.54434</v>
      </c>
      <c r="D1114" s="3">
        <v>3416.0</v>
      </c>
      <c r="E1114" s="3">
        <v>5139.57</v>
      </c>
      <c r="F1114" s="4" t="s">
        <v>8</v>
      </c>
      <c r="G1114" s="3">
        <v>19.0</v>
      </c>
    </row>
    <row r="1115">
      <c r="A1115" s="3">
        <v>86.0</v>
      </c>
      <c r="B1115" s="5">
        <v>31.12533</v>
      </c>
      <c r="C1115" s="5">
        <v>15.17293</v>
      </c>
      <c r="D1115" s="5">
        <v>3444.133</v>
      </c>
      <c r="E1115" s="5">
        <v>5172.262</v>
      </c>
      <c r="F1115" s="4" t="s">
        <v>8</v>
      </c>
      <c r="G1115" s="3">
        <v>19.0</v>
      </c>
    </row>
    <row r="1116">
      <c r="A1116" s="3">
        <v>85.0</v>
      </c>
      <c r="B1116" s="5">
        <v>29.60533</v>
      </c>
      <c r="C1116" s="5">
        <v>14.73756</v>
      </c>
      <c r="D1116" s="5">
        <v>3473.633</v>
      </c>
      <c r="E1116" s="3">
        <v>5225.51</v>
      </c>
      <c r="F1116" s="4" t="s">
        <v>8</v>
      </c>
      <c r="G1116" s="3">
        <v>19.0</v>
      </c>
    </row>
    <row r="1117">
      <c r="A1117" s="3">
        <v>84.0</v>
      </c>
      <c r="B1117" s="5">
        <v>28.72575</v>
      </c>
      <c r="C1117" s="5">
        <v>14.43282</v>
      </c>
      <c r="D1117" s="5">
        <v>3509.633</v>
      </c>
      <c r="E1117" s="5">
        <v>5258.564</v>
      </c>
      <c r="F1117" s="4" t="s">
        <v>8</v>
      </c>
      <c r="G1117" s="3">
        <v>19.0</v>
      </c>
    </row>
    <row r="1118">
      <c r="A1118" s="3">
        <v>83.0</v>
      </c>
      <c r="B1118" s="5">
        <v>27.83767</v>
      </c>
      <c r="C1118" s="5">
        <v>14.1765</v>
      </c>
      <c r="D1118" s="5">
        <v>3547.533</v>
      </c>
      <c r="E1118" s="3">
        <v>5289.87</v>
      </c>
      <c r="F1118" s="4" t="s">
        <v>8</v>
      </c>
      <c r="G1118" s="3">
        <v>19.0</v>
      </c>
    </row>
    <row r="1119">
      <c r="A1119" s="3">
        <v>82.0</v>
      </c>
      <c r="B1119" s="5">
        <v>27.58622</v>
      </c>
      <c r="C1119" s="5">
        <v>13.96118</v>
      </c>
      <c r="D1119" s="5">
        <v>3550.667</v>
      </c>
      <c r="E1119" s="5">
        <v>5317.546</v>
      </c>
      <c r="F1119" s="4" t="s">
        <v>8</v>
      </c>
      <c r="G1119" s="3">
        <v>19.0</v>
      </c>
    </row>
    <row r="1120">
      <c r="A1120" s="3">
        <v>81.0</v>
      </c>
      <c r="B1120" s="5">
        <v>27.06729</v>
      </c>
      <c r="C1120" s="5">
        <v>13.73112</v>
      </c>
      <c r="D1120" s="5">
        <v>3560.967</v>
      </c>
      <c r="E1120" s="3">
        <v>5348.88</v>
      </c>
      <c r="F1120" s="4" t="s">
        <v>8</v>
      </c>
      <c r="G1120" s="3">
        <v>19.0</v>
      </c>
    </row>
    <row r="1121">
      <c r="A1121" s="3">
        <v>80.0</v>
      </c>
      <c r="B1121" s="5">
        <v>26.97074</v>
      </c>
      <c r="C1121" s="5">
        <v>13.48317</v>
      </c>
      <c r="D1121" s="3">
        <v>3566.3</v>
      </c>
      <c r="E1121" s="5">
        <v>5384.335</v>
      </c>
      <c r="F1121" s="4" t="s">
        <v>8</v>
      </c>
      <c r="G1121" s="3">
        <v>19.0</v>
      </c>
    </row>
    <row r="1122">
      <c r="A1122" s="3">
        <v>79.0</v>
      </c>
      <c r="B1122" s="5">
        <v>26.09888</v>
      </c>
      <c r="C1122" s="5">
        <v>13.24982</v>
      </c>
      <c r="D1122" s="5">
        <v>3596.467</v>
      </c>
      <c r="E1122" s="5">
        <v>5406.371</v>
      </c>
      <c r="F1122" s="4" t="s">
        <v>8</v>
      </c>
      <c r="G1122" s="3">
        <v>19.0</v>
      </c>
    </row>
    <row r="1123">
      <c r="A1123" s="3">
        <v>78.0</v>
      </c>
      <c r="B1123" s="5">
        <v>25.70588</v>
      </c>
      <c r="C1123" s="5">
        <v>12.88201</v>
      </c>
      <c r="D1123" s="3">
        <v>3609.0</v>
      </c>
      <c r="E1123" s="5">
        <v>5457.997</v>
      </c>
      <c r="F1123" s="4" t="s">
        <v>8</v>
      </c>
      <c r="G1123" s="3">
        <v>19.0</v>
      </c>
    </row>
    <row r="1124">
      <c r="A1124" s="3">
        <v>77.0</v>
      </c>
      <c r="B1124" s="5">
        <v>24.96909</v>
      </c>
      <c r="C1124" s="5">
        <v>12.58384</v>
      </c>
      <c r="D1124" s="5">
        <v>3644.533</v>
      </c>
      <c r="E1124" s="5">
        <v>5505.577</v>
      </c>
      <c r="F1124" s="4" t="s">
        <v>8</v>
      </c>
      <c r="G1124" s="3">
        <v>19.0</v>
      </c>
    </row>
    <row r="1125">
      <c r="A1125" s="3">
        <v>76.0</v>
      </c>
      <c r="B1125" s="5">
        <v>24.85136</v>
      </c>
      <c r="C1125" s="5">
        <v>12.29959</v>
      </c>
      <c r="D1125" s="5">
        <v>3652.867</v>
      </c>
      <c r="E1125" s="5">
        <v>5537.999</v>
      </c>
      <c r="F1125" s="4" t="s">
        <v>8</v>
      </c>
      <c r="G1125" s="3">
        <v>19.0</v>
      </c>
    </row>
    <row r="1126">
      <c r="A1126" s="3">
        <v>75.0</v>
      </c>
      <c r="B1126" s="5">
        <v>24.6581</v>
      </c>
      <c r="C1126" s="5">
        <v>11.98654</v>
      </c>
      <c r="D1126" s="3">
        <v>3663.9</v>
      </c>
      <c r="E1126" s="5">
        <v>5587.077</v>
      </c>
      <c r="F1126" s="4" t="s">
        <v>8</v>
      </c>
      <c r="G1126" s="3">
        <v>19.0</v>
      </c>
    </row>
    <row r="1127">
      <c r="A1127" s="3">
        <v>74.0</v>
      </c>
      <c r="B1127" s="5">
        <v>24.36623</v>
      </c>
      <c r="C1127" s="5">
        <v>11.65804</v>
      </c>
      <c r="D1127" s="5">
        <v>3682.133</v>
      </c>
      <c r="E1127" s="5">
        <v>5639.635</v>
      </c>
      <c r="F1127" s="4" t="s">
        <v>8</v>
      </c>
      <c r="G1127" s="3">
        <v>19.0</v>
      </c>
    </row>
    <row r="1128">
      <c r="A1128" s="3">
        <v>73.0</v>
      </c>
      <c r="B1128" s="5">
        <v>23.95441</v>
      </c>
      <c r="C1128" s="5">
        <v>11.32916</v>
      </c>
      <c r="D1128" s="5">
        <v>3702.933</v>
      </c>
      <c r="E1128" s="5">
        <v>5686.215</v>
      </c>
      <c r="F1128" s="4" t="s">
        <v>8</v>
      </c>
      <c r="G1128" s="3">
        <v>19.0</v>
      </c>
    </row>
    <row r="1129">
      <c r="A1129" s="3">
        <v>72.0</v>
      </c>
      <c r="B1129" s="5">
        <v>23.81483</v>
      </c>
      <c r="C1129" s="5">
        <v>11.06647</v>
      </c>
      <c r="D1129" s="5">
        <v>3708.467</v>
      </c>
      <c r="E1129" s="5">
        <v>5729.716</v>
      </c>
      <c r="F1129" s="4" t="s">
        <v>8</v>
      </c>
      <c r="G1129" s="3">
        <v>19.0</v>
      </c>
    </row>
    <row r="1130">
      <c r="A1130" s="3">
        <v>71.0</v>
      </c>
      <c r="B1130" s="5">
        <v>23.49057</v>
      </c>
      <c r="C1130" s="5">
        <v>10.74177</v>
      </c>
      <c r="D1130" s="5">
        <v>3740.133</v>
      </c>
      <c r="E1130" s="5">
        <v>5777.529</v>
      </c>
      <c r="F1130" s="4" t="s">
        <v>8</v>
      </c>
      <c r="G1130" s="3">
        <v>19.0</v>
      </c>
    </row>
    <row r="1131">
      <c r="A1131" s="3">
        <v>70.0</v>
      </c>
      <c r="B1131" s="5">
        <v>23.29669</v>
      </c>
      <c r="C1131" s="5">
        <v>10.33737</v>
      </c>
      <c r="D1131" s="3">
        <v>3746.2</v>
      </c>
      <c r="E1131" s="5">
        <v>5828.541</v>
      </c>
      <c r="F1131" s="4" t="s">
        <v>8</v>
      </c>
      <c r="G1131" s="3">
        <v>19.0</v>
      </c>
    </row>
    <row r="1132">
      <c r="A1132" s="3">
        <v>69.0</v>
      </c>
      <c r="B1132" s="5">
        <v>22.81551</v>
      </c>
      <c r="C1132" s="5">
        <v>9.894036</v>
      </c>
      <c r="D1132" s="3">
        <v>3766.9</v>
      </c>
      <c r="E1132" s="5">
        <v>5868.831</v>
      </c>
      <c r="F1132" s="4" t="s">
        <v>8</v>
      </c>
      <c r="G1132" s="3">
        <v>19.0</v>
      </c>
    </row>
    <row r="1133">
      <c r="A1133" s="3">
        <v>68.0</v>
      </c>
      <c r="B1133" s="5">
        <v>22.21532</v>
      </c>
      <c r="C1133" s="5">
        <v>9.605944</v>
      </c>
      <c r="D1133" s="3">
        <v>3788.2</v>
      </c>
      <c r="E1133" s="5">
        <v>5905.919</v>
      </c>
      <c r="F1133" s="4" t="s">
        <v>8</v>
      </c>
      <c r="G1133" s="3">
        <v>19.0</v>
      </c>
    </row>
    <row r="1134">
      <c r="A1134" s="3">
        <v>67.0</v>
      </c>
      <c r="B1134" s="5">
        <v>21.86187</v>
      </c>
      <c r="C1134" s="5">
        <v>9.258092</v>
      </c>
      <c r="D1134" s="5">
        <v>3810.033</v>
      </c>
      <c r="E1134" s="5">
        <v>5940.769</v>
      </c>
      <c r="F1134" s="4" t="s">
        <v>8</v>
      </c>
      <c r="G1134" s="3">
        <v>19.0</v>
      </c>
    </row>
    <row r="1135">
      <c r="A1135" s="3">
        <v>66.0</v>
      </c>
      <c r="B1135" s="5">
        <v>21.58101</v>
      </c>
      <c r="C1135" s="5">
        <v>8.918847</v>
      </c>
      <c r="D1135" s="5">
        <v>3829.167</v>
      </c>
      <c r="E1135" s="5">
        <v>5994.207</v>
      </c>
      <c r="F1135" s="4" t="s">
        <v>8</v>
      </c>
      <c r="G1135" s="3">
        <v>19.0</v>
      </c>
    </row>
    <row r="1136">
      <c r="A1136" s="3">
        <v>65.0</v>
      </c>
      <c r="B1136" s="5">
        <v>20.71007</v>
      </c>
      <c r="C1136" s="5">
        <v>8.682056</v>
      </c>
      <c r="D1136" s="5">
        <v>3876.267</v>
      </c>
      <c r="E1136" s="3">
        <v>6017.43</v>
      </c>
      <c r="F1136" s="4" t="s">
        <v>8</v>
      </c>
      <c r="G1136" s="3">
        <v>19.0</v>
      </c>
    </row>
    <row r="1137">
      <c r="A1137" s="3">
        <v>64.0</v>
      </c>
      <c r="B1137" s="5">
        <v>20.5355</v>
      </c>
      <c r="C1137" s="5">
        <v>8.476019</v>
      </c>
      <c r="D1137" s="5">
        <v>3885.433</v>
      </c>
      <c r="E1137" s="5">
        <v>6036.774</v>
      </c>
      <c r="F1137" s="4" t="s">
        <v>8</v>
      </c>
      <c r="G1137" s="3">
        <v>19.0</v>
      </c>
    </row>
    <row r="1138">
      <c r="A1138" s="3">
        <v>63.0</v>
      </c>
      <c r="B1138" s="5">
        <v>20.44962</v>
      </c>
      <c r="C1138" s="5">
        <v>8.248798</v>
      </c>
      <c r="D1138" s="3">
        <v>3889.2</v>
      </c>
      <c r="E1138" s="5">
        <v>6080.641</v>
      </c>
      <c r="F1138" s="4" t="s">
        <v>8</v>
      </c>
      <c r="G1138" s="3">
        <v>19.0</v>
      </c>
    </row>
    <row r="1139">
      <c r="A1139" s="3">
        <v>62.0</v>
      </c>
      <c r="B1139" s="5">
        <v>19.85485</v>
      </c>
      <c r="C1139" s="5">
        <v>7.950756</v>
      </c>
      <c r="D1139" s="5">
        <v>3901.467</v>
      </c>
      <c r="E1139" s="5">
        <v>6120.901</v>
      </c>
      <c r="F1139" s="4" t="s">
        <v>8</v>
      </c>
      <c r="G1139" s="3">
        <v>19.0</v>
      </c>
    </row>
    <row r="1140">
      <c r="A1140" s="3">
        <v>61.0</v>
      </c>
      <c r="B1140" s="5">
        <v>19.35329</v>
      </c>
      <c r="C1140" s="5">
        <v>7.729691</v>
      </c>
      <c r="D1140" s="5">
        <v>3932.467</v>
      </c>
      <c r="E1140" s="5">
        <v>6144.774</v>
      </c>
      <c r="F1140" s="4" t="s">
        <v>8</v>
      </c>
      <c r="G1140" s="3">
        <v>19.0</v>
      </c>
    </row>
    <row r="1141">
      <c r="A1141" s="3">
        <v>60.0</v>
      </c>
      <c r="B1141" s="5">
        <v>19.23083</v>
      </c>
      <c r="C1141" s="5">
        <v>7.562218</v>
      </c>
      <c r="D1141" s="3">
        <v>3946.3</v>
      </c>
      <c r="E1141" s="5">
        <v>6166.256</v>
      </c>
      <c r="F1141" s="4" t="s">
        <v>8</v>
      </c>
      <c r="G1141" s="3">
        <v>19.0</v>
      </c>
    </row>
    <row r="1142">
      <c r="A1142" s="3">
        <v>59.0</v>
      </c>
      <c r="B1142" s="5">
        <v>18.90092</v>
      </c>
      <c r="C1142" s="5">
        <v>7.373969</v>
      </c>
      <c r="D1142" s="3">
        <v>3953.8</v>
      </c>
      <c r="E1142" s="5">
        <v>6193.039</v>
      </c>
      <c r="F1142" s="4" t="s">
        <v>8</v>
      </c>
      <c r="G1142" s="3">
        <v>19.0</v>
      </c>
    </row>
    <row r="1143">
      <c r="A1143" s="3">
        <v>58.0</v>
      </c>
      <c r="B1143" s="5">
        <v>18.64688</v>
      </c>
      <c r="C1143" s="5">
        <v>7.223979</v>
      </c>
      <c r="D1143" s="5">
        <v>3962.767</v>
      </c>
      <c r="E1143" s="5">
        <v>6216.859</v>
      </c>
      <c r="F1143" s="4" t="s">
        <v>8</v>
      </c>
      <c r="G1143" s="3">
        <v>19.0</v>
      </c>
    </row>
    <row r="1144">
      <c r="A1144" s="3">
        <v>57.0</v>
      </c>
      <c r="B1144" s="5">
        <v>18.4738</v>
      </c>
      <c r="C1144" s="5">
        <v>7.046679</v>
      </c>
      <c r="D1144" s="5">
        <v>3976.033</v>
      </c>
      <c r="E1144" s="5">
        <v>6244.398</v>
      </c>
      <c r="F1144" s="4" t="s">
        <v>8</v>
      </c>
      <c r="G1144" s="3">
        <v>19.0</v>
      </c>
    </row>
    <row r="1145">
      <c r="A1145" s="3">
        <v>56.0</v>
      </c>
      <c r="B1145" s="5">
        <v>17.79319</v>
      </c>
      <c r="C1145" s="5">
        <v>6.807084</v>
      </c>
      <c r="D1145" s="3">
        <v>3992.4</v>
      </c>
      <c r="E1145" s="5">
        <v>6289.287</v>
      </c>
      <c r="F1145" s="4" t="s">
        <v>8</v>
      </c>
      <c r="G1145" s="3">
        <v>19.0</v>
      </c>
    </row>
    <row r="1146">
      <c r="A1146" s="3">
        <v>55.0</v>
      </c>
      <c r="B1146" s="5">
        <v>17.40791</v>
      </c>
      <c r="C1146" s="5">
        <v>6.600981</v>
      </c>
      <c r="D1146" s="3">
        <v>4017.3</v>
      </c>
      <c r="E1146" s="5">
        <v>6331.505</v>
      </c>
      <c r="F1146" s="4" t="s">
        <v>8</v>
      </c>
      <c r="G1146" s="3">
        <v>19.0</v>
      </c>
    </row>
    <row r="1147">
      <c r="A1147" s="3">
        <v>54.0</v>
      </c>
      <c r="B1147" s="5">
        <v>16.59577</v>
      </c>
      <c r="C1147" s="5">
        <v>6.448362</v>
      </c>
      <c r="D1147" s="5">
        <v>4036.067</v>
      </c>
      <c r="E1147" s="5">
        <v>6351.835</v>
      </c>
      <c r="F1147" s="4" t="s">
        <v>8</v>
      </c>
      <c r="G1147" s="3">
        <v>19.0</v>
      </c>
    </row>
    <row r="1148">
      <c r="A1148" s="3">
        <v>53.0</v>
      </c>
      <c r="B1148" s="5">
        <v>16.55467</v>
      </c>
      <c r="C1148" s="5">
        <v>6.292433</v>
      </c>
      <c r="D1148" s="3">
        <v>4041.3</v>
      </c>
      <c r="E1148" s="5">
        <v>6388.084</v>
      </c>
      <c r="F1148" s="4" t="s">
        <v>8</v>
      </c>
      <c r="G1148" s="3">
        <v>19.0</v>
      </c>
    </row>
    <row r="1149">
      <c r="A1149" s="3">
        <v>52.0</v>
      </c>
      <c r="B1149" s="5">
        <v>16.18326</v>
      </c>
      <c r="C1149" s="5">
        <v>6.202095</v>
      </c>
      <c r="D1149" s="3">
        <v>4055.9</v>
      </c>
      <c r="E1149" s="3">
        <v>6422.13</v>
      </c>
      <c r="F1149" s="4" t="s">
        <v>8</v>
      </c>
      <c r="G1149" s="3">
        <v>19.0</v>
      </c>
    </row>
    <row r="1150">
      <c r="A1150" s="3">
        <v>51.0</v>
      </c>
      <c r="B1150" s="5">
        <v>15.80783</v>
      </c>
      <c r="C1150" s="5">
        <v>6.086553</v>
      </c>
      <c r="D1150" s="3">
        <v>4079.9</v>
      </c>
      <c r="E1150" s="5">
        <v>6453.251</v>
      </c>
      <c r="F1150" s="4" t="s">
        <v>8</v>
      </c>
      <c r="G1150" s="3">
        <v>19.0</v>
      </c>
    </row>
    <row r="1151">
      <c r="A1151" s="3">
        <v>50.0</v>
      </c>
      <c r="B1151" s="5">
        <v>15.79352</v>
      </c>
      <c r="C1151" s="5">
        <v>6.015146</v>
      </c>
      <c r="D1151" s="5">
        <v>4081.467</v>
      </c>
      <c r="E1151" s="5">
        <v>6473.177</v>
      </c>
      <c r="F1151" s="4" t="s">
        <v>8</v>
      </c>
      <c r="G1151" s="3">
        <v>19.0</v>
      </c>
    </row>
    <row r="1152">
      <c r="A1152" s="3">
        <v>49.0</v>
      </c>
      <c r="B1152" s="5">
        <v>15.70915</v>
      </c>
      <c r="C1152" s="5">
        <v>5.921192</v>
      </c>
      <c r="D1152" s="5">
        <v>4088.867</v>
      </c>
      <c r="E1152" s="5">
        <v>6512.388</v>
      </c>
      <c r="F1152" s="4" t="s">
        <v>8</v>
      </c>
      <c r="G1152" s="3">
        <v>19.0</v>
      </c>
    </row>
    <row r="1153">
      <c r="A1153" s="3">
        <v>48.0</v>
      </c>
      <c r="B1153" s="5">
        <v>15.49771</v>
      </c>
      <c r="C1153" s="5">
        <v>5.85256</v>
      </c>
      <c r="D1153" s="3">
        <v>4102.3</v>
      </c>
      <c r="E1153" s="5">
        <v>6537.539</v>
      </c>
      <c r="F1153" s="4" t="s">
        <v>8</v>
      </c>
      <c r="G1153" s="3">
        <v>19.0</v>
      </c>
    </row>
    <row r="1154">
      <c r="A1154" s="3">
        <v>47.0</v>
      </c>
      <c r="B1154" s="5">
        <v>15.43388</v>
      </c>
      <c r="C1154" s="5">
        <v>5.809817</v>
      </c>
      <c r="D1154" s="5">
        <v>4112.167</v>
      </c>
      <c r="E1154" s="5">
        <v>6550.375</v>
      </c>
      <c r="F1154" s="4" t="s">
        <v>8</v>
      </c>
      <c r="G1154" s="3">
        <v>19.0</v>
      </c>
    </row>
    <row r="1155">
      <c r="A1155" s="3">
        <v>46.0</v>
      </c>
      <c r="B1155" s="5">
        <v>15.05129</v>
      </c>
      <c r="C1155" s="5">
        <v>5.746857</v>
      </c>
      <c r="D1155" s="3">
        <v>4124.7</v>
      </c>
      <c r="E1155" s="5">
        <v>6572.534</v>
      </c>
      <c r="F1155" s="4" t="s">
        <v>8</v>
      </c>
      <c r="G1155" s="3">
        <v>19.0</v>
      </c>
    </row>
    <row r="1156">
      <c r="A1156" s="3">
        <v>45.0</v>
      </c>
      <c r="B1156" s="5">
        <v>14.98435</v>
      </c>
      <c r="C1156" s="5">
        <v>5.680822</v>
      </c>
      <c r="D1156" s="3">
        <v>4132.4</v>
      </c>
      <c r="E1156" s="5">
        <v>6602.097</v>
      </c>
      <c r="F1156" s="4" t="s">
        <v>8</v>
      </c>
      <c r="G1156" s="3">
        <v>19.0</v>
      </c>
    </row>
    <row r="1157">
      <c r="A1157" s="3">
        <v>44.0</v>
      </c>
      <c r="B1157" s="5">
        <v>14.68433</v>
      </c>
      <c r="C1157" s="5">
        <v>5.622128</v>
      </c>
      <c r="D1157" s="5">
        <v>4159.633</v>
      </c>
      <c r="E1157" s="5">
        <v>6626.536</v>
      </c>
      <c r="F1157" s="4" t="s">
        <v>8</v>
      </c>
      <c r="G1157" s="3">
        <v>19.0</v>
      </c>
    </row>
    <row r="1158">
      <c r="A1158" s="3">
        <v>43.0</v>
      </c>
      <c r="B1158" s="5">
        <v>14.67257</v>
      </c>
      <c r="C1158" s="5">
        <v>5.606632</v>
      </c>
      <c r="D1158" s="5">
        <v>4161.033</v>
      </c>
      <c r="E1158" s="5">
        <v>6634.846</v>
      </c>
      <c r="F1158" s="4" t="s">
        <v>8</v>
      </c>
      <c r="G1158" s="3">
        <v>19.0</v>
      </c>
    </row>
    <row r="1159">
      <c r="A1159" s="3">
        <v>42.0</v>
      </c>
      <c r="B1159" s="5">
        <v>14.63269</v>
      </c>
      <c r="C1159" s="5">
        <v>5.575663</v>
      </c>
      <c r="D1159" s="5">
        <v>4165.667</v>
      </c>
      <c r="E1159" s="5">
        <v>6640.776</v>
      </c>
      <c r="F1159" s="4" t="s">
        <v>8</v>
      </c>
      <c r="G1159" s="3">
        <v>19.0</v>
      </c>
    </row>
    <row r="1160">
      <c r="A1160" s="3">
        <v>41.0</v>
      </c>
      <c r="B1160" s="5">
        <v>14.35942</v>
      </c>
      <c r="C1160" s="5">
        <v>5.549393</v>
      </c>
      <c r="D1160" s="3">
        <v>4183.1</v>
      </c>
      <c r="E1160" s="5">
        <v>6654.104</v>
      </c>
      <c r="F1160" s="4" t="s">
        <v>8</v>
      </c>
      <c r="G1160" s="3">
        <v>19.0</v>
      </c>
    </row>
    <row r="1161">
      <c r="A1161" s="3">
        <v>40.0</v>
      </c>
      <c r="B1161" s="5">
        <v>14.05517</v>
      </c>
      <c r="C1161" s="5">
        <v>5.512896</v>
      </c>
      <c r="D1161" s="5">
        <v>4219.533</v>
      </c>
      <c r="E1161" s="5">
        <v>6677.526</v>
      </c>
      <c r="F1161" s="4" t="s">
        <v>8</v>
      </c>
      <c r="G1161" s="3">
        <v>19.0</v>
      </c>
    </row>
    <row r="1162">
      <c r="A1162" s="3">
        <v>39.0</v>
      </c>
      <c r="B1162" s="5">
        <v>13.92199</v>
      </c>
      <c r="C1162" s="5">
        <v>5.454838</v>
      </c>
      <c r="D1162" s="5">
        <v>4237.133</v>
      </c>
      <c r="E1162" s="5">
        <v>6700.479</v>
      </c>
      <c r="F1162" s="4" t="s">
        <v>8</v>
      </c>
      <c r="G1162" s="3">
        <v>19.0</v>
      </c>
    </row>
    <row r="1163">
      <c r="A1163" s="3">
        <v>38.0</v>
      </c>
      <c r="B1163" s="5">
        <v>13.90904</v>
      </c>
      <c r="C1163" s="5">
        <v>5.4401</v>
      </c>
      <c r="D1163" s="5">
        <v>4238.833</v>
      </c>
      <c r="E1163" s="5">
        <v>6715.657</v>
      </c>
      <c r="F1163" s="4" t="s">
        <v>8</v>
      </c>
      <c r="G1163" s="3">
        <v>19.0</v>
      </c>
    </row>
    <row r="1164">
      <c r="A1164" s="3">
        <v>37.0</v>
      </c>
      <c r="B1164" s="5">
        <v>13.73688</v>
      </c>
      <c r="C1164" s="5">
        <v>5.391426</v>
      </c>
      <c r="D1164" s="5">
        <v>4252.233</v>
      </c>
      <c r="E1164" s="5">
        <v>6736.946</v>
      </c>
      <c r="F1164" s="4" t="s">
        <v>8</v>
      </c>
      <c r="G1164" s="3">
        <v>19.0</v>
      </c>
    </row>
    <row r="1165">
      <c r="A1165" s="3">
        <v>36.0</v>
      </c>
      <c r="B1165" s="5">
        <v>13.49173</v>
      </c>
      <c r="C1165" s="5">
        <v>5.337883</v>
      </c>
      <c r="D1165" s="5">
        <v>4269.967</v>
      </c>
      <c r="E1165" s="5">
        <v>6769.008</v>
      </c>
      <c r="F1165" s="4" t="s">
        <v>8</v>
      </c>
      <c r="G1165" s="3">
        <v>19.0</v>
      </c>
    </row>
    <row r="1166">
      <c r="A1166" s="3">
        <v>35.0</v>
      </c>
      <c r="B1166" s="5">
        <v>13.37292</v>
      </c>
      <c r="C1166" s="5">
        <v>5.358947</v>
      </c>
      <c r="D1166" s="5">
        <v>4289.167</v>
      </c>
      <c r="E1166" s="5">
        <v>6753.477</v>
      </c>
      <c r="F1166" s="4" t="s">
        <v>8</v>
      </c>
      <c r="G1166" s="3">
        <v>19.0</v>
      </c>
    </row>
    <row r="1167">
      <c r="A1167" s="3">
        <v>34.0</v>
      </c>
      <c r="B1167" s="5">
        <v>13.17207</v>
      </c>
      <c r="C1167" s="5">
        <v>5.33287</v>
      </c>
      <c r="D1167" s="5">
        <v>4305.767</v>
      </c>
      <c r="E1167" s="5">
        <v>6763.255</v>
      </c>
      <c r="F1167" s="4" t="s">
        <v>8</v>
      </c>
      <c r="G1167" s="3">
        <v>19.0</v>
      </c>
    </row>
    <row r="1168">
      <c r="A1168" s="3">
        <v>33.0</v>
      </c>
      <c r="B1168" s="5">
        <v>13.10287</v>
      </c>
      <c r="C1168" s="5">
        <v>5.291117</v>
      </c>
      <c r="D1168" s="5">
        <v>4315.333</v>
      </c>
      <c r="E1168" s="5">
        <v>6788.995</v>
      </c>
      <c r="F1168" s="4" t="s">
        <v>8</v>
      </c>
      <c r="G1168" s="3">
        <v>19.0</v>
      </c>
    </row>
    <row r="1169">
      <c r="A1169" s="3">
        <v>32.0</v>
      </c>
      <c r="B1169" s="5">
        <v>13.0171</v>
      </c>
      <c r="C1169" s="5">
        <v>5.280768</v>
      </c>
      <c r="D1169" s="3">
        <v>4322.3</v>
      </c>
      <c r="E1169" s="5">
        <v>6800.952</v>
      </c>
      <c r="F1169" s="4" t="s">
        <v>8</v>
      </c>
      <c r="G1169" s="3">
        <v>19.0</v>
      </c>
    </row>
    <row r="1170">
      <c r="A1170" s="3">
        <v>31.0</v>
      </c>
      <c r="B1170" s="5">
        <v>13.0171</v>
      </c>
      <c r="C1170" s="5">
        <v>5.273534</v>
      </c>
      <c r="D1170" s="3">
        <v>4322.3</v>
      </c>
      <c r="E1170" s="5">
        <v>6801.819</v>
      </c>
      <c r="F1170" s="4" t="s">
        <v>8</v>
      </c>
      <c r="G1170" s="3">
        <v>19.0</v>
      </c>
    </row>
    <row r="1171">
      <c r="A1171" s="3">
        <v>30.0</v>
      </c>
      <c r="B1171" s="5">
        <v>13.0171</v>
      </c>
      <c r="C1171" s="5">
        <v>5.251025</v>
      </c>
      <c r="D1171" s="3">
        <v>4322.3</v>
      </c>
      <c r="E1171" s="5">
        <v>6822.825</v>
      </c>
      <c r="F1171" s="4" t="s">
        <v>8</v>
      </c>
      <c r="G1171" s="3">
        <v>19.0</v>
      </c>
    </row>
    <row r="1172">
      <c r="A1172" s="3">
        <v>29.0</v>
      </c>
      <c r="B1172" s="5">
        <v>12.82173</v>
      </c>
      <c r="C1172" s="5">
        <v>5.213333</v>
      </c>
      <c r="D1172" s="3">
        <v>4351.0</v>
      </c>
      <c r="E1172" s="5">
        <v>6842.707</v>
      </c>
      <c r="F1172" s="4" t="s">
        <v>8</v>
      </c>
      <c r="G1172" s="3">
        <v>19.0</v>
      </c>
    </row>
    <row r="1173">
      <c r="A1173" s="3">
        <v>28.0</v>
      </c>
      <c r="B1173" s="5">
        <v>12.65875</v>
      </c>
      <c r="C1173" s="5">
        <v>5.183903</v>
      </c>
      <c r="D1173" s="5">
        <v>4375.633</v>
      </c>
      <c r="E1173" s="5">
        <v>6862.268</v>
      </c>
      <c r="F1173" s="4" t="s">
        <v>8</v>
      </c>
      <c r="G1173" s="3">
        <v>19.0</v>
      </c>
    </row>
    <row r="1174">
      <c r="A1174" s="3">
        <v>27.0</v>
      </c>
      <c r="B1174" s="5">
        <v>12.51065</v>
      </c>
      <c r="C1174" s="5">
        <v>5.175262</v>
      </c>
      <c r="D1174" s="5">
        <v>4397.433</v>
      </c>
      <c r="E1174" s="3">
        <v>6866.55</v>
      </c>
      <c r="F1174" s="4" t="s">
        <v>8</v>
      </c>
      <c r="G1174" s="3">
        <v>19.0</v>
      </c>
    </row>
    <row r="1175">
      <c r="A1175" s="3">
        <v>26.0</v>
      </c>
      <c r="B1175" s="5">
        <v>12.34057</v>
      </c>
      <c r="C1175" s="5">
        <v>5.151689</v>
      </c>
      <c r="D1175" s="5">
        <v>4418.267</v>
      </c>
      <c r="E1175" s="5">
        <v>6881.198</v>
      </c>
      <c r="F1175" s="4" t="s">
        <v>8</v>
      </c>
      <c r="G1175" s="3">
        <v>19.0</v>
      </c>
    </row>
    <row r="1176">
      <c r="A1176" s="3">
        <v>25.0</v>
      </c>
      <c r="B1176" s="5">
        <v>12.31847</v>
      </c>
      <c r="C1176" s="5">
        <v>5.120331</v>
      </c>
      <c r="D1176" s="5">
        <v>4422.133</v>
      </c>
      <c r="E1176" s="5">
        <v>6896.168</v>
      </c>
      <c r="F1176" s="4" t="s">
        <v>8</v>
      </c>
      <c r="G1176" s="3">
        <v>19.0</v>
      </c>
    </row>
    <row r="1177">
      <c r="A1177" s="3">
        <v>24.0</v>
      </c>
      <c r="B1177" s="5">
        <v>12.1143</v>
      </c>
      <c r="C1177" s="5">
        <v>5.123351</v>
      </c>
      <c r="D1177" s="3">
        <v>4447.3</v>
      </c>
      <c r="E1177" s="5">
        <v>6897.906</v>
      </c>
      <c r="F1177" s="4" t="s">
        <v>8</v>
      </c>
      <c r="G1177" s="3">
        <v>19.0</v>
      </c>
    </row>
    <row r="1178">
      <c r="A1178" s="3">
        <v>23.0</v>
      </c>
      <c r="B1178" s="5">
        <v>12.10558</v>
      </c>
      <c r="C1178" s="5">
        <v>5.084359</v>
      </c>
      <c r="D1178" s="5">
        <v>4448.933</v>
      </c>
      <c r="E1178" s="5">
        <v>6926.653</v>
      </c>
      <c r="F1178" s="4" t="s">
        <v>8</v>
      </c>
      <c r="G1178" s="3">
        <v>19.0</v>
      </c>
    </row>
    <row r="1179">
      <c r="A1179" s="3">
        <v>22.0</v>
      </c>
      <c r="B1179" s="5">
        <v>11.82067</v>
      </c>
      <c r="C1179" s="5">
        <v>5.072976</v>
      </c>
      <c r="D1179" s="3">
        <v>4482.6</v>
      </c>
      <c r="E1179" s="5">
        <v>6933.805</v>
      </c>
      <c r="F1179" s="4" t="s">
        <v>8</v>
      </c>
      <c r="G1179" s="3">
        <v>19.0</v>
      </c>
    </row>
    <row r="1180">
      <c r="A1180" s="3">
        <v>21.0</v>
      </c>
      <c r="B1180" s="5">
        <v>11.78411</v>
      </c>
      <c r="C1180" s="5">
        <v>5.045582</v>
      </c>
      <c r="D1180" s="5">
        <v>4488.233</v>
      </c>
      <c r="E1180" s="5">
        <v>6950.914</v>
      </c>
      <c r="F1180" s="4" t="s">
        <v>8</v>
      </c>
      <c r="G1180" s="3">
        <v>19.0</v>
      </c>
    </row>
    <row r="1181">
      <c r="A1181" s="3">
        <v>20.0</v>
      </c>
      <c r="B1181" s="5">
        <v>11.67545</v>
      </c>
      <c r="C1181" s="5">
        <v>5.015971</v>
      </c>
      <c r="D1181" s="5">
        <v>4508.167</v>
      </c>
      <c r="E1181" s="5">
        <v>6968.418</v>
      </c>
      <c r="F1181" s="4" t="s">
        <v>8</v>
      </c>
      <c r="G1181" s="3">
        <v>19.0</v>
      </c>
    </row>
    <row r="1182">
      <c r="A1182" s="3">
        <v>19.0</v>
      </c>
      <c r="B1182" s="5">
        <v>11.54553</v>
      </c>
      <c r="C1182" s="5">
        <v>4.989866</v>
      </c>
      <c r="D1182" s="5">
        <v>4527.067</v>
      </c>
      <c r="E1182" s="5">
        <v>6986.947</v>
      </c>
      <c r="F1182" s="4" t="s">
        <v>8</v>
      </c>
      <c r="G1182" s="3">
        <v>19.0</v>
      </c>
    </row>
    <row r="1183">
      <c r="A1183" s="3">
        <v>18.0</v>
      </c>
      <c r="B1183" s="5">
        <v>11.54432</v>
      </c>
      <c r="C1183" s="5">
        <v>4.992958</v>
      </c>
      <c r="D1183" s="3">
        <v>4527.3</v>
      </c>
      <c r="E1183" s="5">
        <v>6988.743</v>
      </c>
      <c r="F1183" s="4" t="s">
        <v>8</v>
      </c>
      <c r="G1183" s="3">
        <v>19.0</v>
      </c>
    </row>
    <row r="1184">
      <c r="A1184" s="3">
        <v>17.0</v>
      </c>
      <c r="B1184" s="5">
        <v>11.42932</v>
      </c>
      <c r="C1184" s="5">
        <v>4.98689</v>
      </c>
      <c r="D1184" s="5">
        <v>4540.767</v>
      </c>
      <c r="E1184" s="5">
        <v>6990.237</v>
      </c>
      <c r="F1184" s="4" t="s">
        <v>8</v>
      </c>
      <c r="G1184" s="3">
        <v>19.0</v>
      </c>
    </row>
    <row r="1185">
      <c r="A1185" s="3">
        <v>16.0</v>
      </c>
      <c r="B1185" s="5">
        <v>11.31794</v>
      </c>
      <c r="C1185" s="5">
        <v>4.961046</v>
      </c>
      <c r="D1185" s="5">
        <v>4557.733</v>
      </c>
      <c r="E1185" s="5">
        <v>7013.744</v>
      </c>
      <c r="F1185" s="4" t="s">
        <v>8</v>
      </c>
      <c r="G1185" s="3">
        <v>19.0</v>
      </c>
    </row>
    <row r="1186">
      <c r="A1186" s="3">
        <v>15.0</v>
      </c>
      <c r="B1186" s="5">
        <v>11.22098</v>
      </c>
      <c r="C1186" s="5">
        <v>4.956841</v>
      </c>
      <c r="D1186" s="5">
        <v>4576.767</v>
      </c>
      <c r="E1186" s="3">
        <v>7016.53</v>
      </c>
      <c r="F1186" s="4" t="s">
        <v>8</v>
      </c>
      <c r="G1186" s="3">
        <v>19.0</v>
      </c>
    </row>
    <row r="1187">
      <c r="A1187" s="3">
        <v>14.0</v>
      </c>
      <c r="B1187" s="5">
        <v>11.06523</v>
      </c>
      <c r="C1187" s="5">
        <v>4.966225</v>
      </c>
      <c r="D1187" s="3">
        <v>4607.0</v>
      </c>
      <c r="E1187" s="5">
        <v>7006.163</v>
      </c>
      <c r="F1187" s="4" t="s">
        <v>8</v>
      </c>
      <c r="G1187" s="3">
        <v>19.0</v>
      </c>
    </row>
    <row r="1188">
      <c r="A1188" s="3">
        <v>13.0</v>
      </c>
      <c r="B1188" s="5">
        <v>10.91876</v>
      </c>
      <c r="C1188" s="5">
        <v>4.948669</v>
      </c>
      <c r="D1188" s="3">
        <v>4626.5</v>
      </c>
      <c r="E1188" s="5">
        <v>7019.915</v>
      </c>
      <c r="F1188" s="4" t="s">
        <v>8</v>
      </c>
      <c r="G1188" s="3">
        <v>19.0</v>
      </c>
    </row>
    <row r="1189">
      <c r="A1189" s="3">
        <v>12.0</v>
      </c>
      <c r="B1189" s="5">
        <v>10.86599</v>
      </c>
      <c r="C1189" s="5">
        <v>4.944099</v>
      </c>
      <c r="D1189" s="3">
        <v>4637.3</v>
      </c>
      <c r="E1189" s="3">
        <v>7025.97</v>
      </c>
      <c r="F1189" s="4" t="s">
        <v>8</v>
      </c>
      <c r="G1189" s="3">
        <v>19.0</v>
      </c>
    </row>
    <row r="1190">
      <c r="A1190" s="3">
        <v>11.0</v>
      </c>
      <c r="B1190" s="5">
        <v>10.58476</v>
      </c>
      <c r="C1190" s="5">
        <v>4.926208</v>
      </c>
      <c r="D1190" s="3">
        <v>4686.6</v>
      </c>
      <c r="E1190" s="3">
        <v>7035.63</v>
      </c>
      <c r="F1190" s="4" t="s">
        <v>8</v>
      </c>
      <c r="G1190" s="3">
        <v>19.0</v>
      </c>
    </row>
    <row r="1191">
      <c r="A1191" s="3">
        <v>10.0</v>
      </c>
      <c r="B1191" s="5">
        <v>10.47521</v>
      </c>
      <c r="C1191" s="5">
        <v>4.905013</v>
      </c>
      <c r="D1191" s="5">
        <v>4707.933</v>
      </c>
      <c r="E1191" s="5">
        <v>7045.066</v>
      </c>
      <c r="F1191" s="4" t="s">
        <v>8</v>
      </c>
      <c r="G1191" s="3">
        <v>19.0</v>
      </c>
    </row>
    <row r="1192">
      <c r="A1192" s="3">
        <v>9.0</v>
      </c>
      <c r="B1192" s="5">
        <v>10.33662</v>
      </c>
      <c r="C1192" s="5">
        <v>4.891567</v>
      </c>
      <c r="D1192" s="5">
        <v>4734.233</v>
      </c>
      <c r="E1192" s="5">
        <v>7054.842</v>
      </c>
      <c r="F1192" s="4" t="s">
        <v>8</v>
      </c>
      <c r="G1192" s="3">
        <v>19.0</v>
      </c>
    </row>
    <row r="1193">
      <c r="A1193" s="3">
        <v>8.0</v>
      </c>
      <c r="B1193" s="5">
        <v>10.30171</v>
      </c>
      <c r="C1193" s="5">
        <v>4.874954</v>
      </c>
      <c r="D1193" s="5">
        <v>4742.067</v>
      </c>
      <c r="E1193" s="3">
        <v>7073.02</v>
      </c>
      <c r="F1193" s="4" t="s">
        <v>8</v>
      </c>
      <c r="G1193" s="3">
        <v>19.0</v>
      </c>
    </row>
    <row r="1194">
      <c r="A1194" s="3">
        <v>7.0</v>
      </c>
      <c r="B1194" s="5">
        <v>10.13576</v>
      </c>
      <c r="C1194" s="5">
        <v>4.876308</v>
      </c>
      <c r="D1194" s="3">
        <v>4777.9</v>
      </c>
      <c r="E1194" s="5">
        <v>7070.145</v>
      </c>
      <c r="F1194" s="4" t="s">
        <v>8</v>
      </c>
      <c r="G1194" s="3">
        <v>19.0</v>
      </c>
    </row>
    <row r="1195">
      <c r="A1195" s="3">
        <v>6.0</v>
      </c>
      <c r="B1195" s="5">
        <v>9.833665</v>
      </c>
      <c r="C1195" s="5">
        <v>4.864979</v>
      </c>
      <c r="D1195" s="5">
        <v>4827.433</v>
      </c>
      <c r="E1195" s="5">
        <v>7084.814</v>
      </c>
      <c r="F1195" s="4" t="s">
        <v>8</v>
      </c>
      <c r="G1195" s="3">
        <v>19.0</v>
      </c>
    </row>
    <row r="1196">
      <c r="A1196" s="3">
        <v>5.0</v>
      </c>
      <c r="B1196" s="5">
        <v>9.710866</v>
      </c>
      <c r="C1196" s="5">
        <v>4.823549</v>
      </c>
      <c r="D1196" s="3">
        <v>4856.9</v>
      </c>
      <c r="E1196" s="5">
        <v>7111.533</v>
      </c>
      <c r="F1196" s="4" t="s">
        <v>8</v>
      </c>
      <c r="G1196" s="3">
        <v>19.0</v>
      </c>
    </row>
    <row r="1197">
      <c r="A1197" s="3">
        <v>4.0</v>
      </c>
      <c r="B1197" s="5">
        <v>9.468165</v>
      </c>
      <c r="C1197" s="5">
        <v>4.838371</v>
      </c>
      <c r="D1197" s="5">
        <v>4912.133</v>
      </c>
      <c r="E1197" s="5">
        <v>7099.862</v>
      </c>
      <c r="F1197" s="4" t="s">
        <v>8</v>
      </c>
      <c r="G1197" s="3">
        <v>19.0</v>
      </c>
    </row>
    <row r="1198">
      <c r="A1198" s="3">
        <v>3.0</v>
      </c>
      <c r="B1198" s="5">
        <v>9.255267</v>
      </c>
      <c r="C1198" s="5">
        <v>4.806358</v>
      </c>
      <c r="D1198" s="5">
        <v>4959.133</v>
      </c>
      <c r="E1198" s="5">
        <v>7126.102</v>
      </c>
      <c r="F1198" s="4" t="s">
        <v>8</v>
      </c>
      <c r="G1198" s="3">
        <v>19.0</v>
      </c>
    </row>
    <row r="1199">
      <c r="A1199" s="3">
        <v>2.0</v>
      </c>
      <c r="B1199" s="5">
        <v>8.869696</v>
      </c>
      <c r="C1199" s="5">
        <v>4.811675</v>
      </c>
      <c r="D1199" s="5">
        <v>5050.467</v>
      </c>
      <c r="E1199" s="5">
        <v>7122.227</v>
      </c>
      <c r="F1199" s="4" t="s">
        <v>8</v>
      </c>
      <c r="G1199" s="3">
        <v>19.0</v>
      </c>
    </row>
    <row r="1200">
      <c r="A1200" s="3">
        <v>1.0</v>
      </c>
      <c r="B1200" s="5">
        <v>8.272245</v>
      </c>
      <c r="C1200" s="5">
        <v>4.768734</v>
      </c>
      <c r="D1200" s="5">
        <v>5220.533</v>
      </c>
      <c r="E1200" s="5">
        <v>7155.135</v>
      </c>
      <c r="F1200" s="4" t="s">
        <v>8</v>
      </c>
      <c r="G1200" s="3">
        <v>19.0</v>
      </c>
    </row>
    <row r="1201">
      <c r="A1201" s="3">
        <v>0.0</v>
      </c>
      <c r="B1201" s="5">
        <v>7.728702</v>
      </c>
      <c r="C1201" s="5">
        <v>4.714563</v>
      </c>
      <c r="D1201" s="5">
        <v>5393.933</v>
      </c>
      <c r="E1201" s="5">
        <v>7200.268</v>
      </c>
      <c r="F1201" s="4" t="s">
        <v>8</v>
      </c>
      <c r="G1201" s="3">
        <v>19.0</v>
      </c>
    </row>
    <row r="1202">
      <c r="A1202" s="3">
        <v>199.0</v>
      </c>
      <c r="B1202" s="3">
        <v>330.6144</v>
      </c>
      <c r="C1202" s="3">
        <v>282.3929</v>
      </c>
      <c r="D1202" s="3">
        <v>1906.633</v>
      </c>
      <c r="E1202" s="3">
        <v>1987.388</v>
      </c>
      <c r="F1202" s="4" t="s">
        <v>8</v>
      </c>
      <c r="G1202" s="3">
        <v>12.0</v>
      </c>
    </row>
    <row r="1203">
      <c r="A1203" s="3">
        <v>198.0</v>
      </c>
      <c r="B1203" s="3">
        <v>330.6144</v>
      </c>
      <c r="C1203" s="3">
        <v>281.9918</v>
      </c>
      <c r="D1203" s="3">
        <v>1906.633</v>
      </c>
      <c r="E1203" s="3">
        <v>1988.209</v>
      </c>
      <c r="F1203" s="4" t="s">
        <v>8</v>
      </c>
      <c r="G1203" s="3">
        <v>12.0</v>
      </c>
    </row>
    <row r="1204">
      <c r="A1204" s="3">
        <v>197.0</v>
      </c>
      <c r="B1204" s="3">
        <v>330.6144</v>
      </c>
      <c r="C1204" s="3">
        <v>281.3772</v>
      </c>
      <c r="D1204" s="3">
        <v>1906.633</v>
      </c>
      <c r="E1204" s="3">
        <v>1992.251</v>
      </c>
      <c r="F1204" s="4" t="s">
        <v>8</v>
      </c>
      <c r="G1204" s="3">
        <v>12.0</v>
      </c>
    </row>
    <row r="1205">
      <c r="A1205" s="3">
        <v>196.0</v>
      </c>
      <c r="B1205" s="3">
        <v>330.6144</v>
      </c>
      <c r="C1205" s="3">
        <v>280.7149</v>
      </c>
      <c r="D1205" s="3">
        <v>1906.633</v>
      </c>
      <c r="E1205" s="3">
        <v>1992.269</v>
      </c>
      <c r="F1205" s="4" t="s">
        <v>8</v>
      </c>
      <c r="G1205" s="3">
        <v>12.0</v>
      </c>
    </row>
    <row r="1206">
      <c r="A1206" s="3">
        <v>195.0</v>
      </c>
      <c r="B1206" s="3">
        <v>330.6144</v>
      </c>
      <c r="C1206" s="3">
        <v>279.9758</v>
      </c>
      <c r="D1206" s="3">
        <v>1906.633</v>
      </c>
      <c r="E1206" s="3">
        <v>1994.516</v>
      </c>
      <c r="F1206" s="4" t="s">
        <v>8</v>
      </c>
      <c r="G1206" s="3">
        <v>12.0</v>
      </c>
    </row>
    <row r="1207">
      <c r="A1207" s="3">
        <v>194.0</v>
      </c>
      <c r="B1207" s="3">
        <v>330.6144</v>
      </c>
      <c r="C1207" s="3">
        <v>280.3263</v>
      </c>
      <c r="D1207" s="3">
        <v>1906.633</v>
      </c>
      <c r="E1207" s="3">
        <v>1992.666</v>
      </c>
      <c r="F1207" s="4" t="s">
        <v>8</v>
      </c>
      <c r="G1207" s="3">
        <v>12.0</v>
      </c>
    </row>
    <row r="1208">
      <c r="A1208" s="3">
        <v>193.0</v>
      </c>
      <c r="B1208" s="3">
        <v>330.6144</v>
      </c>
      <c r="C1208" s="3">
        <v>281.1758</v>
      </c>
      <c r="D1208" s="3">
        <v>1906.633</v>
      </c>
      <c r="E1208" s="3">
        <v>1991.118</v>
      </c>
      <c r="F1208" s="4" t="s">
        <v>8</v>
      </c>
      <c r="G1208" s="3">
        <v>12.0</v>
      </c>
    </row>
    <row r="1209">
      <c r="A1209" s="3">
        <v>192.0</v>
      </c>
      <c r="B1209" s="3">
        <v>330.6144</v>
      </c>
      <c r="C1209" s="3">
        <v>280.684</v>
      </c>
      <c r="D1209" s="3">
        <v>1906.633</v>
      </c>
      <c r="E1209" s="3">
        <v>1991.475</v>
      </c>
      <c r="F1209" s="4" t="s">
        <v>8</v>
      </c>
      <c r="G1209" s="3">
        <v>12.0</v>
      </c>
    </row>
    <row r="1210">
      <c r="A1210" s="3">
        <v>191.0</v>
      </c>
      <c r="B1210" s="3">
        <v>330.6144</v>
      </c>
      <c r="C1210" s="3">
        <v>280.7832</v>
      </c>
      <c r="D1210" s="3">
        <v>1906.633</v>
      </c>
      <c r="E1210" s="3">
        <v>1993.527</v>
      </c>
      <c r="F1210" s="4" t="s">
        <v>8</v>
      </c>
      <c r="G1210" s="3">
        <v>12.0</v>
      </c>
    </row>
    <row r="1211">
      <c r="A1211" s="3">
        <v>190.0</v>
      </c>
      <c r="B1211" s="3">
        <v>330.6144</v>
      </c>
      <c r="C1211" s="3">
        <v>280.4248</v>
      </c>
      <c r="D1211" s="3">
        <v>1906.633</v>
      </c>
      <c r="E1211" s="3">
        <v>1992.719</v>
      </c>
      <c r="F1211" s="4" t="s">
        <v>8</v>
      </c>
      <c r="G1211" s="3">
        <v>12.0</v>
      </c>
    </row>
    <row r="1212">
      <c r="A1212" s="3">
        <v>189.0</v>
      </c>
      <c r="B1212" s="3">
        <v>330.6144</v>
      </c>
      <c r="C1212" s="3">
        <v>280.6769</v>
      </c>
      <c r="D1212" s="3">
        <v>1906.633</v>
      </c>
      <c r="E1212" s="3">
        <v>1992.599</v>
      </c>
      <c r="F1212" s="4" t="s">
        <v>8</v>
      </c>
      <c r="G1212" s="3">
        <v>12.0</v>
      </c>
    </row>
    <row r="1213">
      <c r="A1213" s="3">
        <v>188.0</v>
      </c>
      <c r="B1213" s="3">
        <v>330.6144</v>
      </c>
      <c r="C1213" s="3">
        <v>281.032</v>
      </c>
      <c r="D1213" s="3">
        <v>1906.633</v>
      </c>
      <c r="E1213" s="3">
        <v>1992.578</v>
      </c>
      <c r="F1213" s="4" t="s">
        <v>8</v>
      </c>
      <c r="G1213" s="3">
        <v>12.0</v>
      </c>
    </row>
    <row r="1214">
      <c r="A1214" s="3">
        <v>187.0</v>
      </c>
      <c r="B1214" s="3">
        <v>330.6144</v>
      </c>
      <c r="C1214" s="3">
        <v>282.4346</v>
      </c>
      <c r="D1214" s="3">
        <v>1906.633</v>
      </c>
      <c r="E1214" s="3">
        <v>1988.662</v>
      </c>
      <c r="F1214" s="4" t="s">
        <v>8</v>
      </c>
      <c r="G1214" s="3">
        <v>12.0</v>
      </c>
    </row>
    <row r="1215">
      <c r="A1215" s="3">
        <v>186.0</v>
      </c>
      <c r="B1215" s="3">
        <v>330.6144</v>
      </c>
      <c r="C1215" s="3">
        <v>281.5072</v>
      </c>
      <c r="D1215" s="3">
        <v>1906.633</v>
      </c>
      <c r="E1215" s="3">
        <v>1991.053</v>
      </c>
      <c r="F1215" s="4" t="s">
        <v>8</v>
      </c>
      <c r="G1215" s="3">
        <v>12.0</v>
      </c>
    </row>
    <row r="1216">
      <c r="A1216" s="3">
        <v>185.0</v>
      </c>
      <c r="B1216" s="3">
        <v>330.6144</v>
      </c>
      <c r="C1216" s="3">
        <v>280.2597</v>
      </c>
      <c r="D1216" s="3">
        <v>1906.633</v>
      </c>
      <c r="E1216" s="3">
        <v>1992.099</v>
      </c>
      <c r="F1216" s="4" t="s">
        <v>8</v>
      </c>
      <c r="G1216" s="3">
        <v>12.0</v>
      </c>
    </row>
    <row r="1217">
      <c r="A1217" s="3">
        <v>184.0</v>
      </c>
      <c r="B1217" s="3">
        <v>330.6144</v>
      </c>
      <c r="C1217" s="3">
        <v>280.7938</v>
      </c>
      <c r="D1217" s="3">
        <v>1906.633</v>
      </c>
      <c r="E1217" s="3">
        <v>1991.115</v>
      </c>
      <c r="F1217" s="4" t="s">
        <v>8</v>
      </c>
      <c r="G1217" s="3">
        <v>12.0</v>
      </c>
    </row>
    <row r="1218">
      <c r="A1218" s="3">
        <v>183.0</v>
      </c>
      <c r="B1218" s="3">
        <v>330.6144</v>
      </c>
      <c r="C1218" s="3">
        <v>282.0149</v>
      </c>
      <c r="D1218" s="3">
        <v>1906.633</v>
      </c>
      <c r="E1218" s="3">
        <v>1988.345</v>
      </c>
      <c r="F1218" s="4" t="s">
        <v>8</v>
      </c>
      <c r="G1218" s="3">
        <v>12.0</v>
      </c>
    </row>
    <row r="1219">
      <c r="A1219" s="3">
        <v>182.0</v>
      </c>
      <c r="B1219" s="3">
        <v>330.6144</v>
      </c>
      <c r="C1219" s="3">
        <v>281.9578</v>
      </c>
      <c r="D1219" s="3">
        <v>1906.633</v>
      </c>
      <c r="E1219" s="3">
        <v>1989.319</v>
      </c>
      <c r="F1219" s="4" t="s">
        <v>8</v>
      </c>
      <c r="G1219" s="3">
        <v>12.0</v>
      </c>
    </row>
    <row r="1220">
      <c r="A1220" s="3">
        <v>181.0</v>
      </c>
      <c r="B1220" s="3">
        <v>330.6144</v>
      </c>
      <c r="C1220" s="3">
        <v>282.3949</v>
      </c>
      <c r="D1220" s="3">
        <v>1906.633</v>
      </c>
      <c r="E1220" s="3">
        <v>1990.318</v>
      </c>
      <c r="F1220" s="4" t="s">
        <v>8</v>
      </c>
      <c r="G1220" s="3">
        <v>12.0</v>
      </c>
    </row>
    <row r="1221">
      <c r="A1221" s="3">
        <v>180.0</v>
      </c>
      <c r="B1221" s="3">
        <v>330.6144</v>
      </c>
      <c r="C1221" s="3">
        <v>282.527</v>
      </c>
      <c r="D1221" s="3">
        <v>1906.633</v>
      </c>
      <c r="E1221" s="3">
        <v>1989.798</v>
      </c>
      <c r="F1221" s="4" t="s">
        <v>8</v>
      </c>
      <c r="G1221" s="3">
        <v>12.0</v>
      </c>
    </row>
    <row r="1222">
      <c r="A1222" s="3">
        <v>179.0</v>
      </c>
      <c r="B1222" s="3">
        <v>330.6144</v>
      </c>
      <c r="C1222" s="3">
        <v>281.3774</v>
      </c>
      <c r="D1222" s="3">
        <v>1906.633</v>
      </c>
      <c r="E1222" s="3">
        <v>1991.719</v>
      </c>
      <c r="F1222" s="4" t="s">
        <v>8</v>
      </c>
      <c r="G1222" s="3">
        <v>12.0</v>
      </c>
    </row>
    <row r="1223">
      <c r="A1223" s="3">
        <v>178.0</v>
      </c>
      <c r="B1223" s="3">
        <v>330.6144</v>
      </c>
      <c r="C1223" s="3">
        <v>282.4249</v>
      </c>
      <c r="D1223" s="3">
        <v>1906.633</v>
      </c>
      <c r="E1223" s="3">
        <v>1988.586</v>
      </c>
      <c r="F1223" s="4" t="s">
        <v>8</v>
      </c>
      <c r="G1223" s="3">
        <v>12.0</v>
      </c>
    </row>
    <row r="1224">
      <c r="A1224" s="3">
        <v>177.0</v>
      </c>
      <c r="B1224" s="3">
        <v>330.6144</v>
      </c>
      <c r="C1224" s="3">
        <v>280.5754</v>
      </c>
      <c r="D1224" s="3">
        <v>1906.633</v>
      </c>
      <c r="E1224" s="3">
        <v>1991.969</v>
      </c>
      <c r="F1224" s="4" t="s">
        <v>8</v>
      </c>
      <c r="G1224" s="3">
        <v>12.0</v>
      </c>
    </row>
    <row r="1225">
      <c r="A1225" s="3">
        <v>176.0</v>
      </c>
      <c r="B1225" s="3">
        <v>330.6144</v>
      </c>
      <c r="C1225" s="3">
        <v>280.4253</v>
      </c>
      <c r="D1225" s="3">
        <v>1906.633</v>
      </c>
      <c r="E1225" s="3">
        <v>1993.364</v>
      </c>
      <c r="F1225" s="4" t="s">
        <v>8</v>
      </c>
      <c r="G1225" s="3">
        <v>12.0</v>
      </c>
    </row>
    <row r="1226">
      <c r="A1226" s="3">
        <v>175.0</v>
      </c>
      <c r="B1226" s="3">
        <v>330.6144</v>
      </c>
      <c r="C1226" s="3">
        <v>281.5204</v>
      </c>
      <c r="D1226" s="3">
        <v>1906.633</v>
      </c>
      <c r="E1226" s="3">
        <v>1991.714</v>
      </c>
      <c r="F1226" s="4" t="s">
        <v>8</v>
      </c>
      <c r="G1226" s="3">
        <v>12.0</v>
      </c>
    </row>
    <row r="1227">
      <c r="A1227" s="3">
        <v>174.0</v>
      </c>
      <c r="B1227" s="3">
        <v>330.6144</v>
      </c>
      <c r="C1227" s="3">
        <v>283.2878</v>
      </c>
      <c r="D1227" s="3">
        <v>1906.633</v>
      </c>
      <c r="E1227" s="3">
        <v>1987.656</v>
      </c>
      <c r="F1227" s="4" t="s">
        <v>8</v>
      </c>
      <c r="G1227" s="3">
        <v>12.0</v>
      </c>
    </row>
    <row r="1228">
      <c r="A1228" s="3">
        <v>173.0</v>
      </c>
      <c r="B1228" s="3">
        <v>330.6144</v>
      </c>
      <c r="C1228" s="3">
        <v>282.0941</v>
      </c>
      <c r="D1228" s="3">
        <v>1906.633</v>
      </c>
      <c r="E1228" s="3">
        <v>1988.725</v>
      </c>
      <c r="F1228" s="4" t="s">
        <v>8</v>
      </c>
      <c r="G1228" s="3">
        <v>12.0</v>
      </c>
    </row>
    <row r="1229">
      <c r="A1229" s="3">
        <v>172.0</v>
      </c>
      <c r="B1229" s="3">
        <v>330.6144</v>
      </c>
      <c r="C1229" s="3">
        <v>282.4004</v>
      </c>
      <c r="D1229" s="3">
        <v>1906.633</v>
      </c>
      <c r="E1229" s="3">
        <v>1989.154</v>
      </c>
      <c r="F1229" s="4" t="s">
        <v>8</v>
      </c>
      <c r="G1229" s="3">
        <v>12.0</v>
      </c>
    </row>
    <row r="1230">
      <c r="A1230" s="3">
        <v>171.0</v>
      </c>
      <c r="B1230" s="3">
        <v>330.6144</v>
      </c>
      <c r="C1230" s="3">
        <v>281.7595</v>
      </c>
      <c r="D1230" s="3">
        <v>1906.633</v>
      </c>
      <c r="E1230" s="3">
        <v>1989.813</v>
      </c>
      <c r="F1230" s="4" t="s">
        <v>8</v>
      </c>
      <c r="G1230" s="3">
        <v>12.0</v>
      </c>
    </row>
    <row r="1231">
      <c r="A1231" s="3">
        <v>170.0</v>
      </c>
      <c r="B1231" s="3">
        <v>330.6144</v>
      </c>
      <c r="C1231" s="3">
        <v>282.8072</v>
      </c>
      <c r="D1231" s="3">
        <v>1906.633</v>
      </c>
      <c r="E1231" s="3">
        <v>1986.87</v>
      </c>
      <c r="F1231" s="4" t="s">
        <v>8</v>
      </c>
      <c r="G1231" s="3">
        <v>12.0</v>
      </c>
    </row>
    <row r="1232">
      <c r="A1232" s="3">
        <v>169.0</v>
      </c>
      <c r="B1232" s="3">
        <v>330.6144</v>
      </c>
      <c r="C1232" s="3">
        <v>282.9488</v>
      </c>
      <c r="D1232" s="3">
        <v>1906.633</v>
      </c>
      <c r="E1232" s="3">
        <v>1987.282</v>
      </c>
      <c r="F1232" s="4" t="s">
        <v>8</v>
      </c>
      <c r="G1232" s="3">
        <v>12.0</v>
      </c>
    </row>
    <row r="1233">
      <c r="A1233" s="3">
        <v>168.0</v>
      </c>
      <c r="B1233" s="3">
        <v>330.6144</v>
      </c>
      <c r="C1233" s="3">
        <v>283.6717</v>
      </c>
      <c r="D1233" s="3">
        <v>1906.633</v>
      </c>
      <c r="E1233" s="3">
        <v>1986.894</v>
      </c>
      <c r="F1233" s="4" t="s">
        <v>8</v>
      </c>
      <c r="G1233" s="3">
        <v>12.0</v>
      </c>
    </row>
    <row r="1234">
      <c r="A1234" s="3">
        <v>167.0</v>
      </c>
      <c r="B1234" s="3">
        <v>330.6144</v>
      </c>
      <c r="C1234" s="3">
        <v>283.7095</v>
      </c>
      <c r="D1234" s="3">
        <v>1906.633</v>
      </c>
      <c r="E1234" s="3">
        <v>1985.779</v>
      </c>
      <c r="F1234" s="4" t="s">
        <v>8</v>
      </c>
      <c r="G1234" s="3">
        <v>12.0</v>
      </c>
    </row>
    <row r="1235">
      <c r="A1235" s="3">
        <v>166.0</v>
      </c>
      <c r="B1235" s="3">
        <v>330.6144</v>
      </c>
      <c r="C1235" s="3">
        <v>283.7265</v>
      </c>
      <c r="D1235" s="3">
        <v>1906.633</v>
      </c>
      <c r="E1235" s="3">
        <v>1987.7</v>
      </c>
      <c r="F1235" s="4" t="s">
        <v>8</v>
      </c>
      <c r="G1235" s="3">
        <v>12.0</v>
      </c>
    </row>
    <row r="1236">
      <c r="A1236" s="3">
        <v>165.0</v>
      </c>
      <c r="B1236" s="3">
        <v>330.6144</v>
      </c>
      <c r="C1236" s="3">
        <v>283.3163</v>
      </c>
      <c r="D1236" s="3">
        <v>1906.633</v>
      </c>
      <c r="E1236" s="3">
        <v>1988.351</v>
      </c>
      <c r="F1236" s="4" t="s">
        <v>8</v>
      </c>
      <c r="G1236" s="3">
        <v>12.0</v>
      </c>
    </row>
    <row r="1237">
      <c r="A1237" s="3">
        <v>164.0</v>
      </c>
      <c r="B1237" s="3">
        <v>330.6144</v>
      </c>
      <c r="C1237" s="3">
        <v>282.8814</v>
      </c>
      <c r="D1237" s="3">
        <v>1906.633</v>
      </c>
      <c r="E1237" s="3">
        <v>1990.866</v>
      </c>
      <c r="F1237" s="4" t="s">
        <v>8</v>
      </c>
      <c r="G1237" s="3">
        <v>12.0</v>
      </c>
    </row>
    <row r="1238">
      <c r="A1238" s="3">
        <v>163.0</v>
      </c>
      <c r="B1238" s="3">
        <v>330.6144</v>
      </c>
      <c r="C1238" s="3">
        <v>281.7698</v>
      </c>
      <c r="D1238" s="3">
        <v>1906.633</v>
      </c>
      <c r="E1238" s="3">
        <v>1991.653</v>
      </c>
      <c r="F1238" s="4" t="s">
        <v>8</v>
      </c>
      <c r="G1238" s="3">
        <v>12.0</v>
      </c>
    </row>
    <row r="1239">
      <c r="A1239" s="3">
        <v>162.0</v>
      </c>
      <c r="B1239" s="3">
        <v>330.6144</v>
      </c>
      <c r="C1239" s="3">
        <v>280.9849</v>
      </c>
      <c r="D1239" s="3">
        <v>1906.633</v>
      </c>
      <c r="E1239" s="3">
        <v>1993.325</v>
      </c>
      <c r="F1239" s="4" t="s">
        <v>8</v>
      </c>
      <c r="G1239" s="3">
        <v>12.0</v>
      </c>
    </row>
    <row r="1240">
      <c r="A1240" s="3">
        <v>161.0</v>
      </c>
      <c r="B1240" s="3">
        <v>330.6144</v>
      </c>
      <c r="C1240" s="3">
        <v>281.4981</v>
      </c>
      <c r="D1240" s="3">
        <v>1906.633</v>
      </c>
      <c r="E1240" s="3">
        <v>1989.915</v>
      </c>
      <c r="F1240" s="4" t="s">
        <v>8</v>
      </c>
      <c r="G1240" s="3">
        <v>12.0</v>
      </c>
    </row>
    <row r="1241">
      <c r="A1241" s="3">
        <v>160.0</v>
      </c>
      <c r="B1241" s="3">
        <v>329.5121</v>
      </c>
      <c r="C1241" s="3">
        <v>281.0493</v>
      </c>
      <c r="D1241" s="3">
        <v>1908.267</v>
      </c>
      <c r="E1241" s="3">
        <v>1993.098</v>
      </c>
      <c r="F1241" s="4" t="s">
        <v>8</v>
      </c>
      <c r="G1241" s="3">
        <v>12.0</v>
      </c>
    </row>
    <row r="1242">
      <c r="A1242" s="3">
        <v>159.0</v>
      </c>
      <c r="B1242" s="3">
        <v>329.3504</v>
      </c>
      <c r="C1242" s="3">
        <v>278.9422</v>
      </c>
      <c r="D1242" s="3">
        <v>1908.533</v>
      </c>
      <c r="E1242" s="3">
        <v>1996.944</v>
      </c>
      <c r="F1242" s="4" t="s">
        <v>8</v>
      </c>
      <c r="G1242" s="3">
        <v>12.0</v>
      </c>
    </row>
    <row r="1243">
      <c r="A1243" s="3">
        <v>158.0</v>
      </c>
      <c r="B1243" s="3">
        <v>329.3504</v>
      </c>
      <c r="C1243" s="3">
        <v>279.3137</v>
      </c>
      <c r="D1243" s="3">
        <v>1908.533</v>
      </c>
      <c r="E1243" s="3">
        <v>1992.715</v>
      </c>
      <c r="F1243" s="4" t="s">
        <v>8</v>
      </c>
      <c r="G1243" s="3">
        <v>12.0</v>
      </c>
    </row>
    <row r="1244">
      <c r="A1244" s="3">
        <v>157.0</v>
      </c>
      <c r="B1244" s="3">
        <v>329.3504</v>
      </c>
      <c r="C1244" s="3">
        <v>279.915</v>
      </c>
      <c r="D1244" s="3">
        <v>1908.533</v>
      </c>
      <c r="E1244" s="3">
        <v>1993.151</v>
      </c>
      <c r="F1244" s="4" t="s">
        <v>8</v>
      </c>
      <c r="G1244" s="3">
        <v>12.0</v>
      </c>
    </row>
    <row r="1245">
      <c r="A1245" s="3">
        <v>156.0</v>
      </c>
      <c r="B1245" s="3">
        <v>329.3504</v>
      </c>
      <c r="C1245" s="3">
        <v>279.7051</v>
      </c>
      <c r="D1245" s="3">
        <v>1908.533</v>
      </c>
      <c r="E1245" s="3">
        <v>1995.157</v>
      </c>
      <c r="F1245" s="4" t="s">
        <v>8</v>
      </c>
      <c r="G1245" s="3">
        <v>12.0</v>
      </c>
    </row>
    <row r="1246">
      <c r="A1246" s="3">
        <v>155.0</v>
      </c>
      <c r="B1246" s="3">
        <v>329.3504</v>
      </c>
      <c r="C1246" s="3">
        <v>280.4551</v>
      </c>
      <c r="D1246" s="3">
        <v>1908.533</v>
      </c>
      <c r="E1246" s="3">
        <v>1991.657</v>
      </c>
      <c r="F1246" s="4" t="s">
        <v>8</v>
      </c>
      <c r="G1246" s="3">
        <v>12.0</v>
      </c>
    </row>
    <row r="1247">
      <c r="A1247" s="3">
        <v>154.0</v>
      </c>
      <c r="B1247" s="3">
        <v>329.3504</v>
      </c>
      <c r="C1247" s="3">
        <v>281.6307</v>
      </c>
      <c r="D1247" s="3">
        <v>1908.533</v>
      </c>
      <c r="E1247" s="3">
        <v>1986.698</v>
      </c>
      <c r="F1247" s="4" t="s">
        <v>8</v>
      </c>
      <c r="G1247" s="3">
        <v>12.0</v>
      </c>
    </row>
    <row r="1248">
      <c r="A1248" s="3">
        <v>153.0</v>
      </c>
      <c r="B1248" s="3">
        <v>329.3504</v>
      </c>
      <c r="C1248" s="3">
        <v>279.848</v>
      </c>
      <c r="D1248" s="3">
        <v>1908.533</v>
      </c>
      <c r="E1248" s="3">
        <v>1990.332</v>
      </c>
      <c r="F1248" s="4" t="s">
        <v>8</v>
      </c>
      <c r="G1248" s="3">
        <v>12.0</v>
      </c>
    </row>
    <row r="1249">
      <c r="A1249" s="3">
        <v>152.0</v>
      </c>
      <c r="B1249" s="3">
        <v>329.3504</v>
      </c>
      <c r="C1249" s="3">
        <v>281.8561</v>
      </c>
      <c r="D1249" s="3">
        <v>1908.533</v>
      </c>
      <c r="E1249" s="3">
        <v>1987.625</v>
      </c>
      <c r="F1249" s="4" t="s">
        <v>8</v>
      </c>
      <c r="G1249" s="3">
        <v>12.0</v>
      </c>
    </row>
    <row r="1250">
      <c r="A1250" s="3">
        <v>151.0</v>
      </c>
      <c r="B1250" s="3">
        <v>329.3504</v>
      </c>
      <c r="C1250" s="3">
        <v>282.6137</v>
      </c>
      <c r="D1250" s="3">
        <v>1908.533</v>
      </c>
      <c r="E1250" s="3">
        <v>1986.802</v>
      </c>
      <c r="F1250" s="4" t="s">
        <v>8</v>
      </c>
      <c r="G1250" s="3">
        <v>12.0</v>
      </c>
    </row>
    <row r="1251">
      <c r="A1251" s="3">
        <v>150.0</v>
      </c>
      <c r="B1251" s="3">
        <v>329.3504</v>
      </c>
      <c r="C1251" s="3">
        <v>282.047</v>
      </c>
      <c r="D1251" s="3">
        <v>1908.533</v>
      </c>
      <c r="E1251" s="3">
        <v>1986.341</v>
      </c>
      <c r="F1251" s="4" t="s">
        <v>8</v>
      </c>
      <c r="G1251" s="3">
        <v>12.0</v>
      </c>
    </row>
    <row r="1252">
      <c r="A1252" s="3">
        <v>149.0</v>
      </c>
      <c r="B1252" s="3">
        <v>329.3504</v>
      </c>
      <c r="C1252" s="3">
        <v>281.4742</v>
      </c>
      <c r="D1252" s="3">
        <v>1908.533</v>
      </c>
      <c r="E1252" s="3">
        <v>1989.507</v>
      </c>
      <c r="F1252" s="4" t="s">
        <v>8</v>
      </c>
      <c r="G1252" s="3">
        <v>12.0</v>
      </c>
    </row>
    <row r="1253">
      <c r="A1253" s="3">
        <v>148.0</v>
      </c>
      <c r="B1253" s="3">
        <v>329.3504</v>
      </c>
      <c r="C1253" s="3">
        <v>282.3229</v>
      </c>
      <c r="D1253" s="3">
        <v>1908.533</v>
      </c>
      <c r="E1253" s="3">
        <v>1988.564</v>
      </c>
      <c r="F1253" s="4" t="s">
        <v>8</v>
      </c>
      <c r="G1253" s="3">
        <v>12.0</v>
      </c>
    </row>
    <row r="1254">
      <c r="A1254" s="3">
        <v>147.0</v>
      </c>
      <c r="B1254" s="3">
        <v>329.3504</v>
      </c>
      <c r="C1254" s="3">
        <v>281.5571</v>
      </c>
      <c r="D1254" s="3">
        <v>1908.533</v>
      </c>
      <c r="E1254" s="3">
        <v>1991.949</v>
      </c>
      <c r="F1254" s="4" t="s">
        <v>8</v>
      </c>
      <c r="G1254" s="3">
        <v>12.0</v>
      </c>
    </row>
    <row r="1255">
      <c r="A1255" s="3">
        <v>146.0</v>
      </c>
      <c r="B1255" s="3">
        <v>329.3504</v>
      </c>
      <c r="C1255" s="3">
        <v>282.4293</v>
      </c>
      <c r="D1255" s="3">
        <v>1908.533</v>
      </c>
      <c r="E1255" s="3">
        <v>1989.973</v>
      </c>
      <c r="F1255" s="4" t="s">
        <v>8</v>
      </c>
      <c r="G1255" s="3">
        <v>12.0</v>
      </c>
    </row>
    <row r="1256">
      <c r="A1256" s="3">
        <v>145.0</v>
      </c>
      <c r="B1256" s="3">
        <v>329.3504</v>
      </c>
      <c r="C1256" s="3">
        <v>282.765</v>
      </c>
      <c r="D1256" s="3">
        <v>1908.533</v>
      </c>
      <c r="E1256" s="3">
        <v>1987.438</v>
      </c>
      <c r="F1256" s="4" t="s">
        <v>8</v>
      </c>
      <c r="G1256" s="3">
        <v>12.0</v>
      </c>
    </row>
    <row r="1257">
      <c r="A1257" s="3">
        <v>144.0</v>
      </c>
      <c r="B1257" s="3">
        <v>329.3504</v>
      </c>
      <c r="C1257" s="3">
        <v>282.215</v>
      </c>
      <c r="D1257" s="3">
        <v>1908.533</v>
      </c>
      <c r="E1257" s="3">
        <v>1989.984</v>
      </c>
      <c r="F1257" s="4" t="s">
        <v>8</v>
      </c>
      <c r="G1257" s="3">
        <v>12.0</v>
      </c>
    </row>
    <row r="1258">
      <c r="A1258" s="3">
        <v>143.0</v>
      </c>
      <c r="B1258" s="3">
        <v>329.3504</v>
      </c>
      <c r="C1258" s="3">
        <v>281.4991</v>
      </c>
      <c r="D1258" s="3">
        <v>1908.533</v>
      </c>
      <c r="E1258" s="3">
        <v>1991.925</v>
      </c>
      <c r="F1258" s="4" t="s">
        <v>8</v>
      </c>
      <c r="G1258" s="3">
        <v>12.0</v>
      </c>
    </row>
    <row r="1259">
      <c r="A1259" s="3">
        <v>142.0</v>
      </c>
      <c r="B1259" s="3">
        <v>329.3504</v>
      </c>
      <c r="C1259" s="3">
        <v>281.9674</v>
      </c>
      <c r="D1259" s="3">
        <v>1908.533</v>
      </c>
      <c r="E1259" s="3">
        <v>1992.234</v>
      </c>
      <c r="F1259" s="4" t="s">
        <v>8</v>
      </c>
      <c r="G1259" s="3">
        <v>12.0</v>
      </c>
    </row>
    <row r="1260">
      <c r="A1260" s="3">
        <v>141.0</v>
      </c>
      <c r="B1260" s="3">
        <v>329.3504</v>
      </c>
      <c r="C1260" s="3">
        <v>281.6006</v>
      </c>
      <c r="D1260" s="3">
        <v>1908.533</v>
      </c>
      <c r="E1260" s="3">
        <v>1992.18</v>
      </c>
      <c r="F1260" s="4" t="s">
        <v>8</v>
      </c>
      <c r="G1260" s="3">
        <v>12.0</v>
      </c>
    </row>
    <row r="1261">
      <c r="A1261" s="3">
        <v>140.0</v>
      </c>
      <c r="B1261" s="3">
        <v>329.3504</v>
      </c>
      <c r="C1261" s="3">
        <v>283.2531</v>
      </c>
      <c r="D1261" s="3">
        <v>1908.533</v>
      </c>
      <c r="E1261" s="3">
        <v>1988.923</v>
      </c>
      <c r="F1261" s="4" t="s">
        <v>8</v>
      </c>
      <c r="G1261" s="3">
        <v>12.0</v>
      </c>
    </row>
    <row r="1262">
      <c r="A1262" s="3">
        <v>139.0</v>
      </c>
      <c r="B1262" s="3">
        <v>329.3504</v>
      </c>
      <c r="C1262" s="3">
        <v>283.3739</v>
      </c>
      <c r="D1262" s="3">
        <v>1908.533</v>
      </c>
      <c r="E1262" s="3">
        <v>1989.073</v>
      </c>
      <c r="F1262" s="4" t="s">
        <v>8</v>
      </c>
      <c r="G1262" s="3">
        <v>12.0</v>
      </c>
    </row>
    <row r="1263">
      <c r="A1263" s="3">
        <v>138.0</v>
      </c>
      <c r="B1263" s="3">
        <v>329.3504</v>
      </c>
      <c r="C1263" s="3">
        <v>283.8747</v>
      </c>
      <c r="D1263" s="3">
        <v>1908.533</v>
      </c>
      <c r="E1263" s="3">
        <v>1986.813</v>
      </c>
      <c r="F1263" s="4" t="s">
        <v>8</v>
      </c>
      <c r="G1263" s="3">
        <v>12.0</v>
      </c>
    </row>
    <row r="1264">
      <c r="A1264" s="3">
        <v>137.0</v>
      </c>
      <c r="B1264" s="3">
        <v>329.3504</v>
      </c>
      <c r="C1264" s="3">
        <v>283.2118</v>
      </c>
      <c r="D1264" s="3">
        <v>1908.533</v>
      </c>
      <c r="E1264" s="3">
        <v>1989.522</v>
      </c>
      <c r="F1264" s="4" t="s">
        <v>8</v>
      </c>
      <c r="G1264" s="3">
        <v>12.0</v>
      </c>
    </row>
    <row r="1265">
      <c r="A1265" s="3">
        <v>136.0</v>
      </c>
      <c r="B1265" s="3">
        <v>329.3504</v>
      </c>
      <c r="C1265" s="3">
        <v>283.2213</v>
      </c>
      <c r="D1265" s="3">
        <v>1908.533</v>
      </c>
      <c r="E1265" s="3">
        <v>1986.841</v>
      </c>
      <c r="F1265" s="4" t="s">
        <v>8</v>
      </c>
      <c r="G1265" s="3">
        <v>12.0</v>
      </c>
    </row>
    <row r="1266">
      <c r="A1266" s="3">
        <v>135.0</v>
      </c>
      <c r="B1266" s="3">
        <v>329.3504</v>
      </c>
      <c r="C1266" s="3">
        <v>281.4921</v>
      </c>
      <c r="D1266" s="3">
        <v>1908.533</v>
      </c>
      <c r="E1266" s="3">
        <v>1991.479</v>
      </c>
      <c r="F1266" s="4" t="s">
        <v>8</v>
      </c>
      <c r="G1266" s="3">
        <v>12.0</v>
      </c>
    </row>
    <row r="1267">
      <c r="A1267" s="3">
        <v>134.0</v>
      </c>
      <c r="B1267" s="3">
        <v>329.3504</v>
      </c>
      <c r="C1267" s="3">
        <v>282.5931</v>
      </c>
      <c r="D1267" s="3">
        <v>1908.533</v>
      </c>
      <c r="E1267" s="3">
        <v>1988.687</v>
      </c>
      <c r="F1267" s="4" t="s">
        <v>8</v>
      </c>
      <c r="G1267" s="3">
        <v>12.0</v>
      </c>
    </row>
    <row r="1268">
      <c r="A1268" s="3">
        <v>133.0</v>
      </c>
      <c r="B1268" s="3">
        <v>329.3504</v>
      </c>
      <c r="C1268" s="3">
        <v>282.7644</v>
      </c>
      <c r="D1268" s="3">
        <v>1908.533</v>
      </c>
      <c r="E1268" s="3">
        <v>1988.553</v>
      </c>
      <c r="F1268" s="4" t="s">
        <v>8</v>
      </c>
      <c r="G1268" s="3">
        <v>12.0</v>
      </c>
    </row>
    <row r="1269">
      <c r="A1269" s="3">
        <v>132.0</v>
      </c>
      <c r="B1269" s="3">
        <v>329.3504</v>
      </c>
      <c r="C1269" s="3">
        <v>281.7585</v>
      </c>
      <c r="D1269" s="3">
        <v>1908.533</v>
      </c>
      <c r="E1269" s="3">
        <v>1990.578</v>
      </c>
      <c r="F1269" s="4" t="s">
        <v>8</v>
      </c>
      <c r="G1269" s="3">
        <v>12.0</v>
      </c>
    </row>
    <row r="1270">
      <c r="A1270" s="3">
        <v>131.0</v>
      </c>
      <c r="B1270" s="3">
        <v>329.3504</v>
      </c>
      <c r="C1270" s="3">
        <v>282.133</v>
      </c>
      <c r="D1270" s="3">
        <v>1908.533</v>
      </c>
      <c r="E1270" s="3">
        <v>1987.22</v>
      </c>
      <c r="F1270" s="4" t="s">
        <v>8</v>
      </c>
      <c r="G1270" s="3">
        <v>12.0</v>
      </c>
    </row>
    <row r="1271">
      <c r="A1271" s="3">
        <v>130.0</v>
      </c>
      <c r="B1271" s="3">
        <v>329.3504</v>
      </c>
      <c r="C1271" s="3">
        <v>281.2108</v>
      </c>
      <c r="D1271" s="3">
        <v>1908.533</v>
      </c>
      <c r="E1271" s="3">
        <v>1990.122</v>
      </c>
      <c r="F1271" s="4" t="s">
        <v>8</v>
      </c>
      <c r="G1271" s="3">
        <v>12.0</v>
      </c>
    </row>
    <row r="1272">
      <c r="A1272" s="3">
        <v>129.0</v>
      </c>
      <c r="B1272" s="3">
        <v>329.3504</v>
      </c>
      <c r="C1272" s="3">
        <v>282.8318</v>
      </c>
      <c r="D1272" s="3">
        <v>1908.533</v>
      </c>
      <c r="E1272" s="3">
        <v>1989.354</v>
      </c>
      <c r="F1272" s="4" t="s">
        <v>8</v>
      </c>
      <c r="G1272" s="3">
        <v>12.0</v>
      </c>
    </row>
    <row r="1273">
      <c r="A1273" s="3">
        <v>128.0</v>
      </c>
      <c r="B1273" s="3">
        <v>328.7554</v>
      </c>
      <c r="C1273" s="3">
        <v>283.0536</v>
      </c>
      <c r="D1273" s="3">
        <v>1909.133</v>
      </c>
      <c r="E1273" s="3">
        <v>1987.413</v>
      </c>
      <c r="F1273" s="4" t="s">
        <v>8</v>
      </c>
      <c r="G1273" s="3">
        <v>12.0</v>
      </c>
    </row>
    <row r="1274">
      <c r="A1274" s="3">
        <v>127.0</v>
      </c>
      <c r="B1274" s="3">
        <v>328.114</v>
      </c>
      <c r="C1274" s="3">
        <v>281.934</v>
      </c>
      <c r="D1274" s="3">
        <v>1909.833</v>
      </c>
      <c r="E1274" s="3">
        <v>1991.489</v>
      </c>
      <c r="F1274" s="4" t="s">
        <v>8</v>
      </c>
      <c r="G1274" s="3">
        <v>12.0</v>
      </c>
    </row>
    <row r="1275">
      <c r="A1275" s="3">
        <v>126.0</v>
      </c>
      <c r="B1275" s="3">
        <v>328.114</v>
      </c>
      <c r="C1275" s="3">
        <v>282.1809</v>
      </c>
      <c r="D1275" s="3">
        <v>1909.833</v>
      </c>
      <c r="E1275" s="3">
        <v>1989.459</v>
      </c>
      <c r="F1275" s="4" t="s">
        <v>8</v>
      </c>
      <c r="G1275" s="3">
        <v>12.0</v>
      </c>
    </row>
    <row r="1276">
      <c r="A1276" s="3">
        <v>125.0</v>
      </c>
      <c r="B1276" s="3">
        <v>328.114</v>
      </c>
      <c r="C1276" s="3">
        <v>281.8532</v>
      </c>
      <c r="D1276" s="3">
        <v>1909.833</v>
      </c>
      <c r="E1276" s="3">
        <v>1990.487</v>
      </c>
      <c r="F1276" s="4" t="s">
        <v>8</v>
      </c>
      <c r="G1276" s="3">
        <v>12.0</v>
      </c>
    </row>
    <row r="1277">
      <c r="A1277" s="3">
        <v>124.0</v>
      </c>
      <c r="B1277" s="3">
        <v>328.114</v>
      </c>
      <c r="C1277" s="3">
        <v>281.6212</v>
      </c>
      <c r="D1277" s="3">
        <v>1909.833</v>
      </c>
      <c r="E1277" s="3">
        <v>1990.867</v>
      </c>
      <c r="F1277" s="4" t="s">
        <v>8</v>
      </c>
      <c r="G1277" s="3">
        <v>12.0</v>
      </c>
    </row>
    <row r="1278">
      <c r="A1278" s="3">
        <v>123.0</v>
      </c>
      <c r="B1278" s="3">
        <v>328.114</v>
      </c>
      <c r="C1278" s="3">
        <v>280.7875</v>
      </c>
      <c r="D1278" s="3">
        <v>1909.833</v>
      </c>
      <c r="E1278" s="3">
        <v>1992.426</v>
      </c>
      <c r="F1278" s="4" t="s">
        <v>8</v>
      </c>
      <c r="G1278" s="3">
        <v>12.0</v>
      </c>
    </row>
    <row r="1279">
      <c r="A1279" s="3">
        <v>122.0</v>
      </c>
      <c r="B1279" s="3">
        <v>328.114</v>
      </c>
      <c r="C1279" s="3">
        <v>281.4133</v>
      </c>
      <c r="D1279" s="3">
        <v>1909.833</v>
      </c>
      <c r="E1279" s="3">
        <v>1991.727</v>
      </c>
      <c r="F1279" s="4" t="s">
        <v>8</v>
      </c>
      <c r="G1279" s="3">
        <v>12.0</v>
      </c>
    </row>
    <row r="1280">
      <c r="A1280" s="3">
        <v>121.0</v>
      </c>
      <c r="B1280" s="3">
        <v>328.114</v>
      </c>
      <c r="C1280" s="3">
        <v>282.7378</v>
      </c>
      <c r="D1280" s="3">
        <v>1909.833</v>
      </c>
      <c r="E1280" s="3">
        <v>1987.644</v>
      </c>
      <c r="F1280" s="4" t="s">
        <v>8</v>
      </c>
      <c r="G1280" s="3">
        <v>12.0</v>
      </c>
    </row>
    <row r="1281">
      <c r="A1281" s="3">
        <v>120.0</v>
      </c>
      <c r="B1281" s="3">
        <v>328.114</v>
      </c>
      <c r="C1281" s="3">
        <v>282.1302</v>
      </c>
      <c r="D1281" s="3">
        <v>1909.833</v>
      </c>
      <c r="E1281" s="3">
        <v>1988.661</v>
      </c>
      <c r="F1281" s="4" t="s">
        <v>8</v>
      </c>
      <c r="G1281" s="3">
        <v>12.0</v>
      </c>
    </row>
    <row r="1282">
      <c r="A1282" s="3">
        <v>119.0</v>
      </c>
      <c r="B1282" s="3">
        <v>328.114</v>
      </c>
      <c r="C1282" s="3">
        <v>280.855</v>
      </c>
      <c r="D1282" s="3">
        <v>1909.833</v>
      </c>
      <c r="E1282" s="3">
        <v>1993.856</v>
      </c>
      <c r="F1282" s="4" t="s">
        <v>8</v>
      </c>
      <c r="G1282" s="3">
        <v>12.0</v>
      </c>
    </row>
    <row r="1283">
      <c r="A1283" s="3">
        <v>118.0</v>
      </c>
      <c r="B1283" s="3">
        <v>328.114</v>
      </c>
      <c r="C1283" s="3">
        <v>280.7797</v>
      </c>
      <c r="D1283" s="3">
        <v>1909.833</v>
      </c>
      <c r="E1283" s="3">
        <v>1994.344</v>
      </c>
      <c r="F1283" s="4" t="s">
        <v>8</v>
      </c>
      <c r="G1283" s="3">
        <v>12.0</v>
      </c>
    </row>
    <row r="1284">
      <c r="A1284" s="3">
        <v>117.0</v>
      </c>
      <c r="B1284" s="3">
        <v>328.114</v>
      </c>
      <c r="C1284" s="3">
        <v>279.9505</v>
      </c>
      <c r="D1284" s="3">
        <v>1909.833</v>
      </c>
      <c r="E1284" s="3">
        <v>1995.909</v>
      </c>
      <c r="F1284" s="4" t="s">
        <v>8</v>
      </c>
      <c r="G1284" s="3">
        <v>12.0</v>
      </c>
    </row>
    <row r="1285">
      <c r="A1285" s="3">
        <v>116.0</v>
      </c>
      <c r="B1285" s="3">
        <v>328.114</v>
      </c>
      <c r="C1285" s="3">
        <v>280.3573</v>
      </c>
      <c r="D1285" s="3">
        <v>1909.833</v>
      </c>
      <c r="E1285" s="3">
        <v>1994.078</v>
      </c>
      <c r="F1285" s="4" t="s">
        <v>8</v>
      </c>
      <c r="G1285" s="3">
        <v>12.0</v>
      </c>
    </row>
    <row r="1286">
      <c r="A1286" s="3">
        <v>115.0</v>
      </c>
      <c r="B1286" s="3">
        <v>328.114</v>
      </c>
      <c r="C1286" s="3">
        <v>282.4259</v>
      </c>
      <c r="D1286" s="3">
        <v>1909.833</v>
      </c>
      <c r="E1286" s="3">
        <v>1988.923</v>
      </c>
      <c r="F1286" s="4" t="s">
        <v>8</v>
      </c>
      <c r="G1286" s="3">
        <v>12.0</v>
      </c>
    </row>
    <row r="1287">
      <c r="A1287" s="3">
        <v>114.0</v>
      </c>
      <c r="B1287" s="3">
        <v>328.114</v>
      </c>
      <c r="C1287" s="3">
        <v>283.0886</v>
      </c>
      <c r="D1287" s="3">
        <v>1909.833</v>
      </c>
      <c r="E1287" s="3">
        <v>1985.568</v>
      </c>
      <c r="F1287" s="4" t="s">
        <v>8</v>
      </c>
      <c r="G1287" s="3">
        <v>12.0</v>
      </c>
    </row>
    <row r="1288">
      <c r="A1288" s="3">
        <v>113.0</v>
      </c>
      <c r="B1288" s="3">
        <v>328.114</v>
      </c>
      <c r="C1288" s="3">
        <v>281.2993</v>
      </c>
      <c r="D1288" s="3">
        <v>1909.833</v>
      </c>
      <c r="E1288" s="3">
        <v>1990.807</v>
      </c>
      <c r="F1288" s="4" t="s">
        <v>8</v>
      </c>
      <c r="G1288" s="3">
        <v>12.0</v>
      </c>
    </row>
    <row r="1289">
      <c r="A1289" s="3">
        <v>112.0</v>
      </c>
      <c r="B1289" s="3">
        <v>328.114</v>
      </c>
      <c r="C1289" s="3">
        <v>282.0762</v>
      </c>
      <c r="D1289" s="3">
        <v>1909.833</v>
      </c>
      <c r="E1289" s="3">
        <v>1987.24</v>
      </c>
      <c r="F1289" s="4" t="s">
        <v>8</v>
      </c>
      <c r="G1289" s="3">
        <v>12.0</v>
      </c>
    </row>
    <row r="1290">
      <c r="A1290" s="3">
        <v>111.0</v>
      </c>
      <c r="B1290" s="3">
        <v>328.114</v>
      </c>
      <c r="C1290" s="3">
        <v>281.4023</v>
      </c>
      <c r="D1290" s="3">
        <v>1909.833</v>
      </c>
      <c r="E1290" s="3">
        <v>1989.139</v>
      </c>
      <c r="F1290" s="4" t="s">
        <v>8</v>
      </c>
      <c r="G1290" s="3">
        <v>12.0</v>
      </c>
    </row>
    <row r="1291">
      <c r="A1291" s="3">
        <v>110.0</v>
      </c>
      <c r="B1291" s="3">
        <v>328.114</v>
      </c>
      <c r="C1291" s="3">
        <v>281.661</v>
      </c>
      <c r="D1291" s="3">
        <v>1909.833</v>
      </c>
      <c r="E1291" s="3">
        <v>1989.31</v>
      </c>
      <c r="F1291" s="4" t="s">
        <v>8</v>
      </c>
      <c r="G1291" s="3">
        <v>12.0</v>
      </c>
    </row>
    <row r="1292">
      <c r="A1292" s="3">
        <v>109.0</v>
      </c>
      <c r="B1292" s="3">
        <v>328.114</v>
      </c>
      <c r="C1292" s="3">
        <v>281.5709</v>
      </c>
      <c r="D1292" s="3">
        <v>1909.833</v>
      </c>
      <c r="E1292" s="3">
        <v>1988.174</v>
      </c>
      <c r="F1292" s="4" t="s">
        <v>8</v>
      </c>
      <c r="G1292" s="3">
        <v>12.0</v>
      </c>
    </row>
    <row r="1293">
      <c r="A1293" s="3">
        <v>108.0</v>
      </c>
      <c r="B1293" s="3">
        <v>328.114</v>
      </c>
      <c r="C1293" s="3">
        <v>281.487</v>
      </c>
      <c r="D1293" s="3">
        <v>1909.833</v>
      </c>
      <c r="E1293" s="3">
        <v>1988.992</v>
      </c>
      <c r="F1293" s="4" t="s">
        <v>8</v>
      </c>
      <c r="G1293" s="3">
        <v>12.0</v>
      </c>
    </row>
    <row r="1294">
      <c r="A1294" s="3">
        <v>107.0</v>
      </c>
      <c r="B1294" s="3">
        <v>328.114</v>
      </c>
      <c r="C1294" s="3">
        <v>279.6214</v>
      </c>
      <c r="D1294" s="3">
        <v>1909.833</v>
      </c>
      <c r="E1294" s="3">
        <v>1993.008</v>
      </c>
      <c r="F1294" s="4" t="s">
        <v>8</v>
      </c>
      <c r="G1294" s="3">
        <v>12.0</v>
      </c>
    </row>
    <row r="1295">
      <c r="A1295" s="3">
        <v>106.0</v>
      </c>
      <c r="B1295" s="3">
        <v>328.114</v>
      </c>
      <c r="C1295" s="3">
        <v>280.9415</v>
      </c>
      <c r="D1295" s="3">
        <v>1909.833</v>
      </c>
      <c r="E1295" s="3">
        <v>1991.64</v>
      </c>
      <c r="F1295" s="4" t="s">
        <v>8</v>
      </c>
      <c r="G1295" s="3">
        <v>12.0</v>
      </c>
    </row>
    <row r="1296">
      <c r="A1296" s="3">
        <v>105.0</v>
      </c>
      <c r="B1296" s="3">
        <v>328.114</v>
      </c>
      <c r="C1296" s="3">
        <v>281.9674</v>
      </c>
      <c r="D1296" s="3">
        <v>1909.833</v>
      </c>
      <c r="E1296" s="3">
        <v>1988.562</v>
      </c>
      <c r="F1296" s="4" t="s">
        <v>8</v>
      </c>
      <c r="G1296" s="3">
        <v>12.0</v>
      </c>
    </row>
    <row r="1297">
      <c r="A1297" s="3">
        <v>104.0</v>
      </c>
      <c r="B1297" s="3">
        <v>328.114</v>
      </c>
      <c r="C1297" s="3">
        <v>282.5201</v>
      </c>
      <c r="D1297" s="3">
        <v>1909.833</v>
      </c>
      <c r="E1297" s="3">
        <v>1987.483</v>
      </c>
      <c r="F1297" s="4" t="s">
        <v>8</v>
      </c>
      <c r="G1297" s="3">
        <v>12.0</v>
      </c>
    </row>
    <row r="1298">
      <c r="A1298" s="3">
        <v>103.0</v>
      </c>
      <c r="B1298" s="3">
        <v>328.114</v>
      </c>
      <c r="C1298" s="3">
        <v>282.929</v>
      </c>
      <c r="D1298" s="3">
        <v>1909.833</v>
      </c>
      <c r="E1298" s="3">
        <v>1986.937</v>
      </c>
      <c r="F1298" s="4" t="s">
        <v>8</v>
      </c>
      <c r="G1298" s="3">
        <v>12.0</v>
      </c>
    </row>
    <row r="1299">
      <c r="A1299" s="3">
        <v>102.0</v>
      </c>
      <c r="B1299" s="3">
        <v>328.114</v>
      </c>
      <c r="C1299" s="3">
        <v>283.6282</v>
      </c>
      <c r="D1299" s="3">
        <v>1909.833</v>
      </c>
      <c r="E1299" s="3">
        <v>1983.923</v>
      </c>
      <c r="F1299" s="4" t="s">
        <v>8</v>
      </c>
      <c r="G1299" s="3">
        <v>12.0</v>
      </c>
    </row>
    <row r="1300">
      <c r="A1300" s="3">
        <v>101.0</v>
      </c>
      <c r="B1300" s="3">
        <v>328.114</v>
      </c>
      <c r="C1300" s="3">
        <v>282.8673</v>
      </c>
      <c r="D1300" s="3">
        <v>1909.833</v>
      </c>
      <c r="E1300" s="3">
        <v>1984.544</v>
      </c>
      <c r="F1300" s="4" t="s">
        <v>8</v>
      </c>
      <c r="G1300" s="3">
        <v>12.0</v>
      </c>
    </row>
    <row r="1301">
      <c r="A1301" s="3">
        <v>100.0</v>
      </c>
      <c r="B1301" s="3">
        <v>328.114</v>
      </c>
      <c r="C1301" s="3">
        <v>283.6317</v>
      </c>
      <c r="D1301" s="3">
        <v>1909.833</v>
      </c>
      <c r="E1301" s="3">
        <v>1983.827</v>
      </c>
      <c r="F1301" s="4" t="s">
        <v>8</v>
      </c>
      <c r="G1301" s="3">
        <v>12.0</v>
      </c>
    </row>
    <row r="1302">
      <c r="A1302" s="3">
        <v>99.0</v>
      </c>
      <c r="B1302" s="3">
        <v>328.114</v>
      </c>
      <c r="C1302" s="3">
        <v>283.5477</v>
      </c>
      <c r="D1302" s="3">
        <v>1909.833</v>
      </c>
      <c r="E1302" s="3">
        <v>1986.021</v>
      </c>
      <c r="F1302" s="4" t="s">
        <v>8</v>
      </c>
      <c r="G1302" s="3">
        <v>12.0</v>
      </c>
    </row>
    <row r="1303">
      <c r="A1303" s="3">
        <v>98.0</v>
      </c>
      <c r="B1303" s="3">
        <v>328.114</v>
      </c>
      <c r="C1303" s="3">
        <v>283.1097</v>
      </c>
      <c r="D1303" s="3">
        <v>1909.833</v>
      </c>
      <c r="E1303" s="3">
        <v>1985.771</v>
      </c>
      <c r="F1303" s="4" t="s">
        <v>8</v>
      </c>
      <c r="G1303" s="3">
        <v>12.0</v>
      </c>
    </row>
    <row r="1304">
      <c r="A1304" s="3">
        <v>97.0</v>
      </c>
      <c r="B1304" s="3">
        <v>328.114</v>
      </c>
      <c r="C1304" s="3">
        <v>283.4108</v>
      </c>
      <c r="D1304" s="3">
        <v>1909.833</v>
      </c>
      <c r="E1304" s="3">
        <v>1985.409</v>
      </c>
      <c r="F1304" s="4" t="s">
        <v>8</v>
      </c>
      <c r="G1304" s="3">
        <v>12.0</v>
      </c>
    </row>
    <row r="1305">
      <c r="A1305" s="3">
        <v>96.0</v>
      </c>
      <c r="B1305" s="3">
        <v>328.114</v>
      </c>
      <c r="C1305" s="3">
        <v>282.3937</v>
      </c>
      <c r="D1305" s="3">
        <v>1909.833</v>
      </c>
      <c r="E1305" s="3">
        <v>1987.771</v>
      </c>
      <c r="F1305" s="4" t="s">
        <v>8</v>
      </c>
      <c r="G1305" s="3">
        <v>12.0</v>
      </c>
    </row>
    <row r="1306">
      <c r="A1306" s="3">
        <v>95.0</v>
      </c>
      <c r="B1306" s="3">
        <v>328.114</v>
      </c>
      <c r="C1306" s="3">
        <v>280.4338</v>
      </c>
      <c r="D1306" s="3">
        <v>1909.833</v>
      </c>
      <c r="E1306" s="3">
        <v>1991.902</v>
      </c>
      <c r="F1306" s="4" t="s">
        <v>8</v>
      </c>
      <c r="G1306" s="3">
        <v>12.0</v>
      </c>
    </row>
    <row r="1307">
      <c r="A1307" s="3">
        <v>94.0</v>
      </c>
      <c r="B1307" s="3">
        <v>328.114</v>
      </c>
      <c r="C1307" s="3">
        <v>280.6061</v>
      </c>
      <c r="D1307" s="3">
        <v>1909.833</v>
      </c>
      <c r="E1307" s="3">
        <v>1994.173</v>
      </c>
      <c r="F1307" s="4" t="s">
        <v>8</v>
      </c>
      <c r="G1307" s="3">
        <v>12.0</v>
      </c>
    </row>
    <row r="1308">
      <c r="A1308" s="3">
        <v>93.0</v>
      </c>
      <c r="B1308" s="3">
        <v>328.114</v>
      </c>
      <c r="C1308" s="3">
        <v>279.9991</v>
      </c>
      <c r="D1308" s="3">
        <v>1909.833</v>
      </c>
      <c r="E1308" s="3">
        <v>1992.139</v>
      </c>
      <c r="F1308" s="4" t="s">
        <v>8</v>
      </c>
      <c r="G1308" s="3">
        <v>12.0</v>
      </c>
    </row>
    <row r="1309">
      <c r="A1309" s="3">
        <v>92.0</v>
      </c>
      <c r="B1309" s="3">
        <v>328.114</v>
      </c>
      <c r="C1309" s="3">
        <v>280.7024</v>
      </c>
      <c r="D1309" s="3">
        <v>1909.833</v>
      </c>
      <c r="E1309" s="3">
        <v>1989.148</v>
      </c>
      <c r="F1309" s="4" t="s">
        <v>8</v>
      </c>
      <c r="G1309" s="3">
        <v>12.0</v>
      </c>
    </row>
    <row r="1310">
      <c r="A1310" s="3">
        <v>91.0</v>
      </c>
      <c r="B1310" s="3">
        <v>328.114</v>
      </c>
      <c r="C1310" s="3">
        <v>280.3409</v>
      </c>
      <c r="D1310" s="3">
        <v>1909.833</v>
      </c>
      <c r="E1310" s="3">
        <v>1990.465</v>
      </c>
      <c r="F1310" s="4" t="s">
        <v>8</v>
      </c>
      <c r="G1310" s="3">
        <v>12.0</v>
      </c>
    </row>
    <row r="1311">
      <c r="A1311" s="3">
        <v>90.0</v>
      </c>
      <c r="B1311" s="3">
        <v>328.114</v>
      </c>
      <c r="C1311" s="3">
        <v>280.8962</v>
      </c>
      <c r="D1311" s="3">
        <v>1909.833</v>
      </c>
      <c r="E1311" s="3">
        <v>1988.572</v>
      </c>
      <c r="F1311" s="4" t="s">
        <v>8</v>
      </c>
      <c r="G1311" s="3">
        <v>12.0</v>
      </c>
    </row>
    <row r="1312">
      <c r="A1312" s="3">
        <v>89.0</v>
      </c>
      <c r="B1312" s="3">
        <v>328.114</v>
      </c>
      <c r="C1312" s="3">
        <v>280.3134</v>
      </c>
      <c r="D1312" s="3">
        <v>1909.833</v>
      </c>
      <c r="E1312" s="3">
        <v>1993.087</v>
      </c>
      <c r="F1312" s="4" t="s">
        <v>8</v>
      </c>
      <c r="G1312" s="3">
        <v>12.0</v>
      </c>
    </row>
    <row r="1313">
      <c r="A1313" s="3">
        <v>88.0</v>
      </c>
      <c r="B1313" s="3">
        <v>328.114</v>
      </c>
      <c r="C1313" s="3">
        <v>280.2105</v>
      </c>
      <c r="D1313" s="3">
        <v>1909.833</v>
      </c>
      <c r="E1313" s="3">
        <v>1993.156</v>
      </c>
      <c r="F1313" s="4" t="s">
        <v>8</v>
      </c>
      <c r="G1313" s="3">
        <v>12.0</v>
      </c>
    </row>
    <row r="1314">
      <c r="A1314" s="3">
        <v>87.0</v>
      </c>
      <c r="B1314" s="3">
        <v>328.114</v>
      </c>
      <c r="C1314" s="3">
        <v>278.711</v>
      </c>
      <c r="D1314" s="3">
        <v>1909.833</v>
      </c>
      <c r="E1314" s="3">
        <v>1996.079</v>
      </c>
      <c r="F1314" s="4" t="s">
        <v>8</v>
      </c>
      <c r="G1314" s="3">
        <v>12.0</v>
      </c>
    </row>
    <row r="1315">
      <c r="A1315" s="3">
        <v>86.0</v>
      </c>
      <c r="B1315" s="3">
        <v>328.114</v>
      </c>
      <c r="C1315" s="3">
        <v>278.2596</v>
      </c>
      <c r="D1315" s="3">
        <v>1909.833</v>
      </c>
      <c r="E1315" s="3">
        <v>1996.377</v>
      </c>
      <c r="F1315" s="4" t="s">
        <v>8</v>
      </c>
      <c r="G1315" s="3">
        <v>12.0</v>
      </c>
    </row>
    <row r="1316">
      <c r="A1316" s="3">
        <v>85.0</v>
      </c>
      <c r="B1316" s="3">
        <v>328.114</v>
      </c>
      <c r="C1316" s="3">
        <v>278.3378</v>
      </c>
      <c r="D1316" s="3">
        <v>1909.833</v>
      </c>
      <c r="E1316" s="3">
        <v>1995.307</v>
      </c>
      <c r="F1316" s="4" t="s">
        <v>8</v>
      </c>
      <c r="G1316" s="3">
        <v>12.0</v>
      </c>
    </row>
    <row r="1317">
      <c r="A1317" s="3">
        <v>84.0</v>
      </c>
      <c r="B1317" s="3">
        <v>328.114</v>
      </c>
      <c r="C1317" s="3">
        <v>277.0204</v>
      </c>
      <c r="D1317" s="3">
        <v>1909.833</v>
      </c>
      <c r="E1317" s="3">
        <v>1998.221</v>
      </c>
      <c r="F1317" s="4" t="s">
        <v>8</v>
      </c>
      <c r="G1317" s="3">
        <v>12.0</v>
      </c>
    </row>
    <row r="1318">
      <c r="A1318" s="3">
        <v>83.0</v>
      </c>
      <c r="B1318" s="3">
        <v>328.114</v>
      </c>
      <c r="C1318" s="3">
        <v>279.6508</v>
      </c>
      <c r="D1318" s="3">
        <v>1909.833</v>
      </c>
      <c r="E1318" s="3">
        <v>1992.382</v>
      </c>
      <c r="F1318" s="4" t="s">
        <v>8</v>
      </c>
      <c r="G1318" s="3">
        <v>12.0</v>
      </c>
    </row>
    <row r="1319">
      <c r="A1319" s="3">
        <v>82.0</v>
      </c>
      <c r="B1319" s="3">
        <v>328.114</v>
      </c>
      <c r="C1319" s="3">
        <v>280.7003</v>
      </c>
      <c r="D1319" s="3">
        <v>1909.833</v>
      </c>
      <c r="E1319" s="3">
        <v>1991.412</v>
      </c>
      <c r="F1319" s="4" t="s">
        <v>8</v>
      </c>
      <c r="G1319" s="3">
        <v>12.0</v>
      </c>
    </row>
    <row r="1320">
      <c r="A1320" s="3">
        <v>81.0</v>
      </c>
      <c r="B1320" s="3">
        <v>328.114</v>
      </c>
      <c r="C1320" s="3">
        <v>280.9886</v>
      </c>
      <c r="D1320" s="3">
        <v>1909.833</v>
      </c>
      <c r="E1320" s="3">
        <v>1991.677</v>
      </c>
      <c r="F1320" s="4" t="s">
        <v>8</v>
      </c>
      <c r="G1320" s="3">
        <v>12.0</v>
      </c>
    </row>
    <row r="1321">
      <c r="A1321" s="3">
        <v>80.0</v>
      </c>
      <c r="B1321" s="3">
        <v>328.114</v>
      </c>
      <c r="C1321" s="3">
        <v>282.2886</v>
      </c>
      <c r="D1321" s="3">
        <v>1909.833</v>
      </c>
      <c r="E1321" s="3">
        <v>1987.678</v>
      </c>
      <c r="F1321" s="4" t="s">
        <v>8</v>
      </c>
      <c r="G1321" s="3">
        <v>12.0</v>
      </c>
    </row>
    <row r="1322">
      <c r="A1322" s="3">
        <v>79.0</v>
      </c>
      <c r="B1322" s="3">
        <v>328.114</v>
      </c>
      <c r="C1322" s="3">
        <v>281.3374</v>
      </c>
      <c r="D1322" s="3">
        <v>1909.833</v>
      </c>
      <c r="E1322" s="3">
        <v>1990.608</v>
      </c>
      <c r="F1322" s="4" t="s">
        <v>8</v>
      </c>
      <c r="G1322" s="3">
        <v>12.0</v>
      </c>
    </row>
    <row r="1323">
      <c r="A1323" s="3">
        <v>78.0</v>
      </c>
      <c r="B1323" s="3">
        <v>328.114</v>
      </c>
      <c r="C1323" s="3">
        <v>279.4459</v>
      </c>
      <c r="D1323" s="3">
        <v>1909.833</v>
      </c>
      <c r="E1323" s="3">
        <v>1993.358</v>
      </c>
      <c r="F1323" s="4" t="s">
        <v>8</v>
      </c>
      <c r="G1323" s="3">
        <v>12.0</v>
      </c>
    </row>
    <row r="1324">
      <c r="A1324" s="3">
        <v>77.0</v>
      </c>
      <c r="B1324" s="3">
        <v>328.114</v>
      </c>
      <c r="C1324" s="3">
        <v>281.0404</v>
      </c>
      <c r="D1324" s="3">
        <v>1909.833</v>
      </c>
      <c r="E1324" s="3">
        <v>1988.276</v>
      </c>
      <c r="F1324" s="4" t="s">
        <v>8</v>
      </c>
      <c r="G1324" s="3">
        <v>12.0</v>
      </c>
    </row>
    <row r="1325">
      <c r="A1325" s="3">
        <v>76.0</v>
      </c>
      <c r="B1325" s="3">
        <v>328.114</v>
      </c>
      <c r="C1325" s="3">
        <v>278.5426</v>
      </c>
      <c r="D1325" s="3">
        <v>1909.833</v>
      </c>
      <c r="E1325" s="3">
        <v>1994.746</v>
      </c>
      <c r="F1325" s="4" t="s">
        <v>8</v>
      </c>
      <c r="G1325" s="3">
        <v>12.0</v>
      </c>
    </row>
    <row r="1326">
      <c r="A1326" s="3">
        <v>75.0</v>
      </c>
      <c r="B1326" s="3">
        <v>328.114</v>
      </c>
      <c r="C1326" s="3">
        <v>277.6895</v>
      </c>
      <c r="D1326" s="3">
        <v>1909.833</v>
      </c>
      <c r="E1326" s="3">
        <v>1992.915</v>
      </c>
      <c r="F1326" s="4" t="s">
        <v>8</v>
      </c>
      <c r="G1326" s="3">
        <v>12.0</v>
      </c>
    </row>
    <row r="1327">
      <c r="A1327" s="3">
        <v>74.0</v>
      </c>
      <c r="B1327" s="3">
        <v>328.114</v>
      </c>
      <c r="C1327" s="3">
        <v>279.6881</v>
      </c>
      <c r="D1327" s="3">
        <v>1909.833</v>
      </c>
      <c r="E1327" s="3">
        <v>1988.84</v>
      </c>
      <c r="F1327" s="4" t="s">
        <v>8</v>
      </c>
      <c r="G1327" s="3">
        <v>12.0</v>
      </c>
    </row>
    <row r="1328">
      <c r="A1328" s="3">
        <v>73.0</v>
      </c>
      <c r="B1328" s="3">
        <v>328.114</v>
      </c>
      <c r="C1328" s="3">
        <v>279.2675</v>
      </c>
      <c r="D1328" s="3">
        <v>1909.833</v>
      </c>
      <c r="E1328" s="3">
        <v>1990.894</v>
      </c>
      <c r="F1328" s="4" t="s">
        <v>8</v>
      </c>
      <c r="G1328" s="3">
        <v>12.0</v>
      </c>
    </row>
    <row r="1329">
      <c r="A1329" s="3">
        <v>72.0</v>
      </c>
      <c r="B1329" s="3">
        <v>328.114</v>
      </c>
      <c r="C1329" s="3">
        <v>277.582</v>
      </c>
      <c r="D1329" s="3">
        <v>1909.833</v>
      </c>
      <c r="E1329" s="3">
        <v>1995.12</v>
      </c>
      <c r="F1329" s="4" t="s">
        <v>8</v>
      </c>
      <c r="G1329" s="3">
        <v>12.0</v>
      </c>
    </row>
    <row r="1330">
      <c r="A1330" s="3">
        <v>71.0</v>
      </c>
      <c r="B1330" s="3">
        <v>328.114</v>
      </c>
      <c r="C1330" s="3">
        <v>277.6313</v>
      </c>
      <c r="D1330" s="3">
        <v>1909.833</v>
      </c>
      <c r="E1330" s="3">
        <v>1993.578</v>
      </c>
      <c r="F1330" s="4" t="s">
        <v>8</v>
      </c>
      <c r="G1330" s="3">
        <v>12.0</v>
      </c>
    </row>
    <row r="1331">
      <c r="A1331" s="3">
        <v>70.0</v>
      </c>
      <c r="B1331" s="3">
        <v>328.114</v>
      </c>
      <c r="C1331" s="3">
        <v>277.606</v>
      </c>
      <c r="D1331" s="3">
        <v>1909.833</v>
      </c>
      <c r="E1331" s="3">
        <v>1993.275</v>
      </c>
      <c r="F1331" s="4" t="s">
        <v>8</v>
      </c>
      <c r="G1331" s="3">
        <v>12.0</v>
      </c>
    </row>
    <row r="1332">
      <c r="A1332" s="3">
        <v>69.0</v>
      </c>
      <c r="B1332" s="3">
        <v>328.114</v>
      </c>
      <c r="C1332" s="3">
        <v>277.0986</v>
      </c>
      <c r="D1332" s="3">
        <v>1909.833</v>
      </c>
      <c r="E1332" s="3">
        <v>1995.409</v>
      </c>
      <c r="F1332" s="4" t="s">
        <v>8</v>
      </c>
      <c r="G1332" s="3">
        <v>12.0</v>
      </c>
    </row>
    <row r="1333">
      <c r="A1333" s="3">
        <v>68.0</v>
      </c>
      <c r="B1333" s="3">
        <v>328.114</v>
      </c>
      <c r="C1333" s="3">
        <v>275.4842</v>
      </c>
      <c r="D1333" s="3">
        <v>1909.833</v>
      </c>
      <c r="E1333" s="3">
        <v>2000.081</v>
      </c>
      <c r="F1333" s="4" t="s">
        <v>8</v>
      </c>
      <c r="G1333" s="3">
        <v>12.0</v>
      </c>
    </row>
    <row r="1334">
      <c r="A1334" s="3">
        <v>67.0</v>
      </c>
      <c r="B1334" s="3">
        <v>328.114</v>
      </c>
      <c r="C1334" s="3">
        <v>276.0366</v>
      </c>
      <c r="D1334" s="3">
        <v>1909.833</v>
      </c>
      <c r="E1334" s="3">
        <v>1996.996</v>
      </c>
      <c r="F1334" s="4" t="s">
        <v>8</v>
      </c>
      <c r="G1334" s="3">
        <v>12.0</v>
      </c>
    </row>
    <row r="1335">
      <c r="A1335" s="3">
        <v>66.0</v>
      </c>
      <c r="B1335" s="3">
        <v>328.114</v>
      </c>
      <c r="C1335" s="3">
        <v>275.1236</v>
      </c>
      <c r="D1335" s="3">
        <v>1909.833</v>
      </c>
      <c r="E1335" s="3">
        <v>1998.066</v>
      </c>
      <c r="F1335" s="4" t="s">
        <v>8</v>
      </c>
      <c r="G1335" s="3">
        <v>12.0</v>
      </c>
    </row>
    <row r="1336">
      <c r="A1336" s="3">
        <v>65.0</v>
      </c>
      <c r="B1336" s="3">
        <v>328.114</v>
      </c>
      <c r="C1336" s="3">
        <v>275.9123</v>
      </c>
      <c r="D1336" s="3">
        <v>1909.833</v>
      </c>
      <c r="E1336" s="3">
        <v>1997.214</v>
      </c>
      <c r="F1336" s="4" t="s">
        <v>8</v>
      </c>
      <c r="G1336" s="3">
        <v>12.0</v>
      </c>
    </row>
    <row r="1337">
      <c r="A1337" s="3">
        <v>64.0</v>
      </c>
      <c r="B1337" s="3">
        <v>328.114</v>
      </c>
      <c r="C1337" s="3">
        <v>275.1771</v>
      </c>
      <c r="D1337" s="3">
        <v>1909.833</v>
      </c>
      <c r="E1337" s="3">
        <v>1998.438</v>
      </c>
      <c r="F1337" s="4" t="s">
        <v>8</v>
      </c>
      <c r="G1337" s="3">
        <v>12.0</v>
      </c>
    </row>
    <row r="1338">
      <c r="A1338" s="3">
        <v>63.0</v>
      </c>
      <c r="B1338" s="3">
        <v>328.114</v>
      </c>
      <c r="C1338" s="3">
        <v>275.6607</v>
      </c>
      <c r="D1338" s="3">
        <v>1909.833</v>
      </c>
      <c r="E1338" s="3">
        <v>1998.206</v>
      </c>
      <c r="F1338" s="4" t="s">
        <v>8</v>
      </c>
      <c r="G1338" s="3">
        <v>12.0</v>
      </c>
    </row>
    <row r="1339">
      <c r="A1339" s="3">
        <v>62.0</v>
      </c>
      <c r="B1339" s="3">
        <v>328.114</v>
      </c>
      <c r="C1339" s="3">
        <v>274.5791</v>
      </c>
      <c r="D1339" s="3">
        <v>1909.833</v>
      </c>
      <c r="E1339" s="3">
        <v>1999.226</v>
      </c>
      <c r="F1339" s="4" t="s">
        <v>8</v>
      </c>
      <c r="G1339" s="3">
        <v>12.0</v>
      </c>
    </row>
    <row r="1340">
      <c r="A1340" s="3">
        <v>61.0</v>
      </c>
      <c r="B1340" s="3">
        <v>328.114</v>
      </c>
      <c r="C1340" s="3">
        <v>275.6585</v>
      </c>
      <c r="D1340" s="3">
        <v>1909.833</v>
      </c>
      <c r="E1340" s="3">
        <v>1997.752</v>
      </c>
      <c r="F1340" s="4" t="s">
        <v>8</v>
      </c>
      <c r="G1340" s="3">
        <v>12.0</v>
      </c>
    </row>
    <row r="1341">
      <c r="A1341" s="3">
        <v>60.0</v>
      </c>
      <c r="B1341" s="3">
        <v>328.114</v>
      </c>
      <c r="C1341" s="3">
        <v>274.4655</v>
      </c>
      <c r="D1341" s="3">
        <v>1909.833</v>
      </c>
      <c r="E1341" s="3">
        <v>1999.814</v>
      </c>
      <c r="F1341" s="4" t="s">
        <v>8</v>
      </c>
      <c r="G1341" s="3">
        <v>12.0</v>
      </c>
    </row>
    <row r="1342">
      <c r="A1342" s="3">
        <v>59.0</v>
      </c>
      <c r="B1342" s="3">
        <v>328.114</v>
      </c>
      <c r="C1342" s="3">
        <v>273.642</v>
      </c>
      <c r="D1342" s="3">
        <v>1909.833</v>
      </c>
      <c r="E1342" s="3">
        <v>2002.653</v>
      </c>
      <c r="F1342" s="4" t="s">
        <v>8</v>
      </c>
      <c r="G1342" s="3">
        <v>12.0</v>
      </c>
    </row>
    <row r="1343">
      <c r="A1343" s="3">
        <v>58.0</v>
      </c>
      <c r="B1343" s="3">
        <v>328.114</v>
      </c>
      <c r="C1343" s="3">
        <v>273.181</v>
      </c>
      <c r="D1343" s="3">
        <v>1909.833</v>
      </c>
      <c r="E1343" s="3">
        <v>2002.308</v>
      </c>
      <c r="F1343" s="4" t="s">
        <v>8</v>
      </c>
      <c r="G1343" s="3">
        <v>12.0</v>
      </c>
    </row>
    <row r="1344">
      <c r="A1344" s="3">
        <v>57.0</v>
      </c>
      <c r="B1344" s="3">
        <v>328.114</v>
      </c>
      <c r="C1344" s="3">
        <v>273.4182</v>
      </c>
      <c r="D1344" s="3">
        <v>1909.833</v>
      </c>
      <c r="E1344" s="3">
        <v>2000.363</v>
      </c>
      <c r="F1344" s="4" t="s">
        <v>8</v>
      </c>
      <c r="G1344" s="3">
        <v>12.0</v>
      </c>
    </row>
    <row r="1345">
      <c r="A1345" s="3">
        <v>56.0</v>
      </c>
      <c r="B1345" s="3">
        <v>328.114</v>
      </c>
      <c r="C1345" s="3">
        <v>272.3091</v>
      </c>
      <c r="D1345" s="3">
        <v>1909.833</v>
      </c>
      <c r="E1345" s="3">
        <v>2003.215</v>
      </c>
      <c r="F1345" s="4" t="s">
        <v>8</v>
      </c>
      <c r="G1345" s="3">
        <v>12.0</v>
      </c>
    </row>
    <row r="1346">
      <c r="A1346" s="3">
        <v>55.0</v>
      </c>
      <c r="B1346" s="3">
        <v>328.114</v>
      </c>
      <c r="C1346" s="3">
        <v>273.5628</v>
      </c>
      <c r="D1346" s="3">
        <v>1909.833</v>
      </c>
      <c r="E1346" s="3">
        <v>2000.924</v>
      </c>
      <c r="F1346" s="4" t="s">
        <v>8</v>
      </c>
      <c r="G1346" s="3">
        <v>12.0</v>
      </c>
    </row>
    <row r="1347">
      <c r="A1347" s="3">
        <v>54.0</v>
      </c>
      <c r="B1347" s="3">
        <v>328.114</v>
      </c>
      <c r="C1347" s="3">
        <v>271.0899</v>
      </c>
      <c r="D1347" s="3">
        <v>1909.833</v>
      </c>
      <c r="E1347" s="3">
        <v>2007.163</v>
      </c>
      <c r="F1347" s="4" t="s">
        <v>8</v>
      </c>
      <c r="G1347" s="3">
        <v>12.0</v>
      </c>
    </row>
    <row r="1348">
      <c r="A1348" s="3">
        <v>53.0</v>
      </c>
      <c r="B1348" s="3">
        <v>328.114</v>
      </c>
      <c r="C1348" s="3">
        <v>271.6729</v>
      </c>
      <c r="D1348" s="3">
        <v>1909.833</v>
      </c>
      <c r="E1348" s="3">
        <v>2005.338</v>
      </c>
      <c r="F1348" s="4" t="s">
        <v>8</v>
      </c>
      <c r="G1348" s="3">
        <v>12.0</v>
      </c>
    </row>
    <row r="1349">
      <c r="A1349" s="3">
        <v>52.0</v>
      </c>
      <c r="B1349" s="3">
        <v>328.114</v>
      </c>
      <c r="C1349" s="3">
        <v>270.9334</v>
      </c>
      <c r="D1349" s="3">
        <v>1909.833</v>
      </c>
      <c r="E1349" s="3">
        <v>2007.919</v>
      </c>
      <c r="F1349" s="4" t="s">
        <v>8</v>
      </c>
      <c r="G1349" s="3">
        <v>12.0</v>
      </c>
    </row>
    <row r="1350">
      <c r="A1350" s="3">
        <v>51.0</v>
      </c>
      <c r="B1350" s="3">
        <v>328.114</v>
      </c>
      <c r="C1350" s="3">
        <v>271.742</v>
      </c>
      <c r="D1350" s="3">
        <v>1909.833</v>
      </c>
      <c r="E1350" s="3">
        <v>2004.183</v>
      </c>
      <c r="F1350" s="4" t="s">
        <v>8</v>
      </c>
      <c r="G1350" s="3">
        <v>12.0</v>
      </c>
    </row>
    <row r="1351">
      <c r="A1351" s="3">
        <v>50.0</v>
      </c>
      <c r="B1351" s="3">
        <v>328.114</v>
      </c>
      <c r="C1351" s="3">
        <v>272.166</v>
      </c>
      <c r="D1351" s="3">
        <v>1909.833</v>
      </c>
      <c r="E1351" s="3">
        <v>2003.566</v>
      </c>
      <c r="F1351" s="4" t="s">
        <v>8</v>
      </c>
      <c r="G1351" s="3">
        <v>12.0</v>
      </c>
    </row>
    <row r="1352">
      <c r="A1352" s="3">
        <v>49.0</v>
      </c>
      <c r="B1352" s="3">
        <v>328.114</v>
      </c>
      <c r="C1352" s="3">
        <v>271.3343</v>
      </c>
      <c r="D1352" s="3">
        <v>1909.833</v>
      </c>
      <c r="E1352" s="3">
        <v>2004.721</v>
      </c>
      <c r="F1352" s="4" t="s">
        <v>8</v>
      </c>
      <c r="G1352" s="3">
        <v>12.0</v>
      </c>
    </row>
    <row r="1353">
      <c r="A1353" s="3">
        <v>48.0</v>
      </c>
      <c r="B1353" s="3">
        <v>328.114</v>
      </c>
      <c r="C1353" s="3">
        <v>272.0236</v>
      </c>
      <c r="D1353" s="3">
        <v>1909.833</v>
      </c>
      <c r="E1353" s="3">
        <v>2002.228</v>
      </c>
      <c r="F1353" s="4" t="s">
        <v>8</v>
      </c>
      <c r="G1353" s="3">
        <v>12.0</v>
      </c>
    </row>
    <row r="1354">
      <c r="A1354" s="3">
        <v>47.0</v>
      </c>
      <c r="B1354" s="3">
        <v>328.114</v>
      </c>
      <c r="C1354" s="3">
        <v>270.6222</v>
      </c>
      <c r="D1354" s="3">
        <v>1909.833</v>
      </c>
      <c r="E1354" s="3">
        <v>2006.911</v>
      </c>
      <c r="F1354" s="4" t="s">
        <v>8</v>
      </c>
      <c r="G1354" s="3">
        <v>12.0</v>
      </c>
    </row>
    <row r="1355">
      <c r="A1355" s="3">
        <v>46.0</v>
      </c>
      <c r="B1355" s="3">
        <v>328.114</v>
      </c>
      <c r="C1355" s="3">
        <v>269.7625</v>
      </c>
      <c r="D1355" s="3">
        <v>1909.833</v>
      </c>
      <c r="E1355" s="3">
        <v>2007.82</v>
      </c>
      <c r="F1355" s="4" t="s">
        <v>8</v>
      </c>
      <c r="G1355" s="3">
        <v>12.0</v>
      </c>
    </row>
    <row r="1356">
      <c r="A1356" s="3">
        <v>45.0</v>
      </c>
      <c r="B1356" s="3">
        <v>328.114</v>
      </c>
      <c r="C1356" s="3">
        <v>267.4892</v>
      </c>
      <c r="D1356" s="3">
        <v>1909.833</v>
      </c>
      <c r="E1356" s="3">
        <v>2012.972</v>
      </c>
      <c r="F1356" s="4" t="s">
        <v>8</v>
      </c>
      <c r="G1356" s="3">
        <v>12.0</v>
      </c>
    </row>
    <row r="1357">
      <c r="A1357" s="3">
        <v>44.0</v>
      </c>
      <c r="B1357" s="3">
        <v>328.114</v>
      </c>
      <c r="C1357" s="3">
        <v>267.4884</v>
      </c>
      <c r="D1357" s="3">
        <v>1909.833</v>
      </c>
      <c r="E1357" s="3">
        <v>2011.102</v>
      </c>
      <c r="F1357" s="4" t="s">
        <v>8</v>
      </c>
      <c r="G1357" s="3">
        <v>12.0</v>
      </c>
    </row>
    <row r="1358">
      <c r="A1358" s="3">
        <v>43.0</v>
      </c>
      <c r="B1358" s="3">
        <v>328.114</v>
      </c>
      <c r="C1358" s="3">
        <v>264.9606</v>
      </c>
      <c r="D1358" s="3">
        <v>1909.833</v>
      </c>
      <c r="E1358" s="3">
        <v>2017.235</v>
      </c>
      <c r="F1358" s="4" t="s">
        <v>8</v>
      </c>
      <c r="G1358" s="3">
        <v>12.0</v>
      </c>
    </row>
    <row r="1359">
      <c r="A1359" s="3">
        <v>42.0</v>
      </c>
      <c r="B1359" s="3">
        <v>327.6032</v>
      </c>
      <c r="C1359" s="3">
        <v>263.8125</v>
      </c>
      <c r="D1359" s="3">
        <v>1910.633</v>
      </c>
      <c r="E1359" s="3">
        <v>2017.328</v>
      </c>
      <c r="F1359" s="4" t="s">
        <v>8</v>
      </c>
      <c r="G1359" s="3">
        <v>12.0</v>
      </c>
    </row>
    <row r="1360">
      <c r="A1360" s="3">
        <v>41.0</v>
      </c>
      <c r="B1360" s="3">
        <v>327.6032</v>
      </c>
      <c r="C1360" s="3">
        <v>262.4492</v>
      </c>
      <c r="D1360" s="3">
        <v>1910.633</v>
      </c>
      <c r="E1360" s="3">
        <v>2019.633</v>
      </c>
      <c r="F1360" s="4" t="s">
        <v>8</v>
      </c>
      <c r="G1360" s="3">
        <v>12.0</v>
      </c>
    </row>
    <row r="1361">
      <c r="A1361" s="3">
        <v>40.0</v>
      </c>
      <c r="B1361" s="3">
        <v>327.0947</v>
      </c>
      <c r="C1361" s="3">
        <v>260.8295</v>
      </c>
      <c r="D1361" s="3">
        <v>1911.233</v>
      </c>
      <c r="E1361" s="3">
        <v>2022.989</v>
      </c>
      <c r="F1361" s="4" t="s">
        <v>8</v>
      </c>
      <c r="G1361" s="3">
        <v>12.0</v>
      </c>
    </row>
    <row r="1362">
      <c r="A1362" s="3">
        <v>39.0</v>
      </c>
      <c r="B1362" s="3">
        <v>326.7751</v>
      </c>
      <c r="C1362" s="3">
        <v>259.2822</v>
      </c>
      <c r="D1362" s="3">
        <v>1911.633</v>
      </c>
      <c r="E1362" s="3">
        <v>2023.92</v>
      </c>
      <c r="F1362" s="4" t="s">
        <v>8</v>
      </c>
      <c r="G1362" s="3">
        <v>12.0</v>
      </c>
    </row>
    <row r="1363">
      <c r="A1363" s="3">
        <v>38.0</v>
      </c>
      <c r="B1363" s="3">
        <v>326.7751</v>
      </c>
      <c r="C1363" s="3">
        <v>255.7083</v>
      </c>
      <c r="D1363" s="3">
        <v>1911.633</v>
      </c>
      <c r="E1363" s="3">
        <v>2032.126</v>
      </c>
      <c r="F1363" s="4" t="s">
        <v>8</v>
      </c>
      <c r="G1363" s="3">
        <v>12.0</v>
      </c>
    </row>
    <row r="1364">
      <c r="A1364" s="3">
        <v>37.0</v>
      </c>
      <c r="B1364" s="3">
        <v>326.7751</v>
      </c>
      <c r="C1364" s="3">
        <v>251.8343</v>
      </c>
      <c r="D1364" s="3">
        <v>1911.633</v>
      </c>
      <c r="E1364" s="3">
        <v>2039.021</v>
      </c>
      <c r="F1364" s="4" t="s">
        <v>8</v>
      </c>
      <c r="G1364" s="3">
        <v>12.0</v>
      </c>
    </row>
    <row r="1365">
      <c r="A1365" s="3">
        <v>36.0</v>
      </c>
      <c r="B1365" s="3">
        <v>326.7751</v>
      </c>
      <c r="C1365" s="3">
        <v>251.3305</v>
      </c>
      <c r="D1365" s="3">
        <v>1911.633</v>
      </c>
      <c r="E1365" s="3">
        <v>2040.806</v>
      </c>
      <c r="F1365" s="4" t="s">
        <v>8</v>
      </c>
      <c r="G1365" s="3">
        <v>12.0</v>
      </c>
    </row>
    <row r="1366">
      <c r="A1366" s="3">
        <v>35.0</v>
      </c>
      <c r="B1366" s="3">
        <v>326.7751</v>
      </c>
      <c r="C1366" s="3">
        <v>250.6178</v>
      </c>
      <c r="D1366" s="3">
        <v>1911.633</v>
      </c>
      <c r="E1366" s="3">
        <v>2041.261</v>
      </c>
      <c r="F1366" s="4" t="s">
        <v>8</v>
      </c>
      <c r="G1366" s="3">
        <v>12.0</v>
      </c>
    </row>
    <row r="1367">
      <c r="A1367" s="3">
        <v>34.0</v>
      </c>
      <c r="B1367" s="3">
        <v>326.7751</v>
      </c>
      <c r="C1367" s="3">
        <v>249.0421</v>
      </c>
      <c r="D1367" s="3">
        <v>1911.633</v>
      </c>
      <c r="E1367" s="3">
        <v>2044.864</v>
      </c>
      <c r="F1367" s="4" t="s">
        <v>8</v>
      </c>
      <c r="G1367" s="3">
        <v>12.0</v>
      </c>
    </row>
    <row r="1368">
      <c r="A1368" s="3">
        <v>33.0</v>
      </c>
      <c r="B1368" s="3">
        <v>324.7366</v>
      </c>
      <c r="C1368" s="3">
        <v>246.9881</v>
      </c>
      <c r="D1368" s="3">
        <v>1913.9</v>
      </c>
      <c r="E1368" s="3">
        <v>2046.109</v>
      </c>
      <c r="F1368" s="4" t="s">
        <v>8</v>
      </c>
      <c r="G1368" s="3">
        <v>12.0</v>
      </c>
    </row>
    <row r="1369">
      <c r="A1369" s="3">
        <v>32.0</v>
      </c>
      <c r="B1369" s="3">
        <v>321.9049</v>
      </c>
      <c r="C1369" s="3">
        <v>245.281</v>
      </c>
      <c r="D1369" s="3">
        <v>1916.033</v>
      </c>
      <c r="E1369" s="3">
        <v>2048.427</v>
      </c>
      <c r="F1369" s="4" t="s">
        <v>8</v>
      </c>
      <c r="G1369" s="3">
        <v>12.0</v>
      </c>
    </row>
    <row r="1370">
      <c r="A1370" s="3">
        <v>31.0</v>
      </c>
      <c r="B1370" s="3">
        <v>321.9049</v>
      </c>
      <c r="C1370" s="3">
        <v>243.7062</v>
      </c>
      <c r="D1370" s="3">
        <v>1916.033</v>
      </c>
      <c r="E1370" s="3">
        <v>2052.127</v>
      </c>
      <c r="F1370" s="4" t="s">
        <v>8</v>
      </c>
      <c r="G1370" s="3">
        <v>12.0</v>
      </c>
    </row>
    <row r="1371">
      <c r="A1371" s="3">
        <v>30.0</v>
      </c>
      <c r="B1371" s="3">
        <v>321.9049</v>
      </c>
      <c r="C1371" s="3">
        <v>239.2959</v>
      </c>
      <c r="D1371" s="3">
        <v>1916.033</v>
      </c>
      <c r="E1371" s="3">
        <v>2062.0</v>
      </c>
      <c r="F1371" s="4" t="s">
        <v>8</v>
      </c>
      <c r="G1371" s="3">
        <v>12.0</v>
      </c>
    </row>
    <row r="1372">
      <c r="A1372" s="3">
        <v>29.0</v>
      </c>
      <c r="B1372" s="3">
        <v>321.9049</v>
      </c>
      <c r="C1372" s="3">
        <v>236.096</v>
      </c>
      <c r="D1372" s="3">
        <v>1916.033</v>
      </c>
      <c r="E1372" s="3">
        <v>2066.14</v>
      </c>
      <c r="F1372" s="4" t="s">
        <v>8</v>
      </c>
      <c r="G1372" s="3">
        <v>12.0</v>
      </c>
    </row>
    <row r="1373">
      <c r="A1373" s="3">
        <v>28.0</v>
      </c>
      <c r="B1373" s="3">
        <v>321.8788</v>
      </c>
      <c r="C1373" s="3">
        <v>231.2213</v>
      </c>
      <c r="D1373" s="3">
        <v>1916.067</v>
      </c>
      <c r="E1373" s="3">
        <v>2075.388</v>
      </c>
      <c r="F1373" s="4" t="s">
        <v>8</v>
      </c>
      <c r="G1373" s="3">
        <v>12.0</v>
      </c>
    </row>
    <row r="1374">
      <c r="A1374" s="3">
        <v>27.0</v>
      </c>
      <c r="B1374" s="3">
        <v>321.5397</v>
      </c>
      <c r="C1374" s="3">
        <v>228.5428</v>
      </c>
      <c r="D1374" s="3">
        <v>1916.367</v>
      </c>
      <c r="E1374" s="3">
        <v>2082.761</v>
      </c>
      <c r="F1374" s="4" t="s">
        <v>8</v>
      </c>
      <c r="G1374" s="3">
        <v>12.0</v>
      </c>
    </row>
    <row r="1375">
      <c r="A1375" s="3">
        <v>26.0</v>
      </c>
      <c r="B1375" s="3">
        <v>321.5397</v>
      </c>
      <c r="C1375" s="3">
        <v>226.4923</v>
      </c>
      <c r="D1375" s="3">
        <v>1916.367</v>
      </c>
      <c r="E1375" s="3">
        <v>2085.852</v>
      </c>
      <c r="F1375" s="4" t="s">
        <v>8</v>
      </c>
      <c r="G1375" s="3">
        <v>12.0</v>
      </c>
    </row>
    <row r="1376">
      <c r="A1376" s="3">
        <v>25.0</v>
      </c>
      <c r="B1376" s="3">
        <v>321.5397</v>
      </c>
      <c r="C1376" s="3">
        <v>222.2593</v>
      </c>
      <c r="D1376" s="3">
        <v>1916.367</v>
      </c>
      <c r="E1376" s="3">
        <v>2093.913</v>
      </c>
      <c r="F1376" s="4" t="s">
        <v>8</v>
      </c>
      <c r="G1376" s="3">
        <v>12.0</v>
      </c>
    </row>
    <row r="1377">
      <c r="A1377" s="3">
        <v>24.0</v>
      </c>
      <c r="B1377" s="3">
        <v>321.5397</v>
      </c>
      <c r="C1377" s="3">
        <v>217.2957</v>
      </c>
      <c r="D1377" s="3">
        <v>1916.367</v>
      </c>
      <c r="E1377" s="3">
        <v>2104.52</v>
      </c>
      <c r="F1377" s="4" t="s">
        <v>8</v>
      </c>
      <c r="G1377" s="3">
        <v>12.0</v>
      </c>
    </row>
    <row r="1378">
      <c r="A1378" s="3">
        <v>23.0</v>
      </c>
      <c r="B1378" s="3">
        <v>321.5397</v>
      </c>
      <c r="C1378" s="3">
        <v>212.8538</v>
      </c>
      <c r="D1378" s="3">
        <v>1916.367</v>
      </c>
      <c r="E1378" s="3">
        <v>2113.969</v>
      </c>
      <c r="F1378" s="4" t="s">
        <v>8</v>
      </c>
      <c r="G1378" s="3">
        <v>12.0</v>
      </c>
    </row>
    <row r="1379">
      <c r="A1379" s="3">
        <v>22.0</v>
      </c>
      <c r="B1379" s="3">
        <v>320.0203</v>
      </c>
      <c r="C1379" s="3">
        <v>208.42</v>
      </c>
      <c r="D1379" s="3">
        <v>1917.567</v>
      </c>
      <c r="E1379" s="3">
        <v>2128.271</v>
      </c>
      <c r="F1379" s="4" t="s">
        <v>8</v>
      </c>
      <c r="G1379" s="3">
        <v>12.0</v>
      </c>
    </row>
    <row r="1380">
      <c r="A1380" s="3">
        <v>21.0</v>
      </c>
      <c r="B1380" s="3">
        <v>318.3239</v>
      </c>
      <c r="C1380" s="3">
        <v>202.3791</v>
      </c>
      <c r="D1380" s="3">
        <v>1919.3</v>
      </c>
      <c r="E1380" s="3">
        <v>2142.123</v>
      </c>
      <c r="F1380" s="4" t="s">
        <v>8</v>
      </c>
      <c r="G1380" s="3">
        <v>12.0</v>
      </c>
    </row>
    <row r="1381">
      <c r="A1381" s="3">
        <v>20.0</v>
      </c>
      <c r="B1381" s="3">
        <v>318.3239</v>
      </c>
      <c r="C1381" s="3">
        <v>195.729</v>
      </c>
      <c r="D1381" s="3">
        <v>1919.3</v>
      </c>
      <c r="E1381" s="3">
        <v>2161.181</v>
      </c>
      <c r="F1381" s="4" t="s">
        <v>8</v>
      </c>
      <c r="G1381" s="3">
        <v>12.0</v>
      </c>
    </row>
    <row r="1382">
      <c r="A1382" s="3">
        <v>19.0</v>
      </c>
      <c r="B1382" s="3">
        <v>317.4455</v>
      </c>
      <c r="C1382" s="3">
        <v>189.3086</v>
      </c>
      <c r="D1382" s="3">
        <v>1919.9</v>
      </c>
      <c r="E1382" s="3">
        <v>2177.489</v>
      </c>
      <c r="F1382" s="4" t="s">
        <v>8</v>
      </c>
      <c r="G1382" s="3">
        <v>12.0</v>
      </c>
    </row>
    <row r="1383">
      <c r="A1383" s="3">
        <v>18.0</v>
      </c>
      <c r="B1383" s="3">
        <v>313.9398</v>
      </c>
      <c r="C1383" s="3">
        <v>179.6814</v>
      </c>
      <c r="D1383" s="3">
        <v>1922.9</v>
      </c>
      <c r="E1383" s="3">
        <v>2210.907</v>
      </c>
      <c r="F1383" s="4" t="s">
        <v>8</v>
      </c>
      <c r="G1383" s="3">
        <v>12.0</v>
      </c>
    </row>
    <row r="1384">
      <c r="A1384" s="3">
        <v>17.0</v>
      </c>
      <c r="B1384" s="3">
        <v>309.6826</v>
      </c>
      <c r="C1384" s="3">
        <v>169.4631</v>
      </c>
      <c r="D1384" s="3">
        <v>1926.733</v>
      </c>
      <c r="E1384" s="3">
        <v>2251.856</v>
      </c>
      <c r="F1384" s="4" t="s">
        <v>8</v>
      </c>
      <c r="G1384" s="3">
        <v>12.0</v>
      </c>
    </row>
    <row r="1385">
      <c r="A1385" s="3">
        <v>16.0</v>
      </c>
      <c r="B1385" s="3">
        <v>307.9419</v>
      </c>
      <c r="C1385" s="3">
        <v>160.0646</v>
      </c>
      <c r="D1385" s="3">
        <v>1929.167</v>
      </c>
      <c r="E1385" s="3">
        <v>2284.807</v>
      </c>
      <c r="F1385" s="4" t="s">
        <v>8</v>
      </c>
      <c r="G1385" s="3">
        <v>12.0</v>
      </c>
    </row>
    <row r="1386">
      <c r="A1386" s="3">
        <v>15.0</v>
      </c>
      <c r="B1386" s="3">
        <v>305.0085</v>
      </c>
      <c r="C1386" s="3">
        <v>152.65</v>
      </c>
      <c r="D1386" s="3">
        <v>1931.6</v>
      </c>
      <c r="E1386" s="3">
        <v>2315.835</v>
      </c>
      <c r="F1386" s="4" t="s">
        <v>8</v>
      </c>
      <c r="G1386" s="3">
        <v>12.0</v>
      </c>
    </row>
    <row r="1387">
      <c r="A1387" s="3">
        <v>14.0</v>
      </c>
      <c r="B1387" s="3">
        <v>304.151</v>
      </c>
      <c r="C1387" s="3">
        <v>145.8335</v>
      </c>
      <c r="D1387" s="3">
        <v>1932.6</v>
      </c>
      <c r="E1387" s="3">
        <v>2346.403</v>
      </c>
      <c r="F1387" s="4" t="s">
        <v>8</v>
      </c>
      <c r="G1387" s="3">
        <v>12.0</v>
      </c>
    </row>
    <row r="1388">
      <c r="A1388" s="3">
        <v>13.0</v>
      </c>
      <c r="B1388" s="3">
        <v>298.2902</v>
      </c>
      <c r="C1388" s="3">
        <v>134.9834</v>
      </c>
      <c r="D1388" s="3">
        <v>1938.767</v>
      </c>
      <c r="E1388" s="3">
        <v>2399.783</v>
      </c>
      <c r="F1388" s="4" t="s">
        <v>8</v>
      </c>
      <c r="G1388" s="3">
        <v>12.0</v>
      </c>
    </row>
    <row r="1389">
      <c r="A1389" s="3">
        <v>12.0</v>
      </c>
      <c r="B1389" s="3">
        <v>293.9857</v>
      </c>
      <c r="C1389" s="3">
        <v>124.9245</v>
      </c>
      <c r="D1389" s="3">
        <v>1943.967</v>
      </c>
      <c r="E1389" s="3">
        <v>2455.817</v>
      </c>
      <c r="F1389" s="4" t="s">
        <v>8</v>
      </c>
      <c r="G1389" s="3">
        <v>12.0</v>
      </c>
    </row>
    <row r="1390">
      <c r="A1390" s="3">
        <v>11.0</v>
      </c>
      <c r="B1390" s="3">
        <v>282.036</v>
      </c>
      <c r="C1390" s="3">
        <v>112.7009</v>
      </c>
      <c r="D1390" s="3">
        <v>1955.533</v>
      </c>
      <c r="E1390" s="3">
        <v>2534.055</v>
      </c>
      <c r="F1390" s="4" t="s">
        <v>8</v>
      </c>
      <c r="G1390" s="3">
        <v>12.0</v>
      </c>
    </row>
    <row r="1391">
      <c r="A1391" s="3">
        <v>10.0</v>
      </c>
      <c r="B1391" s="3">
        <v>266.5219</v>
      </c>
      <c r="C1391" s="3">
        <v>100.17</v>
      </c>
      <c r="D1391" s="3">
        <v>1974.0</v>
      </c>
      <c r="E1391" s="3">
        <v>2612.615</v>
      </c>
      <c r="F1391" s="4" t="s">
        <v>8</v>
      </c>
      <c r="G1391" s="3">
        <v>12.0</v>
      </c>
    </row>
    <row r="1392">
      <c r="A1392" s="3">
        <v>9.0</v>
      </c>
      <c r="B1392" s="3">
        <v>251.3443</v>
      </c>
      <c r="C1392" s="3">
        <v>88.66223</v>
      </c>
      <c r="D1392" s="3">
        <v>1994.0</v>
      </c>
      <c r="E1392" s="3">
        <v>2701.894</v>
      </c>
      <c r="F1392" s="4" t="s">
        <v>8</v>
      </c>
      <c r="G1392" s="3">
        <v>12.0</v>
      </c>
    </row>
    <row r="1393">
      <c r="A1393" s="3">
        <v>8.0</v>
      </c>
      <c r="B1393" s="3">
        <v>243.9982</v>
      </c>
      <c r="C1393" s="3">
        <v>76.99539</v>
      </c>
      <c r="D1393" s="3">
        <v>2005.833</v>
      </c>
      <c r="E1393" s="3">
        <v>2800.412</v>
      </c>
      <c r="F1393" s="4" t="s">
        <v>8</v>
      </c>
      <c r="G1393" s="3">
        <v>12.0</v>
      </c>
    </row>
    <row r="1394">
      <c r="A1394" s="3">
        <v>7.0</v>
      </c>
      <c r="B1394" s="3">
        <v>228.6971</v>
      </c>
      <c r="C1394" s="3">
        <v>65.67476</v>
      </c>
      <c r="D1394" s="3">
        <v>2028.5</v>
      </c>
      <c r="E1394" s="3">
        <v>2904.913</v>
      </c>
      <c r="F1394" s="4" t="s">
        <v>8</v>
      </c>
      <c r="G1394" s="3">
        <v>12.0</v>
      </c>
    </row>
    <row r="1395">
      <c r="A1395" s="3">
        <v>6.0</v>
      </c>
      <c r="B1395" s="3">
        <v>223.8888</v>
      </c>
      <c r="C1395" s="3">
        <v>55.0738</v>
      </c>
      <c r="D1395" s="3">
        <v>2038.067</v>
      </c>
      <c r="E1395" s="3">
        <v>3023.282</v>
      </c>
      <c r="F1395" s="4" t="s">
        <v>8</v>
      </c>
      <c r="G1395" s="3">
        <v>12.0</v>
      </c>
    </row>
    <row r="1396">
      <c r="A1396" s="3">
        <v>5.0</v>
      </c>
      <c r="B1396" s="3">
        <v>208.8224</v>
      </c>
      <c r="C1396" s="3">
        <v>47.18227</v>
      </c>
      <c r="D1396" s="3">
        <v>2062.933</v>
      </c>
      <c r="E1396" s="3">
        <v>3121.773</v>
      </c>
      <c r="F1396" s="4" t="s">
        <v>8</v>
      </c>
      <c r="G1396" s="3">
        <v>12.0</v>
      </c>
    </row>
    <row r="1397">
      <c r="A1397" s="3">
        <v>4.0</v>
      </c>
      <c r="B1397" s="3">
        <v>196.8223</v>
      </c>
      <c r="C1397" s="3">
        <v>40.38589</v>
      </c>
      <c r="D1397" s="3">
        <v>2090.4</v>
      </c>
      <c r="E1397" s="3">
        <v>3218.992</v>
      </c>
      <c r="F1397" s="4" t="s">
        <v>8</v>
      </c>
      <c r="G1397" s="3">
        <v>12.0</v>
      </c>
    </row>
    <row r="1398">
      <c r="A1398" s="3">
        <v>3.0</v>
      </c>
      <c r="B1398" s="3">
        <v>181.6009</v>
      </c>
      <c r="C1398" s="3">
        <v>36.20473</v>
      </c>
      <c r="D1398" s="3">
        <v>2124.633</v>
      </c>
      <c r="E1398" s="3">
        <v>3283.194</v>
      </c>
      <c r="F1398" s="4" t="s">
        <v>8</v>
      </c>
      <c r="G1398" s="3">
        <v>12.0</v>
      </c>
    </row>
    <row r="1399">
      <c r="A1399" s="3">
        <v>2.0</v>
      </c>
      <c r="B1399" s="3">
        <v>166.604</v>
      </c>
      <c r="C1399" s="3">
        <v>33.1801</v>
      </c>
      <c r="D1399" s="3">
        <v>2161.133</v>
      </c>
      <c r="E1399" s="3">
        <v>3341.349</v>
      </c>
      <c r="F1399" s="4" t="s">
        <v>8</v>
      </c>
      <c r="G1399" s="3">
        <v>12.0</v>
      </c>
    </row>
    <row r="1400">
      <c r="A1400" s="3">
        <v>1.0</v>
      </c>
      <c r="B1400" s="3">
        <v>156.9946</v>
      </c>
      <c r="C1400" s="3">
        <v>30.62536</v>
      </c>
      <c r="D1400" s="3">
        <v>2188.167</v>
      </c>
      <c r="E1400" s="3">
        <v>3393.797</v>
      </c>
      <c r="F1400" s="4" t="s">
        <v>8</v>
      </c>
      <c r="G1400" s="3">
        <v>12.0</v>
      </c>
    </row>
    <row r="1401">
      <c r="A1401" s="3">
        <v>0.0</v>
      </c>
      <c r="B1401" s="3">
        <v>134.8102</v>
      </c>
      <c r="C1401" s="3">
        <v>28.43689</v>
      </c>
      <c r="D1401" s="3">
        <v>2254.167</v>
      </c>
      <c r="E1401" s="3">
        <v>3451.873</v>
      </c>
      <c r="F1401" s="4" t="s">
        <v>8</v>
      </c>
      <c r="G1401" s="3">
        <v>12.0</v>
      </c>
    </row>
    <row r="1402">
      <c r="A1402" s="3">
        <v>199.0</v>
      </c>
      <c r="B1402" s="3">
        <v>163.1281</v>
      </c>
      <c r="C1402" s="3">
        <v>137.8541</v>
      </c>
      <c r="D1402" s="3">
        <v>2162.9</v>
      </c>
      <c r="E1402" s="3">
        <v>2260.86</v>
      </c>
      <c r="F1402" s="4" t="s">
        <v>8</v>
      </c>
      <c r="G1402" s="3">
        <v>17.0</v>
      </c>
    </row>
    <row r="1403">
      <c r="A1403" s="3">
        <v>198.0</v>
      </c>
      <c r="B1403" s="3">
        <v>163.1281</v>
      </c>
      <c r="C1403" s="3">
        <v>137.4261</v>
      </c>
      <c r="D1403" s="3">
        <v>2162.9</v>
      </c>
      <c r="E1403" s="3">
        <v>2263.043</v>
      </c>
      <c r="F1403" s="4" t="s">
        <v>8</v>
      </c>
      <c r="G1403" s="3">
        <v>17.0</v>
      </c>
    </row>
    <row r="1404">
      <c r="A1404" s="3">
        <v>197.0</v>
      </c>
      <c r="B1404" s="3">
        <v>163.1281</v>
      </c>
      <c r="C1404" s="3">
        <v>136.9682</v>
      </c>
      <c r="D1404" s="3">
        <v>2162.9</v>
      </c>
      <c r="E1404" s="3">
        <v>2264.822</v>
      </c>
      <c r="F1404" s="4" t="s">
        <v>8</v>
      </c>
      <c r="G1404" s="3">
        <v>17.0</v>
      </c>
    </row>
    <row r="1405">
      <c r="A1405" s="3">
        <v>196.0</v>
      </c>
      <c r="B1405" s="3">
        <v>163.1281</v>
      </c>
      <c r="C1405" s="3">
        <v>137.3741</v>
      </c>
      <c r="D1405" s="3">
        <v>2162.9</v>
      </c>
      <c r="E1405" s="3">
        <v>2261.705</v>
      </c>
      <c r="F1405" s="4" t="s">
        <v>8</v>
      </c>
      <c r="G1405" s="3">
        <v>17.0</v>
      </c>
    </row>
    <row r="1406">
      <c r="A1406" s="3">
        <v>195.0</v>
      </c>
      <c r="B1406" s="3">
        <v>163.1281</v>
      </c>
      <c r="C1406" s="3">
        <v>136.96</v>
      </c>
      <c r="D1406" s="3">
        <v>2162.9</v>
      </c>
      <c r="E1406" s="3">
        <v>2264.066</v>
      </c>
      <c r="F1406" s="4" t="s">
        <v>8</v>
      </c>
      <c r="G1406" s="3">
        <v>17.0</v>
      </c>
    </row>
    <row r="1407">
      <c r="A1407" s="3">
        <v>194.0</v>
      </c>
      <c r="B1407" s="3">
        <v>163.1281</v>
      </c>
      <c r="C1407" s="3">
        <v>136.9438</v>
      </c>
      <c r="D1407" s="3">
        <v>2162.9</v>
      </c>
      <c r="E1407" s="3">
        <v>2264.655</v>
      </c>
      <c r="F1407" s="4" t="s">
        <v>8</v>
      </c>
      <c r="G1407" s="3">
        <v>17.0</v>
      </c>
    </row>
    <row r="1408">
      <c r="A1408" s="3">
        <v>193.0</v>
      </c>
      <c r="B1408" s="3">
        <v>163.1281</v>
      </c>
      <c r="C1408" s="3">
        <v>137.0364</v>
      </c>
      <c r="D1408" s="3">
        <v>2162.9</v>
      </c>
      <c r="E1408" s="3">
        <v>2263.29</v>
      </c>
      <c r="F1408" s="4" t="s">
        <v>8</v>
      </c>
      <c r="G1408" s="3">
        <v>17.0</v>
      </c>
    </row>
    <row r="1409">
      <c r="A1409" s="3">
        <v>192.0</v>
      </c>
      <c r="B1409" s="3">
        <v>163.1281</v>
      </c>
      <c r="C1409" s="3">
        <v>136.7906</v>
      </c>
      <c r="D1409" s="3">
        <v>2162.9</v>
      </c>
      <c r="E1409" s="3">
        <v>2265.022</v>
      </c>
      <c r="F1409" s="4" t="s">
        <v>8</v>
      </c>
      <c r="G1409" s="3">
        <v>17.0</v>
      </c>
    </row>
    <row r="1410">
      <c r="A1410" s="3">
        <v>191.0</v>
      </c>
      <c r="B1410" s="3">
        <v>163.1281</v>
      </c>
      <c r="C1410" s="3">
        <v>137.1066</v>
      </c>
      <c r="D1410" s="3">
        <v>2162.9</v>
      </c>
      <c r="E1410" s="3">
        <v>2263.503</v>
      </c>
      <c r="F1410" s="4" t="s">
        <v>8</v>
      </c>
      <c r="G1410" s="3">
        <v>17.0</v>
      </c>
    </row>
    <row r="1411">
      <c r="A1411" s="3">
        <v>190.0</v>
      </c>
      <c r="B1411" s="3">
        <v>163.1281</v>
      </c>
      <c r="C1411" s="3">
        <v>136.965</v>
      </c>
      <c r="D1411" s="3">
        <v>2162.9</v>
      </c>
      <c r="E1411" s="3">
        <v>2264.001</v>
      </c>
      <c r="F1411" s="4" t="s">
        <v>8</v>
      </c>
      <c r="G1411" s="3">
        <v>17.0</v>
      </c>
    </row>
    <row r="1412">
      <c r="A1412" s="3">
        <v>189.0</v>
      </c>
      <c r="B1412" s="3">
        <v>163.1281</v>
      </c>
      <c r="C1412" s="3">
        <v>137.5701</v>
      </c>
      <c r="D1412" s="3">
        <v>2162.9</v>
      </c>
      <c r="E1412" s="3">
        <v>2259.503</v>
      </c>
      <c r="F1412" s="4" t="s">
        <v>8</v>
      </c>
      <c r="G1412" s="3">
        <v>17.0</v>
      </c>
    </row>
    <row r="1413">
      <c r="A1413" s="3">
        <v>188.0</v>
      </c>
      <c r="B1413" s="3">
        <v>163.1281</v>
      </c>
      <c r="C1413" s="3">
        <v>137.2311</v>
      </c>
      <c r="D1413" s="3">
        <v>2162.9</v>
      </c>
      <c r="E1413" s="3">
        <v>2261.393</v>
      </c>
      <c r="F1413" s="4" t="s">
        <v>8</v>
      </c>
      <c r="G1413" s="3">
        <v>17.0</v>
      </c>
    </row>
    <row r="1414">
      <c r="A1414" s="3">
        <v>187.0</v>
      </c>
      <c r="B1414" s="3">
        <v>163.1281</v>
      </c>
      <c r="C1414" s="3">
        <v>136.9408</v>
      </c>
      <c r="D1414" s="3">
        <v>2162.9</v>
      </c>
      <c r="E1414" s="3">
        <v>2262.706</v>
      </c>
      <c r="F1414" s="4" t="s">
        <v>8</v>
      </c>
      <c r="G1414" s="3">
        <v>17.0</v>
      </c>
    </row>
    <row r="1415">
      <c r="A1415" s="3">
        <v>186.0</v>
      </c>
      <c r="B1415" s="3">
        <v>163.1281</v>
      </c>
      <c r="C1415" s="3">
        <v>136.8982</v>
      </c>
      <c r="D1415" s="3">
        <v>2162.9</v>
      </c>
      <c r="E1415" s="3">
        <v>2263.221</v>
      </c>
      <c r="F1415" s="4" t="s">
        <v>8</v>
      </c>
      <c r="G1415" s="3">
        <v>17.0</v>
      </c>
    </row>
    <row r="1416">
      <c r="A1416" s="3">
        <v>185.0</v>
      </c>
      <c r="B1416" s="3">
        <v>163.1281</v>
      </c>
      <c r="C1416" s="3">
        <v>136.8847</v>
      </c>
      <c r="D1416" s="3">
        <v>2162.9</v>
      </c>
      <c r="E1416" s="3">
        <v>2264.555</v>
      </c>
      <c r="F1416" s="4" t="s">
        <v>8</v>
      </c>
      <c r="G1416" s="3">
        <v>17.0</v>
      </c>
    </row>
    <row r="1417">
      <c r="A1417" s="3">
        <v>184.0</v>
      </c>
      <c r="B1417" s="3">
        <v>163.1281</v>
      </c>
      <c r="C1417" s="3">
        <v>137.2175</v>
      </c>
      <c r="D1417" s="3">
        <v>2162.9</v>
      </c>
      <c r="E1417" s="3">
        <v>2262.315</v>
      </c>
      <c r="F1417" s="4" t="s">
        <v>8</v>
      </c>
      <c r="G1417" s="3">
        <v>17.0</v>
      </c>
    </row>
    <row r="1418">
      <c r="A1418" s="3">
        <v>183.0</v>
      </c>
      <c r="B1418" s="3">
        <v>163.1281</v>
      </c>
      <c r="C1418" s="3">
        <v>137.477</v>
      </c>
      <c r="D1418" s="3">
        <v>2162.9</v>
      </c>
      <c r="E1418" s="3">
        <v>2262.345</v>
      </c>
      <c r="F1418" s="4" t="s">
        <v>8</v>
      </c>
      <c r="G1418" s="3">
        <v>17.0</v>
      </c>
    </row>
    <row r="1419">
      <c r="A1419" s="3">
        <v>182.0</v>
      </c>
      <c r="B1419" s="3">
        <v>163.1281</v>
      </c>
      <c r="C1419" s="3">
        <v>137.3334</v>
      </c>
      <c r="D1419" s="3">
        <v>2162.9</v>
      </c>
      <c r="E1419" s="3">
        <v>2263.246</v>
      </c>
      <c r="F1419" s="4" t="s">
        <v>8</v>
      </c>
      <c r="G1419" s="3">
        <v>17.0</v>
      </c>
    </row>
    <row r="1420">
      <c r="A1420" s="3">
        <v>181.0</v>
      </c>
      <c r="B1420" s="3">
        <v>163.1281</v>
      </c>
      <c r="C1420" s="3">
        <v>137.4013</v>
      </c>
      <c r="D1420" s="3">
        <v>2162.9</v>
      </c>
      <c r="E1420" s="3">
        <v>2262.806</v>
      </c>
      <c r="F1420" s="4" t="s">
        <v>8</v>
      </c>
      <c r="G1420" s="3">
        <v>17.0</v>
      </c>
    </row>
    <row r="1421">
      <c r="A1421" s="3">
        <v>180.0</v>
      </c>
      <c r="B1421" s="3">
        <v>163.1281</v>
      </c>
      <c r="C1421" s="3">
        <v>137.5647</v>
      </c>
      <c r="D1421" s="3">
        <v>2162.9</v>
      </c>
      <c r="E1421" s="3">
        <v>2260.727</v>
      </c>
      <c r="F1421" s="4" t="s">
        <v>8</v>
      </c>
      <c r="G1421" s="3">
        <v>17.0</v>
      </c>
    </row>
    <row r="1422">
      <c r="A1422" s="3">
        <v>179.0</v>
      </c>
      <c r="B1422" s="3">
        <v>163.1281</v>
      </c>
      <c r="C1422" s="3">
        <v>136.9988</v>
      </c>
      <c r="D1422" s="3">
        <v>2162.9</v>
      </c>
      <c r="E1422" s="3">
        <v>2263.255</v>
      </c>
      <c r="F1422" s="4" t="s">
        <v>8</v>
      </c>
      <c r="G1422" s="3">
        <v>17.0</v>
      </c>
    </row>
    <row r="1423">
      <c r="A1423" s="3">
        <v>178.0</v>
      </c>
      <c r="B1423" s="3">
        <v>163.1281</v>
      </c>
      <c r="C1423" s="3">
        <v>137.1459</v>
      </c>
      <c r="D1423" s="3">
        <v>2162.9</v>
      </c>
      <c r="E1423" s="3">
        <v>2261.555</v>
      </c>
      <c r="F1423" s="4" t="s">
        <v>8</v>
      </c>
      <c r="G1423" s="3">
        <v>17.0</v>
      </c>
    </row>
    <row r="1424">
      <c r="A1424" s="3">
        <v>177.0</v>
      </c>
      <c r="B1424" s="3">
        <v>163.1281</v>
      </c>
      <c r="C1424" s="3">
        <v>137.2602</v>
      </c>
      <c r="D1424" s="3">
        <v>2162.9</v>
      </c>
      <c r="E1424" s="3">
        <v>2260.878</v>
      </c>
      <c r="F1424" s="4" t="s">
        <v>8</v>
      </c>
      <c r="G1424" s="3">
        <v>17.0</v>
      </c>
    </row>
    <row r="1425">
      <c r="A1425" s="3">
        <v>176.0</v>
      </c>
      <c r="B1425" s="3">
        <v>163.1281</v>
      </c>
      <c r="C1425" s="3">
        <v>137.1891</v>
      </c>
      <c r="D1425" s="3">
        <v>2162.9</v>
      </c>
      <c r="E1425" s="3">
        <v>2262.487</v>
      </c>
      <c r="F1425" s="4" t="s">
        <v>8</v>
      </c>
      <c r="G1425" s="3">
        <v>17.0</v>
      </c>
    </row>
    <row r="1426">
      <c r="A1426" s="3">
        <v>175.0</v>
      </c>
      <c r="B1426" s="3">
        <v>163.1281</v>
      </c>
      <c r="C1426" s="3">
        <v>137.1283</v>
      </c>
      <c r="D1426" s="3">
        <v>2162.9</v>
      </c>
      <c r="E1426" s="3">
        <v>2264.005</v>
      </c>
      <c r="F1426" s="4" t="s">
        <v>8</v>
      </c>
      <c r="G1426" s="3">
        <v>17.0</v>
      </c>
    </row>
    <row r="1427">
      <c r="A1427" s="3">
        <v>174.0</v>
      </c>
      <c r="B1427" s="3">
        <v>163.1281</v>
      </c>
      <c r="C1427" s="3">
        <v>136.9059</v>
      </c>
      <c r="D1427" s="3">
        <v>2162.9</v>
      </c>
      <c r="E1427" s="3">
        <v>2265.363</v>
      </c>
      <c r="F1427" s="4" t="s">
        <v>8</v>
      </c>
      <c r="G1427" s="3">
        <v>17.0</v>
      </c>
    </row>
    <row r="1428">
      <c r="A1428" s="3">
        <v>173.0</v>
      </c>
      <c r="B1428" s="3">
        <v>163.1281</v>
      </c>
      <c r="C1428" s="3">
        <v>136.4482</v>
      </c>
      <c r="D1428" s="3">
        <v>2162.9</v>
      </c>
      <c r="E1428" s="3">
        <v>2267.609</v>
      </c>
      <c r="F1428" s="4" t="s">
        <v>8</v>
      </c>
      <c r="G1428" s="3">
        <v>17.0</v>
      </c>
    </row>
    <row r="1429">
      <c r="A1429" s="3">
        <v>172.0</v>
      </c>
      <c r="B1429" s="3">
        <v>163.1281</v>
      </c>
      <c r="C1429" s="3">
        <v>136.6537</v>
      </c>
      <c r="D1429" s="3">
        <v>2162.9</v>
      </c>
      <c r="E1429" s="3">
        <v>2267.46</v>
      </c>
      <c r="F1429" s="4" t="s">
        <v>8</v>
      </c>
      <c r="G1429" s="3">
        <v>17.0</v>
      </c>
    </row>
    <row r="1430">
      <c r="A1430" s="3">
        <v>171.0</v>
      </c>
      <c r="B1430" s="3">
        <v>163.1281</v>
      </c>
      <c r="C1430" s="3">
        <v>136.9979</v>
      </c>
      <c r="D1430" s="3">
        <v>2162.9</v>
      </c>
      <c r="E1430" s="3">
        <v>2262.891</v>
      </c>
      <c r="F1430" s="4" t="s">
        <v>8</v>
      </c>
      <c r="G1430" s="3">
        <v>17.0</v>
      </c>
    </row>
    <row r="1431">
      <c r="A1431" s="3">
        <v>170.0</v>
      </c>
      <c r="B1431" s="3">
        <v>163.1281</v>
      </c>
      <c r="C1431" s="3">
        <v>136.9747</v>
      </c>
      <c r="D1431" s="3">
        <v>2162.9</v>
      </c>
      <c r="E1431" s="3">
        <v>2262.567</v>
      </c>
      <c r="F1431" s="4" t="s">
        <v>8</v>
      </c>
      <c r="G1431" s="3">
        <v>17.0</v>
      </c>
    </row>
    <row r="1432">
      <c r="A1432" s="3">
        <v>169.0</v>
      </c>
      <c r="B1432" s="3">
        <v>163.1281</v>
      </c>
      <c r="C1432" s="3">
        <v>137.4485</v>
      </c>
      <c r="D1432" s="3">
        <v>2162.9</v>
      </c>
      <c r="E1432" s="3">
        <v>2260.472</v>
      </c>
      <c r="F1432" s="4" t="s">
        <v>8</v>
      </c>
      <c r="G1432" s="3">
        <v>17.0</v>
      </c>
    </row>
    <row r="1433">
      <c r="A1433" s="3">
        <v>168.0</v>
      </c>
      <c r="B1433" s="3">
        <v>163.1281</v>
      </c>
      <c r="C1433" s="3">
        <v>137.4345</v>
      </c>
      <c r="D1433" s="3">
        <v>2162.9</v>
      </c>
      <c r="E1433" s="3">
        <v>2261.564</v>
      </c>
      <c r="F1433" s="4" t="s">
        <v>8</v>
      </c>
      <c r="G1433" s="3">
        <v>17.0</v>
      </c>
    </row>
    <row r="1434">
      <c r="A1434" s="3">
        <v>167.0</v>
      </c>
      <c r="B1434" s="3">
        <v>163.1281</v>
      </c>
      <c r="C1434" s="3">
        <v>137.6283</v>
      </c>
      <c r="D1434" s="3">
        <v>2162.9</v>
      </c>
      <c r="E1434" s="3">
        <v>2259.424</v>
      </c>
      <c r="F1434" s="4" t="s">
        <v>8</v>
      </c>
      <c r="G1434" s="3">
        <v>17.0</v>
      </c>
    </row>
    <row r="1435">
      <c r="A1435" s="3">
        <v>166.0</v>
      </c>
      <c r="B1435" s="3">
        <v>163.1281</v>
      </c>
      <c r="C1435" s="3">
        <v>137.602</v>
      </c>
      <c r="D1435" s="3">
        <v>2162.9</v>
      </c>
      <c r="E1435" s="3">
        <v>2260.77</v>
      </c>
      <c r="F1435" s="4" t="s">
        <v>8</v>
      </c>
      <c r="G1435" s="3">
        <v>17.0</v>
      </c>
    </row>
    <row r="1436">
      <c r="A1436" s="3">
        <v>165.0</v>
      </c>
      <c r="B1436" s="3">
        <v>163.1281</v>
      </c>
      <c r="C1436" s="3">
        <v>137.7652</v>
      </c>
      <c r="D1436" s="3">
        <v>2162.9</v>
      </c>
      <c r="E1436" s="3">
        <v>2260.846</v>
      </c>
      <c r="F1436" s="4" t="s">
        <v>8</v>
      </c>
      <c r="G1436" s="3">
        <v>17.0</v>
      </c>
    </row>
    <row r="1437">
      <c r="A1437" s="3">
        <v>164.0</v>
      </c>
      <c r="B1437" s="3">
        <v>163.1281</v>
      </c>
      <c r="C1437" s="3">
        <v>137.9899</v>
      </c>
      <c r="D1437" s="3">
        <v>2162.9</v>
      </c>
      <c r="E1437" s="3">
        <v>2260.25</v>
      </c>
      <c r="F1437" s="4" t="s">
        <v>8</v>
      </c>
      <c r="G1437" s="3">
        <v>17.0</v>
      </c>
    </row>
    <row r="1438">
      <c r="A1438" s="3">
        <v>163.0</v>
      </c>
      <c r="B1438" s="3">
        <v>163.1281</v>
      </c>
      <c r="C1438" s="3">
        <v>137.6829</v>
      </c>
      <c r="D1438" s="3">
        <v>2162.9</v>
      </c>
      <c r="E1438" s="3">
        <v>2260.529</v>
      </c>
      <c r="F1438" s="4" t="s">
        <v>8</v>
      </c>
      <c r="G1438" s="3">
        <v>17.0</v>
      </c>
    </row>
    <row r="1439">
      <c r="A1439" s="3">
        <v>162.0</v>
      </c>
      <c r="B1439" s="3">
        <v>163.1281</v>
      </c>
      <c r="C1439" s="3">
        <v>137.1995</v>
      </c>
      <c r="D1439" s="3">
        <v>2162.9</v>
      </c>
      <c r="E1439" s="3">
        <v>2260.746</v>
      </c>
      <c r="F1439" s="4" t="s">
        <v>8</v>
      </c>
      <c r="G1439" s="3">
        <v>17.0</v>
      </c>
    </row>
    <row r="1440">
      <c r="A1440" s="3">
        <v>161.0</v>
      </c>
      <c r="B1440" s="3">
        <v>163.1281</v>
      </c>
      <c r="C1440" s="3">
        <v>137.6944</v>
      </c>
      <c r="D1440" s="3">
        <v>2162.9</v>
      </c>
      <c r="E1440" s="3">
        <v>2258.71</v>
      </c>
      <c r="F1440" s="4" t="s">
        <v>8</v>
      </c>
      <c r="G1440" s="3">
        <v>17.0</v>
      </c>
    </row>
    <row r="1441">
      <c r="A1441" s="3">
        <v>160.0</v>
      </c>
      <c r="B1441" s="3">
        <v>163.1281</v>
      </c>
      <c r="C1441" s="3">
        <v>137.4077</v>
      </c>
      <c r="D1441" s="3">
        <v>2162.9</v>
      </c>
      <c r="E1441" s="3">
        <v>2260.513</v>
      </c>
      <c r="F1441" s="4" t="s">
        <v>8</v>
      </c>
      <c r="G1441" s="3">
        <v>17.0</v>
      </c>
    </row>
    <row r="1442">
      <c r="A1442" s="3">
        <v>159.0</v>
      </c>
      <c r="B1442" s="3">
        <v>163.1281</v>
      </c>
      <c r="C1442" s="3">
        <v>137.208</v>
      </c>
      <c r="D1442" s="3">
        <v>2162.9</v>
      </c>
      <c r="E1442" s="3">
        <v>2262.343</v>
      </c>
      <c r="F1442" s="4" t="s">
        <v>8</v>
      </c>
      <c r="G1442" s="3">
        <v>17.0</v>
      </c>
    </row>
    <row r="1443">
      <c r="A1443" s="3">
        <v>158.0</v>
      </c>
      <c r="B1443" s="3">
        <v>163.1281</v>
      </c>
      <c r="C1443" s="3">
        <v>137.6884</v>
      </c>
      <c r="D1443" s="3">
        <v>2162.9</v>
      </c>
      <c r="E1443" s="3">
        <v>2260.004</v>
      </c>
      <c r="F1443" s="4" t="s">
        <v>8</v>
      </c>
      <c r="G1443" s="3">
        <v>17.0</v>
      </c>
    </row>
    <row r="1444">
      <c r="A1444" s="3">
        <v>157.0</v>
      </c>
      <c r="B1444" s="3">
        <v>163.1281</v>
      </c>
      <c r="C1444" s="3">
        <v>137.3124</v>
      </c>
      <c r="D1444" s="3">
        <v>2162.9</v>
      </c>
      <c r="E1444" s="3">
        <v>2260.788</v>
      </c>
      <c r="F1444" s="4" t="s">
        <v>8</v>
      </c>
      <c r="G1444" s="3">
        <v>17.0</v>
      </c>
    </row>
    <row r="1445">
      <c r="A1445" s="3">
        <v>156.0</v>
      </c>
      <c r="B1445" s="3">
        <v>163.1281</v>
      </c>
      <c r="C1445" s="3">
        <v>137.0087</v>
      </c>
      <c r="D1445" s="3">
        <v>2162.9</v>
      </c>
      <c r="E1445" s="3">
        <v>2261.889</v>
      </c>
      <c r="F1445" s="4" t="s">
        <v>8</v>
      </c>
      <c r="G1445" s="3">
        <v>17.0</v>
      </c>
    </row>
    <row r="1446">
      <c r="A1446" s="3">
        <v>155.0</v>
      </c>
      <c r="B1446" s="3">
        <v>163.1281</v>
      </c>
      <c r="C1446" s="3">
        <v>137.4108</v>
      </c>
      <c r="D1446" s="3">
        <v>2162.9</v>
      </c>
      <c r="E1446" s="3">
        <v>2260.872</v>
      </c>
      <c r="F1446" s="4" t="s">
        <v>8</v>
      </c>
      <c r="G1446" s="3">
        <v>17.0</v>
      </c>
    </row>
    <row r="1447">
      <c r="A1447" s="3">
        <v>154.0</v>
      </c>
      <c r="B1447" s="3">
        <v>163.1281</v>
      </c>
      <c r="C1447" s="3">
        <v>137.6126</v>
      </c>
      <c r="D1447" s="3">
        <v>2162.9</v>
      </c>
      <c r="E1447" s="3">
        <v>2259.516</v>
      </c>
      <c r="F1447" s="4" t="s">
        <v>8</v>
      </c>
      <c r="G1447" s="3">
        <v>17.0</v>
      </c>
    </row>
    <row r="1448">
      <c r="A1448" s="3">
        <v>153.0</v>
      </c>
      <c r="B1448" s="3">
        <v>163.1281</v>
      </c>
      <c r="C1448" s="3">
        <v>137.0517</v>
      </c>
      <c r="D1448" s="3">
        <v>2162.9</v>
      </c>
      <c r="E1448" s="3">
        <v>2263.446</v>
      </c>
      <c r="F1448" s="4" t="s">
        <v>8</v>
      </c>
      <c r="G1448" s="3">
        <v>17.0</v>
      </c>
    </row>
    <row r="1449">
      <c r="A1449" s="3">
        <v>152.0</v>
      </c>
      <c r="B1449" s="3">
        <v>163.1281</v>
      </c>
      <c r="C1449" s="3">
        <v>137.1066</v>
      </c>
      <c r="D1449" s="3">
        <v>2162.9</v>
      </c>
      <c r="E1449" s="3">
        <v>2263.4</v>
      </c>
      <c r="F1449" s="4" t="s">
        <v>8</v>
      </c>
      <c r="G1449" s="3">
        <v>17.0</v>
      </c>
    </row>
    <row r="1450">
      <c r="A1450" s="3">
        <v>151.0</v>
      </c>
      <c r="B1450" s="3">
        <v>163.1281</v>
      </c>
      <c r="C1450" s="3">
        <v>137.171</v>
      </c>
      <c r="D1450" s="3">
        <v>2162.9</v>
      </c>
      <c r="E1450" s="3">
        <v>2263.214</v>
      </c>
      <c r="F1450" s="4" t="s">
        <v>8</v>
      </c>
      <c r="G1450" s="3">
        <v>17.0</v>
      </c>
    </row>
    <row r="1451">
      <c r="A1451" s="3">
        <v>150.0</v>
      </c>
      <c r="B1451" s="3">
        <v>163.1281</v>
      </c>
      <c r="C1451" s="3">
        <v>137.2939</v>
      </c>
      <c r="D1451" s="3">
        <v>2162.9</v>
      </c>
      <c r="E1451" s="3">
        <v>2262.811</v>
      </c>
      <c r="F1451" s="4" t="s">
        <v>8</v>
      </c>
      <c r="G1451" s="3">
        <v>17.0</v>
      </c>
    </row>
    <row r="1452">
      <c r="A1452" s="3">
        <v>149.0</v>
      </c>
      <c r="B1452" s="3">
        <v>163.1281</v>
      </c>
      <c r="C1452" s="3">
        <v>137.1533</v>
      </c>
      <c r="D1452" s="3">
        <v>2162.9</v>
      </c>
      <c r="E1452" s="3">
        <v>2262.132</v>
      </c>
      <c r="F1452" s="4" t="s">
        <v>8</v>
      </c>
      <c r="G1452" s="3">
        <v>17.0</v>
      </c>
    </row>
    <row r="1453">
      <c r="A1453" s="3">
        <v>148.0</v>
      </c>
      <c r="B1453" s="3">
        <v>163.1281</v>
      </c>
      <c r="C1453" s="3">
        <v>137.21</v>
      </c>
      <c r="D1453" s="3">
        <v>2162.9</v>
      </c>
      <c r="E1453" s="3">
        <v>2261.032</v>
      </c>
      <c r="F1453" s="4" t="s">
        <v>8</v>
      </c>
      <c r="G1453" s="3">
        <v>17.0</v>
      </c>
    </row>
    <row r="1454">
      <c r="A1454" s="3">
        <v>147.0</v>
      </c>
      <c r="B1454" s="3">
        <v>163.1281</v>
      </c>
      <c r="C1454" s="3">
        <v>137.541</v>
      </c>
      <c r="D1454" s="3">
        <v>2162.9</v>
      </c>
      <c r="E1454" s="3">
        <v>2258.043</v>
      </c>
      <c r="F1454" s="4" t="s">
        <v>8</v>
      </c>
      <c r="G1454" s="3">
        <v>17.0</v>
      </c>
    </row>
    <row r="1455">
      <c r="A1455" s="3">
        <v>146.0</v>
      </c>
      <c r="B1455" s="3">
        <v>163.1281</v>
      </c>
      <c r="C1455" s="3">
        <v>137.5123</v>
      </c>
      <c r="D1455" s="3">
        <v>2162.9</v>
      </c>
      <c r="E1455" s="3">
        <v>2259.47</v>
      </c>
      <c r="F1455" s="4" t="s">
        <v>8</v>
      </c>
      <c r="G1455" s="3">
        <v>17.0</v>
      </c>
    </row>
    <row r="1456">
      <c r="A1456" s="3">
        <v>145.0</v>
      </c>
      <c r="B1456" s="3">
        <v>163.1281</v>
      </c>
      <c r="C1456" s="3">
        <v>137.2168</v>
      </c>
      <c r="D1456" s="3">
        <v>2162.9</v>
      </c>
      <c r="E1456" s="3">
        <v>2261.051</v>
      </c>
      <c r="F1456" s="4" t="s">
        <v>8</v>
      </c>
      <c r="G1456" s="3">
        <v>17.0</v>
      </c>
    </row>
    <row r="1457">
      <c r="A1457" s="3">
        <v>144.0</v>
      </c>
      <c r="B1457" s="3">
        <v>163.1281</v>
      </c>
      <c r="C1457" s="3">
        <v>137.9822</v>
      </c>
      <c r="D1457" s="3">
        <v>2162.9</v>
      </c>
      <c r="E1457" s="3">
        <v>2257.811</v>
      </c>
      <c r="F1457" s="4" t="s">
        <v>8</v>
      </c>
      <c r="G1457" s="3">
        <v>17.0</v>
      </c>
    </row>
    <row r="1458">
      <c r="A1458" s="3">
        <v>143.0</v>
      </c>
      <c r="B1458" s="3">
        <v>163.1281</v>
      </c>
      <c r="C1458" s="3">
        <v>137.7947</v>
      </c>
      <c r="D1458" s="3">
        <v>2162.9</v>
      </c>
      <c r="E1458" s="3">
        <v>2259.512</v>
      </c>
      <c r="F1458" s="4" t="s">
        <v>8</v>
      </c>
      <c r="G1458" s="3">
        <v>17.0</v>
      </c>
    </row>
    <row r="1459">
      <c r="A1459" s="3">
        <v>142.0</v>
      </c>
      <c r="B1459" s="3">
        <v>163.1281</v>
      </c>
      <c r="C1459" s="3">
        <v>137.1781</v>
      </c>
      <c r="D1459" s="3">
        <v>2162.9</v>
      </c>
      <c r="E1459" s="3">
        <v>2263.703</v>
      </c>
      <c r="F1459" s="4" t="s">
        <v>8</v>
      </c>
      <c r="G1459" s="3">
        <v>17.0</v>
      </c>
    </row>
    <row r="1460">
      <c r="A1460" s="3">
        <v>141.0</v>
      </c>
      <c r="B1460" s="3">
        <v>163.1281</v>
      </c>
      <c r="C1460" s="3">
        <v>137.2019</v>
      </c>
      <c r="D1460" s="3">
        <v>2162.9</v>
      </c>
      <c r="E1460" s="3">
        <v>2263.372</v>
      </c>
      <c r="F1460" s="4" t="s">
        <v>8</v>
      </c>
      <c r="G1460" s="3">
        <v>17.0</v>
      </c>
    </row>
    <row r="1461">
      <c r="A1461" s="3">
        <v>140.0</v>
      </c>
      <c r="B1461" s="3">
        <v>163.1281</v>
      </c>
      <c r="C1461" s="3">
        <v>137.1</v>
      </c>
      <c r="D1461" s="3">
        <v>2162.9</v>
      </c>
      <c r="E1461" s="3">
        <v>2262.564</v>
      </c>
      <c r="F1461" s="4" t="s">
        <v>8</v>
      </c>
      <c r="G1461" s="3">
        <v>17.0</v>
      </c>
    </row>
    <row r="1462">
      <c r="A1462" s="3">
        <v>139.0</v>
      </c>
      <c r="B1462" s="3">
        <v>163.1281</v>
      </c>
      <c r="C1462" s="3">
        <v>137.1286</v>
      </c>
      <c r="D1462" s="3">
        <v>2162.9</v>
      </c>
      <c r="E1462" s="3">
        <v>2264.267</v>
      </c>
      <c r="F1462" s="4" t="s">
        <v>8</v>
      </c>
      <c r="G1462" s="3">
        <v>17.0</v>
      </c>
    </row>
    <row r="1463">
      <c r="A1463" s="3">
        <v>138.0</v>
      </c>
      <c r="B1463" s="3">
        <v>163.1281</v>
      </c>
      <c r="C1463" s="3">
        <v>137.2651</v>
      </c>
      <c r="D1463" s="3">
        <v>2162.9</v>
      </c>
      <c r="E1463" s="3">
        <v>2262.646</v>
      </c>
      <c r="F1463" s="4" t="s">
        <v>8</v>
      </c>
      <c r="G1463" s="3">
        <v>17.0</v>
      </c>
    </row>
    <row r="1464">
      <c r="A1464" s="3">
        <v>137.0</v>
      </c>
      <c r="B1464" s="3">
        <v>163.1281</v>
      </c>
      <c r="C1464" s="3">
        <v>136.6815</v>
      </c>
      <c r="D1464" s="3">
        <v>2162.9</v>
      </c>
      <c r="E1464" s="3">
        <v>2263.723</v>
      </c>
      <c r="F1464" s="4" t="s">
        <v>8</v>
      </c>
      <c r="G1464" s="3">
        <v>17.0</v>
      </c>
    </row>
    <row r="1465">
      <c r="A1465" s="3">
        <v>136.0</v>
      </c>
      <c r="B1465" s="3">
        <v>163.1281</v>
      </c>
      <c r="C1465" s="3">
        <v>136.0628</v>
      </c>
      <c r="D1465" s="3">
        <v>2162.9</v>
      </c>
      <c r="E1465" s="3">
        <v>2266.953</v>
      </c>
      <c r="F1465" s="4" t="s">
        <v>8</v>
      </c>
      <c r="G1465" s="3">
        <v>17.0</v>
      </c>
    </row>
    <row r="1466">
      <c r="A1466" s="3">
        <v>135.0</v>
      </c>
      <c r="B1466" s="3">
        <v>163.1281</v>
      </c>
      <c r="C1466" s="3">
        <v>135.843</v>
      </c>
      <c r="D1466" s="3">
        <v>2162.9</v>
      </c>
      <c r="E1466" s="3">
        <v>2266.962</v>
      </c>
      <c r="F1466" s="4" t="s">
        <v>8</v>
      </c>
      <c r="G1466" s="3">
        <v>17.0</v>
      </c>
    </row>
    <row r="1467">
      <c r="A1467" s="3">
        <v>134.0</v>
      </c>
      <c r="B1467" s="3">
        <v>163.1281</v>
      </c>
      <c r="C1467" s="3">
        <v>135.5952</v>
      </c>
      <c r="D1467" s="3">
        <v>2162.9</v>
      </c>
      <c r="E1467" s="3">
        <v>2268.327</v>
      </c>
      <c r="F1467" s="4" t="s">
        <v>8</v>
      </c>
      <c r="G1467" s="3">
        <v>17.0</v>
      </c>
    </row>
    <row r="1468">
      <c r="A1468" s="3">
        <v>133.0</v>
      </c>
      <c r="B1468" s="3">
        <v>163.1281</v>
      </c>
      <c r="C1468" s="3">
        <v>135.6303</v>
      </c>
      <c r="D1468" s="3">
        <v>2162.9</v>
      </c>
      <c r="E1468" s="3">
        <v>2266.834</v>
      </c>
      <c r="F1468" s="4" t="s">
        <v>8</v>
      </c>
      <c r="G1468" s="3">
        <v>17.0</v>
      </c>
    </row>
    <row r="1469">
      <c r="A1469" s="3">
        <v>132.0</v>
      </c>
      <c r="B1469" s="3">
        <v>163.1281</v>
      </c>
      <c r="C1469" s="3">
        <v>135.5872</v>
      </c>
      <c r="D1469" s="3">
        <v>2162.9</v>
      </c>
      <c r="E1469" s="3">
        <v>2266.101</v>
      </c>
      <c r="F1469" s="4" t="s">
        <v>8</v>
      </c>
      <c r="G1469" s="3">
        <v>17.0</v>
      </c>
    </row>
    <row r="1470">
      <c r="A1470" s="3">
        <v>131.0</v>
      </c>
      <c r="B1470" s="3">
        <v>163.1281</v>
      </c>
      <c r="C1470" s="3">
        <v>135.3882</v>
      </c>
      <c r="D1470" s="3">
        <v>2162.9</v>
      </c>
      <c r="E1470" s="3">
        <v>2268.295</v>
      </c>
      <c r="F1470" s="4" t="s">
        <v>8</v>
      </c>
      <c r="G1470" s="3">
        <v>17.0</v>
      </c>
    </row>
    <row r="1471">
      <c r="A1471" s="3">
        <v>130.0</v>
      </c>
      <c r="B1471" s="3">
        <v>163.1281</v>
      </c>
      <c r="C1471" s="3">
        <v>135.2236</v>
      </c>
      <c r="D1471" s="3">
        <v>2162.9</v>
      </c>
      <c r="E1471" s="3">
        <v>2269.823</v>
      </c>
      <c r="F1471" s="4" t="s">
        <v>8</v>
      </c>
      <c r="G1471" s="3">
        <v>17.0</v>
      </c>
    </row>
    <row r="1472">
      <c r="A1472" s="3">
        <v>129.0</v>
      </c>
      <c r="B1472" s="3">
        <v>163.1281</v>
      </c>
      <c r="C1472" s="3">
        <v>135.6769</v>
      </c>
      <c r="D1472" s="3">
        <v>2162.9</v>
      </c>
      <c r="E1472" s="3">
        <v>2266.516</v>
      </c>
      <c r="F1472" s="4" t="s">
        <v>8</v>
      </c>
      <c r="G1472" s="3">
        <v>17.0</v>
      </c>
    </row>
    <row r="1473">
      <c r="A1473" s="3">
        <v>128.0</v>
      </c>
      <c r="B1473" s="3">
        <v>163.1281</v>
      </c>
      <c r="C1473" s="3">
        <v>135.9237</v>
      </c>
      <c r="D1473" s="3">
        <v>2162.9</v>
      </c>
      <c r="E1473" s="3">
        <v>2266.562</v>
      </c>
      <c r="F1473" s="4" t="s">
        <v>8</v>
      </c>
      <c r="G1473" s="3">
        <v>17.0</v>
      </c>
    </row>
    <row r="1474">
      <c r="A1474" s="3">
        <v>127.0</v>
      </c>
      <c r="B1474" s="3">
        <v>163.1281</v>
      </c>
      <c r="C1474" s="3">
        <v>135.3151</v>
      </c>
      <c r="D1474" s="3">
        <v>2162.9</v>
      </c>
      <c r="E1474" s="3">
        <v>2271.042</v>
      </c>
      <c r="F1474" s="4" t="s">
        <v>8</v>
      </c>
      <c r="G1474" s="3">
        <v>17.0</v>
      </c>
    </row>
    <row r="1475">
      <c r="A1475" s="3">
        <v>126.0</v>
      </c>
      <c r="B1475" s="3">
        <v>163.1281</v>
      </c>
      <c r="C1475" s="3">
        <v>135.727</v>
      </c>
      <c r="D1475" s="3">
        <v>2162.9</v>
      </c>
      <c r="E1475" s="3">
        <v>2266.499</v>
      </c>
      <c r="F1475" s="4" t="s">
        <v>8</v>
      </c>
      <c r="G1475" s="3">
        <v>17.0</v>
      </c>
    </row>
    <row r="1476">
      <c r="A1476" s="3">
        <v>125.0</v>
      </c>
      <c r="B1476" s="3">
        <v>163.1281</v>
      </c>
      <c r="C1476" s="3">
        <v>135.2166</v>
      </c>
      <c r="D1476" s="3">
        <v>2162.9</v>
      </c>
      <c r="E1476" s="3">
        <v>2269.074</v>
      </c>
      <c r="F1476" s="4" t="s">
        <v>8</v>
      </c>
      <c r="G1476" s="3">
        <v>17.0</v>
      </c>
    </row>
    <row r="1477">
      <c r="A1477" s="3">
        <v>124.0</v>
      </c>
      <c r="B1477" s="3">
        <v>163.1281</v>
      </c>
      <c r="C1477" s="3">
        <v>135.4839</v>
      </c>
      <c r="D1477" s="3">
        <v>2162.9</v>
      </c>
      <c r="E1477" s="3">
        <v>2267.52</v>
      </c>
      <c r="F1477" s="4" t="s">
        <v>8</v>
      </c>
      <c r="G1477" s="3">
        <v>17.0</v>
      </c>
    </row>
    <row r="1478">
      <c r="A1478" s="3">
        <v>123.0</v>
      </c>
      <c r="B1478" s="3">
        <v>163.1281</v>
      </c>
      <c r="C1478" s="3">
        <v>135.6509</v>
      </c>
      <c r="D1478" s="3">
        <v>2162.9</v>
      </c>
      <c r="E1478" s="3">
        <v>2267.878</v>
      </c>
      <c r="F1478" s="4" t="s">
        <v>8</v>
      </c>
      <c r="G1478" s="3">
        <v>17.0</v>
      </c>
    </row>
    <row r="1479">
      <c r="A1479" s="3">
        <v>122.0</v>
      </c>
      <c r="B1479" s="3">
        <v>163.1281</v>
      </c>
      <c r="C1479" s="3">
        <v>135.6799</v>
      </c>
      <c r="D1479" s="3">
        <v>2162.9</v>
      </c>
      <c r="E1479" s="3">
        <v>2267.914</v>
      </c>
      <c r="F1479" s="4" t="s">
        <v>8</v>
      </c>
      <c r="G1479" s="3">
        <v>17.0</v>
      </c>
    </row>
    <row r="1480">
      <c r="A1480" s="3">
        <v>121.0</v>
      </c>
      <c r="B1480" s="3">
        <v>163.1281</v>
      </c>
      <c r="C1480" s="3">
        <v>135.5211</v>
      </c>
      <c r="D1480" s="3">
        <v>2162.9</v>
      </c>
      <c r="E1480" s="3">
        <v>2269.985</v>
      </c>
      <c r="F1480" s="4" t="s">
        <v>8</v>
      </c>
      <c r="G1480" s="3">
        <v>17.0</v>
      </c>
    </row>
    <row r="1481">
      <c r="A1481" s="3">
        <v>120.0</v>
      </c>
      <c r="B1481" s="3">
        <v>163.1281</v>
      </c>
      <c r="C1481" s="3">
        <v>135.8899</v>
      </c>
      <c r="D1481" s="3">
        <v>2162.9</v>
      </c>
      <c r="E1481" s="3">
        <v>2267.398</v>
      </c>
      <c r="F1481" s="4" t="s">
        <v>8</v>
      </c>
      <c r="G1481" s="3">
        <v>17.0</v>
      </c>
    </row>
    <row r="1482">
      <c r="A1482" s="3">
        <v>119.0</v>
      </c>
      <c r="B1482" s="3">
        <v>163.1281</v>
      </c>
      <c r="C1482" s="3">
        <v>135.2477</v>
      </c>
      <c r="D1482" s="3">
        <v>2162.9</v>
      </c>
      <c r="E1482" s="3">
        <v>2269.869</v>
      </c>
      <c r="F1482" s="4" t="s">
        <v>8</v>
      </c>
      <c r="G1482" s="3">
        <v>17.0</v>
      </c>
    </row>
    <row r="1483">
      <c r="A1483" s="3">
        <v>118.0</v>
      </c>
      <c r="B1483" s="3">
        <v>163.1281</v>
      </c>
      <c r="C1483" s="3">
        <v>135.9197</v>
      </c>
      <c r="D1483" s="3">
        <v>2162.9</v>
      </c>
      <c r="E1483" s="3">
        <v>2266.771</v>
      </c>
      <c r="F1483" s="4" t="s">
        <v>8</v>
      </c>
      <c r="G1483" s="3">
        <v>17.0</v>
      </c>
    </row>
    <row r="1484">
      <c r="A1484" s="3">
        <v>117.0</v>
      </c>
      <c r="B1484" s="3">
        <v>163.1281</v>
      </c>
      <c r="C1484" s="3">
        <v>135.9974</v>
      </c>
      <c r="D1484" s="3">
        <v>2162.9</v>
      </c>
      <c r="E1484" s="3">
        <v>2266.224</v>
      </c>
      <c r="F1484" s="4" t="s">
        <v>8</v>
      </c>
      <c r="G1484" s="3">
        <v>17.0</v>
      </c>
    </row>
    <row r="1485">
      <c r="A1485" s="3">
        <v>116.0</v>
      </c>
      <c r="B1485" s="3">
        <v>163.1281</v>
      </c>
      <c r="C1485" s="3">
        <v>135.9413</v>
      </c>
      <c r="D1485" s="3">
        <v>2162.9</v>
      </c>
      <c r="E1485" s="3">
        <v>2266.759</v>
      </c>
      <c r="F1485" s="4" t="s">
        <v>8</v>
      </c>
      <c r="G1485" s="3">
        <v>17.0</v>
      </c>
    </row>
    <row r="1486">
      <c r="A1486" s="3">
        <v>115.0</v>
      </c>
      <c r="B1486" s="3">
        <v>163.1281</v>
      </c>
      <c r="C1486" s="3">
        <v>135.5817</v>
      </c>
      <c r="D1486" s="3">
        <v>2162.9</v>
      </c>
      <c r="E1486" s="3">
        <v>2269.366</v>
      </c>
      <c r="F1486" s="4" t="s">
        <v>8</v>
      </c>
      <c r="G1486" s="3">
        <v>17.0</v>
      </c>
    </row>
    <row r="1487">
      <c r="A1487" s="3">
        <v>114.0</v>
      </c>
      <c r="B1487" s="3">
        <v>163.1281</v>
      </c>
      <c r="C1487" s="3">
        <v>135.7907</v>
      </c>
      <c r="D1487" s="3">
        <v>2162.9</v>
      </c>
      <c r="E1487" s="3">
        <v>2268.125</v>
      </c>
      <c r="F1487" s="4" t="s">
        <v>8</v>
      </c>
      <c r="G1487" s="3">
        <v>17.0</v>
      </c>
    </row>
    <row r="1488">
      <c r="A1488" s="3">
        <v>113.0</v>
      </c>
      <c r="B1488" s="3">
        <v>163.1281</v>
      </c>
      <c r="C1488" s="3">
        <v>136.3073</v>
      </c>
      <c r="D1488" s="3">
        <v>2162.9</v>
      </c>
      <c r="E1488" s="3">
        <v>2264.542</v>
      </c>
      <c r="F1488" s="4" t="s">
        <v>8</v>
      </c>
      <c r="G1488" s="3">
        <v>17.0</v>
      </c>
    </row>
    <row r="1489">
      <c r="A1489" s="3">
        <v>112.0</v>
      </c>
      <c r="B1489" s="3">
        <v>163.1281</v>
      </c>
      <c r="C1489" s="3">
        <v>136.1709</v>
      </c>
      <c r="D1489" s="3">
        <v>2162.9</v>
      </c>
      <c r="E1489" s="3">
        <v>2264.824</v>
      </c>
      <c r="F1489" s="4" t="s">
        <v>8</v>
      </c>
      <c r="G1489" s="3">
        <v>17.0</v>
      </c>
    </row>
    <row r="1490">
      <c r="A1490" s="3">
        <v>111.0</v>
      </c>
      <c r="B1490" s="3">
        <v>163.1281</v>
      </c>
      <c r="C1490" s="3">
        <v>136.336</v>
      </c>
      <c r="D1490" s="3">
        <v>2162.9</v>
      </c>
      <c r="E1490" s="3">
        <v>2264.959</v>
      </c>
      <c r="F1490" s="4" t="s">
        <v>8</v>
      </c>
      <c r="G1490" s="3">
        <v>17.0</v>
      </c>
    </row>
    <row r="1491">
      <c r="A1491" s="3">
        <v>110.0</v>
      </c>
      <c r="B1491" s="3">
        <v>163.1281</v>
      </c>
      <c r="C1491" s="3">
        <v>136.5008</v>
      </c>
      <c r="D1491" s="3">
        <v>2162.9</v>
      </c>
      <c r="E1491" s="3">
        <v>2264.787</v>
      </c>
      <c r="F1491" s="4" t="s">
        <v>8</v>
      </c>
      <c r="G1491" s="3">
        <v>17.0</v>
      </c>
    </row>
    <row r="1492">
      <c r="A1492" s="3">
        <v>109.0</v>
      </c>
      <c r="B1492" s="3">
        <v>163.1281</v>
      </c>
      <c r="C1492" s="3">
        <v>136.1131</v>
      </c>
      <c r="D1492" s="3">
        <v>2162.9</v>
      </c>
      <c r="E1492" s="3">
        <v>2267.193</v>
      </c>
      <c r="F1492" s="4" t="s">
        <v>8</v>
      </c>
      <c r="G1492" s="3">
        <v>17.0</v>
      </c>
    </row>
    <row r="1493">
      <c r="A1493" s="3">
        <v>108.0</v>
      </c>
      <c r="B1493" s="3">
        <v>163.1281</v>
      </c>
      <c r="C1493" s="3">
        <v>136.044</v>
      </c>
      <c r="D1493" s="3">
        <v>2162.9</v>
      </c>
      <c r="E1493" s="3">
        <v>2268.357</v>
      </c>
      <c r="F1493" s="4" t="s">
        <v>8</v>
      </c>
      <c r="G1493" s="3">
        <v>17.0</v>
      </c>
    </row>
    <row r="1494">
      <c r="A1494" s="3">
        <v>107.0</v>
      </c>
      <c r="B1494" s="3">
        <v>163.1281</v>
      </c>
      <c r="C1494" s="3">
        <v>136.6019</v>
      </c>
      <c r="D1494" s="3">
        <v>2162.9</v>
      </c>
      <c r="E1494" s="3">
        <v>2264.021</v>
      </c>
      <c r="F1494" s="4" t="s">
        <v>8</v>
      </c>
      <c r="G1494" s="3">
        <v>17.0</v>
      </c>
    </row>
    <row r="1495">
      <c r="A1495" s="3">
        <v>106.0</v>
      </c>
      <c r="B1495" s="3">
        <v>163.1281</v>
      </c>
      <c r="C1495" s="3">
        <v>136.1998</v>
      </c>
      <c r="D1495" s="3">
        <v>2162.9</v>
      </c>
      <c r="E1495" s="3">
        <v>2266.305</v>
      </c>
      <c r="F1495" s="4" t="s">
        <v>8</v>
      </c>
      <c r="G1495" s="3">
        <v>17.0</v>
      </c>
    </row>
    <row r="1496">
      <c r="A1496" s="3">
        <v>105.0</v>
      </c>
      <c r="B1496" s="3">
        <v>163.1281</v>
      </c>
      <c r="C1496" s="3">
        <v>135.7196</v>
      </c>
      <c r="D1496" s="3">
        <v>2162.9</v>
      </c>
      <c r="E1496" s="3">
        <v>2266.824</v>
      </c>
      <c r="F1496" s="4" t="s">
        <v>8</v>
      </c>
      <c r="G1496" s="3">
        <v>17.0</v>
      </c>
    </row>
    <row r="1497">
      <c r="A1497" s="3">
        <v>104.0</v>
      </c>
      <c r="B1497" s="3">
        <v>163.1281</v>
      </c>
      <c r="C1497" s="3">
        <v>134.6085</v>
      </c>
      <c r="D1497" s="3">
        <v>2162.9</v>
      </c>
      <c r="E1497" s="3">
        <v>2275.248</v>
      </c>
      <c r="F1497" s="4" t="s">
        <v>8</v>
      </c>
      <c r="G1497" s="3">
        <v>17.0</v>
      </c>
    </row>
    <row r="1498">
      <c r="A1498" s="3">
        <v>103.0</v>
      </c>
      <c r="B1498" s="3">
        <v>163.1281</v>
      </c>
      <c r="C1498" s="3">
        <v>134.7691</v>
      </c>
      <c r="D1498" s="3">
        <v>2162.9</v>
      </c>
      <c r="E1498" s="3">
        <v>2276.186</v>
      </c>
      <c r="F1498" s="4" t="s">
        <v>8</v>
      </c>
      <c r="G1498" s="3">
        <v>17.0</v>
      </c>
    </row>
    <row r="1499">
      <c r="A1499" s="3">
        <v>102.0</v>
      </c>
      <c r="B1499" s="3">
        <v>163.1281</v>
      </c>
      <c r="C1499" s="3">
        <v>134.0787</v>
      </c>
      <c r="D1499" s="3">
        <v>2162.9</v>
      </c>
      <c r="E1499" s="3">
        <v>2277.612</v>
      </c>
      <c r="F1499" s="4" t="s">
        <v>8</v>
      </c>
      <c r="G1499" s="3">
        <v>17.0</v>
      </c>
    </row>
    <row r="1500">
      <c r="A1500" s="3">
        <v>101.0</v>
      </c>
      <c r="B1500" s="3">
        <v>163.1281</v>
      </c>
      <c r="C1500" s="3">
        <v>134.1358</v>
      </c>
      <c r="D1500" s="3">
        <v>2162.9</v>
      </c>
      <c r="E1500" s="3">
        <v>2278.651</v>
      </c>
      <c r="F1500" s="4" t="s">
        <v>8</v>
      </c>
      <c r="G1500" s="3">
        <v>17.0</v>
      </c>
    </row>
    <row r="1501">
      <c r="A1501" s="3">
        <v>100.0</v>
      </c>
      <c r="B1501" s="3">
        <v>163.1281</v>
      </c>
      <c r="C1501" s="3">
        <v>134.0081</v>
      </c>
      <c r="D1501" s="3">
        <v>2162.9</v>
      </c>
      <c r="E1501" s="3">
        <v>2279.063</v>
      </c>
      <c r="F1501" s="4" t="s">
        <v>8</v>
      </c>
      <c r="G1501" s="3">
        <v>17.0</v>
      </c>
    </row>
    <row r="1502">
      <c r="A1502" s="3">
        <v>99.0</v>
      </c>
      <c r="B1502" s="3">
        <v>163.1281</v>
      </c>
      <c r="C1502" s="3">
        <v>133.5776</v>
      </c>
      <c r="D1502" s="3">
        <v>2162.9</v>
      </c>
      <c r="E1502" s="3">
        <v>2281.817</v>
      </c>
      <c r="F1502" s="4" t="s">
        <v>8</v>
      </c>
      <c r="G1502" s="3">
        <v>17.0</v>
      </c>
    </row>
    <row r="1503">
      <c r="A1503" s="3">
        <v>98.0</v>
      </c>
      <c r="B1503" s="3">
        <v>163.1281</v>
      </c>
      <c r="C1503" s="3">
        <v>132.6029</v>
      </c>
      <c r="D1503" s="3">
        <v>2162.9</v>
      </c>
      <c r="E1503" s="3">
        <v>2286.586</v>
      </c>
      <c r="F1503" s="4" t="s">
        <v>8</v>
      </c>
      <c r="G1503" s="3">
        <v>17.0</v>
      </c>
    </row>
    <row r="1504">
      <c r="A1504" s="3">
        <v>97.0</v>
      </c>
      <c r="B1504" s="3">
        <v>163.1281</v>
      </c>
      <c r="C1504" s="3">
        <v>132.3465</v>
      </c>
      <c r="D1504" s="3">
        <v>2162.9</v>
      </c>
      <c r="E1504" s="3">
        <v>2286.823</v>
      </c>
      <c r="F1504" s="4" t="s">
        <v>8</v>
      </c>
      <c r="G1504" s="3">
        <v>17.0</v>
      </c>
    </row>
    <row r="1505">
      <c r="A1505" s="3">
        <v>96.0</v>
      </c>
      <c r="B1505" s="3">
        <v>163.1281</v>
      </c>
      <c r="C1505" s="3">
        <v>132.5618</v>
      </c>
      <c r="D1505" s="3">
        <v>2162.9</v>
      </c>
      <c r="E1505" s="3">
        <v>2283.38</v>
      </c>
      <c r="F1505" s="4" t="s">
        <v>8</v>
      </c>
      <c r="G1505" s="3">
        <v>17.0</v>
      </c>
    </row>
    <row r="1506">
      <c r="A1506" s="3">
        <v>95.0</v>
      </c>
      <c r="B1506" s="3">
        <v>163.1281</v>
      </c>
      <c r="C1506" s="3">
        <v>132.4888</v>
      </c>
      <c r="D1506" s="3">
        <v>2162.9</v>
      </c>
      <c r="E1506" s="3">
        <v>2283.576</v>
      </c>
      <c r="F1506" s="4" t="s">
        <v>8</v>
      </c>
      <c r="G1506" s="3">
        <v>17.0</v>
      </c>
    </row>
    <row r="1507">
      <c r="A1507" s="3">
        <v>94.0</v>
      </c>
      <c r="B1507" s="3">
        <v>163.1281</v>
      </c>
      <c r="C1507" s="3">
        <v>131.5235</v>
      </c>
      <c r="D1507" s="3">
        <v>2162.9</v>
      </c>
      <c r="E1507" s="3">
        <v>2291.224</v>
      </c>
      <c r="F1507" s="4" t="s">
        <v>8</v>
      </c>
      <c r="G1507" s="3">
        <v>17.0</v>
      </c>
    </row>
    <row r="1508">
      <c r="A1508" s="3">
        <v>93.0</v>
      </c>
      <c r="B1508" s="3">
        <v>163.1281</v>
      </c>
      <c r="C1508" s="3">
        <v>131.9687</v>
      </c>
      <c r="D1508" s="3">
        <v>2162.9</v>
      </c>
      <c r="E1508" s="3">
        <v>2287.687</v>
      </c>
      <c r="F1508" s="4" t="s">
        <v>8</v>
      </c>
      <c r="G1508" s="3">
        <v>17.0</v>
      </c>
    </row>
    <row r="1509">
      <c r="A1509" s="3">
        <v>92.0</v>
      </c>
      <c r="B1509" s="3">
        <v>163.1281</v>
      </c>
      <c r="C1509" s="3">
        <v>131.4734</v>
      </c>
      <c r="D1509" s="3">
        <v>2162.9</v>
      </c>
      <c r="E1509" s="3">
        <v>2288.949</v>
      </c>
      <c r="F1509" s="4" t="s">
        <v>8</v>
      </c>
      <c r="G1509" s="3">
        <v>17.0</v>
      </c>
    </row>
    <row r="1510">
      <c r="A1510" s="3">
        <v>91.0</v>
      </c>
      <c r="B1510" s="3">
        <v>163.1281</v>
      </c>
      <c r="C1510" s="3">
        <v>131.7678</v>
      </c>
      <c r="D1510" s="3">
        <v>2162.9</v>
      </c>
      <c r="E1510" s="3">
        <v>2286.565</v>
      </c>
      <c r="F1510" s="4" t="s">
        <v>8</v>
      </c>
      <c r="G1510" s="3">
        <v>17.0</v>
      </c>
    </row>
    <row r="1511">
      <c r="A1511" s="3">
        <v>90.0</v>
      </c>
      <c r="B1511" s="3">
        <v>163.1281</v>
      </c>
      <c r="C1511" s="3">
        <v>130.9892</v>
      </c>
      <c r="D1511" s="3">
        <v>2162.9</v>
      </c>
      <c r="E1511" s="3">
        <v>2291.152</v>
      </c>
      <c r="F1511" s="4" t="s">
        <v>8</v>
      </c>
      <c r="G1511" s="3">
        <v>17.0</v>
      </c>
    </row>
    <row r="1512">
      <c r="A1512" s="3">
        <v>89.0</v>
      </c>
      <c r="B1512" s="3">
        <v>163.1281</v>
      </c>
      <c r="C1512" s="3">
        <v>130.6615</v>
      </c>
      <c r="D1512" s="3">
        <v>2162.9</v>
      </c>
      <c r="E1512" s="3">
        <v>2293.144</v>
      </c>
      <c r="F1512" s="4" t="s">
        <v>8</v>
      </c>
      <c r="G1512" s="3">
        <v>17.0</v>
      </c>
    </row>
    <row r="1513">
      <c r="A1513" s="3">
        <v>88.0</v>
      </c>
      <c r="B1513" s="3">
        <v>162.9975</v>
      </c>
      <c r="C1513" s="3">
        <v>131.0044</v>
      </c>
      <c r="D1513" s="3">
        <v>2163.667</v>
      </c>
      <c r="E1513" s="3">
        <v>2293.544</v>
      </c>
      <c r="F1513" s="4" t="s">
        <v>8</v>
      </c>
      <c r="G1513" s="3">
        <v>17.0</v>
      </c>
    </row>
    <row r="1514">
      <c r="A1514" s="3">
        <v>87.0</v>
      </c>
      <c r="B1514" s="3">
        <v>162.9975</v>
      </c>
      <c r="C1514" s="3">
        <v>130.832</v>
      </c>
      <c r="D1514" s="3">
        <v>2163.667</v>
      </c>
      <c r="E1514" s="3">
        <v>2292.068</v>
      </c>
      <c r="F1514" s="4" t="s">
        <v>8</v>
      </c>
      <c r="G1514" s="3">
        <v>17.0</v>
      </c>
    </row>
    <row r="1515">
      <c r="A1515" s="3">
        <v>86.0</v>
      </c>
      <c r="B1515" s="3">
        <v>162.9975</v>
      </c>
      <c r="C1515" s="3">
        <v>130.4474</v>
      </c>
      <c r="D1515" s="3">
        <v>2163.667</v>
      </c>
      <c r="E1515" s="3">
        <v>2293.322</v>
      </c>
      <c r="F1515" s="4" t="s">
        <v>8</v>
      </c>
      <c r="G1515" s="3">
        <v>17.0</v>
      </c>
    </row>
    <row r="1516">
      <c r="A1516" s="3">
        <v>85.0</v>
      </c>
      <c r="B1516" s="3">
        <v>162.9975</v>
      </c>
      <c r="C1516" s="3">
        <v>130.0095</v>
      </c>
      <c r="D1516" s="3">
        <v>2163.667</v>
      </c>
      <c r="E1516" s="3">
        <v>2297.269</v>
      </c>
      <c r="F1516" s="4" t="s">
        <v>8</v>
      </c>
      <c r="G1516" s="3">
        <v>17.0</v>
      </c>
    </row>
    <row r="1517">
      <c r="A1517" s="3">
        <v>84.0</v>
      </c>
      <c r="B1517" s="3">
        <v>162.9975</v>
      </c>
      <c r="C1517" s="3">
        <v>130.5744</v>
      </c>
      <c r="D1517" s="3">
        <v>2163.667</v>
      </c>
      <c r="E1517" s="3">
        <v>2294.062</v>
      </c>
      <c r="F1517" s="4" t="s">
        <v>8</v>
      </c>
      <c r="G1517" s="3">
        <v>17.0</v>
      </c>
    </row>
    <row r="1518">
      <c r="A1518" s="3">
        <v>83.0</v>
      </c>
      <c r="B1518" s="3">
        <v>162.9975</v>
      </c>
      <c r="C1518" s="3">
        <v>130.6273</v>
      </c>
      <c r="D1518" s="3">
        <v>2163.667</v>
      </c>
      <c r="E1518" s="3">
        <v>2293.91</v>
      </c>
      <c r="F1518" s="4" t="s">
        <v>8</v>
      </c>
      <c r="G1518" s="3">
        <v>17.0</v>
      </c>
    </row>
    <row r="1519">
      <c r="A1519" s="3">
        <v>82.0</v>
      </c>
      <c r="B1519" s="3">
        <v>162.9975</v>
      </c>
      <c r="C1519" s="3">
        <v>130.3046</v>
      </c>
      <c r="D1519" s="3">
        <v>2163.667</v>
      </c>
      <c r="E1519" s="3">
        <v>2293.815</v>
      </c>
      <c r="F1519" s="4" t="s">
        <v>8</v>
      </c>
      <c r="G1519" s="3">
        <v>17.0</v>
      </c>
    </row>
    <row r="1520">
      <c r="A1520" s="3">
        <v>81.0</v>
      </c>
      <c r="B1520" s="3">
        <v>162.9975</v>
      </c>
      <c r="C1520" s="3">
        <v>130.0612</v>
      </c>
      <c r="D1520" s="3">
        <v>2163.667</v>
      </c>
      <c r="E1520" s="3">
        <v>2293.911</v>
      </c>
      <c r="F1520" s="4" t="s">
        <v>8</v>
      </c>
      <c r="G1520" s="3">
        <v>17.0</v>
      </c>
    </row>
    <row r="1521">
      <c r="A1521" s="3">
        <v>80.0</v>
      </c>
      <c r="B1521" s="3">
        <v>162.9975</v>
      </c>
      <c r="C1521" s="3">
        <v>128.8766</v>
      </c>
      <c r="D1521" s="3">
        <v>2163.667</v>
      </c>
      <c r="E1521" s="3">
        <v>2300.136</v>
      </c>
      <c r="F1521" s="4" t="s">
        <v>8</v>
      </c>
      <c r="G1521" s="3">
        <v>17.0</v>
      </c>
    </row>
    <row r="1522">
      <c r="A1522" s="3">
        <v>79.0</v>
      </c>
      <c r="B1522" s="3">
        <v>162.9975</v>
      </c>
      <c r="C1522" s="3">
        <v>127.8291</v>
      </c>
      <c r="D1522" s="3">
        <v>2163.667</v>
      </c>
      <c r="E1522" s="3">
        <v>2304.617</v>
      </c>
      <c r="F1522" s="4" t="s">
        <v>8</v>
      </c>
      <c r="G1522" s="3">
        <v>17.0</v>
      </c>
    </row>
    <row r="1523">
      <c r="A1523" s="3">
        <v>78.0</v>
      </c>
      <c r="B1523" s="3">
        <v>162.981</v>
      </c>
      <c r="C1523" s="3">
        <v>126.4658</v>
      </c>
      <c r="D1523" s="3">
        <v>2163.767</v>
      </c>
      <c r="E1523" s="3">
        <v>2313.437</v>
      </c>
      <c r="F1523" s="4" t="s">
        <v>8</v>
      </c>
      <c r="G1523" s="3">
        <v>17.0</v>
      </c>
    </row>
    <row r="1524">
      <c r="A1524" s="3">
        <v>77.0</v>
      </c>
      <c r="B1524" s="3">
        <v>162.981</v>
      </c>
      <c r="C1524" s="3">
        <v>125.5076</v>
      </c>
      <c r="D1524" s="3">
        <v>2163.767</v>
      </c>
      <c r="E1524" s="3">
        <v>2318.295</v>
      </c>
      <c r="F1524" s="4" t="s">
        <v>8</v>
      </c>
      <c r="G1524" s="3">
        <v>17.0</v>
      </c>
    </row>
    <row r="1525">
      <c r="A1525" s="3">
        <v>76.0</v>
      </c>
      <c r="B1525" s="3">
        <v>162.981</v>
      </c>
      <c r="C1525" s="3">
        <v>124.8419</v>
      </c>
      <c r="D1525" s="3">
        <v>2163.767</v>
      </c>
      <c r="E1525" s="3">
        <v>2321.121</v>
      </c>
      <c r="F1525" s="4" t="s">
        <v>8</v>
      </c>
      <c r="G1525" s="3">
        <v>17.0</v>
      </c>
    </row>
    <row r="1526">
      <c r="A1526" s="3">
        <v>75.0</v>
      </c>
      <c r="B1526" s="3">
        <v>162.871</v>
      </c>
      <c r="C1526" s="3">
        <v>125.3102</v>
      </c>
      <c r="D1526" s="3">
        <v>2164.067</v>
      </c>
      <c r="E1526" s="3">
        <v>2317.86</v>
      </c>
      <c r="F1526" s="4" t="s">
        <v>8</v>
      </c>
      <c r="G1526" s="3">
        <v>17.0</v>
      </c>
    </row>
    <row r="1527">
      <c r="A1527" s="3">
        <v>74.0</v>
      </c>
      <c r="B1527" s="3">
        <v>162.871</v>
      </c>
      <c r="C1527" s="3">
        <v>123.6914</v>
      </c>
      <c r="D1527" s="3">
        <v>2164.067</v>
      </c>
      <c r="E1527" s="3">
        <v>2327.102</v>
      </c>
      <c r="F1527" s="4" t="s">
        <v>8</v>
      </c>
      <c r="G1527" s="3">
        <v>17.0</v>
      </c>
    </row>
    <row r="1528">
      <c r="A1528" s="3">
        <v>73.0</v>
      </c>
      <c r="B1528" s="3">
        <v>162.871</v>
      </c>
      <c r="C1528" s="3">
        <v>122.9034</v>
      </c>
      <c r="D1528" s="3">
        <v>2164.067</v>
      </c>
      <c r="E1528" s="3">
        <v>2331.682</v>
      </c>
      <c r="F1528" s="4" t="s">
        <v>8</v>
      </c>
      <c r="G1528" s="3">
        <v>17.0</v>
      </c>
    </row>
    <row r="1529">
      <c r="A1529" s="3">
        <v>72.0</v>
      </c>
      <c r="B1529" s="3">
        <v>162.871</v>
      </c>
      <c r="C1529" s="3">
        <v>122.0842</v>
      </c>
      <c r="D1529" s="3">
        <v>2164.067</v>
      </c>
      <c r="E1529" s="3">
        <v>2335.162</v>
      </c>
      <c r="F1529" s="4" t="s">
        <v>8</v>
      </c>
      <c r="G1529" s="3">
        <v>17.0</v>
      </c>
    </row>
    <row r="1530">
      <c r="A1530" s="3">
        <v>71.0</v>
      </c>
      <c r="B1530" s="3">
        <v>162.871</v>
      </c>
      <c r="C1530" s="3">
        <v>120.8231</v>
      </c>
      <c r="D1530" s="3">
        <v>2164.067</v>
      </c>
      <c r="E1530" s="3">
        <v>2342.726</v>
      </c>
      <c r="F1530" s="4" t="s">
        <v>8</v>
      </c>
      <c r="G1530" s="3">
        <v>17.0</v>
      </c>
    </row>
    <row r="1531">
      <c r="A1531" s="3">
        <v>70.0</v>
      </c>
      <c r="B1531" s="3">
        <v>162.871</v>
      </c>
      <c r="C1531" s="3">
        <v>120.0038</v>
      </c>
      <c r="D1531" s="3">
        <v>2164.067</v>
      </c>
      <c r="E1531" s="3">
        <v>2347.118</v>
      </c>
      <c r="F1531" s="4" t="s">
        <v>8</v>
      </c>
      <c r="G1531" s="3">
        <v>17.0</v>
      </c>
    </row>
    <row r="1532">
      <c r="A1532" s="3">
        <v>69.0</v>
      </c>
      <c r="B1532" s="3">
        <v>161.8056</v>
      </c>
      <c r="C1532" s="3">
        <v>119.1443</v>
      </c>
      <c r="D1532" s="3">
        <v>2166.667</v>
      </c>
      <c r="E1532" s="3">
        <v>2351.279</v>
      </c>
      <c r="F1532" s="4" t="s">
        <v>8</v>
      </c>
      <c r="G1532" s="3">
        <v>17.0</v>
      </c>
    </row>
    <row r="1533">
      <c r="A1533" s="3">
        <v>68.0</v>
      </c>
      <c r="B1533" s="3">
        <v>161.8056</v>
      </c>
      <c r="C1533" s="3">
        <v>118.1234</v>
      </c>
      <c r="D1533" s="3">
        <v>2166.667</v>
      </c>
      <c r="E1533" s="3">
        <v>2355.769</v>
      </c>
      <c r="F1533" s="4" t="s">
        <v>8</v>
      </c>
      <c r="G1533" s="3">
        <v>17.0</v>
      </c>
    </row>
    <row r="1534">
      <c r="A1534" s="3">
        <v>67.0</v>
      </c>
      <c r="B1534" s="3">
        <v>161.1025</v>
      </c>
      <c r="C1534" s="3">
        <v>117.1031</v>
      </c>
      <c r="D1534" s="3">
        <v>2168.833</v>
      </c>
      <c r="E1534" s="3">
        <v>2364.023</v>
      </c>
      <c r="F1534" s="4" t="s">
        <v>8</v>
      </c>
      <c r="G1534" s="3">
        <v>17.0</v>
      </c>
    </row>
    <row r="1535">
      <c r="A1535" s="3">
        <v>66.0</v>
      </c>
      <c r="B1535" s="3">
        <v>161.1025</v>
      </c>
      <c r="C1535" s="3">
        <v>115.7337</v>
      </c>
      <c r="D1535" s="3">
        <v>2168.833</v>
      </c>
      <c r="E1535" s="3">
        <v>2370.317</v>
      </c>
      <c r="F1535" s="4" t="s">
        <v>8</v>
      </c>
      <c r="G1535" s="3">
        <v>17.0</v>
      </c>
    </row>
    <row r="1536">
      <c r="A1536" s="3">
        <v>65.0</v>
      </c>
      <c r="B1536" s="3">
        <v>161.1025</v>
      </c>
      <c r="C1536" s="3">
        <v>114.0642</v>
      </c>
      <c r="D1536" s="3">
        <v>2168.833</v>
      </c>
      <c r="E1536" s="3">
        <v>2379.98</v>
      </c>
      <c r="F1536" s="4" t="s">
        <v>8</v>
      </c>
      <c r="G1536" s="3">
        <v>17.0</v>
      </c>
    </row>
    <row r="1537">
      <c r="A1537" s="3">
        <v>64.0</v>
      </c>
      <c r="B1537" s="3">
        <v>160.5189</v>
      </c>
      <c r="C1537" s="3">
        <v>113.4496</v>
      </c>
      <c r="D1537" s="3">
        <v>2171.033</v>
      </c>
      <c r="E1537" s="3">
        <v>2386.988</v>
      </c>
      <c r="F1537" s="4" t="s">
        <v>8</v>
      </c>
      <c r="G1537" s="3">
        <v>17.0</v>
      </c>
    </row>
    <row r="1538">
      <c r="A1538" s="3">
        <v>63.0</v>
      </c>
      <c r="B1538" s="3">
        <v>160.5189</v>
      </c>
      <c r="C1538" s="3">
        <v>112.7222</v>
      </c>
      <c r="D1538" s="3">
        <v>2171.033</v>
      </c>
      <c r="E1538" s="3">
        <v>2389.936</v>
      </c>
      <c r="F1538" s="4" t="s">
        <v>8</v>
      </c>
      <c r="G1538" s="3">
        <v>17.0</v>
      </c>
    </row>
    <row r="1539">
      <c r="A1539" s="3">
        <v>62.0</v>
      </c>
      <c r="B1539" s="3">
        <v>160.5189</v>
      </c>
      <c r="C1539" s="3">
        <v>112.1622</v>
      </c>
      <c r="D1539" s="3">
        <v>2171.033</v>
      </c>
      <c r="E1539" s="3">
        <v>2395.688</v>
      </c>
      <c r="F1539" s="4" t="s">
        <v>8</v>
      </c>
      <c r="G1539" s="3">
        <v>17.0</v>
      </c>
    </row>
    <row r="1540">
      <c r="A1540" s="3">
        <v>61.0</v>
      </c>
      <c r="B1540" s="3">
        <v>159.8717</v>
      </c>
      <c r="C1540" s="3">
        <v>110.1954</v>
      </c>
      <c r="D1540" s="3">
        <v>2173.167</v>
      </c>
      <c r="E1540" s="3">
        <v>2410.393</v>
      </c>
      <c r="F1540" s="4" t="s">
        <v>8</v>
      </c>
      <c r="G1540" s="3">
        <v>17.0</v>
      </c>
    </row>
    <row r="1541">
      <c r="A1541" s="3">
        <v>60.0</v>
      </c>
      <c r="B1541" s="3">
        <v>159.7237</v>
      </c>
      <c r="C1541" s="3">
        <v>109.0113</v>
      </c>
      <c r="D1541" s="3">
        <v>2173.8</v>
      </c>
      <c r="E1541" s="3">
        <v>2420.127</v>
      </c>
      <c r="F1541" s="4" t="s">
        <v>8</v>
      </c>
      <c r="G1541" s="3">
        <v>17.0</v>
      </c>
    </row>
    <row r="1542">
      <c r="A1542" s="3">
        <v>59.0</v>
      </c>
      <c r="B1542" s="3">
        <v>159.5815</v>
      </c>
      <c r="C1542" s="3">
        <v>107.1785</v>
      </c>
      <c r="D1542" s="3">
        <v>2174.167</v>
      </c>
      <c r="E1542" s="3">
        <v>2437.151</v>
      </c>
      <c r="F1542" s="4" t="s">
        <v>8</v>
      </c>
      <c r="G1542" s="3">
        <v>17.0</v>
      </c>
    </row>
    <row r="1543">
      <c r="A1543" s="3">
        <v>58.0</v>
      </c>
      <c r="B1543" s="3">
        <v>159.3274</v>
      </c>
      <c r="C1543" s="3">
        <v>105.4441</v>
      </c>
      <c r="D1543" s="3">
        <v>2175.133</v>
      </c>
      <c r="E1543" s="3">
        <v>2448.984</v>
      </c>
      <c r="F1543" s="4" t="s">
        <v>8</v>
      </c>
      <c r="G1543" s="3">
        <v>17.0</v>
      </c>
    </row>
    <row r="1544">
      <c r="A1544" s="3">
        <v>57.0</v>
      </c>
      <c r="B1544" s="3">
        <v>158.4933</v>
      </c>
      <c r="C1544" s="3">
        <v>103.5301</v>
      </c>
      <c r="D1544" s="3">
        <v>2177.967</v>
      </c>
      <c r="E1544" s="3">
        <v>2463.967</v>
      </c>
      <c r="F1544" s="4" t="s">
        <v>8</v>
      </c>
      <c r="G1544" s="3">
        <v>17.0</v>
      </c>
    </row>
    <row r="1545">
      <c r="A1545" s="3">
        <v>56.0</v>
      </c>
      <c r="B1545" s="3">
        <v>157.7602</v>
      </c>
      <c r="C1545" s="3">
        <v>101.1357</v>
      </c>
      <c r="D1545" s="3">
        <v>2179.7</v>
      </c>
      <c r="E1545" s="3">
        <v>2483.086</v>
      </c>
      <c r="F1545" s="4" t="s">
        <v>8</v>
      </c>
      <c r="G1545" s="3">
        <v>17.0</v>
      </c>
    </row>
    <row r="1546">
      <c r="A1546" s="3">
        <v>55.0</v>
      </c>
      <c r="B1546" s="3">
        <v>157.4338</v>
      </c>
      <c r="C1546" s="3">
        <v>99.51049</v>
      </c>
      <c r="D1546" s="3">
        <v>2181.233</v>
      </c>
      <c r="E1546" s="3">
        <v>2496.382</v>
      </c>
      <c r="F1546" s="4" t="s">
        <v>8</v>
      </c>
      <c r="G1546" s="3">
        <v>17.0</v>
      </c>
    </row>
    <row r="1547">
      <c r="A1547" s="3">
        <v>54.0</v>
      </c>
      <c r="B1547" s="3">
        <v>156.9176</v>
      </c>
      <c r="C1547" s="3">
        <v>98.19652</v>
      </c>
      <c r="D1547" s="3">
        <v>2182.867</v>
      </c>
      <c r="E1547" s="3">
        <v>2504.581</v>
      </c>
      <c r="F1547" s="4" t="s">
        <v>8</v>
      </c>
      <c r="G1547" s="3">
        <v>17.0</v>
      </c>
    </row>
    <row r="1548">
      <c r="A1548" s="3">
        <v>53.0</v>
      </c>
      <c r="B1548" s="3">
        <v>156.0663</v>
      </c>
      <c r="C1548" s="3">
        <v>96.32108</v>
      </c>
      <c r="D1548" s="3">
        <v>2184.933</v>
      </c>
      <c r="E1548" s="3">
        <v>2525.244</v>
      </c>
      <c r="F1548" s="4" t="s">
        <v>8</v>
      </c>
      <c r="G1548" s="3">
        <v>17.0</v>
      </c>
    </row>
    <row r="1549">
      <c r="A1549" s="3">
        <v>52.0</v>
      </c>
      <c r="B1549" s="3">
        <v>155.9069</v>
      </c>
      <c r="C1549" s="3">
        <v>94.32838</v>
      </c>
      <c r="D1549" s="3">
        <v>2185.4</v>
      </c>
      <c r="E1549" s="3">
        <v>2542.341</v>
      </c>
      <c r="F1549" s="4" t="s">
        <v>8</v>
      </c>
      <c r="G1549" s="3">
        <v>17.0</v>
      </c>
    </row>
    <row r="1550">
      <c r="A1550" s="3">
        <v>51.0</v>
      </c>
      <c r="B1550" s="3">
        <v>154.5512</v>
      </c>
      <c r="C1550" s="3">
        <v>91.73973</v>
      </c>
      <c r="D1550" s="3">
        <v>2189.3</v>
      </c>
      <c r="E1550" s="3">
        <v>2562.559</v>
      </c>
      <c r="F1550" s="4" t="s">
        <v>8</v>
      </c>
      <c r="G1550" s="3">
        <v>17.0</v>
      </c>
    </row>
    <row r="1551">
      <c r="A1551" s="3">
        <v>50.0</v>
      </c>
      <c r="B1551" s="3">
        <v>154.2916</v>
      </c>
      <c r="C1551" s="3">
        <v>89.83108</v>
      </c>
      <c r="D1551" s="3">
        <v>2189.933</v>
      </c>
      <c r="E1551" s="3">
        <v>2577.874</v>
      </c>
      <c r="F1551" s="4" t="s">
        <v>8</v>
      </c>
      <c r="G1551" s="3">
        <v>17.0</v>
      </c>
    </row>
    <row r="1552">
      <c r="A1552" s="3">
        <v>49.0</v>
      </c>
      <c r="B1552" s="3">
        <v>153.566</v>
      </c>
      <c r="C1552" s="3">
        <v>88.21763</v>
      </c>
      <c r="D1552" s="3">
        <v>2193.8</v>
      </c>
      <c r="E1552" s="3">
        <v>2593.966</v>
      </c>
      <c r="F1552" s="4" t="s">
        <v>8</v>
      </c>
      <c r="G1552" s="3">
        <v>17.0</v>
      </c>
    </row>
    <row r="1553">
      <c r="A1553" s="3">
        <v>48.0</v>
      </c>
      <c r="B1553" s="3">
        <v>152.4344</v>
      </c>
      <c r="C1553" s="3">
        <v>86.18057</v>
      </c>
      <c r="D1553" s="3">
        <v>2198.267</v>
      </c>
      <c r="E1553" s="3">
        <v>2613.212</v>
      </c>
      <c r="F1553" s="4" t="s">
        <v>8</v>
      </c>
      <c r="G1553" s="3">
        <v>17.0</v>
      </c>
    </row>
    <row r="1554">
      <c r="A1554" s="3">
        <v>47.0</v>
      </c>
      <c r="B1554" s="3">
        <v>152.1019</v>
      </c>
      <c r="C1554" s="3">
        <v>83.45014</v>
      </c>
      <c r="D1554" s="3">
        <v>2199.2</v>
      </c>
      <c r="E1554" s="3">
        <v>2638.18</v>
      </c>
      <c r="F1554" s="4" t="s">
        <v>8</v>
      </c>
      <c r="G1554" s="3">
        <v>17.0</v>
      </c>
    </row>
    <row r="1555">
      <c r="A1555" s="3">
        <v>46.0</v>
      </c>
      <c r="B1555" s="3">
        <v>151.6851</v>
      </c>
      <c r="C1555" s="3">
        <v>80.70385</v>
      </c>
      <c r="D1555" s="3">
        <v>2200.3</v>
      </c>
      <c r="E1555" s="3">
        <v>2662.744</v>
      </c>
      <c r="F1555" s="4" t="s">
        <v>8</v>
      </c>
      <c r="G1555" s="3">
        <v>17.0</v>
      </c>
    </row>
    <row r="1556">
      <c r="A1556" s="3">
        <v>45.0</v>
      </c>
      <c r="B1556" s="3">
        <v>148.4594</v>
      </c>
      <c r="C1556" s="3">
        <v>78.04909</v>
      </c>
      <c r="D1556" s="3">
        <v>2214.2</v>
      </c>
      <c r="E1556" s="3">
        <v>2689.922</v>
      </c>
      <c r="F1556" s="4" t="s">
        <v>8</v>
      </c>
      <c r="G1556" s="3">
        <v>17.0</v>
      </c>
    </row>
    <row r="1557">
      <c r="A1557" s="3">
        <v>44.0</v>
      </c>
      <c r="B1557" s="3">
        <v>148.2733</v>
      </c>
      <c r="C1557" s="3">
        <v>75.53623</v>
      </c>
      <c r="D1557" s="3">
        <v>2214.7</v>
      </c>
      <c r="E1557" s="3">
        <v>2712.992</v>
      </c>
      <c r="F1557" s="4" t="s">
        <v>8</v>
      </c>
      <c r="G1557" s="3">
        <v>17.0</v>
      </c>
    </row>
    <row r="1558">
      <c r="A1558" s="3">
        <v>43.0</v>
      </c>
      <c r="B1558" s="3">
        <v>146.6172</v>
      </c>
      <c r="C1558" s="3">
        <v>72.50104</v>
      </c>
      <c r="D1558" s="3">
        <v>2219.433</v>
      </c>
      <c r="E1558" s="3">
        <v>2752.816</v>
      </c>
      <c r="F1558" s="4" t="s">
        <v>8</v>
      </c>
      <c r="G1558" s="3">
        <v>17.0</v>
      </c>
    </row>
    <row r="1559">
      <c r="A1559" s="3">
        <v>42.0</v>
      </c>
      <c r="B1559" s="3">
        <v>145.5401</v>
      </c>
      <c r="C1559" s="3">
        <v>70.04433</v>
      </c>
      <c r="D1559" s="3">
        <v>2222.833</v>
      </c>
      <c r="E1559" s="3">
        <v>2783.885</v>
      </c>
      <c r="F1559" s="4" t="s">
        <v>8</v>
      </c>
      <c r="G1559" s="3">
        <v>17.0</v>
      </c>
    </row>
    <row r="1560">
      <c r="A1560" s="3">
        <v>41.0</v>
      </c>
      <c r="B1560" s="3">
        <v>144.0097</v>
      </c>
      <c r="C1560" s="3">
        <v>67.3927</v>
      </c>
      <c r="D1560" s="3">
        <v>2227.767</v>
      </c>
      <c r="E1560" s="3">
        <v>2818.624</v>
      </c>
      <c r="F1560" s="4" t="s">
        <v>8</v>
      </c>
      <c r="G1560" s="3">
        <v>17.0</v>
      </c>
    </row>
    <row r="1561">
      <c r="A1561" s="3">
        <v>40.0</v>
      </c>
      <c r="B1561" s="3">
        <v>141.9804</v>
      </c>
      <c r="C1561" s="3">
        <v>65.05079</v>
      </c>
      <c r="D1561" s="3">
        <v>2234.167</v>
      </c>
      <c r="E1561" s="3">
        <v>2853.775</v>
      </c>
      <c r="F1561" s="4" t="s">
        <v>8</v>
      </c>
      <c r="G1561" s="3">
        <v>17.0</v>
      </c>
    </row>
    <row r="1562">
      <c r="A1562" s="3">
        <v>39.0</v>
      </c>
      <c r="B1562" s="3">
        <v>136.7593</v>
      </c>
      <c r="C1562" s="3">
        <v>62.26484</v>
      </c>
      <c r="D1562" s="3">
        <v>2254.533</v>
      </c>
      <c r="E1562" s="3">
        <v>2899.648</v>
      </c>
      <c r="F1562" s="4" t="s">
        <v>8</v>
      </c>
      <c r="G1562" s="3">
        <v>17.0</v>
      </c>
    </row>
    <row r="1563">
      <c r="A1563" s="3">
        <v>38.0</v>
      </c>
      <c r="B1563" s="3">
        <v>135.1204</v>
      </c>
      <c r="C1563" s="3">
        <v>58.86966</v>
      </c>
      <c r="D1563" s="3">
        <v>2259.833</v>
      </c>
      <c r="E1563" s="3">
        <v>2951.45</v>
      </c>
      <c r="F1563" s="4" t="s">
        <v>8</v>
      </c>
      <c r="G1563" s="3">
        <v>17.0</v>
      </c>
    </row>
    <row r="1564">
      <c r="A1564" s="3">
        <v>37.0</v>
      </c>
      <c r="B1564" s="3">
        <v>131.784</v>
      </c>
      <c r="C1564" s="3">
        <v>56.11039</v>
      </c>
      <c r="D1564" s="3">
        <v>2272.367</v>
      </c>
      <c r="E1564" s="3">
        <v>2996.471</v>
      </c>
      <c r="F1564" s="4" t="s">
        <v>8</v>
      </c>
      <c r="G1564" s="3">
        <v>17.0</v>
      </c>
    </row>
    <row r="1565">
      <c r="A1565" s="3">
        <v>36.0</v>
      </c>
      <c r="B1565" s="3">
        <v>130.0712</v>
      </c>
      <c r="C1565" s="3">
        <v>53.86227</v>
      </c>
      <c r="D1565" s="3">
        <v>2279.5</v>
      </c>
      <c r="E1565" s="3">
        <v>3039.254</v>
      </c>
      <c r="F1565" s="4" t="s">
        <v>8</v>
      </c>
      <c r="G1565" s="3">
        <v>17.0</v>
      </c>
    </row>
    <row r="1566">
      <c r="A1566" s="3">
        <v>35.0</v>
      </c>
      <c r="B1566" s="3">
        <v>125.9817</v>
      </c>
      <c r="C1566" s="3">
        <v>50.50475</v>
      </c>
      <c r="D1566" s="3">
        <v>2299.4</v>
      </c>
      <c r="E1566" s="3">
        <v>3106.705</v>
      </c>
      <c r="F1566" s="4" t="s">
        <v>8</v>
      </c>
      <c r="G1566" s="3">
        <v>17.0</v>
      </c>
    </row>
    <row r="1567">
      <c r="A1567" s="3">
        <v>34.0</v>
      </c>
      <c r="B1567" s="3">
        <v>122.9486</v>
      </c>
      <c r="C1567" s="3">
        <v>47.90236</v>
      </c>
      <c r="D1567" s="3">
        <v>2310.8</v>
      </c>
      <c r="E1567" s="3">
        <v>3159.253</v>
      </c>
      <c r="F1567" s="4" t="s">
        <v>8</v>
      </c>
      <c r="G1567" s="3">
        <v>17.0</v>
      </c>
    </row>
    <row r="1568">
      <c r="A1568" s="3">
        <v>33.0</v>
      </c>
      <c r="B1568" s="3">
        <v>119.2877</v>
      </c>
      <c r="C1568" s="3">
        <v>45.4996</v>
      </c>
      <c r="D1568" s="3">
        <v>2327.367</v>
      </c>
      <c r="E1568" s="3">
        <v>3220.456</v>
      </c>
      <c r="F1568" s="4" t="s">
        <v>8</v>
      </c>
      <c r="G1568" s="3">
        <v>17.0</v>
      </c>
    </row>
    <row r="1569">
      <c r="A1569" s="3">
        <v>32.0</v>
      </c>
      <c r="B1569" s="3">
        <v>116.2435</v>
      </c>
      <c r="C1569" s="3">
        <v>42.57688</v>
      </c>
      <c r="D1569" s="3">
        <v>2343.167</v>
      </c>
      <c r="E1569" s="3">
        <v>3277.255</v>
      </c>
      <c r="F1569" s="4" t="s">
        <v>8</v>
      </c>
      <c r="G1569" s="3">
        <v>17.0</v>
      </c>
    </row>
    <row r="1570">
      <c r="A1570" s="3">
        <v>31.0</v>
      </c>
      <c r="B1570" s="3">
        <v>113.2801</v>
      </c>
      <c r="C1570" s="3">
        <v>39.68219</v>
      </c>
      <c r="D1570" s="3">
        <v>2356.233</v>
      </c>
      <c r="E1570" s="3">
        <v>3341.999</v>
      </c>
      <c r="F1570" s="4" t="s">
        <v>8</v>
      </c>
      <c r="G1570" s="3">
        <v>17.0</v>
      </c>
    </row>
    <row r="1571">
      <c r="A1571" s="3">
        <v>30.0</v>
      </c>
      <c r="B1571" s="3">
        <v>111.7535</v>
      </c>
      <c r="C1571" s="3">
        <v>37.35521</v>
      </c>
      <c r="D1571" s="3">
        <v>2362.867</v>
      </c>
      <c r="E1571" s="3">
        <v>3397.036</v>
      </c>
      <c r="F1571" s="4" t="s">
        <v>8</v>
      </c>
      <c r="G1571" s="3">
        <v>17.0</v>
      </c>
    </row>
    <row r="1572">
      <c r="A1572" s="3">
        <v>29.0</v>
      </c>
      <c r="B1572" s="3">
        <v>106.3966</v>
      </c>
      <c r="C1572" s="3">
        <v>35.31393</v>
      </c>
      <c r="D1572" s="3">
        <v>2389.2</v>
      </c>
      <c r="E1572" s="3">
        <v>3444.198</v>
      </c>
      <c r="F1572" s="4" t="s">
        <v>8</v>
      </c>
      <c r="G1572" s="3">
        <v>17.0</v>
      </c>
    </row>
    <row r="1573">
      <c r="A1573" s="3">
        <v>28.0</v>
      </c>
      <c r="B1573" s="3">
        <v>103.3557</v>
      </c>
      <c r="C1573" s="3">
        <v>33.33152</v>
      </c>
      <c r="D1573" s="3">
        <v>2406.233</v>
      </c>
      <c r="E1573" s="3">
        <v>3505.686</v>
      </c>
      <c r="F1573" s="4" t="s">
        <v>8</v>
      </c>
      <c r="G1573" s="3">
        <v>17.0</v>
      </c>
    </row>
    <row r="1574">
      <c r="A1574" s="3">
        <v>27.0</v>
      </c>
      <c r="B1574" s="3">
        <v>100.2555</v>
      </c>
      <c r="C1574" s="3">
        <v>31.04269</v>
      </c>
      <c r="D1574" s="3">
        <v>2423.067</v>
      </c>
      <c r="E1574" s="3">
        <v>3568.471</v>
      </c>
      <c r="F1574" s="4" t="s">
        <v>8</v>
      </c>
      <c r="G1574" s="3">
        <v>17.0</v>
      </c>
    </row>
    <row r="1575">
      <c r="A1575" s="3">
        <v>26.0</v>
      </c>
      <c r="B1575" s="3">
        <v>95.28876</v>
      </c>
      <c r="C1575" s="3">
        <v>29.35209</v>
      </c>
      <c r="D1575" s="3">
        <v>2459.0</v>
      </c>
      <c r="E1575" s="3">
        <v>3618.357</v>
      </c>
      <c r="F1575" s="4" t="s">
        <v>8</v>
      </c>
      <c r="G1575" s="3">
        <v>17.0</v>
      </c>
    </row>
    <row r="1576">
      <c r="A1576" s="3">
        <v>25.0</v>
      </c>
      <c r="B1576" s="3">
        <v>90.21533</v>
      </c>
      <c r="C1576" s="3">
        <v>27.48536</v>
      </c>
      <c r="D1576" s="3">
        <v>2483.4</v>
      </c>
      <c r="E1576" s="3">
        <v>3670.317</v>
      </c>
      <c r="F1576" s="4" t="s">
        <v>8</v>
      </c>
      <c r="G1576" s="3">
        <v>17.0</v>
      </c>
    </row>
    <row r="1577">
      <c r="A1577" s="3">
        <v>24.0</v>
      </c>
      <c r="B1577" s="3">
        <v>89.23822</v>
      </c>
      <c r="C1577" s="3">
        <v>25.85735</v>
      </c>
      <c r="D1577" s="3">
        <v>2489.733</v>
      </c>
      <c r="E1577" s="3">
        <v>3722.669</v>
      </c>
      <c r="F1577" s="4" t="s">
        <v>8</v>
      </c>
      <c r="G1577" s="3">
        <v>17.0</v>
      </c>
    </row>
    <row r="1578">
      <c r="A1578" s="3">
        <v>23.0</v>
      </c>
      <c r="B1578" s="3">
        <v>87.52517</v>
      </c>
      <c r="C1578" s="3">
        <v>24.29658</v>
      </c>
      <c r="D1578" s="3">
        <v>2502.733</v>
      </c>
      <c r="E1578" s="3">
        <v>3778.619</v>
      </c>
      <c r="F1578" s="4" t="s">
        <v>8</v>
      </c>
      <c r="G1578" s="3">
        <v>17.0</v>
      </c>
    </row>
    <row r="1579">
      <c r="A1579" s="3">
        <v>22.0</v>
      </c>
      <c r="B1579" s="3">
        <v>81.42483</v>
      </c>
      <c r="C1579" s="3">
        <v>22.80771</v>
      </c>
      <c r="D1579" s="3">
        <v>2544.2</v>
      </c>
      <c r="E1579" s="3">
        <v>3844.24</v>
      </c>
      <c r="F1579" s="4" t="s">
        <v>8</v>
      </c>
      <c r="G1579" s="3">
        <v>17.0</v>
      </c>
    </row>
    <row r="1580">
      <c r="A1580" s="3">
        <v>21.0</v>
      </c>
      <c r="B1580" s="3">
        <v>76.84326</v>
      </c>
      <c r="C1580" s="3">
        <v>21.13762</v>
      </c>
      <c r="D1580" s="3">
        <v>2571.167</v>
      </c>
      <c r="E1580" s="3">
        <v>3912.386</v>
      </c>
      <c r="F1580" s="4" t="s">
        <v>8</v>
      </c>
      <c r="G1580" s="3">
        <v>17.0</v>
      </c>
    </row>
    <row r="1581">
      <c r="A1581" s="3">
        <v>20.0</v>
      </c>
      <c r="B1581" s="3">
        <v>72.9314</v>
      </c>
      <c r="C1581" s="3">
        <v>19.92775</v>
      </c>
      <c r="D1581" s="3">
        <v>2596.9</v>
      </c>
      <c r="E1581" s="3">
        <v>3968.607</v>
      </c>
      <c r="F1581" s="4" t="s">
        <v>8</v>
      </c>
      <c r="G1581" s="3">
        <v>17.0</v>
      </c>
    </row>
    <row r="1582">
      <c r="A1582" s="3">
        <v>19.0</v>
      </c>
      <c r="B1582" s="3">
        <v>70.13049</v>
      </c>
      <c r="C1582" s="3">
        <v>18.87439</v>
      </c>
      <c r="D1582" s="3">
        <v>2632.533</v>
      </c>
      <c r="E1582" s="3">
        <v>4023.004</v>
      </c>
      <c r="F1582" s="4" t="s">
        <v>8</v>
      </c>
      <c r="G1582" s="3">
        <v>17.0</v>
      </c>
    </row>
    <row r="1583">
      <c r="A1583" s="3">
        <v>18.0</v>
      </c>
      <c r="B1583" s="3">
        <v>64.02167</v>
      </c>
      <c r="C1583" s="3">
        <v>17.62093</v>
      </c>
      <c r="D1583" s="3">
        <v>2683.5</v>
      </c>
      <c r="E1583" s="3">
        <v>4086.924</v>
      </c>
      <c r="F1583" s="4" t="s">
        <v>8</v>
      </c>
      <c r="G1583" s="3">
        <v>17.0</v>
      </c>
    </row>
    <row r="1584">
      <c r="A1584" s="3">
        <v>17.0</v>
      </c>
      <c r="B1584" s="3">
        <v>62.31197</v>
      </c>
      <c r="C1584" s="3">
        <v>16.67999</v>
      </c>
      <c r="D1584" s="3">
        <v>2702.867</v>
      </c>
      <c r="E1584" s="3">
        <v>4139.974</v>
      </c>
      <c r="F1584" s="4" t="s">
        <v>8</v>
      </c>
      <c r="G1584" s="3">
        <v>17.0</v>
      </c>
    </row>
    <row r="1585">
      <c r="A1585" s="3">
        <v>16.0</v>
      </c>
      <c r="B1585" s="3">
        <v>58.74177</v>
      </c>
      <c r="C1585" s="3">
        <v>15.82702</v>
      </c>
      <c r="D1585" s="3">
        <v>2740.267</v>
      </c>
      <c r="E1585" s="3">
        <v>4194.112</v>
      </c>
      <c r="F1585" s="4" t="s">
        <v>8</v>
      </c>
      <c r="G1585" s="3">
        <v>17.0</v>
      </c>
    </row>
    <row r="1586">
      <c r="A1586" s="3">
        <v>15.0</v>
      </c>
      <c r="B1586" s="3">
        <v>55.65278</v>
      </c>
      <c r="C1586" s="3">
        <v>15.11487</v>
      </c>
      <c r="D1586" s="3">
        <v>2768.1</v>
      </c>
      <c r="E1586" s="3">
        <v>4244.024</v>
      </c>
      <c r="F1586" s="4" t="s">
        <v>8</v>
      </c>
      <c r="G1586" s="3">
        <v>17.0</v>
      </c>
    </row>
    <row r="1587">
      <c r="A1587" s="3">
        <v>14.0</v>
      </c>
      <c r="B1587" s="3">
        <v>53.95133</v>
      </c>
      <c r="C1587" s="3">
        <v>14.669</v>
      </c>
      <c r="D1587" s="3">
        <v>2785.367</v>
      </c>
      <c r="E1587" s="3">
        <v>4274.322</v>
      </c>
      <c r="F1587" s="4" t="s">
        <v>8</v>
      </c>
      <c r="G1587" s="3">
        <v>17.0</v>
      </c>
    </row>
    <row r="1588">
      <c r="A1588" s="3">
        <v>13.0</v>
      </c>
      <c r="B1588" s="3">
        <v>52.68366</v>
      </c>
      <c r="C1588" s="3">
        <v>14.29948</v>
      </c>
      <c r="D1588" s="3">
        <v>2802.9</v>
      </c>
      <c r="E1588" s="3">
        <v>4306.558</v>
      </c>
      <c r="F1588" s="4" t="s">
        <v>8</v>
      </c>
      <c r="G1588" s="3">
        <v>17.0</v>
      </c>
    </row>
    <row r="1589">
      <c r="A1589" s="3">
        <v>12.0</v>
      </c>
      <c r="B1589" s="3">
        <v>51.22918</v>
      </c>
      <c r="C1589" s="3">
        <v>14.02124</v>
      </c>
      <c r="D1589" s="3">
        <v>2818.333</v>
      </c>
      <c r="E1589" s="3">
        <v>4333.346</v>
      </c>
      <c r="F1589" s="4" t="s">
        <v>8</v>
      </c>
      <c r="G1589" s="3">
        <v>17.0</v>
      </c>
    </row>
    <row r="1590">
      <c r="A1590" s="3">
        <v>11.0</v>
      </c>
      <c r="B1590" s="3">
        <v>48.1192</v>
      </c>
      <c r="C1590" s="3">
        <v>13.66007</v>
      </c>
      <c r="D1590" s="3">
        <v>2856.967</v>
      </c>
      <c r="E1590" s="3">
        <v>4367.695</v>
      </c>
      <c r="F1590" s="4" t="s">
        <v>8</v>
      </c>
      <c r="G1590" s="3">
        <v>17.0</v>
      </c>
    </row>
    <row r="1591">
      <c r="A1591" s="3">
        <v>10.0</v>
      </c>
      <c r="B1591" s="3">
        <v>46.04509</v>
      </c>
      <c r="C1591" s="3">
        <v>13.4147</v>
      </c>
      <c r="D1591" s="3">
        <v>2889.4</v>
      </c>
      <c r="E1591" s="3">
        <v>4390.291</v>
      </c>
      <c r="F1591" s="4" t="s">
        <v>8</v>
      </c>
      <c r="G1591" s="3">
        <v>17.0</v>
      </c>
    </row>
    <row r="1592">
      <c r="A1592" s="3">
        <v>9.0</v>
      </c>
      <c r="B1592" s="3">
        <v>44.84908</v>
      </c>
      <c r="C1592" s="3">
        <v>13.18889</v>
      </c>
      <c r="D1592" s="3">
        <v>2904.133</v>
      </c>
      <c r="E1592" s="3">
        <v>4412.089</v>
      </c>
      <c r="F1592" s="4" t="s">
        <v>8</v>
      </c>
      <c r="G1592" s="3">
        <v>17.0</v>
      </c>
    </row>
    <row r="1593">
      <c r="A1593" s="3">
        <v>8.0</v>
      </c>
      <c r="B1593" s="3">
        <v>43.7892</v>
      </c>
      <c r="C1593" s="3">
        <v>12.95132</v>
      </c>
      <c r="D1593" s="3">
        <v>2925.233</v>
      </c>
      <c r="E1593" s="3">
        <v>4436.912</v>
      </c>
      <c r="F1593" s="4" t="s">
        <v>8</v>
      </c>
      <c r="G1593" s="3">
        <v>17.0</v>
      </c>
    </row>
    <row r="1594">
      <c r="A1594" s="3">
        <v>7.0</v>
      </c>
      <c r="B1594" s="3">
        <v>42.77525</v>
      </c>
      <c r="C1594" s="3">
        <v>12.88734</v>
      </c>
      <c r="D1594" s="3">
        <v>2944.267</v>
      </c>
      <c r="E1594" s="3">
        <v>4443.056</v>
      </c>
      <c r="F1594" s="4" t="s">
        <v>8</v>
      </c>
      <c r="G1594" s="3">
        <v>17.0</v>
      </c>
    </row>
    <row r="1595">
      <c r="A1595" s="3">
        <v>6.0</v>
      </c>
      <c r="B1595" s="3">
        <v>41.42696</v>
      </c>
      <c r="C1595" s="3">
        <v>12.7152</v>
      </c>
      <c r="D1595" s="3">
        <v>2968.867</v>
      </c>
      <c r="E1595" s="3">
        <v>4462.72</v>
      </c>
      <c r="F1595" s="4" t="s">
        <v>8</v>
      </c>
      <c r="G1595" s="3">
        <v>17.0</v>
      </c>
    </row>
    <row r="1596">
      <c r="A1596" s="3">
        <v>5.0</v>
      </c>
      <c r="B1596" s="3">
        <v>40.10152</v>
      </c>
      <c r="C1596" s="3">
        <v>12.46171</v>
      </c>
      <c r="D1596" s="3">
        <v>2990.067</v>
      </c>
      <c r="E1596" s="3">
        <v>4492.005</v>
      </c>
      <c r="F1596" s="4" t="s">
        <v>8</v>
      </c>
      <c r="G1596" s="3">
        <v>17.0</v>
      </c>
    </row>
    <row r="1597">
      <c r="A1597" s="3">
        <v>4.0</v>
      </c>
      <c r="B1597" s="3">
        <v>38.16692</v>
      </c>
      <c r="C1597" s="3">
        <v>12.38503</v>
      </c>
      <c r="D1597" s="3">
        <v>3029.8</v>
      </c>
      <c r="E1597" s="3">
        <v>4495.693</v>
      </c>
      <c r="F1597" s="4" t="s">
        <v>8</v>
      </c>
      <c r="G1597" s="3">
        <v>17.0</v>
      </c>
    </row>
    <row r="1598">
      <c r="A1598" s="3">
        <v>3.0</v>
      </c>
      <c r="B1598" s="3">
        <v>36.42503</v>
      </c>
      <c r="C1598" s="3">
        <v>12.19814</v>
      </c>
      <c r="D1598" s="3">
        <v>3069.9</v>
      </c>
      <c r="E1598" s="3">
        <v>4521.795</v>
      </c>
      <c r="F1598" s="4" t="s">
        <v>8</v>
      </c>
      <c r="G1598" s="3">
        <v>17.0</v>
      </c>
    </row>
    <row r="1599">
      <c r="A1599" s="3">
        <v>2.0</v>
      </c>
      <c r="B1599" s="3">
        <v>33.83926</v>
      </c>
      <c r="C1599" s="3">
        <v>12.06019</v>
      </c>
      <c r="D1599" s="3">
        <v>3127.633</v>
      </c>
      <c r="E1599" s="3">
        <v>4537.709</v>
      </c>
      <c r="F1599" s="4" t="s">
        <v>8</v>
      </c>
      <c r="G1599" s="3">
        <v>17.0</v>
      </c>
    </row>
    <row r="1600">
      <c r="A1600" s="3">
        <v>1.0</v>
      </c>
      <c r="B1600" s="3">
        <v>32.69366</v>
      </c>
      <c r="C1600" s="3">
        <v>11.84235</v>
      </c>
      <c r="D1600" s="3">
        <v>3156.433</v>
      </c>
      <c r="E1600" s="3">
        <v>4561.276</v>
      </c>
      <c r="F1600" s="4" t="s">
        <v>8</v>
      </c>
      <c r="G1600" s="3">
        <v>17.0</v>
      </c>
    </row>
    <row r="1601">
      <c r="A1601" s="3">
        <v>0.0</v>
      </c>
      <c r="B1601" s="3">
        <v>31.64411</v>
      </c>
      <c r="C1601" s="3">
        <v>11.73684</v>
      </c>
      <c r="D1601" s="3">
        <v>3183.8</v>
      </c>
      <c r="E1601" s="3">
        <v>4571.135</v>
      </c>
      <c r="F1601" s="4" t="s">
        <v>8</v>
      </c>
      <c r="G1601" s="3">
        <v>17.0</v>
      </c>
    </row>
    <row r="1602">
      <c r="A1602" s="6"/>
      <c r="B1602" s="6"/>
      <c r="C1602" s="6"/>
      <c r="D1602" s="6"/>
      <c r="E1602" s="6"/>
      <c r="F1602" s="7"/>
      <c r="G1602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7" width="15.63"/>
  </cols>
  <sheetData>
    <row r="1">
      <c r="B1" s="8" t="s">
        <v>9</v>
      </c>
      <c r="C1" s="8" t="s">
        <v>9</v>
      </c>
      <c r="D1" s="8" t="s">
        <v>9</v>
      </c>
      <c r="E1" s="8" t="s">
        <v>9</v>
      </c>
      <c r="F1" s="8" t="s">
        <v>9</v>
      </c>
      <c r="G1" s="8" t="s">
        <v>9</v>
      </c>
      <c r="H1" s="8" t="s">
        <v>9</v>
      </c>
      <c r="I1" s="8" t="s">
        <v>9</v>
      </c>
      <c r="J1" s="8" t="s">
        <v>10</v>
      </c>
      <c r="K1" s="8" t="s">
        <v>10</v>
      </c>
      <c r="L1" s="8" t="s">
        <v>10</v>
      </c>
      <c r="M1" s="8" t="s">
        <v>10</v>
      </c>
      <c r="N1" s="8" t="s">
        <v>10</v>
      </c>
      <c r="O1" s="8" t="s">
        <v>10</v>
      </c>
      <c r="P1" s="8" t="s">
        <v>10</v>
      </c>
      <c r="Q1" s="9" t="s">
        <v>10</v>
      </c>
    </row>
    <row r="2">
      <c r="A2" s="10"/>
      <c r="B2" s="11">
        <v>12.0</v>
      </c>
      <c r="C2" s="11">
        <v>12.0</v>
      </c>
      <c r="D2" s="11">
        <v>17.0</v>
      </c>
      <c r="E2" s="11">
        <v>17.0</v>
      </c>
      <c r="F2" s="11">
        <v>19.0</v>
      </c>
      <c r="G2" s="11">
        <v>19.0</v>
      </c>
      <c r="H2" s="11">
        <v>21.0</v>
      </c>
      <c r="I2" s="11">
        <v>21.0</v>
      </c>
      <c r="J2" s="11">
        <v>12.0</v>
      </c>
      <c r="K2" s="11">
        <v>12.0</v>
      </c>
      <c r="L2" s="11">
        <v>17.0</v>
      </c>
      <c r="M2" s="11">
        <v>17.0</v>
      </c>
      <c r="N2" s="11">
        <v>19.0</v>
      </c>
      <c r="O2" s="11">
        <v>19.0</v>
      </c>
      <c r="P2" s="11">
        <v>21.0</v>
      </c>
      <c r="Q2" s="12">
        <v>21.0</v>
      </c>
    </row>
    <row r="3">
      <c r="A3" s="10"/>
      <c r="B3" s="9" t="s">
        <v>3</v>
      </c>
      <c r="C3" s="9" t="s">
        <v>4</v>
      </c>
      <c r="D3" s="9" t="s">
        <v>3</v>
      </c>
      <c r="E3" s="9" t="s">
        <v>4</v>
      </c>
      <c r="F3" s="9" t="s">
        <v>3</v>
      </c>
      <c r="G3" s="9" t="s">
        <v>4</v>
      </c>
      <c r="H3" s="9" t="s">
        <v>3</v>
      </c>
      <c r="I3" s="9" t="s">
        <v>4</v>
      </c>
      <c r="J3" s="8" t="s">
        <v>3</v>
      </c>
      <c r="K3" s="8" t="s">
        <v>4</v>
      </c>
      <c r="L3" s="8" t="s">
        <v>3</v>
      </c>
      <c r="M3" s="8" t="s">
        <v>4</v>
      </c>
      <c r="N3" s="8" t="s">
        <v>3</v>
      </c>
      <c r="O3" s="8" t="s">
        <v>4</v>
      </c>
      <c r="P3" s="8" t="s">
        <v>3</v>
      </c>
      <c r="Q3" s="9" t="s">
        <v>4</v>
      </c>
    </row>
    <row r="4">
      <c r="A4" s="13" t="s">
        <v>0</v>
      </c>
      <c r="B4" s="9" t="str">
        <f t="shared" ref="B4:Q4" si="1">B3&amp;" N"&amp;B2&amp;" "&amp;B1</f>
        <v>Min_Cost N12 UX</v>
      </c>
      <c r="C4" s="9" t="str">
        <f t="shared" si="1"/>
        <v>Avg_Cost N12 UX</v>
      </c>
      <c r="D4" s="9" t="str">
        <f t="shared" si="1"/>
        <v>Min_Cost N17 UX</v>
      </c>
      <c r="E4" s="9" t="str">
        <f t="shared" si="1"/>
        <v>Avg_Cost N17 UX</v>
      </c>
      <c r="F4" s="9" t="str">
        <f t="shared" si="1"/>
        <v>Min_Cost N19 UX</v>
      </c>
      <c r="G4" s="9" t="str">
        <f t="shared" si="1"/>
        <v>Avg_Cost N19 UX</v>
      </c>
      <c r="H4" s="9" t="str">
        <f t="shared" si="1"/>
        <v>Min_Cost N21 UX</v>
      </c>
      <c r="I4" s="9" t="str">
        <f t="shared" si="1"/>
        <v>Avg_Cost N21 UX</v>
      </c>
      <c r="J4" s="8" t="str">
        <f t="shared" si="1"/>
        <v>Min_Cost N12 OX</v>
      </c>
      <c r="K4" s="8" t="str">
        <f t="shared" si="1"/>
        <v>Avg_Cost N12 OX</v>
      </c>
      <c r="L4" s="8" t="str">
        <f t="shared" si="1"/>
        <v>Min_Cost N17 OX</v>
      </c>
      <c r="M4" s="8" t="str">
        <f t="shared" si="1"/>
        <v>Avg_Cost N17 OX</v>
      </c>
      <c r="N4" s="8" t="str">
        <f t="shared" si="1"/>
        <v>Min_Cost N19 OX</v>
      </c>
      <c r="O4" s="8" t="str">
        <f t="shared" si="1"/>
        <v>Avg_Cost N19 OX</v>
      </c>
      <c r="P4" s="8" t="str">
        <f t="shared" si="1"/>
        <v>Min_Cost N21 OX</v>
      </c>
      <c r="Q4" s="9" t="str">
        <f t="shared" si="1"/>
        <v>Avg_Cost N21 OX</v>
      </c>
    </row>
    <row r="5">
      <c r="A5" s="14">
        <v>0.0</v>
      </c>
      <c r="B5" s="15">
        <f>IFERROR(__xludf.DUMMYFUNCTION("FILTER(Datos!$D$2:$D1003, Datos!$F$2:$F1003=B$1, Datos!$G$2:$G1003=B$2, Datos!$A$2:$A1003=$A5)"),2254.167)</f>
        <v>2254.167</v>
      </c>
      <c r="C5" s="16">
        <f>IFERROR(__xludf.DUMMYFUNCTION("FILTER(Datos!$E$2:$E1003, Datos!$F$2:$F1003=C$1, Datos!$G$2:$G1003=C$2, Datos!$A$2:$A1003=$A5)"),3451.873)</f>
        <v>3451.873</v>
      </c>
      <c r="D5" s="16">
        <f>IFERROR(__xludf.DUMMYFUNCTION("FILTER(Datos!$D$2:$D1003, Datos!$F$2:$F1003=D$1, Datos!$G$2:$G1003=D$2, Datos!$A$2:$A1003=$A5)"),3183.8)</f>
        <v>3183.8</v>
      </c>
      <c r="E5" s="16">
        <f>IFERROR(__xludf.DUMMYFUNCTION("FILTER(Datos!$E$2:$E1003, Datos!$F$2:$F1003=E$1, Datos!$G$2:$G1003=E$2, Datos!$A$2:$A1003=$A5)"),4571.135)</f>
        <v>4571.135</v>
      </c>
      <c r="F5" s="16">
        <f>IFERROR(__xludf.DUMMYFUNCTION("FILTER(Datos!$D$2:$D1003, Datos!$F$2:$F1003=F$1, Datos!$G$2:$G1003=F$2, Datos!$A$2:$A1003=$A5)"),5393.933)</f>
        <v>5393.933</v>
      </c>
      <c r="G5" s="16">
        <f>IFERROR(__xludf.DUMMYFUNCTION("FILTER(Datos!$E$2:$E1003, Datos!$F$2:$F1003=G$1, Datos!$G$2:$G1003=G$2, Datos!$A$2:$A1003=$A5)"),7200.268)</f>
        <v>7200.268</v>
      </c>
      <c r="H5" s="16">
        <f>IFERROR(__xludf.DUMMYFUNCTION("FILTER(Datos!$D$2:$D1003, Datos!$F$2:$F1003=H$1, Datos!$G$2:$G1003=H$2, Datos!$A$2:$A1003=$A5)"),5729.1)</f>
        <v>5729.1</v>
      </c>
      <c r="I5" s="17">
        <f>IFERROR(__xludf.DUMMYFUNCTION("FILTER(Datos!$E$2:$E1003, Datos!$F$2:$F1003=I$1, Datos!$G$2:$G1003=I$2, Datos!$A$2:$A1003=$A5)"),7603.71)</f>
        <v>7603.71</v>
      </c>
      <c r="J5" s="16">
        <f>IFERROR(__xludf.DUMMYFUNCTION("FILTER(Datos!$D$2:$D1003, Datos!$F$2:$F1003=J$1, Datos!$G$2:$G1003=J$2, Datos!$A$2:$A1003=$A5)"),2241.1)</f>
        <v>2241.1</v>
      </c>
      <c r="K5" s="16">
        <f>IFERROR(__xludf.DUMMYFUNCTION("FILTER(Datos!$E$2:$E1003, Datos!$F$2:$F1003=K$1, Datos!$G$2:$G1003=K$2, Datos!$A$2:$A1003=$A5)"),3416.032)</f>
        <v>3416.032</v>
      </c>
      <c r="L5" s="16">
        <f>IFERROR(__xludf.DUMMYFUNCTION("FILTER(Datos!$D$2:$D1003, Datos!$F$2:$F1003=L$1, Datos!$G$2:$G1003=L$2, Datos!$A$2:$A1003=$A5)"),3301.233)</f>
        <v>3301.233</v>
      </c>
      <c r="M5" s="16">
        <f>IFERROR(__xludf.DUMMYFUNCTION("FILTER(Datos!$E$2:$E1003, Datos!$F$2:$F1003=M$1, Datos!$G$2:$G1003=M$2, Datos!$A$2:$A1003=$A5)"),4548.812)</f>
        <v>4548.812</v>
      </c>
      <c r="N5" s="16">
        <f>IFERROR(__xludf.DUMMYFUNCTION("FILTER(Datos!$D$2:$D1003, Datos!$F$2:$F1003=N$1, Datos!$G$2:$G1003=N$2, Datos!$A$2:$A1003=$A5)"),5203.1)</f>
        <v>5203.1</v>
      </c>
      <c r="O5" s="16">
        <f>IFERROR(__xludf.DUMMYFUNCTION("FILTER(Datos!$E$2:$E1003, Datos!$F$2:$F1003=O$1, Datos!$G$2:$G1003=O$2, Datos!$A$2:$A1003=$A5)"),7040.275)</f>
        <v>7040.275</v>
      </c>
      <c r="P5" s="16">
        <f>IFERROR(__xludf.DUMMYFUNCTION("FILTER(Datos!$D$2:$D1003, Datos!$F$2:$F1003=P$1, Datos!$G$2:$G1003=P$2, Datos!$A$2:$A1003=$A5)"),5600.3)</f>
        <v>5600.3</v>
      </c>
      <c r="Q5" s="17">
        <f>IFERROR(__xludf.DUMMYFUNCTION("FILTER(Datos!$E$2:$E1003, Datos!$F$2:$F1003=Q$1, Datos!$G$2:$G1003=Q$2, Datos!$A$2:$A1003=$A5)"),7473.791)</f>
        <v>7473.791</v>
      </c>
    </row>
    <row r="6">
      <c r="A6" s="18">
        <f t="shared" ref="A6:A204" si="2">A5+1</f>
        <v>1</v>
      </c>
      <c r="B6" s="19">
        <f>IFERROR(__xludf.DUMMYFUNCTION("FILTER(Datos!$D$2:$D1003, Datos!$F$2:$F1003=B$1, Datos!$G$2:$G1003=B$2, Datos!$A$2:$A1003=$A6)"),2188.167)</f>
        <v>2188.167</v>
      </c>
      <c r="C6" s="20">
        <f>IFERROR(__xludf.DUMMYFUNCTION("FILTER(Datos!$E$2:$E1003, Datos!$F$2:$F1003=C$1, Datos!$G$2:$G1003=C$2, Datos!$A$2:$A1003=$A6)"),3393.797)</f>
        <v>3393.797</v>
      </c>
      <c r="D6" s="20">
        <f>IFERROR(__xludf.DUMMYFUNCTION("FILTER(Datos!$D$2:$D1003, Datos!$F$2:$F1003=D$1, Datos!$G$2:$G1003=D$2, Datos!$A$2:$A1003=$A6)"),3156.433)</f>
        <v>3156.433</v>
      </c>
      <c r="E6" s="20">
        <f>IFERROR(__xludf.DUMMYFUNCTION("FILTER(Datos!$E$2:$E1003, Datos!$F$2:$F1003=E$1, Datos!$G$2:$G1003=E$2, Datos!$A$2:$A1003=$A6)"),4561.276)</f>
        <v>4561.276</v>
      </c>
      <c r="F6" s="20">
        <f>IFERROR(__xludf.DUMMYFUNCTION("FILTER(Datos!$D$2:$D1003, Datos!$F$2:$F1003=F$1, Datos!$G$2:$G1003=F$2, Datos!$A$2:$A1003=$A6)"),5220.533)</f>
        <v>5220.533</v>
      </c>
      <c r="G6" s="20">
        <f>IFERROR(__xludf.DUMMYFUNCTION("FILTER(Datos!$E$2:$E1003, Datos!$F$2:$F1003=G$1, Datos!$G$2:$G1003=G$2, Datos!$A$2:$A1003=$A6)"),7155.135)</f>
        <v>7155.135</v>
      </c>
      <c r="H6" s="20">
        <f>IFERROR(__xludf.DUMMYFUNCTION("FILTER(Datos!$D$2:$D1003, Datos!$F$2:$F1003=H$1, Datos!$G$2:$G1003=H$2, Datos!$A$2:$A1003=$A6)"),5644.367)</f>
        <v>5644.367</v>
      </c>
      <c r="I6" s="21">
        <f>IFERROR(__xludf.DUMMYFUNCTION("FILTER(Datos!$E$2:$E1003, Datos!$F$2:$F1003=I$1, Datos!$G$2:$G1003=I$2, Datos!$A$2:$A1003=$A6)"),7581.069)</f>
        <v>7581.069</v>
      </c>
      <c r="J6" s="20">
        <f>IFERROR(__xludf.DUMMYFUNCTION("FILTER(Datos!$D$2:$D1003, Datos!$F$2:$F1003=J$1, Datos!$G$2:$G1003=J$2, Datos!$A$2:$A1003=$A6)"),2202.533)</f>
        <v>2202.533</v>
      </c>
      <c r="K6" s="20">
        <f>IFERROR(__xludf.DUMMYFUNCTION("FILTER(Datos!$E$2:$E1003, Datos!$F$2:$F1003=K$1, Datos!$G$2:$G1003=K$2, Datos!$A$2:$A1003=$A6)"),3290.823)</f>
        <v>3290.823</v>
      </c>
      <c r="L6" s="20">
        <f>IFERROR(__xludf.DUMMYFUNCTION("FILTER(Datos!$D$2:$D1003, Datos!$F$2:$F1003=L$1, Datos!$G$2:$G1003=L$2, Datos!$A$2:$A1003=$A6)"),3190.233)</f>
        <v>3190.233</v>
      </c>
      <c r="M6" s="20">
        <f>IFERROR(__xludf.DUMMYFUNCTION("FILTER(Datos!$E$2:$E1003, Datos!$F$2:$F1003=M$1, Datos!$G$2:$G1003=M$2, Datos!$A$2:$A1003=$A6)"),4457.727)</f>
        <v>4457.727</v>
      </c>
      <c r="N6" s="20">
        <f>IFERROR(__xludf.DUMMYFUNCTION("FILTER(Datos!$D$2:$D1003, Datos!$F$2:$F1003=N$1, Datos!$G$2:$G1003=N$2, Datos!$A$2:$A1003=$A6)"),5013.7)</f>
        <v>5013.7</v>
      </c>
      <c r="O6" s="20">
        <f>IFERROR(__xludf.DUMMYFUNCTION("FILTER(Datos!$E$2:$E1003, Datos!$F$2:$F1003=O$1, Datos!$G$2:$G1003=O$2, Datos!$A$2:$A1003=$A6)"),6988.5)</f>
        <v>6988.5</v>
      </c>
      <c r="P6" s="20">
        <f>IFERROR(__xludf.DUMMYFUNCTION("FILTER(Datos!$D$2:$D1003, Datos!$F$2:$F1003=P$1, Datos!$G$2:$G1003=P$2, Datos!$A$2:$A1003=$A6)"),5548.767)</f>
        <v>5548.767</v>
      </c>
      <c r="Q6" s="21">
        <f>IFERROR(__xludf.DUMMYFUNCTION("FILTER(Datos!$E$2:$E1003, Datos!$F$2:$F1003=Q$1, Datos!$G$2:$G1003=Q$2, Datos!$A$2:$A1003=$A6)"),7426.785)</f>
        <v>7426.785</v>
      </c>
    </row>
    <row r="7">
      <c r="A7" s="18">
        <f t="shared" si="2"/>
        <v>2</v>
      </c>
      <c r="B7" s="19">
        <f>IFERROR(__xludf.DUMMYFUNCTION("FILTER(Datos!$D$2:$D1003, Datos!$F$2:$F1003=B$1, Datos!$G$2:$G1003=B$2, Datos!$A$2:$A1003=$A7)"),2161.133)</f>
        <v>2161.133</v>
      </c>
      <c r="C7" s="20">
        <f>IFERROR(__xludf.DUMMYFUNCTION("FILTER(Datos!$E$2:$E1003, Datos!$F$2:$F1003=C$1, Datos!$G$2:$G1003=C$2, Datos!$A$2:$A1003=$A7)"),3341.349)</f>
        <v>3341.349</v>
      </c>
      <c r="D7" s="20">
        <f>IFERROR(__xludf.DUMMYFUNCTION("FILTER(Datos!$D$2:$D1003, Datos!$F$2:$F1003=D$1, Datos!$G$2:$G1003=D$2, Datos!$A$2:$A1003=$A7)"),3127.633)</f>
        <v>3127.633</v>
      </c>
      <c r="E7" s="20">
        <f>IFERROR(__xludf.DUMMYFUNCTION("FILTER(Datos!$E$2:$E1003, Datos!$F$2:$F1003=E$1, Datos!$G$2:$G1003=E$2, Datos!$A$2:$A1003=$A7)"),4537.709)</f>
        <v>4537.709</v>
      </c>
      <c r="F7" s="20">
        <f>IFERROR(__xludf.DUMMYFUNCTION("FILTER(Datos!$D$2:$D1003, Datos!$F$2:$F1003=F$1, Datos!$G$2:$G1003=F$2, Datos!$A$2:$A1003=$A7)"),5050.467)</f>
        <v>5050.467</v>
      </c>
      <c r="G7" s="20">
        <f>IFERROR(__xludf.DUMMYFUNCTION("FILTER(Datos!$E$2:$E1003, Datos!$F$2:$F1003=G$1, Datos!$G$2:$G1003=G$2, Datos!$A$2:$A1003=$A7)"),7122.227)</f>
        <v>7122.227</v>
      </c>
      <c r="H7" s="20">
        <f>IFERROR(__xludf.DUMMYFUNCTION("FILTER(Datos!$D$2:$D1003, Datos!$F$2:$F1003=H$1, Datos!$G$2:$G1003=H$2, Datos!$A$2:$A1003=$A7)"),5577.967)</f>
        <v>5577.967</v>
      </c>
      <c r="I7" s="21">
        <f>IFERROR(__xludf.DUMMYFUNCTION("FILTER(Datos!$E$2:$E1003, Datos!$F$2:$F1003=I$1, Datos!$G$2:$G1003=I$2, Datos!$A$2:$A1003=$A7)"),7566.833)</f>
        <v>7566.833</v>
      </c>
      <c r="J7" s="20">
        <f>IFERROR(__xludf.DUMMYFUNCTION("FILTER(Datos!$D$2:$D1003, Datos!$F$2:$F1003=J$1, Datos!$G$2:$G1003=J$2, Datos!$A$2:$A1003=$A7)"),2154.367)</f>
        <v>2154.367</v>
      </c>
      <c r="K7" s="20">
        <f>IFERROR(__xludf.DUMMYFUNCTION("FILTER(Datos!$E$2:$E1003, Datos!$F$2:$F1003=K$1, Datos!$G$2:$G1003=K$2, Datos!$A$2:$A1003=$A7)"),3183.439)</f>
        <v>3183.439</v>
      </c>
      <c r="L7" s="20">
        <f>IFERROR(__xludf.DUMMYFUNCTION("FILTER(Datos!$D$2:$D1003, Datos!$F$2:$F1003=L$1, Datos!$G$2:$G1003=L$2, Datos!$A$2:$A1003=$A7)"),3072.467)</f>
        <v>3072.467</v>
      </c>
      <c r="M7" s="20">
        <f>IFERROR(__xludf.DUMMYFUNCTION("FILTER(Datos!$E$2:$E1003, Datos!$F$2:$F1003=M$1, Datos!$G$2:$G1003=M$2, Datos!$A$2:$A1003=$A7)"),4385.415)</f>
        <v>4385.415</v>
      </c>
      <c r="N7" s="20">
        <f>IFERROR(__xludf.DUMMYFUNCTION("FILTER(Datos!$D$2:$D1003, Datos!$F$2:$F1003=N$1, Datos!$G$2:$G1003=N$2, Datos!$A$2:$A1003=$A7)"),4931.433)</f>
        <v>4931.433</v>
      </c>
      <c r="O7" s="20">
        <f>IFERROR(__xludf.DUMMYFUNCTION("FILTER(Datos!$E$2:$E1003, Datos!$F$2:$F1003=O$1, Datos!$G$2:$G1003=O$2, Datos!$A$2:$A1003=$A7)"),6946.449)</f>
        <v>6946.449</v>
      </c>
      <c r="P7" s="20">
        <f>IFERROR(__xludf.DUMMYFUNCTION("FILTER(Datos!$D$2:$D1003, Datos!$F$2:$F1003=P$1, Datos!$G$2:$G1003=P$2, Datos!$A$2:$A1003=$A7)"),5462.633)</f>
        <v>5462.633</v>
      </c>
      <c r="Q7" s="21">
        <f>IFERROR(__xludf.DUMMYFUNCTION("FILTER(Datos!$E$2:$E1003, Datos!$F$2:$F1003=Q$1, Datos!$G$2:$G1003=Q$2, Datos!$A$2:$A1003=$A7)"),7394.589)</f>
        <v>7394.589</v>
      </c>
    </row>
    <row r="8">
      <c r="A8" s="18">
        <f t="shared" si="2"/>
        <v>3</v>
      </c>
      <c r="B8" s="19">
        <f>IFERROR(__xludf.DUMMYFUNCTION("FILTER(Datos!$D$2:$D1003, Datos!$F$2:$F1003=B$1, Datos!$G$2:$G1003=B$2, Datos!$A$2:$A1003=$A8)"),2124.633)</f>
        <v>2124.633</v>
      </c>
      <c r="C8" s="20">
        <f>IFERROR(__xludf.DUMMYFUNCTION("FILTER(Datos!$E$2:$E1003, Datos!$F$2:$F1003=C$1, Datos!$G$2:$G1003=C$2, Datos!$A$2:$A1003=$A8)"),3283.194)</f>
        <v>3283.194</v>
      </c>
      <c r="D8" s="20">
        <f>IFERROR(__xludf.DUMMYFUNCTION("FILTER(Datos!$D$2:$D1003, Datos!$F$2:$F1003=D$1, Datos!$G$2:$G1003=D$2, Datos!$A$2:$A1003=$A8)"),3069.9)</f>
        <v>3069.9</v>
      </c>
      <c r="E8" s="20">
        <f>IFERROR(__xludf.DUMMYFUNCTION("FILTER(Datos!$E$2:$E1003, Datos!$F$2:$F1003=E$1, Datos!$G$2:$G1003=E$2, Datos!$A$2:$A1003=$A8)"),4521.795)</f>
        <v>4521.795</v>
      </c>
      <c r="F8" s="20">
        <f>IFERROR(__xludf.DUMMYFUNCTION("FILTER(Datos!$D$2:$D1003, Datos!$F$2:$F1003=F$1, Datos!$G$2:$G1003=F$2, Datos!$A$2:$A1003=$A8)"),4959.133)</f>
        <v>4959.133</v>
      </c>
      <c r="G8" s="20">
        <f>IFERROR(__xludf.DUMMYFUNCTION("FILTER(Datos!$E$2:$E1003, Datos!$F$2:$F1003=G$1, Datos!$G$2:$G1003=G$2, Datos!$A$2:$A1003=$A8)"),7126.102)</f>
        <v>7126.102</v>
      </c>
      <c r="H8" s="20">
        <f>IFERROR(__xludf.DUMMYFUNCTION("FILTER(Datos!$D$2:$D1003, Datos!$F$2:$F1003=H$1, Datos!$G$2:$G1003=H$2, Datos!$A$2:$A1003=$A8)"),5508.033)</f>
        <v>5508.033</v>
      </c>
      <c r="I8" s="21">
        <f>IFERROR(__xludf.DUMMYFUNCTION("FILTER(Datos!$E$2:$E1003, Datos!$F$2:$F1003=I$1, Datos!$G$2:$G1003=I$2, Datos!$A$2:$A1003=$A8)"),7555.265)</f>
        <v>7555.265</v>
      </c>
      <c r="J8" s="20">
        <f>IFERROR(__xludf.DUMMYFUNCTION("FILTER(Datos!$D$2:$D1003, Datos!$F$2:$F1003=J$1, Datos!$G$2:$G1003=J$2, Datos!$A$2:$A1003=$A8)"),2111.733)</f>
        <v>2111.733</v>
      </c>
      <c r="K8" s="20">
        <f>IFERROR(__xludf.DUMMYFUNCTION("FILTER(Datos!$E$2:$E1003, Datos!$F$2:$F1003=K$1, Datos!$G$2:$G1003=K$2, Datos!$A$2:$A1003=$A8)"),3069.65)</f>
        <v>3069.65</v>
      </c>
      <c r="L8" s="20">
        <f>IFERROR(__xludf.DUMMYFUNCTION("FILTER(Datos!$D$2:$D1003, Datos!$F$2:$F1003=L$1, Datos!$G$2:$G1003=L$2, Datos!$A$2:$A1003=$A8)"),2999.6)</f>
        <v>2999.6</v>
      </c>
      <c r="M8" s="20">
        <f>IFERROR(__xludf.DUMMYFUNCTION("FILTER(Datos!$E$2:$E1003, Datos!$F$2:$F1003=M$1, Datos!$G$2:$G1003=M$2, Datos!$A$2:$A1003=$A8)"),4310.247)</f>
        <v>4310.247</v>
      </c>
      <c r="N8" s="20">
        <f>IFERROR(__xludf.DUMMYFUNCTION("FILTER(Datos!$D$2:$D1003, Datos!$F$2:$F1003=N$1, Datos!$G$2:$G1003=N$2, Datos!$A$2:$A1003=$A8)"),4861.7)</f>
        <v>4861.7</v>
      </c>
      <c r="O8" s="20">
        <f>IFERROR(__xludf.DUMMYFUNCTION("FILTER(Datos!$E$2:$E1003, Datos!$F$2:$F1003=O$1, Datos!$G$2:$G1003=O$2, Datos!$A$2:$A1003=$A8)"),6906.154)</f>
        <v>6906.154</v>
      </c>
      <c r="P8" s="20">
        <f>IFERROR(__xludf.DUMMYFUNCTION("FILTER(Datos!$D$2:$D1003, Datos!$F$2:$F1003=P$1, Datos!$G$2:$G1003=P$2, Datos!$A$2:$A1003=$A8)"),5368.433)</f>
        <v>5368.433</v>
      </c>
      <c r="Q8" s="21">
        <f>IFERROR(__xludf.DUMMYFUNCTION("FILTER(Datos!$E$2:$E1003, Datos!$F$2:$F1003=Q$1, Datos!$G$2:$G1003=Q$2, Datos!$A$2:$A1003=$A8)"),7361.722)</f>
        <v>7361.722</v>
      </c>
    </row>
    <row r="9">
      <c r="A9" s="18">
        <f t="shared" si="2"/>
        <v>4</v>
      </c>
      <c r="B9" s="19">
        <f>IFERROR(__xludf.DUMMYFUNCTION("FILTER(Datos!$D$2:$D1003, Datos!$F$2:$F1003=B$1, Datos!$G$2:$G1003=B$2, Datos!$A$2:$A1003=$A9)"),2090.4)</f>
        <v>2090.4</v>
      </c>
      <c r="C9" s="20">
        <f>IFERROR(__xludf.DUMMYFUNCTION("FILTER(Datos!$E$2:$E1003, Datos!$F$2:$F1003=C$1, Datos!$G$2:$G1003=C$2, Datos!$A$2:$A1003=$A9)"),3218.992)</f>
        <v>3218.992</v>
      </c>
      <c r="D9" s="20">
        <f>IFERROR(__xludf.DUMMYFUNCTION("FILTER(Datos!$D$2:$D1003, Datos!$F$2:$F1003=D$1, Datos!$G$2:$G1003=D$2, Datos!$A$2:$A1003=$A9)"),3029.8)</f>
        <v>3029.8</v>
      </c>
      <c r="E9" s="20">
        <f>IFERROR(__xludf.DUMMYFUNCTION("FILTER(Datos!$E$2:$E1003, Datos!$F$2:$F1003=E$1, Datos!$G$2:$G1003=E$2, Datos!$A$2:$A1003=$A9)"),4495.693)</f>
        <v>4495.693</v>
      </c>
      <c r="F9" s="20">
        <f>IFERROR(__xludf.DUMMYFUNCTION("FILTER(Datos!$D$2:$D1003, Datos!$F$2:$F1003=F$1, Datos!$G$2:$G1003=F$2, Datos!$A$2:$A1003=$A9)"),4912.133)</f>
        <v>4912.133</v>
      </c>
      <c r="G9" s="20">
        <f>IFERROR(__xludf.DUMMYFUNCTION("FILTER(Datos!$E$2:$E1003, Datos!$F$2:$F1003=G$1, Datos!$G$2:$G1003=G$2, Datos!$A$2:$A1003=$A9)"),7099.862)</f>
        <v>7099.862</v>
      </c>
      <c r="H9" s="20">
        <f>IFERROR(__xludf.DUMMYFUNCTION("FILTER(Datos!$D$2:$D1003, Datos!$F$2:$F1003=H$1, Datos!$G$2:$G1003=H$2, Datos!$A$2:$A1003=$A9)"),5425.7)</f>
        <v>5425.7</v>
      </c>
      <c r="I9" s="21">
        <f>IFERROR(__xludf.DUMMYFUNCTION("FILTER(Datos!$E$2:$E1003, Datos!$F$2:$F1003=I$1, Datos!$G$2:$G1003=I$2, Datos!$A$2:$A1003=$A9)"),7540.659)</f>
        <v>7540.659</v>
      </c>
      <c r="J9" s="20">
        <f>IFERROR(__xludf.DUMMYFUNCTION("FILTER(Datos!$D$2:$D1003, Datos!$F$2:$F1003=J$1, Datos!$G$2:$G1003=J$2, Datos!$A$2:$A1003=$A9)"),2069.633)</f>
        <v>2069.633</v>
      </c>
      <c r="K9" s="20">
        <f>IFERROR(__xludf.DUMMYFUNCTION("FILTER(Datos!$E$2:$E1003, Datos!$F$2:$F1003=K$1, Datos!$G$2:$G1003=K$2, Datos!$A$2:$A1003=$A9)"),2974.074)</f>
        <v>2974.074</v>
      </c>
      <c r="L9" s="20">
        <f>IFERROR(__xludf.DUMMYFUNCTION("FILTER(Datos!$D$2:$D1003, Datos!$F$2:$F1003=L$1, Datos!$G$2:$G1003=L$2, Datos!$A$2:$A1003=$A9)"),2961.633)</f>
        <v>2961.633</v>
      </c>
      <c r="M9" s="20">
        <f>IFERROR(__xludf.DUMMYFUNCTION("FILTER(Datos!$E$2:$E1003, Datos!$F$2:$F1003=M$1, Datos!$G$2:$G1003=M$2, Datos!$A$2:$A1003=$A9)"),4234.835)</f>
        <v>4234.835</v>
      </c>
      <c r="N9" s="20">
        <f>IFERROR(__xludf.DUMMYFUNCTION("FILTER(Datos!$D$2:$D1003, Datos!$F$2:$F1003=N$1, Datos!$G$2:$G1003=N$2, Datos!$A$2:$A1003=$A9)"),4832.067)</f>
        <v>4832.067</v>
      </c>
      <c r="O9" s="20">
        <f>IFERROR(__xludf.DUMMYFUNCTION("FILTER(Datos!$E$2:$E1003, Datos!$F$2:$F1003=O$1, Datos!$G$2:$G1003=O$2, Datos!$A$2:$A1003=$A9)"),6856.689)</f>
        <v>6856.689</v>
      </c>
      <c r="P9" s="20">
        <f>IFERROR(__xludf.DUMMYFUNCTION("FILTER(Datos!$D$2:$D1003, Datos!$F$2:$F1003=P$1, Datos!$G$2:$G1003=P$2, Datos!$A$2:$A1003=$A9)"),5264.467)</f>
        <v>5264.467</v>
      </c>
      <c r="Q9" s="21">
        <f>IFERROR(__xludf.DUMMYFUNCTION("FILTER(Datos!$E$2:$E1003, Datos!$F$2:$F1003=Q$1, Datos!$G$2:$G1003=Q$2, Datos!$A$2:$A1003=$A9)"),7326.742)</f>
        <v>7326.742</v>
      </c>
    </row>
    <row r="10">
      <c r="A10" s="18">
        <f t="shared" si="2"/>
        <v>5</v>
      </c>
      <c r="B10" s="19">
        <f>IFERROR(__xludf.DUMMYFUNCTION("FILTER(Datos!$D$2:$D1003, Datos!$F$2:$F1003=B$1, Datos!$G$2:$G1003=B$2, Datos!$A$2:$A1003=$A10)"),2062.933)</f>
        <v>2062.933</v>
      </c>
      <c r="C10" s="20">
        <f>IFERROR(__xludf.DUMMYFUNCTION("FILTER(Datos!$E$2:$E1003, Datos!$F$2:$F1003=C$1, Datos!$G$2:$G1003=C$2, Datos!$A$2:$A1003=$A10)"),3121.773)</f>
        <v>3121.773</v>
      </c>
      <c r="D10" s="20">
        <f>IFERROR(__xludf.DUMMYFUNCTION("FILTER(Datos!$D$2:$D1003, Datos!$F$2:$F1003=D$1, Datos!$G$2:$G1003=D$2, Datos!$A$2:$A1003=$A10)"),2990.067)</f>
        <v>2990.067</v>
      </c>
      <c r="E10" s="20">
        <f>IFERROR(__xludf.DUMMYFUNCTION("FILTER(Datos!$E$2:$E1003, Datos!$F$2:$F1003=E$1, Datos!$G$2:$G1003=E$2, Datos!$A$2:$A1003=$A10)"),4492.005)</f>
        <v>4492.005</v>
      </c>
      <c r="F10" s="20">
        <f>IFERROR(__xludf.DUMMYFUNCTION("FILTER(Datos!$D$2:$D1003, Datos!$F$2:$F1003=F$1, Datos!$G$2:$G1003=F$2, Datos!$A$2:$A1003=$A10)"),4856.9)</f>
        <v>4856.9</v>
      </c>
      <c r="G10" s="20">
        <f>IFERROR(__xludf.DUMMYFUNCTION("FILTER(Datos!$E$2:$E1003, Datos!$F$2:$F1003=G$1, Datos!$G$2:$G1003=G$2, Datos!$A$2:$A1003=$A10)"),7111.533)</f>
        <v>7111.533</v>
      </c>
      <c r="H10" s="20">
        <f>IFERROR(__xludf.DUMMYFUNCTION("FILTER(Datos!$D$2:$D1003, Datos!$F$2:$F1003=H$1, Datos!$G$2:$G1003=H$2, Datos!$A$2:$A1003=$A10)"),5400.267)</f>
        <v>5400.267</v>
      </c>
      <c r="I10" s="21">
        <f>IFERROR(__xludf.DUMMYFUNCTION("FILTER(Datos!$E$2:$E1003, Datos!$F$2:$F1003=I$1, Datos!$G$2:$G1003=I$2, Datos!$A$2:$A1003=$A10)"),7531.881)</f>
        <v>7531.881</v>
      </c>
      <c r="J10" s="20">
        <f>IFERROR(__xludf.DUMMYFUNCTION("FILTER(Datos!$D$2:$D1003, Datos!$F$2:$F1003=J$1, Datos!$G$2:$G1003=J$2, Datos!$A$2:$A1003=$A10)"),2045.367)</f>
        <v>2045.367</v>
      </c>
      <c r="K10" s="20">
        <f>IFERROR(__xludf.DUMMYFUNCTION("FILTER(Datos!$E$2:$E1003, Datos!$F$2:$F1003=K$1, Datos!$G$2:$G1003=K$2, Datos!$A$2:$A1003=$A10)"),2893.993)</f>
        <v>2893.993</v>
      </c>
      <c r="L10" s="20">
        <f>IFERROR(__xludf.DUMMYFUNCTION("FILTER(Datos!$D$2:$D1003, Datos!$F$2:$F1003=L$1, Datos!$G$2:$G1003=L$2, Datos!$A$2:$A1003=$A10)"),2899.233)</f>
        <v>2899.233</v>
      </c>
      <c r="M10" s="20">
        <f>IFERROR(__xludf.DUMMYFUNCTION("FILTER(Datos!$E$2:$E1003, Datos!$F$2:$F1003=M$1, Datos!$G$2:$G1003=M$2, Datos!$A$2:$A1003=$A10)"),4169.747)</f>
        <v>4169.747</v>
      </c>
      <c r="N10" s="20">
        <f>IFERROR(__xludf.DUMMYFUNCTION("FILTER(Datos!$D$2:$D1003, Datos!$F$2:$F1003=N$1, Datos!$G$2:$G1003=N$2, Datos!$A$2:$A1003=$A10)"),4767.5)</f>
        <v>4767.5</v>
      </c>
      <c r="O10" s="20">
        <f>IFERROR(__xludf.DUMMYFUNCTION("FILTER(Datos!$E$2:$E1003, Datos!$F$2:$F1003=O$1, Datos!$G$2:$G1003=O$2, Datos!$A$2:$A1003=$A10)"),6807.436)</f>
        <v>6807.436</v>
      </c>
      <c r="P10" s="20">
        <f>IFERROR(__xludf.DUMMYFUNCTION("FILTER(Datos!$D$2:$D1003, Datos!$F$2:$F1003=P$1, Datos!$G$2:$G1003=P$2, Datos!$A$2:$A1003=$A10)"),5196.6)</f>
        <v>5196.6</v>
      </c>
      <c r="Q10" s="21">
        <f>IFERROR(__xludf.DUMMYFUNCTION("FILTER(Datos!$E$2:$E1003, Datos!$F$2:$F1003=Q$1, Datos!$G$2:$G1003=Q$2, Datos!$A$2:$A1003=$A10)"),7298.611)</f>
        <v>7298.611</v>
      </c>
    </row>
    <row r="11">
      <c r="A11" s="18">
        <f t="shared" si="2"/>
        <v>6</v>
      </c>
      <c r="B11" s="19">
        <f>IFERROR(__xludf.DUMMYFUNCTION("FILTER(Datos!$D$2:$D1003, Datos!$F$2:$F1003=B$1, Datos!$G$2:$G1003=B$2, Datos!$A$2:$A1003=$A11)"),2038.067)</f>
        <v>2038.067</v>
      </c>
      <c r="C11" s="20">
        <f>IFERROR(__xludf.DUMMYFUNCTION("FILTER(Datos!$E$2:$E1003, Datos!$F$2:$F1003=C$1, Datos!$G$2:$G1003=C$2, Datos!$A$2:$A1003=$A11)"),3023.282)</f>
        <v>3023.282</v>
      </c>
      <c r="D11" s="20">
        <f>IFERROR(__xludf.DUMMYFUNCTION("FILTER(Datos!$D$2:$D1003, Datos!$F$2:$F1003=D$1, Datos!$G$2:$G1003=D$2, Datos!$A$2:$A1003=$A11)"),2968.867)</f>
        <v>2968.867</v>
      </c>
      <c r="E11" s="20">
        <f>IFERROR(__xludf.DUMMYFUNCTION("FILTER(Datos!$E$2:$E1003, Datos!$F$2:$F1003=E$1, Datos!$G$2:$G1003=E$2, Datos!$A$2:$A1003=$A11)"),4462.72)</f>
        <v>4462.72</v>
      </c>
      <c r="F11" s="20">
        <f>IFERROR(__xludf.DUMMYFUNCTION("FILTER(Datos!$D$2:$D1003, Datos!$F$2:$F1003=F$1, Datos!$G$2:$G1003=F$2, Datos!$A$2:$A1003=$A11)"),4827.433)</f>
        <v>4827.433</v>
      </c>
      <c r="G11" s="20">
        <f>IFERROR(__xludf.DUMMYFUNCTION("FILTER(Datos!$E$2:$E1003, Datos!$F$2:$F1003=G$1, Datos!$G$2:$G1003=G$2, Datos!$A$2:$A1003=$A11)"),7084.814)</f>
        <v>7084.814</v>
      </c>
      <c r="H11" s="20">
        <f>IFERROR(__xludf.DUMMYFUNCTION("FILTER(Datos!$D$2:$D1003, Datos!$F$2:$F1003=H$1, Datos!$G$2:$G1003=H$2, Datos!$A$2:$A1003=$A11)"),5379.567)</f>
        <v>5379.567</v>
      </c>
      <c r="I11" s="21">
        <f>IFERROR(__xludf.DUMMYFUNCTION("FILTER(Datos!$E$2:$E1003, Datos!$F$2:$F1003=I$1, Datos!$G$2:$G1003=I$2, Datos!$A$2:$A1003=$A11)"),7543.175)</f>
        <v>7543.175</v>
      </c>
      <c r="J11" s="20">
        <f>IFERROR(__xludf.DUMMYFUNCTION("FILTER(Datos!$D$2:$D1003, Datos!$F$2:$F1003=J$1, Datos!$G$2:$G1003=J$2, Datos!$A$2:$A1003=$A11)"),2018.733)</f>
        <v>2018.733</v>
      </c>
      <c r="K11" s="20">
        <f>IFERROR(__xludf.DUMMYFUNCTION("FILTER(Datos!$E$2:$E1003, Datos!$F$2:$F1003=K$1, Datos!$G$2:$G1003=K$2, Datos!$A$2:$A1003=$A11)"),2831.844)</f>
        <v>2831.844</v>
      </c>
      <c r="L11" s="20">
        <f>IFERROR(__xludf.DUMMYFUNCTION("FILTER(Datos!$D$2:$D1003, Datos!$F$2:$F1003=L$1, Datos!$G$2:$G1003=L$2, Datos!$A$2:$A1003=$A11)"),2832.767)</f>
        <v>2832.767</v>
      </c>
      <c r="M11" s="20">
        <f>IFERROR(__xludf.DUMMYFUNCTION("FILTER(Datos!$E$2:$E1003, Datos!$F$2:$F1003=M$1, Datos!$G$2:$G1003=M$2, Datos!$A$2:$A1003=$A11)"),4105.477)</f>
        <v>4105.477</v>
      </c>
      <c r="N11" s="20">
        <f>IFERROR(__xludf.DUMMYFUNCTION("FILTER(Datos!$D$2:$D1003, Datos!$F$2:$F1003=N$1, Datos!$G$2:$G1003=N$2, Datos!$A$2:$A1003=$A11)"),4714.933)</f>
        <v>4714.933</v>
      </c>
      <c r="O11" s="20">
        <f>IFERROR(__xludf.DUMMYFUNCTION("FILTER(Datos!$E$2:$E1003, Datos!$F$2:$F1003=O$1, Datos!$G$2:$G1003=O$2, Datos!$A$2:$A1003=$A11)"),6774.624)</f>
        <v>6774.624</v>
      </c>
      <c r="P11" s="20">
        <f>IFERROR(__xludf.DUMMYFUNCTION("FILTER(Datos!$D$2:$D1003, Datos!$F$2:$F1003=P$1, Datos!$G$2:$G1003=P$2, Datos!$A$2:$A1003=$A11)"),5120.567)</f>
        <v>5120.567</v>
      </c>
      <c r="Q11" s="21">
        <f>IFERROR(__xludf.DUMMYFUNCTION("FILTER(Datos!$E$2:$E1003, Datos!$F$2:$F1003=Q$1, Datos!$G$2:$G1003=Q$2, Datos!$A$2:$A1003=$A11)"),7269.042)</f>
        <v>7269.042</v>
      </c>
    </row>
    <row r="12">
      <c r="A12" s="18">
        <f t="shared" si="2"/>
        <v>7</v>
      </c>
      <c r="B12" s="19">
        <f>IFERROR(__xludf.DUMMYFUNCTION("FILTER(Datos!$D$2:$D1003, Datos!$F$2:$F1003=B$1, Datos!$G$2:$G1003=B$2, Datos!$A$2:$A1003=$A12)"),2028.5)</f>
        <v>2028.5</v>
      </c>
      <c r="C12" s="20">
        <f>IFERROR(__xludf.DUMMYFUNCTION("FILTER(Datos!$E$2:$E1003, Datos!$F$2:$F1003=C$1, Datos!$G$2:$G1003=C$2, Datos!$A$2:$A1003=$A12)"),2904.913)</f>
        <v>2904.913</v>
      </c>
      <c r="D12" s="20">
        <f>IFERROR(__xludf.DUMMYFUNCTION("FILTER(Datos!$D$2:$D1003, Datos!$F$2:$F1003=D$1, Datos!$G$2:$G1003=D$2, Datos!$A$2:$A1003=$A12)"),2944.267)</f>
        <v>2944.267</v>
      </c>
      <c r="E12" s="20">
        <f>IFERROR(__xludf.DUMMYFUNCTION("FILTER(Datos!$E$2:$E1003, Datos!$F$2:$F1003=E$1, Datos!$G$2:$G1003=E$2, Datos!$A$2:$A1003=$A12)"),4443.056)</f>
        <v>4443.056</v>
      </c>
      <c r="F12" s="20">
        <f>IFERROR(__xludf.DUMMYFUNCTION("FILTER(Datos!$D$2:$D1003, Datos!$F$2:$F1003=F$1, Datos!$G$2:$G1003=F$2, Datos!$A$2:$A1003=$A12)"),4777.9)</f>
        <v>4777.9</v>
      </c>
      <c r="G12" s="20">
        <f>IFERROR(__xludf.DUMMYFUNCTION("FILTER(Datos!$E$2:$E1003, Datos!$F$2:$F1003=G$1, Datos!$G$2:$G1003=G$2, Datos!$A$2:$A1003=$A12)"),7070.145)</f>
        <v>7070.145</v>
      </c>
      <c r="H12" s="20">
        <f>IFERROR(__xludf.DUMMYFUNCTION("FILTER(Datos!$D$2:$D1003, Datos!$F$2:$F1003=H$1, Datos!$G$2:$G1003=H$2, Datos!$A$2:$A1003=$A12)"),5333.467)</f>
        <v>5333.467</v>
      </c>
      <c r="I12" s="21">
        <f>IFERROR(__xludf.DUMMYFUNCTION("FILTER(Datos!$E$2:$E1003, Datos!$F$2:$F1003=I$1, Datos!$G$2:$G1003=I$2, Datos!$A$2:$A1003=$A12)"),7519.254)</f>
        <v>7519.254</v>
      </c>
      <c r="J12" s="20">
        <f>IFERROR(__xludf.DUMMYFUNCTION("FILTER(Datos!$D$2:$D1003, Datos!$F$2:$F1003=J$1, Datos!$G$2:$G1003=J$2, Datos!$A$2:$A1003=$A12)"),2003.9)</f>
        <v>2003.9</v>
      </c>
      <c r="K12" s="20">
        <f>IFERROR(__xludf.DUMMYFUNCTION("FILTER(Datos!$E$2:$E1003, Datos!$F$2:$F1003=K$1, Datos!$G$2:$G1003=K$2, Datos!$A$2:$A1003=$A12)"),2778.2)</f>
        <v>2778.2</v>
      </c>
      <c r="L12" s="20">
        <f>IFERROR(__xludf.DUMMYFUNCTION("FILTER(Datos!$D$2:$D1003, Datos!$F$2:$F1003=L$1, Datos!$G$2:$G1003=L$2, Datos!$A$2:$A1003=$A12)"),2777.233)</f>
        <v>2777.233</v>
      </c>
      <c r="M12" s="20">
        <f>IFERROR(__xludf.DUMMYFUNCTION("FILTER(Datos!$E$2:$E1003, Datos!$F$2:$F1003=M$1, Datos!$G$2:$G1003=M$2, Datos!$A$2:$A1003=$A12)"),4034.64)</f>
        <v>4034.64</v>
      </c>
      <c r="N12" s="20">
        <f>IFERROR(__xludf.DUMMYFUNCTION("FILTER(Datos!$D$2:$D1003, Datos!$F$2:$F1003=N$1, Datos!$G$2:$G1003=N$2, Datos!$A$2:$A1003=$A12)"),4661.6)</f>
        <v>4661.6</v>
      </c>
      <c r="O12" s="20">
        <f>IFERROR(__xludf.DUMMYFUNCTION("FILTER(Datos!$E$2:$E1003, Datos!$F$2:$F1003=O$1, Datos!$G$2:$G1003=O$2, Datos!$A$2:$A1003=$A12)"),6727.69)</f>
        <v>6727.69</v>
      </c>
      <c r="P12" s="20">
        <f>IFERROR(__xludf.DUMMYFUNCTION("FILTER(Datos!$D$2:$D1003, Datos!$F$2:$F1003=P$1, Datos!$G$2:$G1003=P$2, Datos!$A$2:$A1003=$A12)"),5072.533)</f>
        <v>5072.533</v>
      </c>
      <c r="Q12" s="21">
        <f>IFERROR(__xludf.DUMMYFUNCTION("FILTER(Datos!$E$2:$E1003, Datos!$F$2:$F1003=Q$1, Datos!$G$2:$G1003=Q$2, Datos!$A$2:$A1003=$A12)"),7233.228)</f>
        <v>7233.228</v>
      </c>
    </row>
    <row r="13">
      <c r="A13" s="18">
        <f t="shared" si="2"/>
        <v>8</v>
      </c>
      <c r="B13" s="19">
        <f>IFERROR(__xludf.DUMMYFUNCTION("FILTER(Datos!$D$2:$D1003, Datos!$F$2:$F1003=B$1, Datos!$G$2:$G1003=B$2, Datos!$A$2:$A1003=$A13)"),2005.833)</f>
        <v>2005.833</v>
      </c>
      <c r="C13" s="20">
        <f>IFERROR(__xludf.DUMMYFUNCTION("FILTER(Datos!$E$2:$E1003, Datos!$F$2:$F1003=C$1, Datos!$G$2:$G1003=C$2, Datos!$A$2:$A1003=$A13)"),2800.412)</f>
        <v>2800.412</v>
      </c>
      <c r="D13" s="20">
        <f>IFERROR(__xludf.DUMMYFUNCTION("FILTER(Datos!$D$2:$D1003, Datos!$F$2:$F1003=D$1, Datos!$G$2:$G1003=D$2, Datos!$A$2:$A1003=$A13)"),2925.233)</f>
        <v>2925.233</v>
      </c>
      <c r="E13" s="20">
        <f>IFERROR(__xludf.DUMMYFUNCTION("FILTER(Datos!$E$2:$E1003, Datos!$F$2:$F1003=E$1, Datos!$G$2:$G1003=E$2, Datos!$A$2:$A1003=$A13)"),4436.912)</f>
        <v>4436.912</v>
      </c>
      <c r="F13" s="20">
        <f>IFERROR(__xludf.DUMMYFUNCTION("FILTER(Datos!$D$2:$D1003, Datos!$F$2:$F1003=F$1, Datos!$G$2:$G1003=F$2, Datos!$A$2:$A1003=$A13)"),4742.067)</f>
        <v>4742.067</v>
      </c>
      <c r="G13" s="20">
        <f>IFERROR(__xludf.DUMMYFUNCTION("FILTER(Datos!$E$2:$E1003, Datos!$F$2:$F1003=G$1, Datos!$G$2:$G1003=G$2, Datos!$A$2:$A1003=$A13)"),7073.02)</f>
        <v>7073.02</v>
      </c>
      <c r="H13" s="20">
        <f>IFERROR(__xludf.DUMMYFUNCTION("FILTER(Datos!$D$2:$D1003, Datos!$F$2:$F1003=H$1, Datos!$G$2:$G1003=H$2, Datos!$A$2:$A1003=$A13)"),5276.833)</f>
        <v>5276.833</v>
      </c>
      <c r="I13" s="21">
        <f>IFERROR(__xludf.DUMMYFUNCTION("FILTER(Datos!$E$2:$E1003, Datos!$F$2:$F1003=I$1, Datos!$G$2:$G1003=I$2, Datos!$A$2:$A1003=$A13)"),7517.095)</f>
        <v>7517.095</v>
      </c>
      <c r="J13" s="20">
        <f>IFERROR(__xludf.DUMMYFUNCTION("FILTER(Datos!$D$2:$D1003, Datos!$F$2:$F1003=J$1, Datos!$G$2:$G1003=J$2, Datos!$A$2:$A1003=$A13)"),1981.433)</f>
        <v>1981.433</v>
      </c>
      <c r="K13" s="20">
        <f>IFERROR(__xludf.DUMMYFUNCTION("FILTER(Datos!$E$2:$E1003, Datos!$F$2:$F1003=K$1, Datos!$G$2:$G1003=K$2, Datos!$A$2:$A1003=$A13)"),2747.247)</f>
        <v>2747.247</v>
      </c>
      <c r="L13" s="20">
        <f>IFERROR(__xludf.DUMMYFUNCTION("FILTER(Datos!$D$2:$D1003, Datos!$F$2:$F1003=L$1, Datos!$G$2:$G1003=L$2, Datos!$A$2:$A1003=$A13)"),2733.567)</f>
        <v>2733.567</v>
      </c>
      <c r="M13" s="20">
        <f>IFERROR(__xludf.DUMMYFUNCTION("FILTER(Datos!$E$2:$E1003, Datos!$F$2:$F1003=M$1, Datos!$G$2:$G1003=M$2, Datos!$A$2:$A1003=$A13)"),3974.179)</f>
        <v>3974.179</v>
      </c>
      <c r="N13" s="20">
        <f>IFERROR(__xludf.DUMMYFUNCTION("FILTER(Datos!$D$2:$D1003, Datos!$F$2:$F1003=N$1, Datos!$G$2:$G1003=N$2, Datos!$A$2:$A1003=$A13)"),4558.567)</f>
        <v>4558.567</v>
      </c>
      <c r="O13" s="20">
        <f>IFERROR(__xludf.DUMMYFUNCTION("FILTER(Datos!$E$2:$E1003, Datos!$F$2:$F1003=O$1, Datos!$G$2:$G1003=O$2, Datos!$A$2:$A1003=$A13)"),6671.524)</f>
        <v>6671.524</v>
      </c>
      <c r="P13" s="20">
        <f>IFERROR(__xludf.DUMMYFUNCTION("FILTER(Datos!$D$2:$D1003, Datos!$F$2:$F1003=P$1, Datos!$G$2:$G1003=P$2, Datos!$A$2:$A1003=$A13)"),5018.333)</f>
        <v>5018.333</v>
      </c>
      <c r="Q13" s="21">
        <f>IFERROR(__xludf.DUMMYFUNCTION("FILTER(Datos!$E$2:$E1003, Datos!$F$2:$F1003=Q$1, Datos!$G$2:$G1003=Q$2, Datos!$A$2:$A1003=$A13)"),7204.788)</f>
        <v>7204.788</v>
      </c>
    </row>
    <row r="14">
      <c r="A14" s="18">
        <f t="shared" si="2"/>
        <v>9</v>
      </c>
      <c r="B14" s="19">
        <f>IFERROR(__xludf.DUMMYFUNCTION("FILTER(Datos!$D$2:$D1003, Datos!$F$2:$F1003=B$1, Datos!$G$2:$G1003=B$2, Datos!$A$2:$A1003=$A14)"),1994.0)</f>
        <v>1994</v>
      </c>
      <c r="C14" s="20">
        <f>IFERROR(__xludf.DUMMYFUNCTION("FILTER(Datos!$E$2:$E1003, Datos!$F$2:$F1003=C$1, Datos!$G$2:$G1003=C$2, Datos!$A$2:$A1003=$A14)"),2701.894)</f>
        <v>2701.894</v>
      </c>
      <c r="D14" s="20">
        <f>IFERROR(__xludf.DUMMYFUNCTION("FILTER(Datos!$D$2:$D1003, Datos!$F$2:$F1003=D$1, Datos!$G$2:$G1003=D$2, Datos!$A$2:$A1003=$A14)"),2904.133)</f>
        <v>2904.133</v>
      </c>
      <c r="E14" s="20">
        <f>IFERROR(__xludf.DUMMYFUNCTION("FILTER(Datos!$E$2:$E1003, Datos!$F$2:$F1003=E$1, Datos!$G$2:$G1003=E$2, Datos!$A$2:$A1003=$A14)"),4412.089)</f>
        <v>4412.089</v>
      </c>
      <c r="F14" s="20">
        <f>IFERROR(__xludf.DUMMYFUNCTION("FILTER(Datos!$D$2:$D1003, Datos!$F$2:$F1003=F$1, Datos!$G$2:$G1003=F$2, Datos!$A$2:$A1003=$A14)"),4734.233)</f>
        <v>4734.233</v>
      </c>
      <c r="G14" s="20">
        <f>IFERROR(__xludf.DUMMYFUNCTION("FILTER(Datos!$E$2:$E1003, Datos!$F$2:$F1003=G$1, Datos!$G$2:$G1003=G$2, Datos!$A$2:$A1003=$A14)"),7054.842)</f>
        <v>7054.842</v>
      </c>
      <c r="H14" s="20">
        <f>IFERROR(__xludf.DUMMYFUNCTION("FILTER(Datos!$D$2:$D1003, Datos!$F$2:$F1003=H$1, Datos!$G$2:$G1003=H$2, Datos!$A$2:$A1003=$A14)"),5216.233)</f>
        <v>5216.233</v>
      </c>
      <c r="I14" s="21">
        <f>IFERROR(__xludf.DUMMYFUNCTION("FILTER(Datos!$E$2:$E1003, Datos!$F$2:$F1003=I$1, Datos!$G$2:$G1003=I$2, Datos!$A$2:$A1003=$A14)"),7508.623)</f>
        <v>7508.623</v>
      </c>
      <c r="J14" s="20">
        <f>IFERROR(__xludf.DUMMYFUNCTION("FILTER(Datos!$D$2:$D1003, Datos!$F$2:$F1003=J$1, Datos!$G$2:$G1003=J$2, Datos!$A$2:$A1003=$A14)"),1961.567)</f>
        <v>1961.567</v>
      </c>
      <c r="K14" s="20">
        <f>IFERROR(__xludf.DUMMYFUNCTION("FILTER(Datos!$E$2:$E1003, Datos!$F$2:$F1003=K$1, Datos!$G$2:$G1003=K$2, Datos!$A$2:$A1003=$A14)"),2727.241)</f>
        <v>2727.241</v>
      </c>
      <c r="L14" s="20">
        <f>IFERROR(__xludf.DUMMYFUNCTION("FILTER(Datos!$D$2:$D1003, Datos!$F$2:$F1003=L$1, Datos!$G$2:$G1003=L$2, Datos!$A$2:$A1003=$A14)"),2700.233)</f>
        <v>2700.233</v>
      </c>
      <c r="M14" s="20">
        <f>IFERROR(__xludf.DUMMYFUNCTION("FILTER(Datos!$E$2:$E1003, Datos!$F$2:$F1003=M$1, Datos!$G$2:$G1003=M$2, Datos!$A$2:$A1003=$A14)"),3928.036)</f>
        <v>3928.036</v>
      </c>
      <c r="N14" s="20">
        <f>IFERROR(__xludf.DUMMYFUNCTION("FILTER(Datos!$D$2:$D1003, Datos!$F$2:$F1003=N$1, Datos!$G$2:$G1003=N$2, Datos!$A$2:$A1003=$A14)"),4510.767)</f>
        <v>4510.767</v>
      </c>
      <c r="O14" s="20">
        <f>IFERROR(__xludf.DUMMYFUNCTION("FILTER(Datos!$E$2:$E1003, Datos!$F$2:$F1003=O$1, Datos!$G$2:$G1003=O$2, Datos!$A$2:$A1003=$A14)"),6621.632)</f>
        <v>6621.632</v>
      </c>
      <c r="P14" s="20">
        <f>IFERROR(__xludf.DUMMYFUNCTION("FILTER(Datos!$D$2:$D1003, Datos!$F$2:$F1003=P$1, Datos!$G$2:$G1003=P$2, Datos!$A$2:$A1003=$A14)"),4999.933)</f>
        <v>4999.933</v>
      </c>
      <c r="Q14" s="21">
        <f>IFERROR(__xludf.DUMMYFUNCTION("FILTER(Datos!$E$2:$E1003, Datos!$F$2:$F1003=Q$1, Datos!$G$2:$G1003=Q$2, Datos!$A$2:$A1003=$A14)"),7181.025)</f>
        <v>7181.025</v>
      </c>
    </row>
    <row r="15">
      <c r="A15" s="18">
        <f t="shared" si="2"/>
        <v>10</v>
      </c>
      <c r="B15" s="19">
        <f>IFERROR(__xludf.DUMMYFUNCTION("FILTER(Datos!$D$2:$D1003, Datos!$F$2:$F1003=B$1, Datos!$G$2:$G1003=B$2, Datos!$A$2:$A1003=$A15)"),1974.0)</f>
        <v>1974</v>
      </c>
      <c r="C15" s="20">
        <f>IFERROR(__xludf.DUMMYFUNCTION("FILTER(Datos!$E$2:$E1003, Datos!$F$2:$F1003=C$1, Datos!$G$2:$G1003=C$2, Datos!$A$2:$A1003=$A15)"),2612.615)</f>
        <v>2612.615</v>
      </c>
      <c r="D15" s="20">
        <f>IFERROR(__xludf.DUMMYFUNCTION("FILTER(Datos!$D$2:$D1003, Datos!$F$2:$F1003=D$1, Datos!$G$2:$G1003=D$2, Datos!$A$2:$A1003=$A15)"),2889.4)</f>
        <v>2889.4</v>
      </c>
      <c r="E15" s="20">
        <f>IFERROR(__xludf.DUMMYFUNCTION("FILTER(Datos!$E$2:$E1003, Datos!$F$2:$F1003=E$1, Datos!$G$2:$G1003=E$2, Datos!$A$2:$A1003=$A15)"),4390.291)</f>
        <v>4390.291</v>
      </c>
      <c r="F15" s="20">
        <f>IFERROR(__xludf.DUMMYFUNCTION("FILTER(Datos!$D$2:$D1003, Datos!$F$2:$F1003=F$1, Datos!$G$2:$G1003=F$2, Datos!$A$2:$A1003=$A15)"),4707.933)</f>
        <v>4707.933</v>
      </c>
      <c r="G15" s="20">
        <f>IFERROR(__xludf.DUMMYFUNCTION("FILTER(Datos!$E$2:$E1003, Datos!$F$2:$F1003=G$1, Datos!$G$2:$G1003=G$2, Datos!$A$2:$A1003=$A15)"),7045.066)</f>
        <v>7045.066</v>
      </c>
      <c r="H15" s="20">
        <f>IFERROR(__xludf.DUMMYFUNCTION("FILTER(Datos!$D$2:$D1003, Datos!$F$2:$F1003=H$1, Datos!$G$2:$G1003=H$2, Datos!$A$2:$A1003=$A15)"),5196.5)</f>
        <v>5196.5</v>
      </c>
      <c r="I15" s="21">
        <f>IFERROR(__xludf.DUMMYFUNCTION("FILTER(Datos!$E$2:$E1003, Datos!$F$2:$F1003=I$1, Datos!$G$2:$G1003=I$2, Datos!$A$2:$A1003=$A15)"),7503.453)</f>
        <v>7503.453</v>
      </c>
      <c r="J15" s="20">
        <f>IFERROR(__xludf.DUMMYFUNCTION("FILTER(Datos!$D$2:$D1003, Datos!$F$2:$F1003=J$1, Datos!$G$2:$G1003=J$2, Datos!$A$2:$A1003=$A15)"),1951.767)</f>
        <v>1951.767</v>
      </c>
      <c r="K15" s="20">
        <f>IFERROR(__xludf.DUMMYFUNCTION("FILTER(Datos!$E$2:$E1003, Datos!$F$2:$F1003=K$1, Datos!$G$2:$G1003=K$2, Datos!$A$2:$A1003=$A15)"),2692.206)</f>
        <v>2692.206</v>
      </c>
      <c r="L15" s="20">
        <f>IFERROR(__xludf.DUMMYFUNCTION("FILTER(Datos!$D$2:$D1003, Datos!$F$2:$F1003=L$1, Datos!$G$2:$G1003=L$2, Datos!$A$2:$A1003=$A15)"),2671.2)</f>
        <v>2671.2</v>
      </c>
      <c r="M15" s="20">
        <f>IFERROR(__xludf.DUMMYFUNCTION("FILTER(Datos!$E$2:$E1003, Datos!$F$2:$F1003=M$1, Datos!$G$2:$G1003=M$2, Datos!$A$2:$A1003=$A15)"),3866.975)</f>
        <v>3866.975</v>
      </c>
      <c r="N15" s="20">
        <f>IFERROR(__xludf.DUMMYFUNCTION("FILTER(Datos!$D$2:$D1003, Datos!$F$2:$F1003=N$1, Datos!$G$2:$G1003=N$2, Datos!$A$2:$A1003=$A15)"),4437.167)</f>
        <v>4437.167</v>
      </c>
      <c r="O15" s="20">
        <f>IFERROR(__xludf.DUMMYFUNCTION("FILTER(Datos!$E$2:$E1003, Datos!$F$2:$F1003=O$1, Datos!$G$2:$G1003=O$2, Datos!$A$2:$A1003=$A15)"),6595.992)</f>
        <v>6595.992</v>
      </c>
      <c r="P15" s="20">
        <f>IFERROR(__xludf.DUMMYFUNCTION("FILTER(Datos!$D$2:$D1003, Datos!$F$2:$F1003=P$1, Datos!$G$2:$G1003=P$2, Datos!$A$2:$A1003=$A15)"),4955.733)</f>
        <v>4955.733</v>
      </c>
      <c r="Q15" s="21">
        <f>IFERROR(__xludf.DUMMYFUNCTION("FILTER(Datos!$E$2:$E1003, Datos!$F$2:$F1003=Q$1, Datos!$G$2:$G1003=Q$2, Datos!$A$2:$A1003=$A15)"),7146.43)</f>
        <v>7146.43</v>
      </c>
    </row>
    <row r="16">
      <c r="A16" s="18">
        <f t="shared" si="2"/>
        <v>11</v>
      </c>
      <c r="B16" s="19">
        <f>IFERROR(__xludf.DUMMYFUNCTION("FILTER(Datos!$D$2:$D1003, Datos!$F$2:$F1003=B$1, Datos!$G$2:$G1003=B$2, Datos!$A$2:$A1003=$A16)"),1955.533)</f>
        <v>1955.533</v>
      </c>
      <c r="C16" s="20">
        <f>IFERROR(__xludf.DUMMYFUNCTION("FILTER(Datos!$E$2:$E1003, Datos!$F$2:$F1003=C$1, Datos!$G$2:$G1003=C$2, Datos!$A$2:$A1003=$A16)"),2534.055)</f>
        <v>2534.055</v>
      </c>
      <c r="D16" s="20">
        <f>IFERROR(__xludf.DUMMYFUNCTION("FILTER(Datos!$D$2:$D1003, Datos!$F$2:$F1003=D$1, Datos!$G$2:$G1003=D$2, Datos!$A$2:$A1003=$A16)"),2856.967)</f>
        <v>2856.967</v>
      </c>
      <c r="E16" s="20">
        <f>IFERROR(__xludf.DUMMYFUNCTION("FILTER(Datos!$E$2:$E1003, Datos!$F$2:$F1003=E$1, Datos!$G$2:$G1003=E$2, Datos!$A$2:$A1003=$A16)"),4367.695)</f>
        <v>4367.695</v>
      </c>
      <c r="F16" s="20">
        <f>IFERROR(__xludf.DUMMYFUNCTION("FILTER(Datos!$D$2:$D1003, Datos!$F$2:$F1003=F$1, Datos!$G$2:$G1003=F$2, Datos!$A$2:$A1003=$A16)"),4686.6)</f>
        <v>4686.6</v>
      </c>
      <c r="G16" s="20">
        <f>IFERROR(__xludf.DUMMYFUNCTION("FILTER(Datos!$E$2:$E1003, Datos!$F$2:$F1003=G$1, Datos!$G$2:$G1003=G$2, Datos!$A$2:$A1003=$A16)"),7035.63)</f>
        <v>7035.63</v>
      </c>
      <c r="H16" s="20">
        <f>IFERROR(__xludf.DUMMYFUNCTION("FILTER(Datos!$D$2:$D1003, Datos!$F$2:$F1003=H$1, Datos!$G$2:$G1003=H$2, Datos!$A$2:$A1003=$A16)"),5182.167)</f>
        <v>5182.167</v>
      </c>
      <c r="I16" s="21">
        <f>IFERROR(__xludf.DUMMYFUNCTION("FILTER(Datos!$E$2:$E1003, Datos!$F$2:$F1003=I$1, Datos!$G$2:$G1003=I$2, Datos!$A$2:$A1003=$A16)"),7501.947)</f>
        <v>7501.947</v>
      </c>
      <c r="J16" s="20">
        <f>IFERROR(__xludf.DUMMYFUNCTION("FILTER(Datos!$D$2:$D1003, Datos!$F$2:$F1003=J$1, Datos!$G$2:$G1003=J$2, Datos!$A$2:$A1003=$A16)"),1933.367)</f>
        <v>1933.367</v>
      </c>
      <c r="K16" s="20">
        <f>IFERROR(__xludf.DUMMYFUNCTION("FILTER(Datos!$E$2:$E1003, Datos!$F$2:$F1003=K$1, Datos!$G$2:$G1003=K$2, Datos!$A$2:$A1003=$A16)"),2662.529)</f>
        <v>2662.529</v>
      </c>
      <c r="L16" s="20">
        <f>IFERROR(__xludf.DUMMYFUNCTION("FILTER(Datos!$D$2:$D1003, Datos!$F$2:$F1003=L$1, Datos!$G$2:$G1003=L$2, Datos!$A$2:$A1003=$A16)"),2622.333)</f>
        <v>2622.333</v>
      </c>
      <c r="M16" s="20">
        <f>IFERROR(__xludf.DUMMYFUNCTION("FILTER(Datos!$E$2:$E1003, Datos!$F$2:$F1003=M$1, Datos!$G$2:$G1003=M$2, Datos!$A$2:$A1003=$A16)"),3806.97)</f>
        <v>3806.97</v>
      </c>
      <c r="N16" s="20">
        <f>IFERROR(__xludf.DUMMYFUNCTION("FILTER(Datos!$D$2:$D1003, Datos!$F$2:$F1003=N$1, Datos!$G$2:$G1003=N$2, Datos!$A$2:$A1003=$A16)"),4395.4)</f>
        <v>4395.4</v>
      </c>
      <c r="O16" s="20">
        <f>IFERROR(__xludf.DUMMYFUNCTION("FILTER(Datos!$E$2:$E1003, Datos!$F$2:$F1003=O$1, Datos!$G$2:$G1003=O$2, Datos!$A$2:$A1003=$A16)"),6559.379)</f>
        <v>6559.379</v>
      </c>
      <c r="P16" s="20">
        <f>IFERROR(__xludf.DUMMYFUNCTION("FILTER(Datos!$D$2:$D1003, Datos!$F$2:$F1003=P$1, Datos!$G$2:$G1003=P$2, Datos!$A$2:$A1003=$A16)"),4933.833)</f>
        <v>4933.833</v>
      </c>
      <c r="Q16" s="21">
        <f>IFERROR(__xludf.DUMMYFUNCTION("FILTER(Datos!$E$2:$E1003, Datos!$F$2:$F1003=Q$1, Datos!$G$2:$G1003=Q$2, Datos!$A$2:$A1003=$A16)"),7133.153)</f>
        <v>7133.153</v>
      </c>
    </row>
    <row r="17">
      <c r="A17" s="18">
        <f t="shared" si="2"/>
        <v>12</v>
      </c>
      <c r="B17" s="19">
        <f>IFERROR(__xludf.DUMMYFUNCTION("FILTER(Datos!$D$2:$D1003, Datos!$F$2:$F1003=B$1, Datos!$G$2:$G1003=B$2, Datos!$A$2:$A1003=$A17)"),1943.967)</f>
        <v>1943.967</v>
      </c>
      <c r="C17" s="20">
        <f>IFERROR(__xludf.DUMMYFUNCTION("FILTER(Datos!$E$2:$E1003, Datos!$F$2:$F1003=C$1, Datos!$G$2:$G1003=C$2, Datos!$A$2:$A1003=$A17)"),2455.817)</f>
        <v>2455.817</v>
      </c>
      <c r="D17" s="20">
        <f>IFERROR(__xludf.DUMMYFUNCTION("FILTER(Datos!$D$2:$D1003, Datos!$F$2:$F1003=D$1, Datos!$G$2:$G1003=D$2, Datos!$A$2:$A1003=$A17)"),2818.333)</f>
        <v>2818.333</v>
      </c>
      <c r="E17" s="20">
        <f>IFERROR(__xludf.DUMMYFUNCTION("FILTER(Datos!$E$2:$E1003, Datos!$F$2:$F1003=E$1, Datos!$G$2:$G1003=E$2, Datos!$A$2:$A1003=$A17)"),4333.346)</f>
        <v>4333.346</v>
      </c>
      <c r="F17" s="20">
        <f>IFERROR(__xludf.DUMMYFUNCTION("FILTER(Datos!$D$2:$D1003, Datos!$F$2:$F1003=F$1, Datos!$G$2:$G1003=F$2, Datos!$A$2:$A1003=$A17)"),4637.3)</f>
        <v>4637.3</v>
      </c>
      <c r="G17" s="20">
        <f>IFERROR(__xludf.DUMMYFUNCTION("FILTER(Datos!$E$2:$E1003, Datos!$F$2:$F1003=G$1, Datos!$G$2:$G1003=G$2, Datos!$A$2:$A1003=$A17)"),7025.97)</f>
        <v>7025.97</v>
      </c>
      <c r="H17" s="20">
        <f>IFERROR(__xludf.DUMMYFUNCTION("FILTER(Datos!$D$2:$D1003, Datos!$F$2:$F1003=H$1, Datos!$G$2:$G1003=H$2, Datos!$A$2:$A1003=$A17)"),5158.5)</f>
        <v>5158.5</v>
      </c>
      <c r="I17" s="21">
        <f>IFERROR(__xludf.DUMMYFUNCTION("FILTER(Datos!$E$2:$E1003, Datos!$F$2:$F1003=I$1, Datos!$G$2:$G1003=I$2, Datos!$A$2:$A1003=$A17)"),7504.516)</f>
        <v>7504.516</v>
      </c>
      <c r="J17" s="20">
        <f>IFERROR(__xludf.DUMMYFUNCTION("FILTER(Datos!$D$2:$D1003, Datos!$F$2:$F1003=J$1, Datos!$G$2:$G1003=J$2, Datos!$A$2:$A1003=$A17)"),1917.167)</f>
        <v>1917.167</v>
      </c>
      <c r="K17" s="20">
        <f>IFERROR(__xludf.DUMMYFUNCTION("FILTER(Datos!$E$2:$E1003, Datos!$F$2:$F1003=K$1, Datos!$G$2:$G1003=K$2, Datos!$A$2:$A1003=$A17)"),2644.54)</f>
        <v>2644.54</v>
      </c>
      <c r="L17" s="20">
        <f>IFERROR(__xludf.DUMMYFUNCTION("FILTER(Datos!$D$2:$D1003, Datos!$F$2:$F1003=L$1, Datos!$G$2:$G1003=L$2, Datos!$A$2:$A1003=$A17)"),2582.667)</f>
        <v>2582.667</v>
      </c>
      <c r="M17" s="20">
        <f>IFERROR(__xludf.DUMMYFUNCTION("FILTER(Datos!$E$2:$E1003, Datos!$F$2:$F1003=M$1, Datos!$G$2:$G1003=M$2, Datos!$A$2:$A1003=$A17)"),3767.476)</f>
        <v>3767.476</v>
      </c>
      <c r="N17" s="20">
        <f>IFERROR(__xludf.DUMMYFUNCTION("FILTER(Datos!$D$2:$D1003, Datos!$F$2:$F1003=N$1, Datos!$G$2:$G1003=N$2, Datos!$A$2:$A1003=$A17)"),4339.0)</f>
        <v>4339</v>
      </c>
      <c r="O17" s="20">
        <f>IFERROR(__xludf.DUMMYFUNCTION("FILTER(Datos!$E$2:$E1003, Datos!$F$2:$F1003=O$1, Datos!$G$2:$G1003=O$2, Datos!$A$2:$A1003=$A17)"),6553.908)</f>
        <v>6553.908</v>
      </c>
      <c r="P17" s="20">
        <f>IFERROR(__xludf.DUMMYFUNCTION("FILTER(Datos!$D$2:$D1003, Datos!$F$2:$F1003=P$1, Datos!$G$2:$G1003=P$2, Datos!$A$2:$A1003=$A17)"),4872.833)</f>
        <v>4872.833</v>
      </c>
      <c r="Q17" s="21">
        <f>IFERROR(__xludf.DUMMYFUNCTION("FILTER(Datos!$E$2:$E1003, Datos!$F$2:$F1003=Q$1, Datos!$G$2:$G1003=Q$2, Datos!$A$2:$A1003=$A17)"),7109.749)</f>
        <v>7109.749</v>
      </c>
    </row>
    <row r="18">
      <c r="A18" s="18">
        <f t="shared" si="2"/>
        <v>13</v>
      </c>
      <c r="B18" s="19">
        <f>IFERROR(__xludf.DUMMYFUNCTION("FILTER(Datos!$D$2:$D1003, Datos!$F$2:$F1003=B$1, Datos!$G$2:$G1003=B$2, Datos!$A$2:$A1003=$A18)"),1938.767)</f>
        <v>1938.767</v>
      </c>
      <c r="C18" s="20">
        <f>IFERROR(__xludf.DUMMYFUNCTION("FILTER(Datos!$E$2:$E1003, Datos!$F$2:$F1003=C$1, Datos!$G$2:$G1003=C$2, Datos!$A$2:$A1003=$A18)"),2399.783)</f>
        <v>2399.783</v>
      </c>
      <c r="D18" s="20">
        <f>IFERROR(__xludf.DUMMYFUNCTION("FILTER(Datos!$D$2:$D1003, Datos!$F$2:$F1003=D$1, Datos!$G$2:$G1003=D$2, Datos!$A$2:$A1003=$A18)"),2802.9)</f>
        <v>2802.9</v>
      </c>
      <c r="E18" s="20">
        <f>IFERROR(__xludf.DUMMYFUNCTION("FILTER(Datos!$E$2:$E1003, Datos!$F$2:$F1003=E$1, Datos!$G$2:$G1003=E$2, Datos!$A$2:$A1003=$A18)"),4306.558)</f>
        <v>4306.558</v>
      </c>
      <c r="F18" s="20">
        <f>IFERROR(__xludf.DUMMYFUNCTION("FILTER(Datos!$D$2:$D1003, Datos!$F$2:$F1003=F$1, Datos!$G$2:$G1003=F$2, Datos!$A$2:$A1003=$A18)"),4626.5)</f>
        <v>4626.5</v>
      </c>
      <c r="G18" s="20">
        <f>IFERROR(__xludf.DUMMYFUNCTION("FILTER(Datos!$E$2:$E1003, Datos!$F$2:$F1003=G$1, Datos!$G$2:$G1003=G$2, Datos!$A$2:$A1003=$A18)"),7019.915)</f>
        <v>7019.915</v>
      </c>
      <c r="H18" s="20">
        <f>IFERROR(__xludf.DUMMYFUNCTION("FILTER(Datos!$D$2:$D1003, Datos!$F$2:$F1003=H$1, Datos!$G$2:$G1003=H$2, Datos!$A$2:$A1003=$A18)"),5123.067)</f>
        <v>5123.067</v>
      </c>
      <c r="I18" s="21">
        <f>IFERROR(__xludf.DUMMYFUNCTION("FILTER(Datos!$E$2:$E1003, Datos!$F$2:$F1003=I$1, Datos!$G$2:$G1003=I$2, Datos!$A$2:$A1003=$A18)"),7488.251)</f>
        <v>7488.251</v>
      </c>
      <c r="J18" s="20">
        <f>IFERROR(__xludf.DUMMYFUNCTION("FILTER(Datos!$D$2:$D1003, Datos!$F$2:$F1003=J$1, Datos!$G$2:$G1003=J$2, Datos!$A$2:$A1003=$A18)"),1900.6)</f>
        <v>1900.6</v>
      </c>
      <c r="K18" s="20">
        <f>IFERROR(__xludf.DUMMYFUNCTION("FILTER(Datos!$E$2:$E1003, Datos!$F$2:$F1003=K$1, Datos!$G$2:$G1003=K$2, Datos!$A$2:$A1003=$A18)"),2621.226)</f>
        <v>2621.226</v>
      </c>
      <c r="L18" s="20">
        <f>IFERROR(__xludf.DUMMYFUNCTION("FILTER(Datos!$D$2:$D1003, Datos!$F$2:$F1003=L$1, Datos!$G$2:$G1003=L$2, Datos!$A$2:$A1003=$A18)"),2563.267)</f>
        <v>2563.267</v>
      </c>
      <c r="M18" s="20">
        <f>IFERROR(__xludf.DUMMYFUNCTION("FILTER(Datos!$E$2:$E1003, Datos!$F$2:$F1003=M$1, Datos!$G$2:$G1003=M$2, Datos!$A$2:$A1003=$A18)"),3727.724)</f>
        <v>3727.724</v>
      </c>
      <c r="N18" s="20">
        <f>IFERROR(__xludf.DUMMYFUNCTION("FILTER(Datos!$D$2:$D1003, Datos!$F$2:$F1003=N$1, Datos!$G$2:$G1003=N$2, Datos!$A$2:$A1003=$A18)"),4313.667)</f>
        <v>4313.667</v>
      </c>
      <c r="O18" s="20">
        <f>IFERROR(__xludf.DUMMYFUNCTION("FILTER(Datos!$E$2:$E1003, Datos!$F$2:$F1003=O$1, Datos!$G$2:$G1003=O$2, Datos!$A$2:$A1003=$A18)"),6502.012)</f>
        <v>6502.012</v>
      </c>
      <c r="P18" s="20">
        <f>IFERROR(__xludf.DUMMYFUNCTION("FILTER(Datos!$D$2:$D1003, Datos!$F$2:$F1003=P$1, Datos!$G$2:$G1003=P$2, Datos!$A$2:$A1003=$A18)"),4817.9)</f>
        <v>4817.9</v>
      </c>
      <c r="Q18" s="21">
        <f>IFERROR(__xludf.DUMMYFUNCTION("FILTER(Datos!$E$2:$E1003, Datos!$F$2:$F1003=Q$1, Datos!$G$2:$G1003=Q$2, Datos!$A$2:$A1003=$A18)"),7083.287)</f>
        <v>7083.287</v>
      </c>
    </row>
    <row r="19">
      <c r="A19" s="18">
        <f t="shared" si="2"/>
        <v>14</v>
      </c>
      <c r="B19" s="19">
        <f>IFERROR(__xludf.DUMMYFUNCTION("FILTER(Datos!$D$2:$D1003, Datos!$F$2:$F1003=B$1, Datos!$G$2:$G1003=B$2, Datos!$A$2:$A1003=$A19)"),1932.6)</f>
        <v>1932.6</v>
      </c>
      <c r="C19" s="20">
        <f>IFERROR(__xludf.DUMMYFUNCTION("FILTER(Datos!$E$2:$E1003, Datos!$F$2:$F1003=C$1, Datos!$G$2:$G1003=C$2, Datos!$A$2:$A1003=$A19)"),2346.403)</f>
        <v>2346.403</v>
      </c>
      <c r="D19" s="20">
        <f>IFERROR(__xludf.DUMMYFUNCTION("FILTER(Datos!$D$2:$D1003, Datos!$F$2:$F1003=D$1, Datos!$G$2:$G1003=D$2, Datos!$A$2:$A1003=$A19)"),2785.367)</f>
        <v>2785.367</v>
      </c>
      <c r="E19" s="20">
        <f>IFERROR(__xludf.DUMMYFUNCTION("FILTER(Datos!$E$2:$E1003, Datos!$F$2:$F1003=E$1, Datos!$G$2:$G1003=E$2, Datos!$A$2:$A1003=$A19)"),4274.322)</f>
        <v>4274.322</v>
      </c>
      <c r="F19" s="20">
        <f>IFERROR(__xludf.DUMMYFUNCTION("FILTER(Datos!$D$2:$D1003, Datos!$F$2:$F1003=F$1, Datos!$G$2:$G1003=F$2, Datos!$A$2:$A1003=$A19)"),4607.0)</f>
        <v>4607</v>
      </c>
      <c r="G19" s="20">
        <f>IFERROR(__xludf.DUMMYFUNCTION("FILTER(Datos!$E$2:$E1003, Datos!$F$2:$F1003=G$1, Datos!$G$2:$G1003=G$2, Datos!$A$2:$A1003=$A19)"),7006.163)</f>
        <v>7006.163</v>
      </c>
      <c r="H19" s="20">
        <f>IFERROR(__xludf.DUMMYFUNCTION("FILTER(Datos!$D$2:$D1003, Datos!$F$2:$F1003=H$1, Datos!$G$2:$G1003=H$2, Datos!$A$2:$A1003=$A19)"),5102.567)</f>
        <v>5102.567</v>
      </c>
      <c r="I19" s="21">
        <f>IFERROR(__xludf.DUMMYFUNCTION("FILTER(Datos!$E$2:$E1003, Datos!$F$2:$F1003=I$1, Datos!$G$2:$G1003=I$2, Datos!$A$2:$A1003=$A19)"),7504.533)</f>
        <v>7504.533</v>
      </c>
      <c r="J19" s="20">
        <f>IFERROR(__xludf.DUMMYFUNCTION("FILTER(Datos!$D$2:$D1003, Datos!$F$2:$F1003=J$1, Datos!$G$2:$G1003=J$2, Datos!$A$2:$A1003=$A19)"),1889.633)</f>
        <v>1889.633</v>
      </c>
      <c r="K19" s="20">
        <f>IFERROR(__xludf.DUMMYFUNCTION("FILTER(Datos!$E$2:$E1003, Datos!$F$2:$F1003=K$1, Datos!$G$2:$G1003=K$2, Datos!$A$2:$A1003=$A19)"),2596.851)</f>
        <v>2596.851</v>
      </c>
      <c r="L19" s="20">
        <f>IFERROR(__xludf.DUMMYFUNCTION("FILTER(Datos!$D$2:$D1003, Datos!$F$2:$F1003=L$1, Datos!$G$2:$G1003=L$2, Datos!$A$2:$A1003=$A19)"),2537.4)</f>
        <v>2537.4</v>
      </c>
      <c r="M19" s="20">
        <f>IFERROR(__xludf.DUMMYFUNCTION("FILTER(Datos!$E$2:$E1003, Datos!$F$2:$F1003=M$1, Datos!$G$2:$G1003=M$2, Datos!$A$2:$A1003=$A19)"),3690.515)</f>
        <v>3690.515</v>
      </c>
      <c r="N19" s="20">
        <f>IFERROR(__xludf.DUMMYFUNCTION("FILTER(Datos!$D$2:$D1003, Datos!$F$2:$F1003=N$1, Datos!$G$2:$G1003=N$2, Datos!$A$2:$A1003=$A19)"),4269.733)</f>
        <v>4269.733</v>
      </c>
      <c r="O19" s="20">
        <f>IFERROR(__xludf.DUMMYFUNCTION("FILTER(Datos!$E$2:$E1003, Datos!$F$2:$F1003=O$1, Datos!$G$2:$G1003=O$2, Datos!$A$2:$A1003=$A19)"),6461.947)</f>
        <v>6461.947</v>
      </c>
      <c r="P19" s="20">
        <f>IFERROR(__xludf.DUMMYFUNCTION("FILTER(Datos!$D$2:$D1003, Datos!$F$2:$F1003=P$1, Datos!$G$2:$G1003=P$2, Datos!$A$2:$A1003=$A19)"),4791.233)</f>
        <v>4791.233</v>
      </c>
      <c r="Q19" s="21">
        <f>IFERROR(__xludf.DUMMYFUNCTION("FILTER(Datos!$E$2:$E1003, Datos!$F$2:$F1003=Q$1, Datos!$G$2:$G1003=Q$2, Datos!$A$2:$A1003=$A19)"),7064.147)</f>
        <v>7064.147</v>
      </c>
    </row>
    <row r="20">
      <c r="A20" s="18">
        <f t="shared" si="2"/>
        <v>15</v>
      </c>
      <c r="B20" s="19">
        <f>IFERROR(__xludf.DUMMYFUNCTION("FILTER(Datos!$D$2:$D1003, Datos!$F$2:$F1003=B$1, Datos!$G$2:$G1003=B$2, Datos!$A$2:$A1003=$A20)"),1931.6)</f>
        <v>1931.6</v>
      </c>
      <c r="C20" s="20">
        <f>IFERROR(__xludf.DUMMYFUNCTION("FILTER(Datos!$E$2:$E1003, Datos!$F$2:$F1003=C$1, Datos!$G$2:$G1003=C$2, Datos!$A$2:$A1003=$A20)"),2315.835)</f>
        <v>2315.835</v>
      </c>
      <c r="D20" s="20">
        <f>IFERROR(__xludf.DUMMYFUNCTION("FILTER(Datos!$D$2:$D1003, Datos!$F$2:$F1003=D$1, Datos!$G$2:$G1003=D$2, Datos!$A$2:$A1003=$A20)"),2768.1)</f>
        <v>2768.1</v>
      </c>
      <c r="E20" s="20">
        <f>IFERROR(__xludf.DUMMYFUNCTION("FILTER(Datos!$E$2:$E1003, Datos!$F$2:$F1003=E$1, Datos!$G$2:$G1003=E$2, Datos!$A$2:$A1003=$A20)"),4244.024)</f>
        <v>4244.024</v>
      </c>
      <c r="F20" s="20">
        <f>IFERROR(__xludf.DUMMYFUNCTION("FILTER(Datos!$D$2:$D1003, Datos!$F$2:$F1003=F$1, Datos!$G$2:$G1003=F$2, Datos!$A$2:$A1003=$A20)"),4576.767)</f>
        <v>4576.767</v>
      </c>
      <c r="G20" s="20">
        <f>IFERROR(__xludf.DUMMYFUNCTION("FILTER(Datos!$E$2:$E1003, Datos!$F$2:$F1003=G$1, Datos!$G$2:$G1003=G$2, Datos!$A$2:$A1003=$A20)"),7016.53)</f>
        <v>7016.53</v>
      </c>
      <c r="H20" s="20">
        <f>IFERROR(__xludf.DUMMYFUNCTION("FILTER(Datos!$D$2:$D1003, Datos!$F$2:$F1003=H$1, Datos!$G$2:$G1003=H$2, Datos!$A$2:$A1003=$A20)"),5096.033)</f>
        <v>5096.033</v>
      </c>
      <c r="I20" s="21">
        <f>IFERROR(__xludf.DUMMYFUNCTION("FILTER(Datos!$E$2:$E1003, Datos!$F$2:$F1003=I$1, Datos!$G$2:$G1003=I$2, Datos!$A$2:$A1003=$A20)"),7497.085)</f>
        <v>7497.085</v>
      </c>
      <c r="J20" s="20">
        <f>IFERROR(__xludf.DUMMYFUNCTION("FILTER(Datos!$D$2:$D1003, Datos!$F$2:$F1003=J$1, Datos!$G$2:$G1003=J$2, Datos!$A$2:$A1003=$A20)"),1873.967)</f>
        <v>1873.967</v>
      </c>
      <c r="K20" s="20">
        <f>IFERROR(__xludf.DUMMYFUNCTION("FILTER(Datos!$E$2:$E1003, Datos!$F$2:$F1003=K$1, Datos!$G$2:$G1003=K$2, Datos!$A$2:$A1003=$A20)"),2580.05)</f>
        <v>2580.05</v>
      </c>
      <c r="L20" s="20">
        <f>IFERROR(__xludf.DUMMYFUNCTION("FILTER(Datos!$D$2:$D1003, Datos!$F$2:$F1003=L$1, Datos!$G$2:$G1003=L$2, Datos!$A$2:$A1003=$A20)"),2507.2)</f>
        <v>2507.2</v>
      </c>
      <c r="M20" s="20">
        <f>IFERROR(__xludf.DUMMYFUNCTION("FILTER(Datos!$E$2:$E1003, Datos!$F$2:$F1003=M$1, Datos!$G$2:$G1003=M$2, Datos!$A$2:$A1003=$A20)"),3643.565)</f>
        <v>3643.565</v>
      </c>
      <c r="N20" s="20">
        <f>IFERROR(__xludf.DUMMYFUNCTION("FILTER(Datos!$D$2:$D1003, Datos!$F$2:$F1003=N$1, Datos!$G$2:$G1003=N$2, Datos!$A$2:$A1003=$A20)"),4203.133)</f>
        <v>4203.133</v>
      </c>
      <c r="O20" s="20">
        <f>IFERROR(__xludf.DUMMYFUNCTION("FILTER(Datos!$E$2:$E1003, Datos!$F$2:$F1003=O$1, Datos!$G$2:$G1003=O$2, Datos!$A$2:$A1003=$A20)"),6424.229)</f>
        <v>6424.229</v>
      </c>
      <c r="P20" s="20">
        <f>IFERROR(__xludf.DUMMYFUNCTION("FILTER(Datos!$D$2:$D1003, Datos!$F$2:$F1003=P$1, Datos!$G$2:$G1003=P$2, Datos!$A$2:$A1003=$A20)"),4755.4)</f>
        <v>4755.4</v>
      </c>
      <c r="Q20" s="21">
        <f>IFERROR(__xludf.DUMMYFUNCTION("FILTER(Datos!$E$2:$E1003, Datos!$F$2:$F1003=Q$1, Datos!$G$2:$G1003=Q$2, Datos!$A$2:$A1003=$A20)"),7042.729)</f>
        <v>7042.729</v>
      </c>
    </row>
    <row r="21">
      <c r="A21" s="18">
        <f t="shared" si="2"/>
        <v>16</v>
      </c>
      <c r="B21" s="19">
        <f>IFERROR(__xludf.DUMMYFUNCTION("FILTER(Datos!$D$2:$D1003, Datos!$F$2:$F1003=B$1, Datos!$G$2:$G1003=B$2, Datos!$A$2:$A1003=$A21)"),1929.167)</f>
        <v>1929.167</v>
      </c>
      <c r="C21" s="20">
        <f>IFERROR(__xludf.DUMMYFUNCTION("FILTER(Datos!$E$2:$E1003, Datos!$F$2:$F1003=C$1, Datos!$G$2:$G1003=C$2, Datos!$A$2:$A1003=$A21)"),2284.807)</f>
        <v>2284.807</v>
      </c>
      <c r="D21" s="20">
        <f>IFERROR(__xludf.DUMMYFUNCTION("FILTER(Datos!$D$2:$D1003, Datos!$F$2:$F1003=D$1, Datos!$G$2:$G1003=D$2, Datos!$A$2:$A1003=$A21)"),2740.267)</f>
        <v>2740.267</v>
      </c>
      <c r="E21" s="20">
        <f>IFERROR(__xludf.DUMMYFUNCTION("FILTER(Datos!$E$2:$E1003, Datos!$F$2:$F1003=E$1, Datos!$G$2:$G1003=E$2, Datos!$A$2:$A1003=$A21)"),4194.112)</f>
        <v>4194.112</v>
      </c>
      <c r="F21" s="20">
        <f>IFERROR(__xludf.DUMMYFUNCTION("FILTER(Datos!$D$2:$D1003, Datos!$F$2:$F1003=F$1, Datos!$G$2:$G1003=F$2, Datos!$A$2:$A1003=$A21)"),4557.733)</f>
        <v>4557.733</v>
      </c>
      <c r="G21" s="20">
        <f>IFERROR(__xludf.DUMMYFUNCTION("FILTER(Datos!$E$2:$E1003, Datos!$F$2:$F1003=G$1, Datos!$G$2:$G1003=G$2, Datos!$A$2:$A1003=$A21)"),7013.744)</f>
        <v>7013.744</v>
      </c>
      <c r="H21" s="20">
        <f>IFERROR(__xludf.DUMMYFUNCTION("FILTER(Datos!$D$2:$D1003, Datos!$F$2:$F1003=H$1, Datos!$G$2:$G1003=H$2, Datos!$A$2:$A1003=$A21)"),5067.867)</f>
        <v>5067.867</v>
      </c>
      <c r="I21" s="21">
        <f>IFERROR(__xludf.DUMMYFUNCTION("FILTER(Datos!$E$2:$E1003, Datos!$F$2:$F1003=I$1, Datos!$G$2:$G1003=I$2, Datos!$A$2:$A1003=$A21)"),7492.921)</f>
        <v>7492.921</v>
      </c>
      <c r="J21" s="20">
        <f>IFERROR(__xludf.DUMMYFUNCTION("FILTER(Datos!$D$2:$D1003, Datos!$F$2:$F1003=J$1, Datos!$G$2:$G1003=J$2, Datos!$A$2:$A1003=$A21)"),1859.567)</f>
        <v>1859.567</v>
      </c>
      <c r="K21" s="20">
        <f>IFERROR(__xludf.DUMMYFUNCTION("FILTER(Datos!$E$2:$E1003, Datos!$F$2:$F1003=K$1, Datos!$G$2:$G1003=K$2, Datos!$A$2:$A1003=$A21)"),2538.405)</f>
        <v>2538.405</v>
      </c>
      <c r="L21" s="20">
        <f>IFERROR(__xludf.DUMMYFUNCTION("FILTER(Datos!$D$2:$D1003, Datos!$F$2:$F1003=L$1, Datos!$G$2:$G1003=L$2, Datos!$A$2:$A1003=$A21)"),2474.667)</f>
        <v>2474.667</v>
      </c>
      <c r="M21" s="20">
        <f>IFERROR(__xludf.DUMMYFUNCTION("FILTER(Datos!$E$2:$E1003, Datos!$F$2:$F1003=M$1, Datos!$G$2:$G1003=M$2, Datos!$A$2:$A1003=$A21)"),3603.87)</f>
        <v>3603.87</v>
      </c>
      <c r="N21" s="20">
        <f>IFERROR(__xludf.DUMMYFUNCTION("FILTER(Datos!$D$2:$D1003, Datos!$F$2:$F1003=N$1, Datos!$G$2:$G1003=N$2, Datos!$A$2:$A1003=$A21)"),4173.633)</f>
        <v>4173.633</v>
      </c>
      <c r="O21" s="20">
        <f>IFERROR(__xludf.DUMMYFUNCTION("FILTER(Datos!$E$2:$E1003, Datos!$F$2:$F1003=O$1, Datos!$G$2:$G1003=O$2, Datos!$A$2:$A1003=$A21)"),6377.66)</f>
        <v>6377.66</v>
      </c>
      <c r="P21" s="20">
        <f>IFERROR(__xludf.DUMMYFUNCTION("FILTER(Datos!$D$2:$D1003, Datos!$F$2:$F1003=P$1, Datos!$G$2:$G1003=P$2, Datos!$A$2:$A1003=$A21)"),4723.567)</f>
        <v>4723.567</v>
      </c>
      <c r="Q21" s="21">
        <f>IFERROR(__xludf.DUMMYFUNCTION("FILTER(Datos!$E$2:$E1003, Datos!$F$2:$F1003=Q$1, Datos!$G$2:$G1003=Q$2, Datos!$A$2:$A1003=$A21)"),7017.987)</f>
        <v>7017.987</v>
      </c>
    </row>
    <row r="22">
      <c r="A22" s="18">
        <f t="shared" si="2"/>
        <v>17</v>
      </c>
      <c r="B22" s="19">
        <f>IFERROR(__xludf.DUMMYFUNCTION("FILTER(Datos!$D$2:$D1003, Datos!$F$2:$F1003=B$1, Datos!$G$2:$G1003=B$2, Datos!$A$2:$A1003=$A22)"),1926.733)</f>
        <v>1926.733</v>
      </c>
      <c r="C22" s="20">
        <f>IFERROR(__xludf.DUMMYFUNCTION("FILTER(Datos!$E$2:$E1003, Datos!$F$2:$F1003=C$1, Datos!$G$2:$G1003=C$2, Datos!$A$2:$A1003=$A22)"),2251.856)</f>
        <v>2251.856</v>
      </c>
      <c r="D22" s="20">
        <f>IFERROR(__xludf.DUMMYFUNCTION("FILTER(Datos!$D$2:$D1003, Datos!$F$2:$F1003=D$1, Datos!$G$2:$G1003=D$2, Datos!$A$2:$A1003=$A22)"),2702.867)</f>
        <v>2702.867</v>
      </c>
      <c r="E22" s="20">
        <f>IFERROR(__xludf.DUMMYFUNCTION("FILTER(Datos!$E$2:$E1003, Datos!$F$2:$F1003=E$1, Datos!$G$2:$G1003=E$2, Datos!$A$2:$A1003=$A22)"),4139.974)</f>
        <v>4139.974</v>
      </c>
      <c r="F22" s="20">
        <f>IFERROR(__xludf.DUMMYFUNCTION("FILTER(Datos!$D$2:$D1003, Datos!$F$2:$F1003=F$1, Datos!$G$2:$G1003=F$2, Datos!$A$2:$A1003=$A22)"),4540.767)</f>
        <v>4540.767</v>
      </c>
      <c r="G22" s="20">
        <f>IFERROR(__xludf.DUMMYFUNCTION("FILTER(Datos!$E$2:$E1003, Datos!$F$2:$F1003=G$1, Datos!$G$2:$G1003=G$2, Datos!$A$2:$A1003=$A22)"),6990.237)</f>
        <v>6990.237</v>
      </c>
      <c r="H22" s="20">
        <f>IFERROR(__xludf.DUMMYFUNCTION("FILTER(Datos!$D$2:$D1003, Datos!$F$2:$F1003=H$1, Datos!$G$2:$G1003=H$2, Datos!$A$2:$A1003=$A22)"),5065.233)</f>
        <v>5065.233</v>
      </c>
      <c r="I22" s="21">
        <f>IFERROR(__xludf.DUMMYFUNCTION("FILTER(Datos!$E$2:$E1003, Datos!$F$2:$F1003=I$1, Datos!$G$2:$G1003=I$2, Datos!$A$2:$A1003=$A22)"),7480.86)</f>
        <v>7480.86</v>
      </c>
      <c r="J22" s="20">
        <f>IFERROR(__xludf.DUMMYFUNCTION("FILTER(Datos!$D$2:$D1003, Datos!$F$2:$F1003=J$1, Datos!$G$2:$G1003=J$2, Datos!$A$2:$A1003=$A22)"),1853.467)</f>
        <v>1853.467</v>
      </c>
      <c r="K22" s="20">
        <f>IFERROR(__xludf.DUMMYFUNCTION("FILTER(Datos!$E$2:$E1003, Datos!$F$2:$F1003=K$1, Datos!$G$2:$G1003=K$2, Datos!$A$2:$A1003=$A22)"),2523.216)</f>
        <v>2523.216</v>
      </c>
      <c r="L22" s="20">
        <f>IFERROR(__xludf.DUMMYFUNCTION("FILTER(Datos!$D$2:$D1003, Datos!$F$2:$F1003=L$1, Datos!$G$2:$G1003=L$2, Datos!$A$2:$A1003=$A22)"),2455.767)</f>
        <v>2455.767</v>
      </c>
      <c r="M22" s="20">
        <f>IFERROR(__xludf.DUMMYFUNCTION("FILTER(Datos!$E$2:$E1003, Datos!$F$2:$F1003=M$1, Datos!$G$2:$G1003=M$2, Datos!$A$2:$A1003=$A22)"),3575.304)</f>
        <v>3575.304</v>
      </c>
      <c r="N22" s="20">
        <f>IFERROR(__xludf.DUMMYFUNCTION("FILTER(Datos!$D$2:$D1003, Datos!$F$2:$F1003=N$1, Datos!$G$2:$G1003=N$2, Datos!$A$2:$A1003=$A22)"),4153.633)</f>
        <v>4153.633</v>
      </c>
      <c r="O22" s="20">
        <f>IFERROR(__xludf.DUMMYFUNCTION("FILTER(Datos!$E$2:$E1003, Datos!$F$2:$F1003=O$1, Datos!$G$2:$G1003=O$2, Datos!$A$2:$A1003=$A22)"),6339.947)</f>
        <v>6339.947</v>
      </c>
      <c r="P22" s="20">
        <f>IFERROR(__xludf.DUMMYFUNCTION("FILTER(Datos!$D$2:$D1003, Datos!$F$2:$F1003=P$1, Datos!$G$2:$G1003=P$2, Datos!$A$2:$A1003=$A22)"),4699.067)</f>
        <v>4699.067</v>
      </c>
      <c r="Q22" s="21">
        <f>IFERROR(__xludf.DUMMYFUNCTION("FILTER(Datos!$E$2:$E1003, Datos!$F$2:$F1003=Q$1, Datos!$G$2:$G1003=Q$2, Datos!$A$2:$A1003=$A22)"),7007.05)</f>
        <v>7007.05</v>
      </c>
    </row>
    <row r="23">
      <c r="A23" s="18">
        <f t="shared" si="2"/>
        <v>18</v>
      </c>
      <c r="B23" s="19">
        <f>IFERROR(__xludf.DUMMYFUNCTION("FILTER(Datos!$D$2:$D1003, Datos!$F$2:$F1003=B$1, Datos!$G$2:$G1003=B$2, Datos!$A$2:$A1003=$A23)"),1922.9)</f>
        <v>1922.9</v>
      </c>
      <c r="C23" s="20">
        <f>IFERROR(__xludf.DUMMYFUNCTION("FILTER(Datos!$E$2:$E1003, Datos!$F$2:$F1003=C$1, Datos!$G$2:$G1003=C$2, Datos!$A$2:$A1003=$A23)"),2210.907)</f>
        <v>2210.907</v>
      </c>
      <c r="D23" s="20">
        <f>IFERROR(__xludf.DUMMYFUNCTION("FILTER(Datos!$D$2:$D1003, Datos!$F$2:$F1003=D$1, Datos!$G$2:$G1003=D$2, Datos!$A$2:$A1003=$A23)"),2683.5)</f>
        <v>2683.5</v>
      </c>
      <c r="E23" s="20">
        <f>IFERROR(__xludf.DUMMYFUNCTION("FILTER(Datos!$E$2:$E1003, Datos!$F$2:$F1003=E$1, Datos!$G$2:$G1003=E$2, Datos!$A$2:$A1003=$A23)"),4086.924)</f>
        <v>4086.924</v>
      </c>
      <c r="F23" s="20">
        <f>IFERROR(__xludf.DUMMYFUNCTION("FILTER(Datos!$D$2:$D1003, Datos!$F$2:$F1003=F$1, Datos!$G$2:$G1003=F$2, Datos!$A$2:$A1003=$A23)"),4527.3)</f>
        <v>4527.3</v>
      </c>
      <c r="G23" s="20">
        <f>IFERROR(__xludf.DUMMYFUNCTION("FILTER(Datos!$E$2:$E1003, Datos!$F$2:$F1003=G$1, Datos!$G$2:$G1003=G$2, Datos!$A$2:$A1003=$A23)"),6988.743)</f>
        <v>6988.743</v>
      </c>
      <c r="H23" s="20">
        <f>IFERROR(__xludf.DUMMYFUNCTION("FILTER(Datos!$D$2:$D1003, Datos!$F$2:$F1003=H$1, Datos!$G$2:$G1003=H$2, Datos!$A$2:$A1003=$A23)"),5063.067)</f>
        <v>5063.067</v>
      </c>
      <c r="I23" s="21">
        <f>IFERROR(__xludf.DUMMYFUNCTION("FILTER(Datos!$E$2:$E1003, Datos!$F$2:$F1003=I$1, Datos!$G$2:$G1003=I$2, Datos!$A$2:$A1003=$A23)"),7476.678)</f>
        <v>7476.678</v>
      </c>
      <c r="J23" s="20">
        <f>IFERROR(__xludf.DUMMYFUNCTION("FILTER(Datos!$D$2:$D1003, Datos!$F$2:$F1003=J$1, Datos!$G$2:$G1003=J$2, Datos!$A$2:$A1003=$A23)"),1852.533)</f>
        <v>1852.533</v>
      </c>
      <c r="K23" s="20">
        <f>IFERROR(__xludf.DUMMYFUNCTION("FILTER(Datos!$E$2:$E1003, Datos!$F$2:$F1003=K$1, Datos!$G$2:$G1003=K$2, Datos!$A$2:$A1003=$A23)"),2499.218)</f>
        <v>2499.218</v>
      </c>
      <c r="L23" s="20">
        <f>IFERROR(__xludf.DUMMYFUNCTION("FILTER(Datos!$D$2:$D1003, Datos!$F$2:$F1003=L$1, Datos!$G$2:$G1003=L$2, Datos!$A$2:$A1003=$A23)"),2444.3)</f>
        <v>2444.3</v>
      </c>
      <c r="M23" s="20">
        <f>IFERROR(__xludf.DUMMYFUNCTION("FILTER(Datos!$E$2:$E1003, Datos!$F$2:$F1003=M$1, Datos!$G$2:$G1003=M$2, Datos!$A$2:$A1003=$A23)"),3546.666)</f>
        <v>3546.666</v>
      </c>
      <c r="N23" s="20">
        <f>IFERROR(__xludf.DUMMYFUNCTION("FILTER(Datos!$D$2:$D1003, Datos!$F$2:$F1003=N$1, Datos!$G$2:$G1003=N$2, Datos!$A$2:$A1003=$A23)"),4129.1)</f>
        <v>4129.1</v>
      </c>
      <c r="O23" s="20">
        <f>IFERROR(__xludf.DUMMYFUNCTION("FILTER(Datos!$E$2:$E1003, Datos!$F$2:$F1003=O$1, Datos!$G$2:$G1003=O$2, Datos!$A$2:$A1003=$A23)"),6308.085)</f>
        <v>6308.085</v>
      </c>
      <c r="P23" s="20">
        <f>IFERROR(__xludf.DUMMYFUNCTION("FILTER(Datos!$D$2:$D1003, Datos!$F$2:$F1003=P$1, Datos!$G$2:$G1003=P$2, Datos!$A$2:$A1003=$A23)"),4681.833)</f>
        <v>4681.833</v>
      </c>
      <c r="Q23" s="21">
        <f>IFERROR(__xludf.DUMMYFUNCTION("FILTER(Datos!$E$2:$E1003, Datos!$F$2:$F1003=Q$1, Datos!$G$2:$G1003=Q$2, Datos!$A$2:$A1003=$A23)"),6982.312)</f>
        <v>6982.312</v>
      </c>
    </row>
    <row r="24">
      <c r="A24" s="18">
        <f t="shared" si="2"/>
        <v>19</v>
      </c>
      <c r="B24" s="19">
        <f>IFERROR(__xludf.DUMMYFUNCTION("FILTER(Datos!$D$2:$D1003, Datos!$F$2:$F1003=B$1, Datos!$G$2:$G1003=B$2, Datos!$A$2:$A1003=$A24)"),1919.9)</f>
        <v>1919.9</v>
      </c>
      <c r="C24" s="20">
        <f>IFERROR(__xludf.DUMMYFUNCTION("FILTER(Datos!$E$2:$E1003, Datos!$F$2:$F1003=C$1, Datos!$G$2:$G1003=C$2, Datos!$A$2:$A1003=$A24)"),2177.489)</f>
        <v>2177.489</v>
      </c>
      <c r="D24" s="20">
        <f>IFERROR(__xludf.DUMMYFUNCTION("FILTER(Datos!$D$2:$D1003, Datos!$F$2:$F1003=D$1, Datos!$G$2:$G1003=D$2, Datos!$A$2:$A1003=$A24)"),2632.533)</f>
        <v>2632.533</v>
      </c>
      <c r="E24" s="20">
        <f>IFERROR(__xludf.DUMMYFUNCTION("FILTER(Datos!$E$2:$E1003, Datos!$F$2:$F1003=E$1, Datos!$G$2:$G1003=E$2, Datos!$A$2:$A1003=$A24)"),4023.004)</f>
        <v>4023.004</v>
      </c>
      <c r="F24" s="20">
        <f>IFERROR(__xludf.DUMMYFUNCTION("FILTER(Datos!$D$2:$D1003, Datos!$F$2:$F1003=F$1, Datos!$G$2:$G1003=F$2, Datos!$A$2:$A1003=$A24)"),4527.067)</f>
        <v>4527.067</v>
      </c>
      <c r="G24" s="20">
        <f>IFERROR(__xludf.DUMMYFUNCTION("FILTER(Datos!$E$2:$E1003, Datos!$F$2:$F1003=G$1, Datos!$G$2:$G1003=G$2, Datos!$A$2:$A1003=$A24)"),6986.947)</f>
        <v>6986.947</v>
      </c>
      <c r="H24" s="20">
        <f>IFERROR(__xludf.DUMMYFUNCTION("FILTER(Datos!$D$2:$D1003, Datos!$F$2:$F1003=H$1, Datos!$G$2:$G1003=H$2, Datos!$A$2:$A1003=$A24)"),5051.9)</f>
        <v>5051.9</v>
      </c>
      <c r="I24" s="21">
        <f>IFERROR(__xludf.DUMMYFUNCTION("FILTER(Datos!$E$2:$E1003, Datos!$F$2:$F1003=I$1, Datos!$G$2:$G1003=I$2, Datos!$A$2:$A1003=$A24)"),7445.487)</f>
        <v>7445.487</v>
      </c>
      <c r="J24" s="20">
        <f>IFERROR(__xludf.DUMMYFUNCTION("FILTER(Datos!$D$2:$D1003, Datos!$F$2:$F1003=J$1, Datos!$G$2:$G1003=J$2, Datos!$A$2:$A1003=$A24)"),1842.2)</f>
        <v>1842.2</v>
      </c>
      <c r="K24" s="20">
        <f>IFERROR(__xludf.DUMMYFUNCTION("FILTER(Datos!$E$2:$E1003, Datos!$F$2:$F1003=K$1, Datos!$G$2:$G1003=K$2, Datos!$A$2:$A1003=$A24)"),2473.173)</f>
        <v>2473.173</v>
      </c>
      <c r="L24" s="20">
        <f>IFERROR(__xludf.DUMMYFUNCTION("FILTER(Datos!$D$2:$D1003, Datos!$F$2:$F1003=L$1, Datos!$G$2:$G1003=L$2, Datos!$A$2:$A1003=$A24)"),2420.467)</f>
        <v>2420.467</v>
      </c>
      <c r="M24" s="20">
        <f>IFERROR(__xludf.DUMMYFUNCTION("FILTER(Datos!$E$2:$E1003, Datos!$F$2:$F1003=M$1, Datos!$G$2:$G1003=M$2, Datos!$A$2:$A1003=$A24)"),3505.573)</f>
        <v>3505.573</v>
      </c>
      <c r="N24" s="20">
        <f>IFERROR(__xludf.DUMMYFUNCTION("FILTER(Datos!$D$2:$D1003, Datos!$F$2:$F1003=N$1, Datos!$G$2:$G1003=N$2, Datos!$A$2:$A1003=$A24)"),4068.933)</f>
        <v>4068.933</v>
      </c>
      <c r="O24" s="20">
        <f>IFERROR(__xludf.DUMMYFUNCTION("FILTER(Datos!$E$2:$E1003, Datos!$F$2:$F1003=O$1, Datos!$G$2:$G1003=O$2, Datos!$A$2:$A1003=$A24)"),6282.078)</f>
        <v>6282.078</v>
      </c>
      <c r="P24" s="20">
        <f>IFERROR(__xludf.DUMMYFUNCTION("FILTER(Datos!$D$2:$D1003, Datos!$F$2:$F1003=P$1, Datos!$G$2:$G1003=P$2, Datos!$A$2:$A1003=$A24)"),4661.7)</f>
        <v>4661.7</v>
      </c>
      <c r="Q24" s="21">
        <f>IFERROR(__xludf.DUMMYFUNCTION("FILTER(Datos!$E$2:$E1003, Datos!$F$2:$F1003=Q$1, Datos!$G$2:$G1003=Q$2, Datos!$A$2:$A1003=$A24)"),6951.353)</f>
        <v>6951.353</v>
      </c>
    </row>
    <row r="25">
      <c r="A25" s="18">
        <f t="shared" si="2"/>
        <v>20</v>
      </c>
      <c r="B25" s="19">
        <f>IFERROR(__xludf.DUMMYFUNCTION("FILTER(Datos!$D$2:$D1003, Datos!$F$2:$F1003=B$1, Datos!$G$2:$G1003=B$2, Datos!$A$2:$A1003=$A25)"),1919.3)</f>
        <v>1919.3</v>
      </c>
      <c r="C25" s="20">
        <f>IFERROR(__xludf.DUMMYFUNCTION("FILTER(Datos!$E$2:$E1003, Datos!$F$2:$F1003=C$1, Datos!$G$2:$G1003=C$2, Datos!$A$2:$A1003=$A25)"),2161.181)</f>
        <v>2161.181</v>
      </c>
      <c r="D25" s="20">
        <f>IFERROR(__xludf.DUMMYFUNCTION("FILTER(Datos!$D$2:$D1003, Datos!$F$2:$F1003=D$1, Datos!$G$2:$G1003=D$2, Datos!$A$2:$A1003=$A25)"),2596.9)</f>
        <v>2596.9</v>
      </c>
      <c r="E25" s="20">
        <f>IFERROR(__xludf.DUMMYFUNCTION("FILTER(Datos!$E$2:$E1003, Datos!$F$2:$F1003=E$1, Datos!$G$2:$G1003=E$2, Datos!$A$2:$A1003=$A25)"),3968.607)</f>
        <v>3968.607</v>
      </c>
      <c r="F25" s="20">
        <f>IFERROR(__xludf.DUMMYFUNCTION("FILTER(Datos!$D$2:$D1003, Datos!$F$2:$F1003=F$1, Datos!$G$2:$G1003=F$2, Datos!$A$2:$A1003=$A25)"),4508.167)</f>
        <v>4508.167</v>
      </c>
      <c r="G25" s="20">
        <f>IFERROR(__xludf.DUMMYFUNCTION("FILTER(Datos!$E$2:$E1003, Datos!$F$2:$F1003=G$1, Datos!$G$2:$G1003=G$2, Datos!$A$2:$A1003=$A25)"),6968.418)</f>
        <v>6968.418</v>
      </c>
      <c r="H25" s="20">
        <f>IFERROR(__xludf.DUMMYFUNCTION("FILTER(Datos!$D$2:$D1003, Datos!$F$2:$F1003=H$1, Datos!$G$2:$G1003=H$2, Datos!$A$2:$A1003=$A25)"),5044.0)</f>
        <v>5044</v>
      </c>
      <c r="I25" s="21">
        <f>IFERROR(__xludf.DUMMYFUNCTION("FILTER(Datos!$E$2:$E1003, Datos!$F$2:$F1003=I$1, Datos!$G$2:$G1003=I$2, Datos!$A$2:$A1003=$A25)"),7445.35)</f>
        <v>7445.35</v>
      </c>
      <c r="J25" s="20">
        <f>IFERROR(__xludf.DUMMYFUNCTION("FILTER(Datos!$D$2:$D1003, Datos!$F$2:$F1003=J$1, Datos!$G$2:$G1003=J$2, Datos!$A$2:$A1003=$A25)"),1840.167)</f>
        <v>1840.167</v>
      </c>
      <c r="K25" s="20">
        <f>IFERROR(__xludf.DUMMYFUNCTION("FILTER(Datos!$E$2:$E1003, Datos!$F$2:$F1003=K$1, Datos!$G$2:$G1003=K$2, Datos!$A$2:$A1003=$A25)"),2458.924)</f>
        <v>2458.924</v>
      </c>
      <c r="L25" s="20">
        <f>IFERROR(__xludf.DUMMYFUNCTION("FILTER(Datos!$D$2:$D1003, Datos!$F$2:$F1003=L$1, Datos!$G$2:$G1003=L$2, Datos!$A$2:$A1003=$A25)"),2393.233)</f>
        <v>2393.233</v>
      </c>
      <c r="M25" s="20">
        <f>IFERROR(__xludf.DUMMYFUNCTION("FILTER(Datos!$E$2:$E1003, Datos!$F$2:$F1003=M$1, Datos!$G$2:$G1003=M$2, Datos!$A$2:$A1003=$A25)"),3477.789)</f>
        <v>3477.789</v>
      </c>
      <c r="N25" s="20">
        <f>IFERROR(__xludf.DUMMYFUNCTION("FILTER(Datos!$D$2:$D1003, Datos!$F$2:$F1003=N$1, Datos!$G$2:$G1003=N$2, Datos!$A$2:$A1003=$A25)"),4052.0)</f>
        <v>4052</v>
      </c>
      <c r="O25" s="20">
        <f>IFERROR(__xludf.DUMMYFUNCTION("FILTER(Datos!$E$2:$E1003, Datos!$F$2:$F1003=O$1, Datos!$G$2:$G1003=O$2, Datos!$A$2:$A1003=$A25)"),6216.914)</f>
        <v>6216.914</v>
      </c>
      <c r="P25" s="20">
        <f>IFERROR(__xludf.DUMMYFUNCTION("FILTER(Datos!$D$2:$D1003, Datos!$F$2:$F1003=P$1, Datos!$G$2:$G1003=P$2, Datos!$A$2:$A1003=$A25)"),4623.567)</f>
        <v>4623.567</v>
      </c>
      <c r="Q25" s="21">
        <f>IFERROR(__xludf.DUMMYFUNCTION("FILTER(Datos!$E$2:$E1003, Datos!$F$2:$F1003=Q$1, Datos!$G$2:$G1003=Q$2, Datos!$A$2:$A1003=$A25)"),6946.453)</f>
        <v>6946.453</v>
      </c>
    </row>
    <row r="26">
      <c r="A26" s="18">
        <f t="shared" si="2"/>
        <v>21</v>
      </c>
      <c r="B26" s="19">
        <f>IFERROR(__xludf.DUMMYFUNCTION("FILTER(Datos!$D$2:$D1003, Datos!$F$2:$F1003=B$1, Datos!$G$2:$G1003=B$2, Datos!$A$2:$A1003=$A26)"),1919.3)</f>
        <v>1919.3</v>
      </c>
      <c r="C26" s="20">
        <f>IFERROR(__xludf.DUMMYFUNCTION("FILTER(Datos!$E$2:$E1003, Datos!$F$2:$F1003=C$1, Datos!$G$2:$G1003=C$2, Datos!$A$2:$A1003=$A26)"),2142.123)</f>
        <v>2142.123</v>
      </c>
      <c r="D26" s="20">
        <f>IFERROR(__xludf.DUMMYFUNCTION("FILTER(Datos!$D$2:$D1003, Datos!$F$2:$F1003=D$1, Datos!$G$2:$G1003=D$2, Datos!$A$2:$A1003=$A26)"),2571.167)</f>
        <v>2571.167</v>
      </c>
      <c r="E26" s="20">
        <f>IFERROR(__xludf.DUMMYFUNCTION("FILTER(Datos!$E$2:$E1003, Datos!$F$2:$F1003=E$1, Datos!$G$2:$G1003=E$2, Datos!$A$2:$A1003=$A26)"),3912.386)</f>
        <v>3912.386</v>
      </c>
      <c r="F26" s="20">
        <f>IFERROR(__xludf.DUMMYFUNCTION("FILTER(Datos!$D$2:$D1003, Datos!$F$2:$F1003=F$1, Datos!$G$2:$G1003=F$2, Datos!$A$2:$A1003=$A26)"),4488.233)</f>
        <v>4488.233</v>
      </c>
      <c r="G26" s="20">
        <f>IFERROR(__xludf.DUMMYFUNCTION("FILTER(Datos!$E$2:$E1003, Datos!$F$2:$F1003=G$1, Datos!$G$2:$G1003=G$2, Datos!$A$2:$A1003=$A26)"),6950.914)</f>
        <v>6950.914</v>
      </c>
      <c r="H26" s="20">
        <f>IFERROR(__xludf.DUMMYFUNCTION("FILTER(Datos!$D$2:$D1003, Datos!$F$2:$F1003=H$1, Datos!$G$2:$G1003=H$2, Datos!$A$2:$A1003=$A26)"),5044.0)</f>
        <v>5044</v>
      </c>
      <c r="I26" s="21">
        <f>IFERROR(__xludf.DUMMYFUNCTION("FILTER(Datos!$E$2:$E1003, Datos!$F$2:$F1003=I$1, Datos!$G$2:$G1003=I$2, Datos!$A$2:$A1003=$A26)"),7436.349)</f>
        <v>7436.349</v>
      </c>
      <c r="J26" s="20">
        <f>IFERROR(__xludf.DUMMYFUNCTION("FILTER(Datos!$D$2:$D1003, Datos!$F$2:$F1003=J$1, Datos!$G$2:$G1003=J$2, Datos!$A$2:$A1003=$A26)"),1837.633)</f>
        <v>1837.633</v>
      </c>
      <c r="K26" s="20">
        <f>IFERROR(__xludf.DUMMYFUNCTION("FILTER(Datos!$E$2:$E1003, Datos!$F$2:$F1003=K$1, Datos!$G$2:$G1003=K$2, Datos!$A$2:$A1003=$A26)"),2423.62)</f>
        <v>2423.62</v>
      </c>
      <c r="L26" s="20">
        <f>IFERROR(__xludf.DUMMYFUNCTION("FILTER(Datos!$D$2:$D1003, Datos!$F$2:$F1003=L$1, Datos!$G$2:$G1003=L$2, Datos!$A$2:$A1003=$A26)"),2382.467)</f>
        <v>2382.467</v>
      </c>
      <c r="M26" s="20">
        <f>IFERROR(__xludf.DUMMYFUNCTION("FILTER(Datos!$E$2:$E1003, Datos!$F$2:$F1003=M$1, Datos!$G$2:$G1003=M$2, Datos!$A$2:$A1003=$A26)"),3430.457)</f>
        <v>3430.457</v>
      </c>
      <c r="N26" s="20">
        <f>IFERROR(__xludf.DUMMYFUNCTION("FILTER(Datos!$D$2:$D1003, Datos!$F$2:$F1003=N$1, Datos!$G$2:$G1003=N$2, Datos!$A$2:$A1003=$A26)"),4032.567)</f>
        <v>4032.567</v>
      </c>
      <c r="O26" s="20">
        <f>IFERROR(__xludf.DUMMYFUNCTION("FILTER(Datos!$E$2:$E1003, Datos!$F$2:$F1003=O$1, Datos!$G$2:$G1003=O$2, Datos!$A$2:$A1003=$A26)"),6187.022)</f>
        <v>6187.022</v>
      </c>
      <c r="P26" s="20">
        <f>IFERROR(__xludf.DUMMYFUNCTION("FILTER(Datos!$D$2:$D1003, Datos!$F$2:$F1003=P$1, Datos!$G$2:$G1003=P$2, Datos!$A$2:$A1003=$A26)"),4588.9)</f>
        <v>4588.9</v>
      </c>
      <c r="Q26" s="21">
        <f>IFERROR(__xludf.DUMMYFUNCTION("FILTER(Datos!$E$2:$E1003, Datos!$F$2:$F1003=Q$1, Datos!$G$2:$G1003=Q$2, Datos!$A$2:$A1003=$A26)"),6929.297)</f>
        <v>6929.297</v>
      </c>
    </row>
    <row r="27">
      <c r="A27" s="18">
        <f t="shared" si="2"/>
        <v>22</v>
      </c>
      <c r="B27" s="19">
        <f>IFERROR(__xludf.DUMMYFUNCTION("FILTER(Datos!$D$2:$D1003, Datos!$F$2:$F1003=B$1, Datos!$G$2:$G1003=B$2, Datos!$A$2:$A1003=$A27)"),1917.567)</f>
        <v>1917.567</v>
      </c>
      <c r="C27" s="20">
        <f>IFERROR(__xludf.DUMMYFUNCTION("FILTER(Datos!$E$2:$E1003, Datos!$F$2:$F1003=C$1, Datos!$G$2:$G1003=C$2, Datos!$A$2:$A1003=$A27)"),2128.271)</f>
        <v>2128.271</v>
      </c>
      <c r="D27" s="20">
        <f>IFERROR(__xludf.DUMMYFUNCTION("FILTER(Datos!$D$2:$D1003, Datos!$F$2:$F1003=D$1, Datos!$G$2:$G1003=D$2, Datos!$A$2:$A1003=$A27)"),2544.2)</f>
        <v>2544.2</v>
      </c>
      <c r="E27" s="20">
        <f>IFERROR(__xludf.DUMMYFUNCTION("FILTER(Datos!$E$2:$E1003, Datos!$F$2:$F1003=E$1, Datos!$G$2:$G1003=E$2, Datos!$A$2:$A1003=$A27)"),3844.24)</f>
        <v>3844.24</v>
      </c>
      <c r="F27" s="20">
        <f>IFERROR(__xludf.DUMMYFUNCTION("FILTER(Datos!$D$2:$D1003, Datos!$F$2:$F1003=F$1, Datos!$G$2:$G1003=F$2, Datos!$A$2:$A1003=$A27)"),4482.6)</f>
        <v>4482.6</v>
      </c>
      <c r="G27" s="20">
        <f>IFERROR(__xludf.DUMMYFUNCTION("FILTER(Datos!$E$2:$E1003, Datos!$F$2:$F1003=G$1, Datos!$G$2:$G1003=G$2, Datos!$A$2:$A1003=$A27)"),6933.805)</f>
        <v>6933.805</v>
      </c>
      <c r="H27" s="20">
        <f>IFERROR(__xludf.DUMMYFUNCTION("FILTER(Datos!$D$2:$D1003, Datos!$F$2:$F1003=H$1, Datos!$G$2:$G1003=H$2, Datos!$A$2:$A1003=$A27)"),5040.333)</f>
        <v>5040.333</v>
      </c>
      <c r="I27" s="21">
        <f>IFERROR(__xludf.DUMMYFUNCTION("FILTER(Datos!$E$2:$E1003, Datos!$F$2:$F1003=I$1, Datos!$G$2:$G1003=I$2, Datos!$A$2:$A1003=$A27)"),7446.625)</f>
        <v>7446.625</v>
      </c>
      <c r="J27" s="20">
        <f>IFERROR(__xludf.DUMMYFUNCTION("FILTER(Datos!$D$2:$D1003, Datos!$F$2:$F1003=J$1, Datos!$G$2:$G1003=J$2, Datos!$A$2:$A1003=$A27)"),1834.6)</f>
        <v>1834.6</v>
      </c>
      <c r="K27" s="20">
        <f>IFERROR(__xludf.DUMMYFUNCTION("FILTER(Datos!$E$2:$E1003, Datos!$F$2:$F1003=K$1, Datos!$G$2:$G1003=K$2, Datos!$A$2:$A1003=$A27)"),2417.616)</f>
        <v>2417.616</v>
      </c>
      <c r="L27" s="20">
        <f>IFERROR(__xludf.DUMMYFUNCTION("FILTER(Datos!$D$2:$D1003, Datos!$F$2:$F1003=L$1, Datos!$G$2:$G1003=L$2, Datos!$A$2:$A1003=$A27)"),2357.667)</f>
        <v>2357.667</v>
      </c>
      <c r="M27" s="20">
        <f>IFERROR(__xludf.DUMMYFUNCTION("FILTER(Datos!$E$2:$E1003, Datos!$F$2:$F1003=M$1, Datos!$G$2:$G1003=M$2, Datos!$A$2:$A1003=$A27)"),3393.89)</f>
        <v>3393.89</v>
      </c>
      <c r="N27" s="20">
        <f>IFERROR(__xludf.DUMMYFUNCTION("FILTER(Datos!$D$2:$D1003, Datos!$F$2:$F1003=N$1, Datos!$G$2:$G1003=N$2, Datos!$A$2:$A1003=$A27)"),4002.7)</f>
        <v>4002.7</v>
      </c>
      <c r="O27" s="20">
        <f>IFERROR(__xludf.DUMMYFUNCTION("FILTER(Datos!$E$2:$E1003, Datos!$F$2:$F1003=O$1, Datos!$G$2:$G1003=O$2, Datos!$A$2:$A1003=$A27)"),6153.181)</f>
        <v>6153.181</v>
      </c>
      <c r="P27" s="20">
        <f>IFERROR(__xludf.DUMMYFUNCTION("FILTER(Datos!$D$2:$D1003, Datos!$F$2:$F1003=P$1, Datos!$G$2:$G1003=P$2, Datos!$A$2:$A1003=$A27)"),4568.367)</f>
        <v>4568.367</v>
      </c>
      <c r="Q27" s="21">
        <f>IFERROR(__xludf.DUMMYFUNCTION("FILTER(Datos!$E$2:$E1003, Datos!$F$2:$F1003=Q$1, Datos!$G$2:$G1003=Q$2, Datos!$A$2:$A1003=$A27)"),6888.35)</f>
        <v>6888.35</v>
      </c>
    </row>
    <row r="28">
      <c r="A28" s="18">
        <f t="shared" si="2"/>
        <v>23</v>
      </c>
      <c r="B28" s="19">
        <f>IFERROR(__xludf.DUMMYFUNCTION("FILTER(Datos!$D$2:$D1003, Datos!$F$2:$F1003=B$1, Datos!$G$2:$G1003=B$2, Datos!$A$2:$A1003=$A28)"),1916.367)</f>
        <v>1916.367</v>
      </c>
      <c r="C28" s="20">
        <f>IFERROR(__xludf.DUMMYFUNCTION("FILTER(Datos!$E$2:$E1003, Datos!$F$2:$F1003=C$1, Datos!$G$2:$G1003=C$2, Datos!$A$2:$A1003=$A28)"),2113.969)</f>
        <v>2113.969</v>
      </c>
      <c r="D28" s="20">
        <f>IFERROR(__xludf.DUMMYFUNCTION("FILTER(Datos!$D$2:$D1003, Datos!$F$2:$F1003=D$1, Datos!$G$2:$G1003=D$2, Datos!$A$2:$A1003=$A28)"),2502.733)</f>
        <v>2502.733</v>
      </c>
      <c r="E28" s="20">
        <f>IFERROR(__xludf.DUMMYFUNCTION("FILTER(Datos!$E$2:$E1003, Datos!$F$2:$F1003=E$1, Datos!$G$2:$G1003=E$2, Datos!$A$2:$A1003=$A28)"),3778.619)</f>
        <v>3778.619</v>
      </c>
      <c r="F28" s="20">
        <f>IFERROR(__xludf.DUMMYFUNCTION("FILTER(Datos!$D$2:$D1003, Datos!$F$2:$F1003=F$1, Datos!$G$2:$G1003=F$2, Datos!$A$2:$A1003=$A28)"),4448.933)</f>
        <v>4448.933</v>
      </c>
      <c r="G28" s="20">
        <f>IFERROR(__xludf.DUMMYFUNCTION("FILTER(Datos!$E$2:$E1003, Datos!$F$2:$F1003=G$1, Datos!$G$2:$G1003=G$2, Datos!$A$2:$A1003=$A28)"),6926.653)</f>
        <v>6926.653</v>
      </c>
      <c r="H28" s="20">
        <f>IFERROR(__xludf.DUMMYFUNCTION("FILTER(Datos!$D$2:$D1003, Datos!$F$2:$F1003=H$1, Datos!$G$2:$G1003=H$2, Datos!$A$2:$A1003=$A28)"),5024.867)</f>
        <v>5024.867</v>
      </c>
      <c r="I28" s="21">
        <f>IFERROR(__xludf.DUMMYFUNCTION("FILTER(Datos!$E$2:$E1003, Datos!$F$2:$F1003=I$1, Datos!$G$2:$G1003=I$2, Datos!$A$2:$A1003=$A28)"),7438.806)</f>
        <v>7438.806</v>
      </c>
      <c r="J28" s="20">
        <f>IFERROR(__xludf.DUMMYFUNCTION("FILTER(Datos!$D$2:$D1003, Datos!$F$2:$F1003=J$1, Datos!$G$2:$G1003=J$2, Datos!$A$2:$A1003=$A28)"),1833.167)</f>
        <v>1833.167</v>
      </c>
      <c r="K28" s="20">
        <f>IFERROR(__xludf.DUMMYFUNCTION("FILTER(Datos!$E$2:$E1003, Datos!$F$2:$F1003=K$1, Datos!$G$2:$G1003=K$2, Datos!$A$2:$A1003=$A28)"),2399.146)</f>
        <v>2399.146</v>
      </c>
      <c r="L28" s="20">
        <f>IFERROR(__xludf.DUMMYFUNCTION("FILTER(Datos!$D$2:$D1003, Datos!$F$2:$F1003=L$1, Datos!$G$2:$G1003=L$2, Datos!$A$2:$A1003=$A28)"),2343.0)</f>
        <v>2343</v>
      </c>
      <c r="M28" s="20">
        <f>IFERROR(__xludf.DUMMYFUNCTION("FILTER(Datos!$E$2:$E1003, Datos!$F$2:$F1003=M$1, Datos!$G$2:$G1003=M$2, Datos!$A$2:$A1003=$A28)"),3377.062)</f>
        <v>3377.062</v>
      </c>
      <c r="N28" s="20">
        <f>IFERROR(__xludf.DUMMYFUNCTION("FILTER(Datos!$D$2:$D1003, Datos!$F$2:$F1003=N$1, Datos!$G$2:$G1003=N$2, Datos!$A$2:$A1003=$A28)"),3954.033)</f>
        <v>3954.033</v>
      </c>
      <c r="O28" s="20">
        <f>IFERROR(__xludf.DUMMYFUNCTION("FILTER(Datos!$E$2:$E1003, Datos!$F$2:$F1003=O$1, Datos!$G$2:$G1003=O$2, Datos!$A$2:$A1003=$A28)"),6128.206)</f>
        <v>6128.206</v>
      </c>
      <c r="P28" s="20">
        <f>IFERROR(__xludf.DUMMYFUNCTION("FILTER(Datos!$D$2:$D1003, Datos!$F$2:$F1003=P$1, Datos!$G$2:$G1003=P$2, Datos!$A$2:$A1003=$A28)"),4548.9)</f>
        <v>4548.9</v>
      </c>
      <c r="Q28" s="21">
        <f>IFERROR(__xludf.DUMMYFUNCTION("FILTER(Datos!$E$2:$E1003, Datos!$F$2:$F1003=Q$1, Datos!$G$2:$G1003=Q$2, Datos!$A$2:$A1003=$A28)"),6883.535)</f>
        <v>6883.535</v>
      </c>
    </row>
    <row r="29">
      <c r="A29" s="18">
        <f t="shared" si="2"/>
        <v>24</v>
      </c>
      <c r="B29" s="19">
        <f>IFERROR(__xludf.DUMMYFUNCTION("FILTER(Datos!$D$2:$D1003, Datos!$F$2:$F1003=B$1, Datos!$G$2:$G1003=B$2, Datos!$A$2:$A1003=$A29)"),1916.367)</f>
        <v>1916.367</v>
      </c>
      <c r="C29" s="20">
        <f>IFERROR(__xludf.DUMMYFUNCTION("FILTER(Datos!$E$2:$E1003, Datos!$F$2:$F1003=C$1, Datos!$G$2:$G1003=C$2, Datos!$A$2:$A1003=$A29)"),2104.52)</f>
        <v>2104.52</v>
      </c>
      <c r="D29" s="20">
        <f>IFERROR(__xludf.DUMMYFUNCTION("FILTER(Datos!$D$2:$D1003, Datos!$F$2:$F1003=D$1, Datos!$G$2:$G1003=D$2, Datos!$A$2:$A1003=$A29)"),2489.733)</f>
        <v>2489.733</v>
      </c>
      <c r="E29" s="20">
        <f>IFERROR(__xludf.DUMMYFUNCTION("FILTER(Datos!$E$2:$E1003, Datos!$F$2:$F1003=E$1, Datos!$G$2:$G1003=E$2, Datos!$A$2:$A1003=$A29)"),3722.669)</f>
        <v>3722.669</v>
      </c>
      <c r="F29" s="20">
        <f>IFERROR(__xludf.DUMMYFUNCTION("FILTER(Datos!$D$2:$D1003, Datos!$F$2:$F1003=F$1, Datos!$G$2:$G1003=F$2, Datos!$A$2:$A1003=$A29)"),4447.3)</f>
        <v>4447.3</v>
      </c>
      <c r="G29" s="20">
        <f>IFERROR(__xludf.DUMMYFUNCTION("FILTER(Datos!$E$2:$E1003, Datos!$F$2:$F1003=G$1, Datos!$G$2:$G1003=G$2, Datos!$A$2:$A1003=$A29)"),6897.906)</f>
        <v>6897.906</v>
      </c>
      <c r="H29" s="20">
        <f>IFERROR(__xludf.DUMMYFUNCTION("FILTER(Datos!$D$2:$D1003, Datos!$F$2:$F1003=H$1, Datos!$G$2:$G1003=H$2, Datos!$A$2:$A1003=$A29)"),5021.467)</f>
        <v>5021.467</v>
      </c>
      <c r="I29" s="21">
        <f>IFERROR(__xludf.DUMMYFUNCTION("FILTER(Datos!$E$2:$E1003, Datos!$F$2:$F1003=I$1, Datos!$G$2:$G1003=I$2, Datos!$A$2:$A1003=$A29)"),7435.296)</f>
        <v>7435.296</v>
      </c>
      <c r="J29" s="20">
        <f>IFERROR(__xludf.DUMMYFUNCTION("FILTER(Datos!$D$2:$D1003, Datos!$F$2:$F1003=J$1, Datos!$G$2:$G1003=J$2, Datos!$A$2:$A1003=$A29)"),1831.467)</f>
        <v>1831.467</v>
      </c>
      <c r="K29" s="20">
        <f>IFERROR(__xludf.DUMMYFUNCTION("FILTER(Datos!$E$2:$E1003, Datos!$F$2:$F1003=K$1, Datos!$G$2:$G1003=K$2, Datos!$A$2:$A1003=$A29)"),2388.638)</f>
        <v>2388.638</v>
      </c>
      <c r="L29" s="20">
        <f>IFERROR(__xludf.DUMMYFUNCTION("FILTER(Datos!$D$2:$D1003, Datos!$F$2:$F1003=L$1, Datos!$G$2:$G1003=L$2, Datos!$A$2:$A1003=$A29)"),2325.233)</f>
        <v>2325.233</v>
      </c>
      <c r="M29" s="20">
        <f>IFERROR(__xludf.DUMMYFUNCTION("FILTER(Datos!$E$2:$E1003, Datos!$F$2:$F1003=M$1, Datos!$G$2:$G1003=M$2, Datos!$A$2:$A1003=$A29)"),3336.44)</f>
        <v>3336.44</v>
      </c>
      <c r="N29" s="20">
        <f>IFERROR(__xludf.DUMMYFUNCTION("FILTER(Datos!$D$2:$D1003, Datos!$F$2:$F1003=N$1, Datos!$G$2:$G1003=N$2, Datos!$A$2:$A1003=$A29)"),3924.333)</f>
        <v>3924.333</v>
      </c>
      <c r="O29" s="20">
        <f>IFERROR(__xludf.DUMMYFUNCTION("FILTER(Datos!$E$2:$E1003, Datos!$F$2:$F1003=O$1, Datos!$G$2:$G1003=O$2, Datos!$A$2:$A1003=$A29)"),6103.424)</f>
        <v>6103.424</v>
      </c>
      <c r="P29" s="20">
        <f>IFERROR(__xludf.DUMMYFUNCTION("FILTER(Datos!$D$2:$D1003, Datos!$F$2:$F1003=P$1, Datos!$G$2:$G1003=P$2, Datos!$A$2:$A1003=$A29)"),4533.133)</f>
        <v>4533.133</v>
      </c>
      <c r="Q29" s="21">
        <f>IFERROR(__xludf.DUMMYFUNCTION("FILTER(Datos!$E$2:$E1003, Datos!$F$2:$F1003=Q$1, Datos!$G$2:$G1003=Q$2, Datos!$A$2:$A1003=$A29)"),6871.253)</f>
        <v>6871.253</v>
      </c>
    </row>
    <row r="30">
      <c r="A30" s="18">
        <f t="shared" si="2"/>
        <v>25</v>
      </c>
      <c r="B30" s="19">
        <f>IFERROR(__xludf.DUMMYFUNCTION("FILTER(Datos!$D$2:$D1003, Datos!$F$2:$F1003=B$1, Datos!$G$2:$G1003=B$2, Datos!$A$2:$A1003=$A30)"),1916.367)</f>
        <v>1916.367</v>
      </c>
      <c r="C30" s="20">
        <f>IFERROR(__xludf.DUMMYFUNCTION("FILTER(Datos!$E$2:$E1003, Datos!$F$2:$F1003=C$1, Datos!$G$2:$G1003=C$2, Datos!$A$2:$A1003=$A30)"),2093.913)</f>
        <v>2093.913</v>
      </c>
      <c r="D30" s="20">
        <f>IFERROR(__xludf.DUMMYFUNCTION("FILTER(Datos!$D$2:$D1003, Datos!$F$2:$F1003=D$1, Datos!$G$2:$G1003=D$2, Datos!$A$2:$A1003=$A30)"),2483.4)</f>
        <v>2483.4</v>
      </c>
      <c r="E30" s="20">
        <f>IFERROR(__xludf.DUMMYFUNCTION("FILTER(Datos!$E$2:$E1003, Datos!$F$2:$F1003=E$1, Datos!$G$2:$G1003=E$2, Datos!$A$2:$A1003=$A30)"),3670.317)</f>
        <v>3670.317</v>
      </c>
      <c r="F30" s="20">
        <f>IFERROR(__xludf.DUMMYFUNCTION("FILTER(Datos!$D$2:$D1003, Datos!$F$2:$F1003=F$1, Datos!$G$2:$G1003=F$2, Datos!$A$2:$A1003=$A30)"),4422.133)</f>
        <v>4422.133</v>
      </c>
      <c r="G30" s="20">
        <f>IFERROR(__xludf.DUMMYFUNCTION("FILTER(Datos!$E$2:$E1003, Datos!$F$2:$F1003=G$1, Datos!$G$2:$G1003=G$2, Datos!$A$2:$A1003=$A30)"),6896.168)</f>
        <v>6896.168</v>
      </c>
      <c r="H30" s="20">
        <f>IFERROR(__xludf.DUMMYFUNCTION("FILTER(Datos!$D$2:$D1003, Datos!$F$2:$F1003=H$1, Datos!$G$2:$G1003=H$2, Datos!$A$2:$A1003=$A30)"),5004.567)</f>
        <v>5004.567</v>
      </c>
      <c r="I30" s="21">
        <f>IFERROR(__xludf.DUMMYFUNCTION("FILTER(Datos!$E$2:$E1003, Datos!$F$2:$F1003=I$1, Datos!$G$2:$G1003=I$2, Datos!$A$2:$A1003=$A30)"),7428.116)</f>
        <v>7428.116</v>
      </c>
      <c r="J30" s="20">
        <f>IFERROR(__xludf.DUMMYFUNCTION("FILTER(Datos!$D$2:$D1003, Datos!$F$2:$F1003=J$1, Datos!$G$2:$G1003=J$2, Datos!$A$2:$A1003=$A30)"),1831.467)</f>
        <v>1831.467</v>
      </c>
      <c r="K30" s="20">
        <f>IFERROR(__xludf.DUMMYFUNCTION("FILTER(Datos!$E$2:$E1003, Datos!$F$2:$F1003=K$1, Datos!$G$2:$G1003=K$2, Datos!$A$2:$A1003=$A30)"),2372.375)</f>
        <v>2372.375</v>
      </c>
      <c r="L30" s="20">
        <f>IFERROR(__xludf.DUMMYFUNCTION("FILTER(Datos!$D$2:$D1003, Datos!$F$2:$F1003=L$1, Datos!$G$2:$G1003=L$2, Datos!$A$2:$A1003=$A30)"),2311.067)</f>
        <v>2311.067</v>
      </c>
      <c r="M30" s="20">
        <f>IFERROR(__xludf.DUMMYFUNCTION("FILTER(Datos!$E$2:$E1003, Datos!$F$2:$F1003=M$1, Datos!$G$2:$G1003=M$2, Datos!$A$2:$A1003=$A30)"),3298.498)</f>
        <v>3298.498</v>
      </c>
      <c r="N30" s="20">
        <f>IFERROR(__xludf.DUMMYFUNCTION("FILTER(Datos!$D$2:$D1003, Datos!$F$2:$F1003=N$1, Datos!$G$2:$G1003=N$2, Datos!$A$2:$A1003=$A30)"),3916.1)</f>
        <v>3916.1</v>
      </c>
      <c r="O30" s="20">
        <f>IFERROR(__xludf.DUMMYFUNCTION("FILTER(Datos!$E$2:$E1003, Datos!$F$2:$F1003=O$1, Datos!$G$2:$G1003=O$2, Datos!$A$2:$A1003=$A30)"),6068.189)</f>
        <v>6068.189</v>
      </c>
      <c r="P30" s="20">
        <f>IFERROR(__xludf.DUMMYFUNCTION("FILTER(Datos!$D$2:$D1003, Datos!$F$2:$F1003=P$1, Datos!$G$2:$G1003=P$2, Datos!$A$2:$A1003=$A30)"),4493.0)</f>
        <v>4493</v>
      </c>
      <c r="Q30" s="21">
        <f>IFERROR(__xludf.DUMMYFUNCTION("FILTER(Datos!$E$2:$E1003, Datos!$F$2:$F1003=Q$1, Datos!$G$2:$G1003=Q$2, Datos!$A$2:$A1003=$A30)"),6838.355)</f>
        <v>6838.355</v>
      </c>
    </row>
    <row r="31">
      <c r="A31" s="18">
        <f t="shared" si="2"/>
        <v>26</v>
      </c>
      <c r="B31" s="19">
        <f>IFERROR(__xludf.DUMMYFUNCTION("FILTER(Datos!$D$2:$D1003, Datos!$F$2:$F1003=B$1, Datos!$G$2:$G1003=B$2, Datos!$A$2:$A1003=$A31)"),1916.367)</f>
        <v>1916.367</v>
      </c>
      <c r="C31" s="20">
        <f>IFERROR(__xludf.DUMMYFUNCTION("FILTER(Datos!$E$2:$E1003, Datos!$F$2:$F1003=C$1, Datos!$G$2:$G1003=C$2, Datos!$A$2:$A1003=$A31)"),2085.852)</f>
        <v>2085.852</v>
      </c>
      <c r="D31" s="20">
        <f>IFERROR(__xludf.DUMMYFUNCTION("FILTER(Datos!$D$2:$D1003, Datos!$F$2:$F1003=D$1, Datos!$G$2:$G1003=D$2, Datos!$A$2:$A1003=$A31)"),2459.0)</f>
        <v>2459</v>
      </c>
      <c r="E31" s="20">
        <f>IFERROR(__xludf.DUMMYFUNCTION("FILTER(Datos!$E$2:$E1003, Datos!$F$2:$F1003=E$1, Datos!$G$2:$G1003=E$2, Datos!$A$2:$A1003=$A31)"),3618.357)</f>
        <v>3618.357</v>
      </c>
      <c r="F31" s="20">
        <f>IFERROR(__xludf.DUMMYFUNCTION("FILTER(Datos!$D$2:$D1003, Datos!$F$2:$F1003=F$1, Datos!$G$2:$G1003=F$2, Datos!$A$2:$A1003=$A31)"),4418.267)</f>
        <v>4418.267</v>
      </c>
      <c r="G31" s="20">
        <f>IFERROR(__xludf.DUMMYFUNCTION("FILTER(Datos!$E$2:$E1003, Datos!$F$2:$F1003=G$1, Datos!$G$2:$G1003=G$2, Datos!$A$2:$A1003=$A31)"),6881.198)</f>
        <v>6881.198</v>
      </c>
      <c r="H31" s="20">
        <f>IFERROR(__xludf.DUMMYFUNCTION("FILTER(Datos!$D$2:$D1003, Datos!$F$2:$F1003=H$1, Datos!$G$2:$G1003=H$2, Datos!$A$2:$A1003=$A31)"),4983.533)</f>
        <v>4983.533</v>
      </c>
      <c r="I31" s="21">
        <f>IFERROR(__xludf.DUMMYFUNCTION("FILTER(Datos!$E$2:$E1003, Datos!$F$2:$F1003=I$1, Datos!$G$2:$G1003=I$2, Datos!$A$2:$A1003=$A31)"),7434.104)</f>
        <v>7434.104</v>
      </c>
      <c r="J31" s="20">
        <f>IFERROR(__xludf.DUMMYFUNCTION("FILTER(Datos!$D$2:$D1003, Datos!$F$2:$F1003=J$1, Datos!$G$2:$G1003=J$2, Datos!$A$2:$A1003=$A31)"),1831.467)</f>
        <v>1831.467</v>
      </c>
      <c r="K31" s="20">
        <f>IFERROR(__xludf.DUMMYFUNCTION("FILTER(Datos!$E$2:$E1003, Datos!$F$2:$F1003=K$1, Datos!$G$2:$G1003=K$2, Datos!$A$2:$A1003=$A31)"),2363.541)</f>
        <v>2363.541</v>
      </c>
      <c r="L31" s="20">
        <f>IFERROR(__xludf.DUMMYFUNCTION("FILTER(Datos!$D$2:$D1003, Datos!$F$2:$F1003=L$1, Datos!$G$2:$G1003=L$2, Datos!$A$2:$A1003=$A31)"),2304.067)</f>
        <v>2304.067</v>
      </c>
      <c r="M31" s="20">
        <f>IFERROR(__xludf.DUMMYFUNCTION("FILTER(Datos!$E$2:$E1003, Datos!$F$2:$F1003=M$1, Datos!$G$2:$G1003=M$2, Datos!$A$2:$A1003=$A31)"),3268.059)</f>
        <v>3268.059</v>
      </c>
      <c r="N31" s="20">
        <f>IFERROR(__xludf.DUMMYFUNCTION("FILTER(Datos!$D$2:$D1003, Datos!$F$2:$F1003=N$1, Datos!$G$2:$G1003=N$2, Datos!$A$2:$A1003=$A31)"),3891.9)</f>
        <v>3891.9</v>
      </c>
      <c r="O31" s="20">
        <f>IFERROR(__xludf.DUMMYFUNCTION("FILTER(Datos!$E$2:$E1003, Datos!$F$2:$F1003=O$1, Datos!$G$2:$G1003=O$2, Datos!$A$2:$A1003=$A31)"),6044.123)</f>
        <v>6044.123</v>
      </c>
      <c r="P31" s="20">
        <f>IFERROR(__xludf.DUMMYFUNCTION("FILTER(Datos!$D$2:$D1003, Datos!$F$2:$F1003=P$1, Datos!$G$2:$G1003=P$2, Datos!$A$2:$A1003=$A31)"),4482.433)</f>
        <v>4482.433</v>
      </c>
      <c r="Q31" s="21">
        <f>IFERROR(__xludf.DUMMYFUNCTION("FILTER(Datos!$E$2:$E1003, Datos!$F$2:$F1003=Q$1, Datos!$G$2:$G1003=Q$2, Datos!$A$2:$A1003=$A31)"),6821.18)</f>
        <v>6821.18</v>
      </c>
    </row>
    <row r="32">
      <c r="A32" s="18">
        <f t="shared" si="2"/>
        <v>27</v>
      </c>
      <c r="B32" s="19">
        <f>IFERROR(__xludf.DUMMYFUNCTION("FILTER(Datos!$D$2:$D1003, Datos!$F$2:$F1003=B$1, Datos!$G$2:$G1003=B$2, Datos!$A$2:$A1003=$A32)"),1916.367)</f>
        <v>1916.367</v>
      </c>
      <c r="C32" s="20">
        <f>IFERROR(__xludf.DUMMYFUNCTION("FILTER(Datos!$E$2:$E1003, Datos!$F$2:$F1003=C$1, Datos!$G$2:$G1003=C$2, Datos!$A$2:$A1003=$A32)"),2082.761)</f>
        <v>2082.761</v>
      </c>
      <c r="D32" s="20">
        <f>IFERROR(__xludf.DUMMYFUNCTION("FILTER(Datos!$D$2:$D1003, Datos!$F$2:$F1003=D$1, Datos!$G$2:$G1003=D$2, Datos!$A$2:$A1003=$A32)"),2423.067)</f>
        <v>2423.067</v>
      </c>
      <c r="E32" s="20">
        <f>IFERROR(__xludf.DUMMYFUNCTION("FILTER(Datos!$E$2:$E1003, Datos!$F$2:$F1003=E$1, Datos!$G$2:$G1003=E$2, Datos!$A$2:$A1003=$A32)"),3568.471)</f>
        <v>3568.471</v>
      </c>
      <c r="F32" s="20">
        <f>IFERROR(__xludf.DUMMYFUNCTION("FILTER(Datos!$D$2:$D1003, Datos!$F$2:$F1003=F$1, Datos!$G$2:$G1003=F$2, Datos!$A$2:$A1003=$A32)"),4397.433)</f>
        <v>4397.433</v>
      </c>
      <c r="G32" s="20">
        <f>IFERROR(__xludf.DUMMYFUNCTION("FILTER(Datos!$E$2:$E1003, Datos!$F$2:$F1003=G$1, Datos!$G$2:$G1003=G$2, Datos!$A$2:$A1003=$A32)"),6866.55)</f>
        <v>6866.55</v>
      </c>
      <c r="H32" s="20">
        <f>IFERROR(__xludf.DUMMYFUNCTION("FILTER(Datos!$D$2:$D1003, Datos!$F$2:$F1003=H$1, Datos!$G$2:$G1003=H$2, Datos!$A$2:$A1003=$A32)"),4961.1)</f>
        <v>4961.1</v>
      </c>
      <c r="I32" s="21">
        <f>IFERROR(__xludf.DUMMYFUNCTION("FILTER(Datos!$E$2:$E1003, Datos!$F$2:$F1003=I$1, Datos!$G$2:$G1003=I$2, Datos!$A$2:$A1003=$A32)"),7431.746)</f>
        <v>7431.746</v>
      </c>
      <c r="J32" s="20">
        <f>IFERROR(__xludf.DUMMYFUNCTION("FILTER(Datos!$D$2:$D1003, Datos!$F$2:$F1003=J$1, Datos!$G$2:$G1003=J$2, Datos!$A$2:$A1003=$A32)"),1831.467)</f>
        <v>1831.467</v>
      </c>
      <c r="K32" s="20">
        <f>IFERROR(__xludf.DUMMYFUNCTION("FILTER(Datos!$E$2:$E1003, Datos!$F$2:$F1003=K$1, Datos!$G$2:$G1003=K$2, Datos!$A$2:$A1003=$A32)"),2357.229)</f>
        <v>2357.229</v>
      </c>
      <c r="L32" s="20">
        <f>IFERROR(__xludf.DUMMYFUNCTION("FILTER(Datos!$D$2:$D1003, Datos!$F$2:$F1003=L$1, Datos!$G$2:$G1003=L$2, Datos!$A$2:$A1003=$A32)"),2295.8)</f>
        <v>2295.8</v>
      </c>
      <c r="M32" s="20">
        <f>IFERROR(__xludf.DUMMYFUNCTION("FILTER(Datos!$E$2:$E1003, Datos!$F$2:$F1003=M$1, Datos!$G$2:$G1003=M$2, Datos!$A$2:$A1003=$A32)"),3246.013)</f>
        <v>3246.013</v>
      </c>
      <c r="N32" s="20">
        <f>IFERROR(__xludf.DUMMYFUNCTION("FILTER(Datos!$D$2:$D1003, Datos!$F$2:$F1003=N$1, Datos!$G$2:$G1003=N$2, Datos!$A$2:$A1003=$A32)"),3861.267)</f>
        <v>3861.267</v>
      </c>
      <c r="O32" s="20">
        <f>IFERROR(__xludf.DUMMYFUNCTION("FILTER(Datos!$E$2:$E1003, Datos!$F$2:$F1003=O$1, Datos!$G$2:$G1003=O$2, Datos!$A$2:$A1003=$A32)"),6017.88)</f>
        <v>6017.88</v>
      </c>
      <c r="P32" s="20">
        <f>IFERROR(__xludf.DUMMYFUNCTION("FILTER(Datos!$D$2:$D1003, Datos!$F$2:$F1003=P$1, Datos!$G$2:$G1003=P$2, Datos!$A$2:$A1003=$A32)"),4455.033)</f>
        <v>4455.033</v>
      </c>
      <c r="Q32" s="21">
        <f>IFERROR(__xludf.DUMMYFUNCTION("FILTER(Datos!$E$2:$E1003, Datos!$F$2:$F1003=Q$1, Datos!$G$2:$G1003=Q$2, Datos!$A$2:$A1003=$A32)"),6800.147)</f>
        <v>6800.147</v>
      </c>
    </row>
    <row r="33">
      <c r="A33" s="18">
        <f t="shared" si="2"/>
        <v>28</v>
      </c>
      <c r="B33" s="19">
        <f>IFERROR(__xludf.DUMMYFUNCTION("FILTER(Datos!$D$2:$D1003, Datos!$F$2:$F1003=B$1, Datos!$G$2:$G1003=B$2, Datos!$A$2:$A1003=$A33)"),1916.067)</f>
        <v>1916.067</v>
      </c>
      <c r="C33" s="20">
        <f>IFERROR(__xludf.DUMMYFUNCTION("FILTER(Datos!$E$2:$E1003, Datos!$F$2:$F1003=C$1, Datos!$G$2:$G1003=C$2, Datos!$A$2:$A1003=$A33)"),2075.388)</f>
        <v>2075.388</v>
      </c>
      <c r="D33" s="20">
        <f>IFERROR(__xludf.DUMMYFUNCTION("FILTER(Datos!$D$2:$D1003, Datos!$F$2:$F1003=D$1, Datos!$G$2:$G1003=D$2, Datos!$A$2:$A1003=$A33)"),2406.233)</f>
        <v>2406.233</v>
      </c>
      <c r="E33" s="20">
        <f>IFERROR(__xludf.DUMMYFUNCTION("FILTER(Datos!$E$2:$E1003, Datos!$F$2:$F1003=E$1, Datos!$G$2:$G1003=E$2, Datos!$A$2:$A1003=$A33)"),3505.686)</f>
        <v>3505.686</v>
      </c>
      <c r="F33" s="20">
        <f>IFERROR(__xludf.DUMMYFUNCTION("FILTER(Datos!$D$2:$D1003, Datos!$F$2:$F1003=F$1, Datos!$G$2:$G1003=F$2, Datos!$A$2:$A1003=$A33)"),4375.633)</f>
        <v>4375.633</v>
      </c>
      <c r="G33" s="20">
        <f>IFERROR(__xludf.DUMMYFUNCTION("FILTER(Datos!$E$2:$E1003, Datos!$F$2:$F1003=G$1, Datos!$G$2:$G1003=G$2, Datos!$A$2:$A1003=$A33)"),6862.268)</f>
        <v>6862.268</v>
      </c>
      <c r="H33" s="20">
        <f>IFERROR(__xludf.DUMMYFUNCTION("FILTER(Datos!$D$2:$D1003, Datos!$F$2:$F1003=H$1, Datos!$G$2:$G1003=H$2, Datos!$A$2:$A1003=$A33)"),4961.1)</f>
        <v>4961.1</v>
      </c>
      <c r="I33" s="21">
        <f>IFERROR(__xludf.DUMMYFUNCTION("FILTER(Datos!$E$2:$E1003, Datos!$F$2:$F1003=I$1, Datos!$G$2:$G1003=I$2, Datos!$A$2:$A1003=$A33)"),7415.328)</f>
        <v>7415.328</v>
      </c>
      <c r="J33" s="20">
        <f>IFERROR(__xludf.DUMMYFUNCTION("FILTER(Datos!$D$2:$D1003, Datos!$F$2:$F1003=J$1, Datos!$G$2:$G1003=J$2, Datos!$A$2:$A1003=$A33)"),1831.467)</f>
        <v>1831.467</v>
      </c>
      <c r="K33" s="20">
        <f>IFERROR(__xludf.DUMMYFUNCTION("FILTER(Datos!$E$2:$E1003, Datos!$F$2:$F1003=K$1, Datos!$G$2:$G1003=K$2, Datos!$A$2:$A1003=$A33)"),2346.692)</f>
        <v>2346.692</v>
      </c>
      <c r="L33" s="20">
        <f>IFERROR(__xludf.DUMMYFUNCTION("FILTER(Datos!$D$2:$D1003, Datos!$F$2:$F1003=L$1, Datos!$G$2:$G1003=L$2, Datos!$A$2:$A1003=$A33)"),2290.4)</f>
        <v>2290.4</v>
      </c>
      <c r="M33" s="20">
        <f>IFERROR(__xludf.DUMMYFUNCTION("FILTER(Datos!$E$2:$E1003, Datos!$F$2:$F1003=M$1, Datos!$G$2:$G1003=M$2, Datos!$A$2:$A1003=$A33)"),3229.566)</f>
        <v>3229.566</v>
      </c>
      <c r="N33" s="20">
        <f>IFERROR(__xludf.DUMMYFUNCTION("FILTER(Datos!$D$2:$D1003, Datos!$F$2:$F1003=N$1, Datos!$G$2:$G1003=N$2, Datos!$A$2:$A1003=$A33)"),3850.367)</f>
        <v>3850.367</v>
      </c>
      <c r="O33" s="20">
        <f>IFERROR(__xludf.DUMMYFUNCTION("FILTER(Datos!$E$2:$E1003, Datos!$F$2:$F1003=O$1, Datos!$G$2:$G1003=O$2, Datos!$A$2:$A1003=$A33)"),6009.373)</f>
        <v>6009.373</v>
      </c>
      <c r="P33" s="20">
        <f>IFERROR(__xludf.DUMMYFUNCTION("FILTER(Datos!$D$2:$D1003, Datos!$F$2:$F1003=P$1, Datos!$G$2:$G1003=P$2, Datos!$A$2:$A1003=$A33)"),4413.967)</f>
        <v>4413.967</v>
      </c>
      <c r="Q33" s="21">
        <f>IFERROR(__xludf.DUMMYFUNCTION("FILTER(Datos!$E$2:$E1003, Datos!$F$2:$F1003=Q$1, Datos!$G$2:$G1003=Q$2, Datos!$A$2:$A1003=$A33)"),6778.129)</f>
        <v>6778.129</v>
      </c>
    </row>
    <row r="34">
      <c r="A34" s="18">
        <f t="shared" si="2"/>
        <v>29</v>
      </c>
      <c r="B34" s="19">
        <f>IFERROR(__xludf.DUMMYFUNCTION("FILTER(Datos!$D$2:$D1003, Datos!$F$2:$F1003=B$1, Datos!$G$2:$G1003=B$2, Datos!$A$2:$A1003=$A34)"),1916.033)</f>
        <v>1916.033</v>
      </c>
      <c r="C34" s="20">
        <f>IFERROR(__xludf.DUMMYFUNCTION("FILTER(Datos!$E$2:$E1003, Datos!$F$2:$F1003=C$1, Datos!$G$2:$G1003=C$2, Datos!$A$2:$A1003=$A34)"),2066.14)</f>
        <v>2066.14</v>
      </c>
      <c r="D34" s="20">
        <f>IFERROR(__xludf.DUMMYFUNCTION("FILTER(Datos!$D$2:$D1003, Datos!$F$2:$F1003=D$1, Datos!$G$2:$G1003=D$2, Datos!$A$2:$A1003=$A34)"),2389.2)</f>
        <v>2389.2</v>
      </c>
      <c r="E34" s="20">
        <f>IFERROR(__xludf.DUMMYFUNCTION("FILTER(Datos!$E$2:$E1003, Datos!$F$2:$F1003=E$1, Datos!$G$2:$G1003=E$2, Datos!$A$2:$A1003=$A34)"),3444.198)</f>
        <v>3444.198</v>
      </c>
      <c r="F34" s="20">
        <f>IFERROR(__xludf.DUMMYFUNCTION("FILTER(Datos!$D$2:$D1003, Datos!$F$2:$F1003=F$1, Datos!$G$2:$G1003=F$2, Datos!$A$2:$A1003=$A34)"),4351.0)</f>
        <v>4351</v>
      </c>
      <c r="G34" s="20">
        <f>IFERROR(__xludf.DUMMYFUNCTION("FILTER(Datos!$E$2:$E1003, Datos!$F$2:$F1003=G$1, Datos!$G$2:$G1003=G$2, Datos!$A$2:$A1003=$A34)"),6842.707)</f>
        <v>6842.707</v>
      </c>
      <c r="H34" s="20">
        <f>IFERROR(__xludf.DUMMYFUNCTION("FILTER(Datos!$D$2:$D1003, Datos!$F$2:$F1003=H$1, Datos!$G$2:$G1003=H$2, Datos!$A$2:$A1003=$A34)"),4951.933)</f>
        <v>4951.933</v>
      </c>
      <c r="I34" s="21">
        <f>IFERROR(__xludf.DUMMYFUNCTION("FILTER(Datos!$E$2:$E1003, Datos!$F$2:$F1003=I$1, Datos!$G$2:$G1003=I$2, Datos!$A$2:$A1003=$A34)"),7417.832)</f>
        <v>7417.832</v>
      </c>
      <c r="J34" s="20">
        <f>IFERROR(__xludf.DUMMYFUNCTION("FILTER(Datos!$D$2:$D1003, Datos!$F$2:$F1003=J$1, Datos!$G$2:$G1003=J$2, Datos!$A$2:$A1003=$A34)"),1828.433)</f>
        <v>1828.433</v>
      </c>
      <c r="K34" s="20">
        <f>IFERROR(__xludf.DUMMYFUNCTION("FILTER(Datos!$E$2:$E1003, Datos!$F$2:$F1003=K$1, Datos!$G$2:$G1003=K$2, Datos!$A$2:$A1003=$A34)"),2339.545)</f>
        <v>2339.545</v>
      </c>
      <c r="L34" s="20">
        <f>IFERROR(__xludf.DUMMYFUNCTION("FILTER(Datos!$D$2:$D1003, Datos!$F$2:$F1003=L$1, Datos!$G$2:$G1003=L$2, Datos!$A$2:$A1003=$A34)"),2284.6)</f>
        <v>2284.6</v>
      </c>
      <c r="M34" s="20">
        <f>IFERROR(__xludf.DUMMYFUNCTION("FILTER(Datos!$E$2:$E1003, Datos!$F$2:$F1003=M$1, Datos!$G$2:$G1003=M$2, Datos!$A$2:$A1003=$A34)"),3210.934)</f>
        <v>3210.934</v>
      </c>
      <c r="N34" s="20">
        <f>IFERROR(__xludf.DUMMYFUNCTION("FILTER(Datos!$D$2:$D1003, Datos!$F$2:$F1003=N$1, Datos!$G$2:$G1003=N$2, Datos!$A$2:$A1003=$A34)"),3807.0)</f>
        <v>3807</v>
      </c>
      <c r="O34" s="20">
        <f>IFERROR(__xludf.DUMMYFUNCTION("FILTER(Datos!$E$2:$E1003, Datos!$F$2:$F1003=O$1, Datos!$G$2:$G1003=O$2, Datos!$A$2:$A1003=$A34)"),5998.375)</f>
        <v>5998.375</v>
      </c>
      <c r="P34" s="20">
        <f>IFERROR(__xludf.DUMMYFUNCTION("FILTER(Datos!$D$2:$D1003, Datos!$F$2:$F1003=P$1, Datos!$G$2:$G1003=P$2, Datos!$A$2:$A1003=$A34)"),4393.567)</f>
        <v>4393.567</v>
      </c>
      <c r="Q34" s="21">
        <f>IFERROR(__xludf.DUMMYFUNCTION("FILTER(Datos!$E$2:$E1003, Datos!$F$2:$F1003=Q$1, Datos!$G$2:$G1003=Q$2, Datos!$A$2:$A1003=$A34)"),6741.828)</f>
        <v>6741.828</v>
      </c>
    </row>
    <row r="35">
      <c r="A35" s="18">
        <f t="shared" si="2"/>
        <v>30</v>
      </c>
      <c r="B35" s="19">
        <f>IFERROR(__xludf.DUMMYFUNCTION("FILTER(Datos!$D$2:$D1003, Datos!$F$2:$F1003=B$1, Datos!$G$2:$G1003=B$2, Datos!$A$2:$A1003=$A35)"),1916.033)</f>
        <v>1916.033</v>
      </c>
      <c r="C35" s="20">
        <f>IFERROR(__xludf.DUMMYFUNCTION("FILTER(Datos!$E$2:$E1003, Datos!$F$2:$F1003=C$1, Datos!$G$2:$G1003=C$2, Datos!$A$2:$A1003=$A35)"),2062.0)</f>
        <v>2062</v>
      </c>
      <c r="D35" s="20">
        <f>IFERROR(__xludf.DUMMYFUNCTION("FILTER(Datos!$D$2:$D1003, Datos!$F$2:$F1003=D$1, Datos!$G$2:$G1003=D$2, Datos!$A$2:$A1003=$A35)"),2362.867)</f>
        <v>2362.867</v>
      </c>
      <c r="E35" s="20">
        <f>IFERROR(__xludf.DUMMYFUNCTION("FILTER(Datos!$E$2:$E1003, Datos!$F$2:$F1003=E$1, Datos!$G$2:$G1003=E$2, Datos!$A$2:$A1003=$A35)"),3397.036)</f>
        <v>3397.036</v>
      </c>
      <c r="F35" s="20">
        <f>IFERROR(__xludf.DUMMYFUNCTION("FILTER(Datos!$D$2:$D1003, Datos!$F$2:$F1003=F$1, Datos!$G$2:$G1003=F$2, Datos!$A$2:$A1003=$A35)"),4322.3)</f>
        <v>4322.3</v>
      </c>
      <c r="G35" s="20">
        <f>IFERROR(__xludf.DUMMYFUNCTION("FILTER(Datos!$E$2:$E1003, Datos!$F$2:$F1003=G$1, Datos!$G$2:$G1003=G$2, Datos!$A$2:$A1003=$A35)"),6822.825)</f>
        <v>6822.825</v>
      </c>
      <c r="H35" s="20">
        <f>IFERROR(__xludf.DUMMYFUNCTION("FILTER(Datos!$D$2:$D1003, Datos!$F$2:$F1003=H$1, Datos!$G$2:$G1003=H$2, Datos!$A$2:$A1003=$A35)"),4949.767)</f>
        <v>4949.767</v>
      </c>
      <c r="I35" s="21">
        <f>IFERROR(__xludf.DUMMYFUNCTION("FILTER(Datos!$E$2:$E1003, Datos!$F$2:$F1003=I$1, Datos!$G$2:$G1003=I$2, Datos!$A$2:$A1003=$A35)"),7428.63)</f>
        <v>7428.63</v>
      </c>
      <c r="J35" s="20">
        <f>IFERROR(__xludf.DUMMYFUNCTION("FILTER(Datos!$D$2:$D1003, Datos!$F$2:$F1003=J$1, Datos!$G$2:$G1003=J$2, Datos!$A$2:$A1003=$A35)"),1828.433)</f>
        <v>1828.433</v>
      </c>
      <c r="K35" s="20">
        <f>IFERROR(__xludf.DUMMYFUNCTION("FILTER(Datos!$E$2:$E1003, Datos!$F$2:$F1003=K$1, Datos!$G$2:$G1003=K$2, Datos!$A$2:$A1003=$A35)"),2342.285)</f>
        <v>2342.285</v>
      </c>
      <c r="L35" s="20">
        <f>IFERROR(__xludf.DUMMYFUNCTION("FILTER(Datos!$D$2:$D1003, Datos!$F$2:$F1003=L$1, Datos!$G$2:$G1003=L$2, Datos!$A$2:$A1003=$A35)"),2267.667)</f>
        <v>2267.667</v>
      </c>
      <c r="M35" s="20">
        <f>IFERROR(__xludf.DUMMYFUNCTION("FILTER(Datos!$E$2:$E1003, Datos!$F$2:$F1003=M$1, Datos!$G$2:$G1003=M$2, Datos!$A$2:$A1003=$A35)"),3192.658)</f>
        <v>3192.658</v>
      </c>
      <c r="N35" s="20">
        <f>IFERROR(__xludf.DUMMYFUNCTION("FILTER(Datos!$D$2:$D1003, Datos!$F$2:$F1003=N$1, Datos!$G$2:$G1003=N$2, Datos!$A$2:$A1003=$A35)"),3785.867)</f>
        <v>3785.867</v>
      </c>
      <c r="O35" s="20">
        <f>IFERROR(__xludf.DUMMYFUNCTION("FILTER(Datos!$E$2:$E1003, Datos!$F$2:$F1003=O$1, Datos!$G$2:$G1003=O$2, Datos!$A$2:$A1003=$A35)"),5991.067)</f>
        <v>5991.067</v>
      </c>
      <c r="P35" s="20">
        <f>IFERROR(__xludf.DUMMYFUNCTION("FILTER(Datos!$D$2:$D1003, Datos!$F$2:$F1003=P$1, Datos!$G$2:$G1003=P$2, Datos!$A$2:$A1003=$A35)"),4367.2)</f>
        <v>4367.2</v>
      </c>
      <c r="Q35" s="21">
        <f>IFERROR(__xludf.DUMMYFUNCTION("FILTER(Datos!$E$2:$E1003, Datos!$F$2:$F1003=Q$1, Datos!$G$2:$G1003=Q$2, Datos!$A$2:$A1003=$A35)"),6683.374)</f>
        <v>6683.374</v>
      </c>
    </row>
    <row r="36">
      <c r="A36" s="18">
        <f t="shared" si="2"/>
        <v>31</v>
      </c>
      <c r="B36" s="19">
        <f>IFERROR(__xludf.DUMMYFUNCTION("FILTER(Datos!$D$2:$D1003, Datos!$F$2:$F1003=B$1, Datos!$G$2:$G1003=B$2, Datos!$A$2:$A1003=$A36)"),1916.033)</f>
        <v>1916.033</v>
      </c>
      <c r="C36" s="20">
        <f>IFERROR(__xludf.DUMMYFUNCTION("FILTER(Datos!$E$2:$E1003, Datos!$F$2:$F1003=C$1, Datos!$G$2:$G1003=C$2, Datos!$A$2:$A1003=$A36)"),2052.127)</f>
        <v>2052.127</v>
      </c>
      <c r="D36" s="20">
        <f>IFERROR(__xludf.DUMMYFUNCTION("FILTER(Datos!$D$2:$D1003, Datos!$F$2:$F1003=D$1, Datos!$G$2:$G1003=D$2, Datos!$A$2:$A1003=$A36)"),2356.233)</f>
        <v>2356.233</v>
      </c>
      <c r="E36" s="20">
        <f>IFERROR(__xludf.DUMMYFUNCTION("FILTER(Datos!$E$2:$E1003, Datos!$F$2:$F1003=E$1, Datos!$G$2:$G1003=E$2, Datos!$A$2:$A1003=$A36)"),3341.999)</f>
        <v>3341.999</v>
      </c>
      <c r="F36" s="20">
        <f>IFERROR(__xludf.DUMMYFUNCTION("FILTER(Datos!$D$2:$D1003, Datos!$F$2:$F1003=F$1, Datos!$G$2:$G1003=F$2, Datos!$A$2:$A1003=$A36)"),4322.3)</f>
        <v>4322.3</v>
      </c>
      <c r="G36" s="20">
        <f>IFERROR(__xludf.DUMMYFUNCTION("FILTER(Datos!$E$2:$E1003, Datos!$F$2:$F1003=G$1, Datos!$G$2:$G1003=G$2, Datos!$A$2:$A1003=$A36)"),6801.819)</f>
        <v>6801.819</v>
      </c>
      <c r="H36" s="20">
        <f>IFERROR(__xludf.DUMMYFUNCTION("FILTER(Datos!$D$2:$D1003, Datos!$F$2:$F1003=H$1, Datos!$G$2:$G1003=H$2, Datos!$A$2:$A1003=$A36)"),4948.233)</f>
        <v>4948.233</v>
      </c>
      <c r="I36" s="21">
        <f>IFERROR(__xludf.DUMMYFUNCTION("FILTER(Datos!$E$2:$E1003, Datos!$F$2:$F1003=I$1, Datos!$G$2:$G1003=I$2, Datos!$A$2:$A1003=$A36)"),7415.637)</f>
        <v>7415.637</v>
      </c>
      <c r="J36" s="20">
        <f>IFERROR(__xludf.DUMMYFUNCTION("FILTER(Datos!$D$2:$D1003, Datos!$F$2:$F1003=J$1, Datos!$G$2:$G1003=J$2, Datos!$A$2:$A1003=$A36)"),1824.833)</f>
        <v>1824.833</v>
      </c>
      <c r="K36" s="20">
        <f>IFERROR(__xludf.DUMMYFUNCTION("FILTER(Datos!$E$2:$E1003, Datos!$F$2:$F1003=K$1, Datos!$G$2:$G1003=K$2, Datos!$A$2:$A1003=$A36)"),2337.657)</f>
        <v>2337.657</v>
      </c>
      <c r="L36" s="20">
        <f>IFERROR(__xludf.DUMMYFUNCTION("FILTER(Datos!$D$2:$D1003, Datos!$F$2:$F1003=L$1, Datos!$G$2:$G1003=L$2, Datos!$A$2:$A1003=$A36)"),2261.3)</f>
        <v>2261.3</v>
      </c>
      <c r="M36" s="20">
        <f>IFERROR(__xludf.DUMMYFUNCTION("FILTER(Datos!$E$2:$E1003, Datos!$F$2:$F1003=M$1, Datos!$G$2:$G1003=M$2, Datos!$A$2:$A1003=$A36)"),3169.242)</f>
        <v>3169.242</v>
      </c>
      <c r="N36" s="20">
        <f>IFERROR(__xludf.DUMMYFUNCTION("FILTER(Datos!$D$2:$D1003, Datos!$F$2:$F1003=N$1, Datos!$G$2:$G1003=N$2, Datos!$A$2:$A1003=$A36)"),3764.633)</f>
        <v>3764.633</v>
      </c>
      <c r="O36" s="20">
        <f>IFERROR(__xludf.DUMMYFUNCTION("FILTER(Datos!$E$2:$E1003, Datos!$F$2:$F1003=O$1, Datos!$G$2:$G1003=O$2, Datos!$A$2:$A1003=$A36)"),5975.125)</f>
        <v>5975.125</v>
      </c>
      <c r="P36" s="20">
        <f>IFERROR(__xludf.DUMMYFUNCTION("FILTER(Datos!$D$2:$D1003, Datos!$F$2:$F1003=P$1, Datos!$G$2:$G1003=P$2, Datos!$A$2:$A1003=$A36)"),4344.4)</f>
        <v>4344.4</v>
      </c>
      <c r="Q36" s="21">
        <f>IFERROR(__xludf.DUMMYFUNCTION("FILTER(Datos!$E$2:$E1003, Datos!$F$2:$F1003=Q$1, Datos!$G$2:$G1003=Q$2, Datos!$A$2:$A1003=$A36)"),6660.819)</f>
        <v>6660.819</v>
      </c>
    </row>
    <row r="37">
      <c r="A37" s="18">
        <f t="shared" si="2"/>
        <v>32</v>
      </c>
      <c r="B37" s="19">
        <f>IFERROR(__xludf.DUMMYFUNCTION("FILTER(Datos!$D$2:$D1003, Datos!$F$2:$F1003=B$1, Datos!$G$2:$G1003=B$2, Datos!$A$2:$A1003=$A37)"),1916.033)</f>
        <v>1916.033</v>
      </c>
      <c r="C37" s="20">
        <f>IFERROR(__xludf.DUMMYFUNCTION("FILTER(Datos!$E$2:$E1003, Datos!$F$2:$F1003=C$1, Datos!$G$2:$G1003=C$2, Datos!$A$2:$A1003=$A37)"),2048.427)</f>
        <v>2048.427</v>
      </c>
      <c r="D37" s="20">
        <f>IFERROR(__xludf.DUMMYFUNCTION("FILTER(Datos!$D$2:$D1003, Datos!$F$2:$F1003=D$1, Datos!$G$2:$G1003=D$2, Datos!$A$2:$A1003=$A37)"),2343.167)</f>
        <v>2343.167</v>
      </c>
      <c r="E37" s="20">
        <f>IFERROR(__xludf.DUMMYFUNCTION("FILTER(Datos!$E$2:$E1003, Datos!$F$2:$F1003=E$1, Datos!$G$2:$G1003=E$2, Datos!$A$2:$A1003=$A37)"),3277.255)</f>
        <v>3277.255</v>
      </c>
      <c r="F37" s="20">
        <f>IFERROR(__xludf.DUMMYFUNCTION("FILTER(Datos!$D$2:$D1003, Datos!$F$2:$F1003=F$1, Datos!$G$2:$G1003=F$2, Datos!$A$2:$A1003=$A37)"),4322.3)</f>
        <v>4322.3</v>
      </c>
      <c r="G37" s="20">
        <f>IFERROR(__xludf.DUMMYFUNCTION("FILTER(Datos!$E$2:$E1003, Datos!$F$2:$F1003=G$1, Datos!$G$2:$G1003=G$2, Datos!$A$2:$A1003=$A37)"),6800.952)</f>
        <v>6800.952</v>
      </c>
      <c r="H37" s="20">
        <f>IFERROR(__xludf.DUMMYFUNCTION("FILTER(Datos!$D$2:$D1003, Datos!$F$2:$F1003=H$1, Datos!$G$2:$G1003=H$2, Datos!$A$2:$A1003=$A37)"),4931.467)</f>
        <v>4931.467</v>
      </c>
      <c r="I37" s="21">
        <f>IFERROR(__xludf.DUMMYFUNCTION("FILTER(Datos!$E$2:$E1003, Datos!$F$2:$F1003=I$1, Datos!$G$2:$G1003=I$2, Datos!$A$2:$A1003=$A37)"),7413.171)</f>
        <v>7413.171</v>
      </c>
      <c r="J37" s="20">
        <f>IFERROR(__xludf.DUMMYFUNCTION("FILTER(Datos!$D$2:$D1003, Datos!$F$2:$F1003=J$1, Datos!$G$2:$G1003=J$2, Datos!$A$2:$A1003=$A37)"),1824.833)</f>
        <v>1824.833</v>
      </c>
      <c r="K37" s="20">
        <f>IFERROR(__xludf.DUMMYFUNCTION("FILTER(Datos!$E$2:$E1003, Datos!$F$2:$F1003=K$1, Datos!$G$2:$G1003=K$2, Datos!$A$2:$A1003=$A37)"),2327.16)</f>
        <v>2327.16</v>
      </c>
      <c r="L37" s="20">
        <f>IFERROR(__xludf.DUMMYFUNCTION("FILTER(Datos!$D$2:$D1003, Datos!$F$2:$F1003=L$1, Datos!$G$2:$G1003=L$2, Datos!$A$2:$A1003=$A37)"),2257.967)</f>
        <v>2257.967</v>
      </c>
      <c r="M37" s="20">
        <f>IFERROR(__xludf.DUMMYFUNCTION("FILTER(Datos!$E$2:$E1003, Datos!$F$2:$F1003=M$1, Datos!$G$2:$G1003=M$2, Datos!$A$2:$A1003=$A37)"),3160.886)</f>
        <v>3160.886</v>
      </c>
      <c r="N37" s="20">
        <f>IFERROR(__xludf.DUMMYFUNCTION("FILTER(Datos!$D$2:$D1003, Datos!$F$2:$F1003=N$1, Datos!$G$2:$G1003=N$2, Datos!$A$2:$A1003=$A37)"),3738.1)</f>
        <v>3738.1</v>
      </c>
      <c r="O37" s="20">
        <f>IFERROR(__xludf.DUMMYFUNCTION("FILTER(Datos!$E$2:$E1003, Datos!$F$2:$F1003=O$1, Datos!$G$2:$G1003=O$2, Datos!$A$2:$A1003=$A37)"),5957.302)</f>
        <v>5957.302</v>
      </c>
      <c r="P37" s="20">
        <f>IFERROR(__xludf.DUMMYFUNCTION("FILTER(Datos!$D$2:$D1003, Datos!$F$2:$F1003=P$1, Datos!$G$2:$G1003=P$2, Datos!$A$2:$A1003=$A37)"),4326.267)</f>
        <v>4326.267</v>
      </c>
      <c r="Q37" s="21">
        <f>IFERROR(__xludf.DUMMYFUNCTION("FILTER(Datos!$E$2:$E1003, Datos!$F$2:$F1003=Q$1, Datos!$G$2:$G1003=Q$2, Datos!$A$2:$A1003=$A37)"),6643.792)</f>
        <v>6643.792</v>
      </c>
    </row>
    <row r="38">
      <c r="A38" s="18">
        <f t="shared" si="2"/>
        <v>33</v>
      </c>
      <c r="B38" s="19">
        <f>IFERROR(__xludf.DUMMYFUNCTION("FILTER(Datos!$D$2:$D1003, Datos!$F$2:$F1003=B$1, Datos!$G$2:$G1003=B$2, Datos!$A$2:$A1003=$A38)"),1913.9)</f>
        <v>1913.9</v>
      </c>
      <c r="C38" s="20">
        <f>IFERROR(__xludf.DUMMYFUNCTION("FILTER(Datos!$E$2:$E1003, Datos!$F$2:$F1003=C$1, Datos!$G$2:$G1003=C$2, Datos!$A$2:$A1003=$A38)"),2046.109)</f>
        <v>2046.109</v>
      </c>
      <c r="D38" s="20">
        <f>IFERROR(__xludf.DUMMYFUNCTION("FILTER(Datos!$D$2:$D1003, Datos!$F$2:$F1003=D$1, Datos!$G$2:$G1003=D$2, Datos!$A$2:$A1003=$A38)"),2327.367)</f>
        <v>2327.367</v>
      </c>
      <c r="E38" s="20">
        <f>IFERROR(__xludf.DUMMYFUNCTION("FILTER(Datos!$E$2:$E1003, Datos!$F$2:$F1003=E$1, Datos!$G$2:$G1003=E$2, Datos!$A$2:$A1003=$A38)"),3220.456)</f>
        <v>3220.456</v>
      </c>
      <c r="F38" s="20">
        <f>IFERROR(__xludf.DUMMYFUNCTION("FILTER(Datos!$D$2:$D1003, Datos!$F$2:$F1003=F$1, Datos!$G$2:$G1003=F$2, Datos!$A$2:$A1003=$A38)"),4315.333)</f>
        <v>4315.333</v>
      </c>
      <c r="G38" s="20">
        <f>IFERROR(__xludf.DUMMYFUNCTION("FILTER(Datos!$E$2:$E1003, Datos!$F$2:$F1003=G$1, Datos!$G$2:$G1003=G$2, Datos!$A$2:$A1003=$A38)"),6788.995)</f>
        <v>6788.995</v>
      </c>
      <c r="H38" s="20">
        <f>IFERROR(__xludf.DUMMYFUNCTION("FILTER(Datos!$D$2:$D1003, Datos!$F$2:$F1003=H$1, Datos!$G$2:$G1003=H$2, Datos!$A$2:$A1003=$A38)"),4924.4)</f>
        <v>4924.4</v>
      </c>
      <c r="I38" s="21">
        <f>IFERROR(__xludf.DUMMYFUNCTION("FILTER(Datos!$E$2:$E1003, Datos!$F$2:$F1003=I$1, Datos!$G$2:$G1003=I$2, Datos!$A$2:$A1003=$A38)"),7390.803)</f>
        <v>7390.803</v>
      </c>
      <c r="J38" s="20">
        <f>IFERROR(__xludf.DUMMYFUNCTION("FILTER(Datos!$D$2:$D1003, Datos!$F$2:$F1003=J$1, Datos!$G$2:$G1003=J$2, Datos!$A$2:$A1003=$A38)"),1824.833)</f>
        <v>1824.833</v>
      </c>
      <c r="K38" s="20">
        <f>IFERROR(__xludf.DUMMYFUNCTION("FILTER(Datos!$E$2:$E1003, Datos!$F$2:$F1003=K$1, Datos!$G$2:$G1003=K$2, Datos!$A$2:$A1003=$A38)"),2328.007)</f>
        <v>2328.007</v>
      </c>
      <c r="L38" s="20">
        <f>IFERROR(__xludf.DUMMYFUNCTION("FILTER(Datos!$D$2:$D1003, Datos!$F$2:$F1003=L$1, Datos!$G$2:$G1003=L$2, Datos!$A$2:$A1003=$A38)"),2254.4)</f>
        <v>2254.4</v>
      </c>
      <c r="M38" s="20">
        <f>IFERROR(__xludf.DUMMYFUNCTION("FILTER(Datos!$E$2:$E1003, Datos!$F$2:$F1003=M$1, Datos!$G$2:$G1003=M$2, Datos!$A$2:$A1003=$A38)"),3133.544)</f>
        <v>3133.544</v>
      </c>
      <c r="N38" s="20">
        <f>IFERROR(__xludf.DUMMYFUNCTION("FILTER(Datos!$D$2:$D1003, Datos!$F$2:$F1003=N$1, Datos!$G$2:$G1003=N$2, Datos!$A$2:$A1003=$A38)"),3722.167)</f>
        <v>3722.167</v>
      </c>
      <c r="O38" s="20">
        <f>IFERROR(__xludf.DUMMYFUNCTION("FILTER(Datos!$E$2:$E1003, Datos!$F$2:$F1003=O$1, Datos!$G$2:$G1003=O$2, Datos!$A$2:$A1003=$A38)"),5919.51)</f>
        <v>5919.51</v>
      </c>
      <c r="P38" s="20">
        <f>IFERROR(__xludf.DUMMYFUNCTION("FILTER(Datos!$D$2:$D1003, Datos!$F$2:$F1003=P$1, Datos!$G$2:$G1003=P$2, Datos!$A$2:$A1003=$A38)"),4320.9)</f>
        <v>4320.9</v>
      </c>
      <c r="Q38" s="21">
        <f>IFERROR(__xludf.DUMMYFUNCTION("FILTER(Datos!$E$2:$E1003, Datos!$F$2:$F1003=Q$1, Datos!$G$2:$G1003=Q$2, Datos!$A$2:$A1003=$A38)"),6612.031)</f>
        <v>6612.031</v>
      </c>
    </row>
    <row r="39">
      <c r="A39" s="18">
        <f t="shared" si="2"/>
        <v>34</v>
      </c>
      <c r="B39" s="19">
        <f>IFERROR(__xludf.DUMMYFUNCTION("FILTER(Datos!$D$2:$D1003, Datos!$F$2:$F1003=B$1, Datos!$G$2:$G1003=B$2, Datos!$A$2:$A1003=$A39)"),1911.633)</f>
        <v>1911.633</v>
      </c>
      <c r="C39" s="20">
        <f>IFERROR(__xludf.DUMMYFUNCTION("FILTER(Datos!$E$2:$E1003, Datos!$F$2:$F1003=C$1, Datos!$G$2:$G1003=C$2, Datos!$A$2:$A1003=$A39)"),2044.864)</f>
        <v>2044.864</v>
      </c>
      <c r="D39" s="20">
        <f>IFERROR(__xludf.DUMMYFUNCTION("FILTER(Datos!$D$2:$D1003, Datos!$F$2:$F1003=D$1, Datos!$G$2:$G1003=D$2, Datos!$A$2:$A1003=$A39)"),2310.8)</f>
        <v>2310.8</v>
      </c>
      <c r="E39" s="20">
        <f>IFERROR(__xludf.DUMMYFUNCTION("FILTER(Datos!$E$2:$E1003, Datos!$F$2:$F1003=E$1, Datos!$G$2:$G1003=E$2, Datos!$A$2:$A1003=$A39)"),3159.253)</f>
        <v>3159.253</v>
      </c>
      <c r="F39" s="20">
        <f>IFERROR(__xludf.DUMMYFUNCTION("FILTER(Datos!$D$2:$D1003, Datos!$F$2:$F1003=F$1, Datos!$G$2:$G1003=F$2, Datos!$A$2:$A1003=$A39)"),4305.767)</f>
        <v>4305.767</v>
      </c>
      <c r="G39" s="20">
        <f>IFERROR(__xludf.DUMMYFUNCTION("FILTER(Datos!$E$2:$E1003, Datos!$F$2:$F1003=G$1, Datos!$G$2:$G1003=G$2, Datos!$A$2:$A1003=$A39)"),6763.255)</f>
        <v>6763.255</v>
      </c>
      <c r="H39" s="20">
        <f>IFERROR(__xludf.DUMMYFUNCTION("FILTER(Datos!$D$2:$D1003, Datos!$F$2:$F1003=H$1, Datos!$G$2:$G1003=H$2, Datos!$A$2:$A1003=$A39)"),4922.9)</f>
        <v>4922.9</v>
      </c>
      <c r="I39" s="21">
        <f>IFERROR(__xludf.DUMMYFUNCTION("FILTER(Datos!$E$2:$E1003, Datos!$F$2:$F1003=I$1, Datos!$G$2:$G1003=I$2, Datos!$A$2:$A1003=$A39)"),7370.655)</f>
        <v>7370.655</v>
      </c>
      <c r="J39" s="20">
        <f>IFERROR(__xludf.DUMMYFUNCTION("FILTER(Datos!$D$2:$D1003, Datos!$F$2:$F1003=J$1, Datos!$G$2:$G1003=J$2, Datos!$A$2:$A1003=$A39)"),1824.833)</f>
        <v>1824.833</v>
      </c>
      <c r="K39" s="20">
        <f>IFERROR(__xludf.DUMMYFUNCTION("FILTER(Datos!$E$2:$E1003, Datos!$F$2:$F1003=K$1, Datos!$G$2:$G1003=K$2, Datos!$A$2:$A1003=$A39)"),2319.693)</f>
        <v>2319.693</v>
      </c>
      <c r="L39" s="20">
        <f>IFERROR(__xludf.DUMMYFUNCTION("FILTER(Datos!$D$2:$D1003, Datos!$F$2:$F1003=L$1, Datos!$G$2:$G1003=L$2, Datos!$A$2:$A1003=$A39)"),2246.867)</f>
        <v>2246.867</v>
      </c>
      <c r="M39" s="20">
        <f>IFERROR(__xludf.DUMMYFUNCTION("FILTER(Datos!$E$2:$E1003, Datos!$F$2:$F1003=M$1, Datos!$G$2:$G1003=M$2, Datos!$A$2:$A1003=$A39)"),3105.275)</f>
        <v>3105.275</v>
      </c>
      <c r="N39" s="20">
        <f>IFERROR(__xludf.DUMMYFUNCTION("FILTER(Datos!$D$2:$D1003, Datos!$F$2:$F1003=N$1, Datos!$G$2:$G1003=N$2, Datos!$A$2:$A1003=$A39)"),3690.667)</f>
        <v>3690.667</v>
      </c>
      <c r="O39" s="20">
        <f>IFERROR(__xludf.DUMMYFUNCTION("FILTER(Datos!$E$2:$E1003, Datos!$F$2:$F1003=O$1, Datos!$G$2:$G1003=O$2, Datos!$A$2:$A1003=$A39)"),5879.287)</f>
        <v>5879.287</v>
      </c>
      <c r="P39" s="20">
        <f>IFERROR(__xludf.DUMMYFUNCTION("FILTER(Datos!$D$2:$D1003, Datos!$F$2:$F1003=P$1, Datos!$G$2:$G1003=P$2, Datos!$A$2:$A1003=$A39)"),4284.7)</f>
        <v>4284.7</v>
      </c>
      <c r="Q39" s="21">
        <f>IFERROR(__xludf.DUMMYFUNCTION("FILTER(Datos!$E$2:$E1003, Datos!$F$2:$F1003=Q$1, Datos!$G$2:$G1003=Q$2, Datos!$A$2:$A1003=$A39)"),6589.665)</f>
        <v>6589.665</v>
      </c>
    </row>
    <row r="40">
      <c r="A40" s="18">
        <f t="shared" si="2"/>
        <v>35</v>
      </c>
      <c r="B40" s="19">
        <f>IFERROR(__xludf.DUMMYFUNCTION("FILTER(Datos!$D$2:$D1003, Datos!$F$2:$F1003=B$1, Datos!$G$2:$G1003=B$2, Datos!$A$2:$A1003=$A40)"),1911.633)</f>
        <v>1911.633</v>
      </c>
      <c r="C40" s="20">
        <f>IFERROR(__xludf.DUMMYFUNCTION("FILTER(Datos!$E$2:$E1003, Datos!$F$2:$F1003=C$1, Datos!$G$2:$G1003=C$2, Datos!$A$2:$A1003=$A40)"),2041.261)</f>
        <v>2041.261</v>
      </c>
      <c r="D40" s="20">
        <f>IFERROR(__xludf.DUMMYFUNCTION("FILTER(Datos!$D$2:$D1003, Datos!$F$2:$F1003=D$1, Datos!$G$2:$G1003=D$2, Datos!$A$2:$A1003=$A40)"),2299.4)</f>
        <v>2299.4</v>
      </c>
      <c r="E40" s="20">
        <f>IFERROR(__xludf.DUMMYFUNCTION("FILTER(Datos!$E$2:$E1003, Datos!$F$2:$F1003=E$1, Datos!$G$2:$G1003=E$2, Datos!$A$2:$A1003=$A40)"),3106.705)</f>
        <v>3106.705</v>
      </c>
      <c r="F40" s="20">
        <f>IFERROR(__xludf.DUMMYFUNCTION("FILTER(Datos!$D$2:$D1003, Datos!$F$2:$F1003=F$1, Datos!$G$2:$G1003=F$2, Datos!$A$2:$A1003=$A40)"),4289.167)</f>
        <v>4289.167</v>
      </c>
      <c r="G40" s="20">
        <f>IFERROR(__xludf.DUMMYFUNCTION("FILTER(Datos!$E$2:$E1003, Datos!$F$2:$F1003=G$1, Datos!$G$2:$G1003=G$2, Datos!$A$2:$A1003=$A40)"),6753.477)</f>
        <v>6753.477</v>
      </c>
      <c r="H40" s="20">
        <f>IFERROR(__xludf.DUMMYFUNCTION("FILTER(Datos!$D$2:$D1003, Datos!$F$2:$F1003=H$1, Datos!$G$2:$G1003=H$2, Datos!$A$2:$A1003=$A40)"),4901.567)</f>
        <v>4901.567</v>
      </c>
      <c r="I40" s="21">
        <f>IFERROR(__xludf.DUMMYFUNCTION("FILTER(Datos!$E$2:$E1003, Datos!$F$2:$F1003=I$1, Datos!$G$2:$G1003=I$2, Datos!$A$2:$A1003=$A40)"),7372.094)</f>
        <v>7372.094</v>
      </c>
      <c r="J40" s="20">
        <f>IFERROR(__xludf.DUMMYFUNCTION("FILTER(Datos!$D$2:$D1003, Datos!$F$2:$F1003=J$1, Datos!$G$2:$G1003=J$2, Datos!$A$2:$A1003=$A40)"),1824.833)</f>
        <v>1824.833</v>
      </c>
      <c r="K40" s="20">
        <f>IFERROR(__xludf.DUMMYFUNCTION("FILTER(Datos!$E$2:$E1003, Datos!$F$2:$F1003=K$1, Datos!$G$2:$G1003=K$2, Datos!$A$2:$A1003=$A40)"),2311.289)</f>
        <v>2311.289</v>
      </c>
      <c r="L40" s="20">
        <f>IFERROR(__xludf.DUMMYFUNCTION("FILTER(Datos!$D$2:$D1003, Datos!$F$2:$F1003=L$1, Datos!$G$2:$G1003=L$2, Datos!$A$2:$A1003=$A40)"),2239.467)</f>
        <v>2239.467</v>
      </c>
      <c r="M40" s="20">
        <f>IFERROR(__xludf.DUMMYFUNCTION("FILTER(Datos!$E$2:$E1003, Datos!$F$2:$F1003=M$1, Datos!$G$2:$G1003=M$2, Datos!$A$2:$A1003=$A40)"),3079.908)</f>
        <v>3079.908</v>
      </c>
      <c r="N40" s="20">
        <f>IFERROR(__xludf.DUMMYFUNCTION("FILTER(Datos!$D$2:$D1003, Datos!$F$2:$F1003=N$1, Datos!$G$2:$G1003=N$2, Datos!$A$2:$A1003=$A40)"),3649.567)</f>
        <v>3649.567</v>
      </c>
      <c r="O40" s="20">
        <f>IFERROR(__xludf.DUMMYFUNCTION("FILTER(Datos!$E$2:$E1003, Datos!$F$2:$F1003=O$1, Datos!$G$2:$G1003=O$2, Datos!$A$2:$A1003=$A40)"),5839.225)</f>
        <v>5839.225</v>
      </c>
      <c r="P40" s="20">
        <f>IFERROR(__xludf.DUMMYFUNCTION("FILTER(Datos!$D$2:$D1003, Datos!$F$2:$F1003=P$1, Datos!$G$2:$G1003=P$2, Datos!$A$2:$A1003=$A40)"),4272.7)</f>
        <v>4272.7</v>
      </c>
      <c r="Q40" s="21">
        <f>IFERROR(__xludf.DUMMYFUNCTION("FILTER(Datos!$E$2:$E1003, Datos!$F$2:$F1003=Q$1, Datos!$G$2:$G1003=Q$2, Datos!$A$2:$A1003=$A40)"),6564.879)</f>
        <v>6564.879</v>
      </c>
    </row>
    <row r="41">
      <c r="A41" s="18">
        <f t="shared" si="2"/>
        <v>36</v>
      </c>
      <c r="B41" s="19">
        <f>IFERROR(__xludf.DUMMYFUNCTION("FILTER(Datos!$D$2:$D1003, Datos!$F$2:$F1003=B$1, Datos!$G$2:$G1003=B$2, Datos!$A$2:$A1003=$A41)"),1911.633)</f>
        <v>1911.633</v>
      </c>
      <c r="C41" s="20">
        <f>IFERROR(__xludf.DUMMYFUNCTION("FILTER(Datos!$E$2:$E1003, Datos!$F$2:$F1003=C$1, Datos!$G$2:$G1003=C$2, Datos!$A$2:$A1003=$A41)"),2040.806)</f>
        <v>2040.806</v>
      </c>
      <c r="D41" s="20">
        <f>IFERROR(__xludf.DUMMYFUNCTION("FILTER(Datos!$D$2:$D1003, Datos!$F$2:$F1003=D$1, Datos!$G$2:$G1003=D$2, Datos!$A$2:$A1003=$A41)"),2279.5)</f>
        <v>2279.5</v>
      </c>
      <c r="E41" s="20">
        <f>IFERROR(__xludf.DUMMYFUNCTION("FILTER(Datos!$E$2:$E1003, Datos!$F$2:$F1003=E$1, Datos!$G$2:$G1003=E$2, Datos!$A$2:$A1003=$A41)"),3039.254)</f>
        <v>3039.254</v>
      </c>
      <c r="F41" s="20">
        <f>IFERROR(__xludf.DUMMYFUNCTION("FILTER(Datos!$D$2:$D1003, Datos!$F$2:$F1003=F$1, Datos!$G$2:$G1003=F$2, Datos!$A$2:$A1003=$A41)"),4269.967)</f>
        <v>4269.967</v>
      </c>
      <c r="G41" s="20">
        <f>IFERROR(__xludf.DUMMYFUNCTION("FILTER(Datos!$E$2:$E1003, Datos!$F$2:$F1003=G$1, Datos!$G$2:$G1003=G$2, Datos!$A$2:$A1003=$A41)"),6769.008)</f>
        <v>6769.008</v>
      </c>
      <c r="H41" s="20">
        <f>IFERROR(__xludf.DUMMYFUNCTION("FILTER(Datos!$D$2:$D1003, Datos!$F$2:$F1003=H$1, Datos!$G$2:$G1003=H$2, Datos!$A$2:$A1003=$A41)"),4858.533)</f>
        <v>4858.533</v>
      </c>
      <c r="I41" s="21">
        <f>IFERROR(__xludf.DUMMYFUNCTION("FILTER(Datos!$E$2:$E1003, Datos!$F$2:$F1003=I$1, Datos!$G$2:$G1003=I$2, Datos!$A$2:$A1003=$A41)"),7341.934)</f>
        <v>7341.934</v>
      </c>
      <c r="J41" s="20">
        <f>IFERROR(__xludf.DUMMYFUNCTION("FILTER(Datos!$D$2:$D1003, Datos!$F$2:$F1003=J$1, Datos!$G$2:$G1003=J$2, Datos!$A$2:$A1003=$A41)"),1822.133)</f>
        <v>1822.133</v>
      </c>
      <c r="K41" s="20">
        <f>IFERROR(__xludf.DUMMYFUNCTION("FILTER(Datos!$E$2:$E1003, Datos!$F$2:$F1003=K$1, Datos!$G$2:$G1003=K$2, Datos!$A$2:$A1003=$A41)"),2304.944)</f>
        <v>2304.944</v>
      </c>
      <c r="L41" s="20">
        <f>IFERROR(__xludf.DUMMYFUNCTION("FILTER(Datos!$D$2:$D1003, Datos!$F$2:$F1003=L$1, Datos!$G$2:$G1003=L$2, Datos!$A$2:$A1003=$A41)"),2234.9)</f>
        <v>2234.9</v>
      </c>
      <c r="M41" s="20">
        <f>IFERROR(__xludf.DUMMYFUNCTION("FILTER(Datos!$E$2:$E1003, Datos!$F$2:$F1003=M$1, Datos!$G$2:$G1003=M$2, Datos!$A$2:$A1003=$A41)"),3071.848)</f>
        <v>3071.848</v>
      </c>
      <c r="N41" s="20">
        <f>IFERROR(__xludf.DUMMYFUNCTION("FILTER(Datos!$D$2:$D1003, Datos!$F$2:$F1003=N$1, Datos!$G$2:$G1003=N$2, Datos!$A$2:$A1003=$A41)"),3622.433)</f>
        <v>3622.433</v>
      </c>
      <c r="O41" s="20">
        <f>IFERROR(__xludf.DUMMYFUNCTION("FILTER(Datos!$E$2:$E1003, Datos!$F$2:$F1003=O$1, Datos!$G$2:$G1003=O$2, Datos!$A$2:$A1003=$A41)"),5788.341)</f>
        <v>5788.341</v>
      </c>
      <c r="P41" s="20">
        <f>IFERROR(__xludf.DUMMYFUNCTION("FILTER(Datos!$D$2:$D1003, Datos!$F$2:$F1003=P$1, Datos!$G$2:$G1003=P$2, Datos!$A$2:$A1003=$A41)"),4264.333)</f>
        <v>4264.333</v>
      </c>
      <c r="Q41" s="21">
        <f>IFERROR(__xludf.DUMMYFUNCTION("FILTER(Datos!$E$2:$E1003, Datos!$F$2:$F1003=Q$1, Datos!$G$2:$G1003=Q$2, Datos!$A$2:$A1003=$A41)"),6574.09)</f>
        <v>6574.09</v>
      </c>
    </row>
    <row r="42">
      <c r="A42" s="18">
        <f t="shared" si="2"/>
        <v>37</v>
      </c>
      <c r="B42" s="19">
        <f>IFERROR(__xludf.DUMMYFUNCTION("FILTER(Datos!$D$2:$D1003, Datos!$F$2:$F1003=B$1, Datos!$G$2:$G1003=B$2, Datos!$A$2:$A1003=$A42)"),1911.633)</f>
        <v>1911.633</v>
      </c>
      <c r="C42" s="20">
        <f>IFERROR(__xludf.DUMMYFUNCTION("FILTER(Datos!$E$2:$E1003, Datos!$F$2:$F1003=C$1, Datos!$G$2:$G1003=C$2, Datos!$A$2:$A1003=$A42)"),2039.021)</f>
        <v>2039.021</v>
      </c>
      <c r="D42" s="20">
        <f>IFERROR(__xludf.DUMMYFUNCTION("FILTER(Datos!$D$2:$D1003, Datos!$F$2:$F1003=D$1, Datos!$G$2:$G1003=D$2, Datos!$A$2:$A1003=$A42)"),2272.367)</f>
        <v>2272.367</v>
      </c>
      <c r="E42" s="20">
        <f>IFERROR(__xludf.DUMMYFUNCTION("FILTER(Datos!$E$2:$E1003, Datos!$F$2:$F1003=E$1, Datos!$G$2:$G1003=E$2, Datos!$A$2:$A1003=$A42)"),2996.471)</f>
        <v>2996.471</v>
      </c>
      <c r="F42" s="20">
        <f>IFERROR(__xludf.DUMMYFUNCTION("FILTER(Datos!$D$2:$D1003, Datos!$F$2:$F1003=F$1, Datos!$G$2:$G1003=F$2, Datos!$A$2:$A1003=$A42)"),4252.233)</f>
        <v>4252.233</v>
      </c>
      <c r="G42" s="20">
        <f>IFERROR(__xludf.DUMMYFUNCTION("FILTER(Datos!$E$2:$E1003, Datos!$F$2:$F1003=G$1, Datos!$G$2:$G1003=G$2, Datos!$A$2:$A1003=$A42)"),6736.946)</f>
        <v>6736.946</v>
      </c>
      <c r="H42" s="20">
        <f>IFERROR(__xludf.DUMMYFUNCTION("FILTER(Datos!$D$2:$D1003, Datos!$F$2:$F1003=H$1, Datos!$G$2:$G1003=H$2, Datos!$A$2:$A1003=$A42)"),4826.367)</f>
        <v>4826.367</v>
      </c>
      <c r="I42" s="21">
        <f>IFERROR(__xludf.DUMMYFUNCTION("FILTER(Datos!$E$2:$E1003, Datos!$F$2:$F1003=I$1, Datos!$G$2:$G1003=I$2, Datos!$A$2:$A1003=$A42)"),7327.188)</f>
        <v>7327.188</v>
      </c>
      <c r="J42" s="20">
        <f>IFERROR(__xludf.DUMMYFUNCTION("FILTER(Datos!$D$2:$D1003, Datos!$F$2:$F1003=J$1, Datos!$G$2:$G1003=J$2, Datos!$A$2:$A1003=$A42)"),1822.133)</f>
        <v>1822.133</v>
      </c>
      <c r="K42" s="20">
        <f>IFERROR(__xludf.DUMMYFUNCTION("FILTER(Datos!$E$2:$E1003, Datos!$F$2:$F1003=K$1, Datos!$G$2:$G1003=K$2, Datos!$A$2:$A1003=$A42)"),2302.807)</f>
        <v>2302.807</v>
      </c>
      <c r="L42" s="20">
        <f>IFERROR(__xludf.DUMMYFUNCTION("FILTER(Datos!$D$2:$D1003, Datos!$F$2:$F1003=L$1, Datos!$G$2:$G1003=L$2, Datos!$A$2:$A1003=$A42)"),2232.267)</f>
        <v>2232.267</v>
      </c>
      <c r="M42" s="20">
        <f>IFERROR(__xludf.DUMMYFUNCTION("FILTER(Datos!$E$2:$E1003, Datos!$F$2:$F1003=M$1, Datos!$G$2:$G1003=M$2, Datos!$A$2:$A1003=$A42)"),3075.256)</f>
        <v>3075.256</v>
      </c>
      <c r="N42" s="20">
        <f>IFERROR(__xludf.DUMMYFUNCTION("FILTER(Datos!$D$2:$D1003, Datos!$F$2:$F1003=N$1, Datos!$G$2:$G1003=N$2, Datos!$A$2:$A1003=$A42)"),3600.267)</f>
        <v>3600.267</v>
      </c>
      <c r="O42" s="20">
        <f>IFERROR(__xludf.DUMMYFUNCTION("FILTER(Datos!$E$2:$E1003, Datos!$F$2:$F1003=O$1, Datos!$G$2:$G1003=O$2, Datos!$A$2:$A1003=$A42)"),5772.722)</f>
        <v>5772.722</v>
      </c>
      <c r="P42" s="20">
        <f>IFERROR(__xludf.DUMMYFUNCTION("FILTER(Datos!$D$2:$D1003, Datos!$F$2:$F1003=P$1, Datos!$G$2:$G1003=P$2, Datos!$A$2:$A1003=$A42)"),4245.9)</f>
        <v>4245.9</v>
      </c>
      <c r="Q42" s="21">
        <f>IFERROR(__xludf.DUMMYFUNCTION("FILTER(Datos!$E$2:$E1003, Datos!$F$2:$F1003=Q$1, Datos!$G$2:$G1003=Q$2, Datos!$A$2:$A1003=$A42)"),6573.404)</f>
        <v>6573.404</v>
      </c>
    </row>
    <row r="43">
      <c r="A43" s="18">
        <f t="shared" si="2"/>
        <v>38</v>
      </c>
      <c r="B43" s="19">
        <f>IFERROR(__xludf.DUMMYFUNCTION("FILTER(Datos!$D$2:$D1003, Datos!$F$2:$F1003=B$1, Datos!$G$2:$G1003=B$2, Datos!$A$2:$A1003=$A43)"),1911.633)</f>
        <v>1911.633</v>
      </c>
      <c r="C43" s="20">
        <f>IFERROR(__xludf.DUMMYFUNCTION("FILTER(Datos!$E$2:$E1003, Datos!$F$2:$F1003=C$1, Datos!$G$2:$G1003=C$2, Datos!$A$2:$A1003=$A43)"),2032.126)</f>
        <v>2032.126</v>
      </c>
      <c r="D43" s="20">
        <f>IFERROR(__xludf.DUMMYFUNCTION("FILTER(Datos!$D$2:$D1003, Datos!$F$2:$F1003=D$1, Datos!$G$2:$G1003=D$2, Datos!$A$2:$A1003=$A43)"),2259.833)</f>
        <v>2259.833</v>
      </c>
      <c r="E43" s="20">
        <f>IFERROR(__xludf.DUMMYFUNCTION("FILTER(Datos!$E$2:$E1003, Datos!$F$2:$F1003=E$1, Datos!$G$2:$G1003=E$2, Datos!$A$2:$A1003=$A43)"),2951.45)</f>
        <v>2951.45</v>
      </c>
      <c r="F43" s="20">
        <f>IFERROR(__xludf.DUMMYFUNCTION("FILTER(Datos!$D$2:$D1003, Datos!$F$2:$F1003=F$1, Datos!$G$2:$G1003=F$2, Datos!$A$2:$A1003=$A43)"),4238.833)</f>
        <v>4238.833</v>
      </c>
      <c r="G43" s="20">
        <f>IFERROR(__xludf.DUMMYFUNCTION("FILTER(Datos!$E$2:$E1003, Datos!$F$2:$F1003=G$1, Datos!$G$2:$G1003=G$2, Datos!$A$2:$A1003=$A43)"),6715.657)</f>
        <v>6715.657</v>
      </c>
      <c r="H43" s="20">
        <f>IFERROR(__xludf.DUMMYFUNCTION("FILTER(Datos!$D$2:$D1003, Datos!$F$2:$F1003=H$1, Datos!$G$2:$G1003=H$2, Datos!$A$2:$A1003=$A43)"),4826.2)</f>
        <v>4826.2</v>
      </c>
      <c r="I43" s="21">
        <f>IFERROR(__xludf.DUMMYFUNCTION("FILTER(Datos!$E$2:$E1003, Datos!$F$2:$F1003=I$1, Datos!$G$2:$G1003=I$2, Datos!$A$2:$A1003=$A43)"),7336.938)</f>
        <v>7336.938</v>
      </c>
      <c r="J43" s="20">
        <f>IFERROR(__xludf.DUMMYFUNCTION("FILTER(Datos!$D$2:$D1003, Datos!$F$2:$F1003=J$1, Datos!$G$2:$G1003=J$2, Datos!$A$2:$A1003=$A43)"),1822.133)</f>
        <v>1822.133</v>
      </c>
      <c r="K43" s="20">
        <f>IFERROR(__xludf.DUMMYFUNCTION("FILTER(Datos!$E$2:$E1003, Datos!$F$2:$F1003=K$1, Datos!$G$2:$G1003=K$2, Datos!$A$2:$A1003=$A43)"),2297.4)</f>
        <v>2297.4</v>
      </c>
      <c r="L43" s="20">
        <f>IFERROR(__xludf.DUMMYFUNCTION("FILTER(Datos!$D$2:$D1003, Datos!$F$2:$F1003=L$1, Datos!$G$2:$G1003=L$2, Datos!$A$2:$A1003=$A43)"),2223.133)</f>
        <v>2223.133</v>
      </c>
      <c r="M43" s="20">
        <f>IFERROR(__xludf.DUMMYFUNCTION("FILTER(Datos!$E$2:$E1003, Datos!$F$2:$F1003=M$1, Datos!$G$2:$G1003=M$2, Datos!$A$2:$A1003=$A43)"),3073.682)</f>
        <v>3073.682</v>
      </c>
      <c r="N43" s="20">
        <f>IFERROR(__xludf.DUMMYFUNCTION("FILTER(Datos!$D$2:$D1003, Datos!$F$2:$F1003=N$1, Datos!$G$2:$G1003=N$2, Datos!$A$2:$A1003=$A43)"),3587.9)</f>
        <v>3587.9</v>
      </c>
      <c r="O43" s="20">
        <f>IFERROR(__xludf.DUMMYFUNCTION("FILTER(Datos!$E$2:$E1003, Datos!$F$2:$F1003=O$1, Datos!$G$2:$G1003=O$2, Datos!$A$2:$A1003=$A43)"),5723.612)</f>
        <v>5723.612</v>
      </c>
      <c r="P43" s="20">
        <f>IFERROR(__xludf.DUMMYFUNCTION("FILTER(Datos!$D$2:$D1003, Datos!$F$2:$F1003=P$1, Datos!$G$2:$G1003=P$2, Datos!$A$2:$A1003=$A43)"),4231.133)</f>
        <v>4231.133</v>
      </c>
      <c r="Q43" s="21">
        <f>IFERROR(__xludf.DUMMYFUNCTION("FILTER(Datos!$E$2:$E1003, Datos!$F$2:$F1003=Q$1, Datos!$G$2:$G1003=Q$2, Datos!$A$2:$A1003=$A43)"),6545.583)</f>
        <v>6545.583</v>
      </c>
    </row>
    <row r="44">
      <c r="A44" s="18">
        <f t="shared" si="2"/>
        <v>39</v>
      </c>
      <c r="B44" s="19">
        <f>IFERROR(__xludf.DUMMYFUNCTION("FILTER(Datos!$D$2:$D1003, Datos!$F$2:$F1003=B$1, Datos!$G$2:$G1003=B$2, Datos!$A$2:$A1003=$A44)"),1911.633)</f>
        <v>1911.633</v>
      </c>
      <c r="C44" s="20">
        <f>IFERROR(__xludf.DUMMYFUNCTION("FILTER(Datos!$E$2:$E1003, Datos!$F$2:$F1003=C$1, Datos!$G$2:$G1003=C$2, Datos!$A$2:$A1003=$A44)"),2023.92)</f>
        <v>2023.92</v>
      </c>
      <c r="D44" s="20">
        <f>IFERROR(__xludf.DUMMYFUNCTION("FILTER(Datos!$D$2:$D1003, Datos!$F$2:$F1003=D$1, Datos!$G$2:$G1003=D$2, Datos!$A$2:$A1003=$A44)"),2254.533)</f>
        <v>2254.533</v>
      </c>
      <c r="E44" s="20">
        <f>IFERROR(__xludf.DUMMYFUNCTION("FILTER(Datos!$E$2:$E1003, Datos!$F$2:$F1003=E$1, Datos!$G$2:$G1003=E$2, Datos!$A$2:$A1003=$A44)"),2899.648)</f>
        <v>2899.648</v>
      </c>
      <c r="F44" s="20">
        <f>IFERROR(__xludf.DUMMYFUNCTION("FILTER(Datos!$D$2:$D1003, Datos!$F$2:$F1003=F$1, Datos!$G$2:$G1003=F$2, Datos!$A$2:$A1003=$A44)"),4237.133)</f>
        <v>4237.133</v>
      </c>
      <c r="G44" s="20">
        <f>IFERROR(__xludf.DUMMYFUNCTION("FILTER(Datos!$E$2:$E1003, Datos!$F$2:$F1003=G$1, Datos!$G$2:$G1003=G$2, Datos!$A$2:$A1003=$A44)"),6700.479)</f>
        <v>6700.479</v>
      </c>
      <c r="H44" s="20">
        <f>IFERROR(__xludf.DUMMYFUNCTION("FILTER(Datos!$D$2:$D1003, Datos!$F$2:$F1003=H$1, Datos!$G$2:$G1003=H$2, Datos!$A$2:$A1003=$A44)"),4815.1)</f>
        <v>4815.1</v>
      </c>
      <c r="I44" s="21">
        <f>IFERROR(__xludf.DUMMYFUNCTION("FILTER(Datos!$E$2:$E1003, Datos!$F$2:$F1003=I$1, Datos!$G$2:$G1003=I$2, Datos!$A$2:$A1003=$A44)"),7319.107)</f>
        <v>7319.107</v>
      </c>
      <c r="J44" s="20">
        <f>IFERROR(__xludf.DUMMYFUNCTION("FILTER(Datos!$D$2:$D1003, Datos!$F$2:$F1003=J$1, Datos!$G$2:$G1003=J$2, Datos!$A$2:$A1003=$A44)"),1822.133)</f>
        <v>1822.133</v>
      </c>
      <c r="K44" s="20">
        <f>IFERROR(__xludf.DUMMYFUNCTION("FILTER(Datos!$E$2:$E1003, Datos!$F$2:$F1003=K$1, Datos!$G$2:$G1003=K$2, Datos!$A$2:$A1003=$A44)"),2311.301)</f>
        <v>2311.301</v>
      </c>
      <c r="L44" s="20">
        <f>IFERROR(__xludf.DUMMYFUNCTION("FILTER(Datos!$D$2:$D1003, Datos!$F$2:$F1003=L$1, Datos!$G$2:$G1003=L$2, Datos!$A$2:$A1003=$A44)"),2216.367)</f>
        <v>2216.367</v>
      </c>
      <c r="M44" s="20">
        <f>IFERROR(__xludf.DUMMYFUNCTION("FILTER(Datos!$E$2:$E1003, Datos!$F$2:$F1003=M$1, Datos!$G$2:$G1003=M$2, Datos!$A$2:$A1003=$A44)"),3055.123)</f>
        <v>3055.123</v>
      </c>
      <c r="N44" s="20">
        <f>IFERROR(__xludf.DUMMYFUNCTION("FILTER(Datos!$D$2:$D1003, Datos!$F$2:$F1003=N$1, Datos!$G$2:$G1003=N$2, Datos!$A$2:$A1003=$A44)"),3560.333)</f>
        <v>3560.333</v>
      </c>
      <c r="O44" s="20">
        <f>IFERROR(__xludf.DUMMYFUNCTION("FILTER(Datos!$E$2:$E1003, Datos!$F$2:$F1003=O$1, Datos!$G$2:$G1003=O$2, Datos!$A$2:$A1003=$A44)"),5697.066)</f>
        <v>5697.066</v>
      </c>
      <c r="P44" s="20">
        <f>IFERROR(__xludf.DUMMYFUNCTION("FILTER(Datos!$D$2:$D1003, Datos!$F$2:$F1003=P$1, Datos!$G$2:$G1003=P$2, Datos!$A$2:$A1003=$A44)"),4219.4)</f>
        <v>4219.4</v>
      </c>
      <c r="Q44" s="21">
        <f>IFERROR(__xludf.DUMMYFUNCTION("FILTER(Datos!$E$2:$E1003, Datos!$F$2:$F1003=Q$1, Datos!$G$2:$G1003=Q$2, Datos!$A$2:$A1003=$A44)"),6529.176)</f>
        <v>6529.176</v>
      </c>
    </row>
    <row r="45">
      <c r="A45" s="18">
        <f t="shared" si="2"/>
        <v>40</v>
      </c>
      <c r="B45" s="19">
        <f>IFERROR(__xludf.DUMMYFUNCTION("FILTER(Datos!$D$2:$D1003, Datos!$F$2:$F1003=B$1, Datos!$G$2:$G1003=B$2, Datos!$A$2:$A1003=$A45)"),1911.233)</f>
        <v>1911.233</v>
      </c>
      <c r="C45" s="20">
        <f>IFERROR(__xludf.DUMMYFUNCTION("FILTER(Datos!$E$2:$E1003, Datos!$F$2:$F1003=C$1, Datos!$G$2:$G1003=C$2, Datos!$A$2:$A1003=$A45)"),2022.989)</f>
        <v>2022.989</v>
      </c>
      <c r="D45" s="20">
        <f>IFERROR(__xludf.DUMMYFUNCTION("FILTER(Datos!$D$2:$D1003, Datos!$F$2:$F1003=D$1, Datos!$G$2:$G1003=D$2, Datos!$A$2:$A1003=$A45)"),2234.167)</f>
        <v>2234.167</v>
      </c>
      <c r="E45" s="20">
        <f>IFERROR(__xludf.DUMMYFUNCTION("FILTER(Datos!$E$2:$E1003, Datos!$F$2:$F1003=E$1, Datos!$G$2:$G1003=E$2, Datos!$A$2:$A1003=$A45)"),2853.775)</f>
        <v>2853.775</v>
      </c>
      <c r="F45" s="20">
        <f>IFERROR(__xludf.DUMMYFUNCTION("FILTER(Datos!$D$2:$D1003, Datos!$F$2:$F1003=F$1, Datos!$G$2:$G1003=F$2, Datos!$A$2:$A1003=$A45)"),4219.533)</f>
        <v>4219.533</v>
      </c>
      <c r="G45" s="20">
        <f>IFERROR(__xludf.DUMMYFUNCTION("FILTER(Datos!$E$2:$E1003, Datos!$F$2:$F1003=G$1, Datos!$G$2:$G1003=G$2, Datos!$A$2:$A1003=$A45)"),6677.526)</f>
        <v>6677.526</v>
      </c>
      <c r="H45" s="20">
        <f>IFERROR(__xludf.DUMMYFUNCTION("FILTER(Datos!$D$2:$D1003, Datos!$F$2:$F1003=H$1, Datos!$G$2:$G1003=H$2, Datos!$A$2:$A1003=$A45)"),4810.433)</f>
        <v>4810.433</v>
      </c>
      <c r="I45" s="21">
        <f>IFERROR(__xludf.DUMMYFUNCTION("FILTER(Datos!$E$2:$E1003, Datos!$F$2:$F1003=I$1, Datos!$G$2:$G1003=I$2, Datos!$A$2:$A1003=$A45)"),7316.831)</f>
        <v>7316.831</v>
      </c>
      <c r="J45" s="20">
        <f>IFERROR(__xludf.DUMMYFUNCTION("FILTER(Datos!$D$2:$D1003, Datos!$F$2:$F1003=J$1, Datos!$G$2:$G1003=J$2, Datos!$A$2:$A1003=$A45)"),1822.133)</f>
        <v>1822.133</v>
      </c>
      <c r="K45" s="20">
        <f>IFERROR(__xludf.DUMMYFUNCTION("FILTER(Datos!$E$2:$E1003, Datos!$F$2:$F1003=K$1, Datos!$G$2:$G1003=K$2, Datos!$A$2:$A1003=$A45)"),2294.022)</f>
        <v>2294.022</v>
      </c>
      <c r="L45" s="20">
        <f>IFERROR(__xludf.DUMMYFUNCTION("FILTER(Datos!$D$2:$D1003, Datos!$F$2:$F1003=L$1, Datos!$G$2:$G1003=L$2, Datos!$A$2:$A1003=$A45)"),2212.2)</f>
        <v>2212.2</v>
      </c>
      <c r="M45" s="20">
        <f>IFERROR(__xludf.DUMMYFUNCTION("FILTER(Datos!$E$2:$E1003, Datos!$F$2:$F1003=M$1, Datos!$G$2:$G1003=M$2, Datos!$A$2:$A1003=$A45)"),3054.729)</f>
        <v>3054.729</v>
      </c>
      <c r="N45" s="20">
        <f>IFERROR(__xludf.DUMMYFUNCTION("FILTER(Datos!$D$2:$D1003, Datos!$F$2:$F1003=N$1, Datos!$G$2:$G1003=N$2, Datos!$A$2:$A1003=$A45)"),3531.867)</f>
        <v>3531.867</v>
      </c>
      <c r="O45" s="20">
        <f>IFERROR(__xludf.DUMMYFUNCTION("FILTER(Datos!$E$2:$E1003, Datos!$F$2:$F1003=O$1, Datos!$G$2:$G1003=O$2, Datos!$A$2:$A1003=$A45)"),5655.407)</f>
        <v>5655.407</v>
      </c>
      <c r="P45" s="20">
        <f>IFERROR(__xludf.DUMMYFUNCTION("FILTER(Datos!$D$2:$D1003, Datos!$F$2:$F1003=P$1, Datos!$G$2:$G1003=P$2, Datos!$A$2:$A1003=$A45)"),4212.5)</f>
        <v>4212.5</v>
      </c>
      <c r="Q45" s="21">
        <f>IFERROR(__xludf.DUMMYFUNCTION("FILTER(Datos!$E$2:$E1003, Datos!$F$2:$F1003=Q$1, Datos!$G$2:$G1003=Q$2, Datos!$A$2:$A1003=$A45)"),6520.399)</f>
        <v>6520.399</v>
      </c>
    </row>
    <row r="46">
      <c r="A46" s="18">
        <f t="shared" si="2"/>
        <v>41</v>
      </c>
      <c r="B46" s="19">
        <f>IFERROR(__xludf.DUMMYFUNCTION("FILTER(Datos!$D$2:$D1003, Datos!$F$2:$F1003=B$1, Datos!$G$2:$G1003=B$2, Datos!$A$2:$A1003=$A46)"),1910.633)</f>
        <v>1910.633</v>
      </c>
      <c r="C46" s="20">
        <f>IFERROR(__xludf.DUMMYFUNCTION("FILTER(Datos!$E$2:$E1003, Datos!$F$2:$F1003=C$1, Datos!$G$2:$G1003=C$2, Datos!$A$2:$A1003=$A46)"),2019.633)</f>
        <v>2019.633</v>
      </c>
      <c r="D46" s="20">
        <f>IFERROR(__xludf.DUMMYFUNCTION("FILTER(Datos!$D$2:$D1003, Datos!$F$2:$F1003=D$1, Datos!$G$2:$G1003=D$2, Datos!$A$2:$A1003=$A46)"),2227.767)</f>
        <v>2227.767</v>
      </c>
      <c r="E46" s="20">
        <f>IFERROR(__xludf.DUMMYFUNCTION("FILTER(Datos!$E$2:$E1003, Datos!$F$2:$F1003=E$1, Datos!$G$2:$G1003=E$2, Datos!$A$2:$A1003=$A46)"),2818.624)</f>
        <v>2818.624</v>
      </c>
      <c r="F46" s="20">
        <f>IFERROR(__xludf.DUMMYFUNCTION("FILTER(Datos!$D$2:$D1003, Datos!$F$2:$F1003=F$1, Datos!$G$2:$G1003=F$2, Datos!$A$2:$A1003=$A46)"),4183.1)</f>
        <v>4183.1</v>
      </c>
      <c r="G46" s="20">
        <f>IFERROR(__xludf.DUMMYFUNCTION("FILTER(Datos!$E$2:$E1003, Datos!$F$2:$F1003=G$1, Datos!$G$2:$G1003=G$2, Datos!$A$2:$A1003=$A46)"),6654.104)</f>
        <v>6654.104</v>
      </c>
      <c r="H46" s="20">
        <f>IFERROR(__xludf.DUMMYFUNCTION("FILTER(Datos!$D$2:$D1003, Datos!$F$2:$F1003=H$1, Datos!$G$2:$G1003=H$2, Datos!$A$2:$A1003=$A46)"),4802.2)</f>
        <v>4802.2</v>
      </c>
      <c r="I46" s="21">
        <f>IFERROR(__xludf.DUMMYFUNCTION("FILTER(Datos!$E$2:$E1003, Datos!$F$2:$F1003=I$1, Datos!$G$2:$G1003=I$2, Datos!$A$2:$A1003=$A46)"),7305.892)</f>
        <v>7305.892</v>
      </c>
      <c r="J46" s="20">
        <f>IFERROR(__xludf.DUMMYFUNCTION("FILTER(Datos!$D$2:$D1003, Datos!$F$2:$F1003=J$1, Datos!$G$2:$G1003=J$2, Datos!$A$2:$A1003=$A46)"),1822.133)</f>
        <v>1822.133</v>
      </c>
      <c r="K46" s="20">
        <f>IFERROR(__xludf.DUMMYFUNCTION("FILTER(Datos!$E$2:$E1003, Datos!$F$2:$F1003=K$1, Datos!$G$2:$G1003=K$2, Datos!$A$2:$A1003=$A46)"),2306.052)</f>
        <v>2306.052</v>
      </c>
      <c r="L46" s="20">
        <f>IFERROR(__xludf.DUMMYFUNCTION("FILTER(Datos!$D$2:$D1003, Datos!$F$2:$F1003=L$1, Datos!$G$2:$G1003=L$2, Datos!$A$2:$A1003=$A46)"),2207.133)</f>
        <v>2207.133</v>
      </c>
      <c r="M46" s="20">
        <f>IFERROR(__xludf.DUMMYFUNCTION("FILTER(Datos!$E$2:$E1003, Datos!$F$2:$F1003=M$1, Datos!$G$2:$G1003=M$2, Datos!$A$2:$A1003=$A46)"),3046.129)</f>
        <v>3046.129</v>
      </c>
      <c r="N46" s="20">
        <f>IFERROR(__xludf.DUMMYFUNCTION("FILTER(Datos!$D$2:$D1003, Datos!$F$2:$F1003=N$1, Datos!$G$2:$G1003=N$2, Datos!$A$2:$A1003=$A46)"),3515.167)</f>
        <v>3515.167</v>
      </c>
      <c r="O46" s="20">
        <f>IFERROR(__xludf.DUMMYFUNCTION("FILTER(Datos!$E$2:$E1003, Datos!$F$2:$F1003=O$1, Datos!$G$2:$G1003=O$2, Datos!$A$2:$A1003=$A46)"),5624.984)</f>
        <v>5624.984</v>
      </c>
      <c r="P46" s="20">
        <f>IFERROR(__xludf.DUMMYFUNCTION("FILTER(Datos!$D$2:$D1003, Datos!$F$2:$F1003=P$1, Datos!$G$2:$G1003=P$2, Datos!$A$2:$A1003=$A46)"),4183.5)</f>
        <v>4183.5</v>
      </c>
      <c r="Q46" s="21">
        <f>IFERROR(__xludf.DUMMYFUNCTION("FILTER(Datos!$E$2:$E1003, Datos!$F$2:$F1003=Q$1, Datos!$G$2:$G1003=Q$2, Datos!$A$2:$A1003=$A46)"),6508.997)</f>
        <v>6508.997</v>
      </c>
    </row>
    <row r="47">
      <c r="A47" s="18">
        <f t="shared" si="2"/>
        <v>42</v>
      </c>
      <c r="B47" s="19">
        <f>IFERROR(__xludf.DUMMYFUNCTION("FILTER(Datos!$D$2:$D1003, Datos!$F$2:$F1003=B$1, Datos!$G$2:$G1003=B$2, Datos!$A$2:$A1003=$A47)"),1910.633)</f>
        <v>1910.633</v>
      </c>
      <c r="C47" s="20">
        <f>IFERROR(__xludf.DUMMYFUNCTION("FILTER(Datos!$E$2:$E1003, Datos!$F$2:$F1003=C$1, Datos!$G$2:$G1003=C$2, Datos!$A$2:$A1003=$A47)"),2017.328)</f>
        <v>2017.328</v>
      </c>
      <c r="D47" s="20">
        <f>IFERROR(__xludf.DUMMYFUNCTION("FILTER(Datos!$D$2:$D1003, Datos!$F$2:$F1003=D$1, Datos!$G$2:$G1003=D$2, Datos!$A$2:$A1003=$A47)"),2222.833)</f>
        <v>2222.833</v>
      </c>
      <c r="E47" s="20">
        <f>IFERROR(__xludf.DUMMYFUNCTION("FILTER(Datos!$E$2:$E1003, Datos!$F$2:$F1003=E$1, Datos!$G$2:$G1003=E$2, Datos!$A$2:$A1003=$A47)"),2783.885)</f>
        <v>2783.885</v>
      </c>
      <c r="F47" s="20">
        <f>IFERROR(__xludf.DUMMYFUNCTION("FILTER(Datos!$D$2:$D1003, Datos!$F$2:$F1003=F$1, Datos!$G$2:$G1003=F$2, Datos!$A$2:$A1003=$A47)"),4165.667)</f>
        <v>4165.667</v>
      </c>
      <c r="G47" s="20">
        <f>IFERROR(__xludf.DUMMYFUNCTION("FILTER(Datos!$E$2:$E1003, Datos!$F$2:$F1003=G$1, Datos!$G$2:$G1003=G$2, Datos!$A$2:$A1003=$A47)"),6640.776)</f>
        <v>6640.776</v>
      </c>
      <c r="H47" s="20">
        <f>IFERROR(__xludf.DUMMYFUNCTION("FILTER(Datos!$D$2:$D1003, Datos!$F$2:$F1003=H$1, Datos!$G$2:$G1003=H$2, Datos!$A$2:$A1003=$A47)"),4801.0)</f>
        <v>4801</v>
      </c>
      <c r="I47" s="21">
        <f>IFERROR(__xludf.DUMMYFUNCTION("FILTER(Datos!$E$2:$E1003, Datos!$F$2:$F1003=I$1, Datos!$G$2:$G1003=I$2, Datos!$A$2:$A1003=$A47)"),7286.812)</f>
        <v>7286.812</v>
      </c>
      <c r="J47" s="20">
        <f>IFERROR(__xludf.DUMMYFUNCTION("FILTER(Datos!$D$2:$D1003, Datos!$F$2:$F1003=J$1, Datos!$G$2:$G1003=J$2, Datos!$A$2:$A1003=$A47)"),1822.133)</f>
        <v>1822.133</v>
      </c>
      <c r="K47" s="20">
        <f>IFERROR(__xludf.DUMMYFUNCTION("FILTER(Datos!$E$2:$E1003, Datos!$F$2:$F1003=K$1, Datos!$G$2:$G1003=K$2, Datos!$A$2:$A1003=$A47)"),2312.375)</f>
        <v>2312.375</v>
      </c>
      <c r="L47" s="20">
        <f>IFERROR(__xludf.DUMMYFUNCTION("FILTER(Datos!$D$2:$D1003, Datos!$F$2:$F1003=L$1, Datos!$G$2:$G1003=L$2, Datos!$A$2:$A1003=$A47)"),2205.333)</f>
        <v>2205.333</v>
      </c>
      <c r="M47" s="20">
        <f>IFERROR(__xludf.DUMMYFUNCTION("FILTER(Datos!$E$2:$E1003, Datos!$F$2:$F1003=M$1, Datos!$G$2:$G1003=M$2, Datos!$A$2:$A1003=$A47)"),3040.841)</f>
        <v>3040.841</v>
      </c>
      <c r="N47" s="20">
        <f>IFERROR(__xludf.DUMMYFUNCTION("FILTER(Datos!$D$2:$D1003, Datos!$F$2:$F1003=N$1, Datos!$G$2:$G1003=N$2, Datos!$A$2:$A1003=$A47)"),3466.333)</f>
        <v>3466.333</v>
      </c>
      <c r="O47" s="20">
        <f>IFERROR(__xludf.DUMMYFUNCTION("FILTER(Datos!$E$2:$E1003, Datos!$F$2:$F1003=O$1, Datos!$G$2:$G1003=O$2, Datos!$A$2:$A1003=$A47)"),5590.58)</f>
        <v>5590.58</v>
      </c>
      <c r="P47" s="20">
        <f>IFERROR(__xludf.DUMMYFUNCTION("FILTER(Datos!$D$2:$D1003, Datos!$F$2:$F1003=P$1, Datos!$G$2:$G1003=P$2, Datos!$A$2:$A1003=$A47)"),4163.433)</f>
        <v>4163.433</v>
      </c>
      <c r="Q47" s="21">
        <f>IFERROR(__xludf.DUMMYFUNCTION("FILTER(Datos!$E$2:$E1003, Datos!$F$2:$F1003=Q$1, Datos!$G$2:$G1003=Q$2, Datos!$A$2:$A1003=$A47)"),6509.973)</f>
        <v>6509.973</v>
      </c>
    </row>
    <row r="48">
      <c r="A48" s="18">
        <f t="shared" si="2"/>
        <v>43</v>
      </c>
      <c r="B48" s="19">
        <f>IFERROR(__xludf.DUMMYFUNCTION("FILTER(Datos!$D$2:$D1003, Datos!$F$2:$F1003=B$1, Datos!$G$2:$G1003=B$2, Datos!$A$2:$A1003=$A48)"),1909.833)</f>
        <v>1909.833</v>
      </c>
      <c r="C48" s="20">
        <f>IFERROR(__xludf.DUMMYFUNCTION("FILTER(Datos!$E$2:$E1003, Datos!$F$2:$F1003=C$1, Datos!$G$2:$G1003=C$2, Datos!$A$2:$A1003=$A48)"),2017.235)</f>
        <v>2017.235</v>
      </c>
      <c r="D48" s="20">
        <f>IFERROR(__xludf.DUMMYFUNCTION("FILTER(Datos!$D$2:$D1003, Datos!$F$2:$F1003=D$1, Datos!$G$2:$G1003=D$2, Datos!$A$2:$A1003=$A48)"),2219.433)</f>
        <v>2219.433</v>
      </c>
      <c r="E48" s="20">
        <f>IFERROR(__xludf.DUMMYFUNCTION("FILTER(Datos!$E$2:$E1003, Datos!$F$2:$F1003=E$1, Datos!$G$2:$G1003=E$2, Datos!$A$2:$A1003=$A48)"),2752.816)</f>
        <v>2752.816</v>
      </c>
      <c r="F48" s="20">
        <f>IFERROR(__xludf.DUMMYFUNCTION("FILTER(Datos!$D$2:$D1003, Datos!$F$2:$F1003=F$1, Datos!$G$2:$G1003=F$2, Datos!$A$2:$A1003=$A48)"),4161.033)</f>
        <v>4161.033</v>
      </c>
      <c r="G48" s="20">
        <f>IFERROR(__xludf.DUMMYFUNCTION("FILTER(Datos!$E$2:$E1003, Datos!$F$2:$F1003=G$1, Datos!$G$2:$G1003=G$2, Datos!$A$2:$A1003=$A48)"),6634.846)</f>
        <v>6634.846</v>
      </c>
      <c r="H48" s="20">
        <f>IFERROR(__xludf.DUMMYFUNCTION("FILTER(Datos!$D$2:$D1003, Datos!$F$2:$F1003=H$1, Datos!$G$2:$G1003=H$2, Datos!$A$2:$A1003=$A48)"),4798.0)</f>
        <v>4798</v>
      </c>
      <c r="I48" s="21">
        <f>IFERROR(__xludf.DUMMYFUNCTION("FILTER(Datos!$E$2:$E1003, Datos!$F$2:$F1003=I$1, Datos!$G$2:$G1003=I$2, Datos!$A$2:$A1003=$A48)"),7283.0)</f>
        <v>7283</v>
      </c>
      <c r="J48" s="20">
        <f>IFERROR(__xludf.DUMMYFUNCTION("FILTER(Datos!$D$2:$D1003, Datos!$F$2:$F1003=J$1, Datos!$G$2:$G1003=J$2, Datos!$A$2:$A1003=$A48)"),1821.833)</f>
        <v>1821.833</v>
      </c>
      <c r="K48" s="20">
        <f>IFERROR(__xludf.DUMMYFUNCTION("FILTER(Datos!$E$2:$E1003, Datos!$F$2:$F1003=K$1, Datos!$G$2:$G1003=K$2, Datos!$A$2:$A1003=$A48)"),2289.946)</f>
        <v>2289.946</v>
      </c>
      <c r="L48" s="20">
        <f>IFERROR(__xludf.DUMMYFUNCTION("FILTER(Datos!$D$2:$D1003, Datos!$F$2:$F1003=L$1, Datos!$G$2:$G1003=L$2, Datos!$A$2:$A1003=$A48)"),2200.733)</f>
        <v>2200.733</v>
      </c>
      <c r="M48" s="20">
        <f>IFERROR(__xludf.DUMMYFUNCTION("FILTER(Datos!$E$2:$E1003, Datos!$F$2:$F1003=M$1, Datos!$G$2:$G1003=M$2, Datos!$A$2:$A1003=$A48)"),3039.044)</f>
        <v>3039.044</v>
      </c>
      <c r="N48" s="20">
        <f>IFERROR(__xludf.DUMMYFUNCTION("FILTER(Datos!$D$2:$D1003, Datos!$F$2:$F1003=N$1, Datos!$G$2:$G1003=N$2, Datos!$A$2:$A1003=$A48)"),3440.167)</f>
        <v>3440.167</v>
      </c>
      <c r="O48" s="20">
        <f>IFERROR(__xludf.DUMMYFUNCTION("FILTER(Datos!$E$2:$E1003, Datos!$F$2:$F1003=O$1, Datos!$G$2:$G1003=O$2, Datos!$A$2:$A1003=$A48)"),5553.136)</f>
        <v>5553.136</v>
      </c>
      <c r="P48" s="20">
        <f>IFERROR(__xludf.DUMMYFUNCTION("FILTER(Datos!$D$2:$D1003, Datos!$F$2:$F1003=P$1, Datos!$G$2:$G1003=P$2, Datos!$A$2:$A1003=$A48)"),4144.7)</f>
        <v>4144.7</v>
      </c>
      <c r="Q48" s="21">
        <f>IFERROR(__xludf.DUMMYFUNCTION("FILTER(Datos!$E$2:$E1003, Datos!$F$2:$F1003=Q$1, Datos!$G$2:$G1003=Q$2, Datos!$A$2:$A1003=$A48)"),6494.308)</f>
        <v>6494.308</v>
      </c>
    </row>
    <row r="49">
      <c r="A49" s="18">
        <f t="shared" si="2"/>
        <v>44</v>
      </c>
      <c r="B49" s="19">
        <f>IFERROR(__xludf.DUMMYFUNCTION("FILTER(Datos!$D$2:$D1003, Datos!$F$2:$F1003=B$1, Datos!$G$2:$G1003=B$2, Datos!$A$2:$A1003=$A49)"),1909.833)</f>
        <v>1909.833</v>
      </c>
      <c r="C49" s="20">
        <f>IFERROR(__xludf.DUMMYFUNCTION("FILTER(Datos!$E$2:$E1003, Datos!$F$2:$F1003=C$1, Datos!$G$2:$G1003=C$2, Datos!$A$2:$A1003=$A49)"),2011.102)</f>
        <v>2011.102</v>
      </c>
      <c r="D49" s="20">
        <f>IFERROR(__xludf.DUMMYFUNCTION("FILTER(Datos!$D$2:$D1003, Datos!$F$2:$F1003=D$1, Datos!$G$2:$G1003=D$2, Datos!$A$2:$A1003=$A49)"),2214.7)</f>
        <v>2214.7</v>
      </c>
      <c r="E49" s="20">
        <f>IFERROR(__xludf.DUMMYFUNCTION("FILTER(Datos!$E$2:$E1003, Datos!$F$2:$F1003=E$1, Datos!$G$2:$G1003=E$2, Datos!$A$2:$A1003=$A49)"),2712.992)</f>
        <v>2712.992</v>
      </c>
      <c r="F49" s="20">
        <f>IFERROR(__xludf.DUMMYFUNCTION("FILTER(Datos!$D$2:$D1003, Datos!$F$2:$F1003=F$1, Datos!$G$2:$G1003=F$2, Datos!$A$2:$A1003=$A49)"),4159.633)</f>
        <v>4159.633</v>
      </c>
      <c r="G49" s="20">
        <f>IFERROR(__xludf.DUMMYFUNCTION("FILTER(Datos!$E$2:$E1003, Datos!$F$2:$F1003=G$1, Datos!$G$2:$G1003=G$2, Datos!$A$2:$A1003=$A49)"),6626.536)</f>
        <v>6626.536</v>
      </c>
      <c r="H49" s="20">
        <f>IFERROR(__xludf.DUMMYFUNCTION("FILTER(Datos!$D$2:$D1003, Datos!$F$2:$F1003=H$1, Datos!$G$2:$G1003=H$2, Datos!$A$2:$A1003=$A49)"),4798.0)</f>
        <v>4798</v>
      </c>
      <c r="I49" s="21">
        <f>IFERROR(__xludf.DUMMYFUNCTION("FILTER(Datos!$E$2:$E1003, Datos!$F$2:$F1003=I$1, Datos!$G$2:$G1003=I$2, Datos!$A$2:$A1003=$A49)"),7267.106)</f>
        <v>7267.106</v>
      </c>
      <c r="J49" s="20">
        <f>IFERROR(__xludf.DUMMYFUNCTION("FILTER(Datos!$D$2:$D1003, Datos!$F$2:$F1003=J$1, Datos!$G$2:$G1003=J$2, Datos!$A$2:$A1003=$A49)"),1821.833)</f>
        <v>1821.833</v>
      </c>
      <c r="K49" s="20">
        <f>IFERROR(__xludf.DUMMYFUNCTION("FILTER(Datos!$E$2:$E1003, Datos!$F$2:$F1003=K$1, Datos!$G$2:$G1003=K$2, Datos!$A$2:$A1003=$A49)"),2293.964)</f>
        <v>2293.964</v>
      </c>
      <c r="L49" s="20">
        <f>IFERROR(__xludf.DUMMYFUNCTION("FILTER(Datos!$D$2:$D1003, Datos!$F$2:$F1003=L$1, Datos!$G$2:$G1003=L$2, Datos!$A$2:$A1003=$A49)"),2197.633)</f>
        <v>2197.633</v>
      </c>
      <c r="M49" s="20">
        <f>IFERROR(__xludf.DUMMYFUNCTION("FILTER(Datos!$E$2:$E1003, Datos!$F$2:$F1003=M$1, Datos!$G$2:$G1003=M$2, Datos!$A$2:$A1003=$A49)"),3027.578)</f>
        <v>3027.578</v>
      </c>
      <c r="N49" s="20">
        <f>IFERROR(__xludf.DUMMYFUNCTION("FILTER(Datos!$D$2:$D1003, Datos!$F$2:$F1003=N$1, Datos!$G$2:$G1003=N$2, Datos!$A$2:$A1003=$A49)"),3410.567)</f>
        <v>3410.567</v>
      </c>
      <c r="O49" s="20">
        <f>IFERROR(__xludf.DUMMYFUNCTION("FILTER(Datos!$E$2:$E1003, Datos!$F$2:$F1003=O$1, Datos!$G$2:$G1003=O$2, Datos!$A$2:$A1003=$A49)"),5497.015)</f>
        <v>5497.015</v>
      </c>
      <c r="P49" s="20">
        <f>IFERROR(__xludf.DUMMYFUNCTION("FILTER(Datos!$D$2:$D1003, Datos!$F$2:$F1003=P$1, Datos!$G$2:$G1003=P$2, Datos!$A$2:$A1003=$A49)"),4130.867)</f>
        <v>4130.867</v>
      </c>
      <c r="Q49" s="21">
        <f>IFERROR(__xludf.DUMMYFUNCTION("FILTER(Datos!$E$2:$E1003, Datos!$F$2:$F1003=Q$1, Datos!$G$2:$G1003=Q$2, Datos!$A$2:$A1003=$A49)"),6458.167)</f>
        <v>6458.167</v>
      </c>
    </row>
    <row r="50">
      <c r="A50" s="18">
        <f t="shared" si="2"/>
        <v>45</v>
      </c>
      <c r="B50" s="19">
        <f>IFERROR(__xludf.DUMMYFUNCTION("FILTER(Datos!$D$2:$D1003, Datos!$F$2:$F1003=B$1, Datos!$G$2:$G1003=B$2, Datos!$A$2:$A1003=$A50)"),1909.833)</f>
        <v>1909.833</v>
      </c>
      <c r="C50" s="20">
        <f>IFERROR(__xludf.DUMMYFUNCTION("FILTER(Datos!$E$2:$E1003, Datos!$F$2:$F1003=C$1, Datos!$G$2:$G1003=C$2, Datos!$A$2:$A1003=$A50)"),2012.972)</f>
        <v>2012.972</v>
      </c>
      <c r="D50" s="20">
        <f>IFERROR(__xludf.DUMMYFUNCTION("FILTER(Datos!$D$2:$D1003, Datos!$F$2:$F1003=D$1, Datos!$G$2:$G1003=D$2, Datos!$A$2:$A1003=$A50)"),2214.2)</f>
        <v>2214.2</v>
      </c>
      <c r="E50" s="20">
        <f>IFERROR(__xludf.DUMMYFUNCTION("FILTER(Datos!$E$2:$E1003, Datos!$F$2:$F1003=E$1, Datos!$G$2:$G1003=E$2, Datos!$A$2:$A1003=$A50)"),2689.922)</f>
        <v>2689.922</v>
      </c>
      <c r="F50" s="20">
        <f>IFERROR(__xludf.DUMMYFUNCTION("FILTER(Datos!$D$2:$D1003, Datos!$F$2:$F1003=F$1, Datos!$G$2:$G1003=F$2, Datos!$A$2:$A1003=$A50)"),4132.4)</f>
        <v>4132.4</v>
      </c>
      <c r="G50" s="20">
        <f>IFERROR(__xludf.DUMMYFUNCTION("FILTER(Datos!$E$2:$E1003, Datos!$F$2:$F1003=G$1, Datos!$G$2:$G1003=G$2, Datos!$A$2:$A1003=$A50)"),6602.097)</f>
        <v>6602.097</v>
      </c>
      <c r="H50" s="20">
        <f>IFERROR(__xludf.DUMMYFUNCTION("FILTER(Datos!$D$2:$D1003, Datos!$F$2:$F1003=H$1, Datos!$G$2:$G1003=H$2, Datos!$A$2:$A1003=$A50)"),4773.0)</f>
        <v>4773</v>
      </c>
      <c r="I50" s="21">
        <f>IFERROR(__xludf.DUMMYFUNCTION("FILTER(Datos!$E$2:$E1003, Datos!$F$2:$F1003=I$1, Datos!$G$2:$G1003=I$2, Datos!$A$2:$A1003=$A50)"),7262.769)</f>
        <v>7262.769</v>
      </c>
      <c r="J50" s="20">
        <f>IFERROR(__xludf.DUMMYFUNCTION("FILTER(Datos!$D$2:$D1003, Datos!$F$2:$F1003=J$1, Datos!$G$2:$G1003=J$2, Datos!$A$2:$A1003=$A50)"),1821.833)</f>
        <v>1821.833</v>
      </c>
      <c r="K50" s="20">
        <f>IFERROR(__xludf.DUMMYFUNCTION("FILTER(Datos!$E$2:$E1003, Datos!$F$2:$F1003=K$1, Datos!$G$2:$G1003=K$2, Datos!$A$2:$A1003=$A50)"),2300.611)</f>
        <v>2300.611</v>
      </c>
      <c r="L50" s="20">
        <f>IFERROR(__xludf.DUMMYFUNCTION("FILTER(Datos!$D$2:$D1003, Datos!$F$2:$F1003=L$1, Datos!$G$2:$G1003=L$2, Datos!$A$2:$A1003=$A50)"),2197.433)</f>
        <v>2197.433</v>
      </c>
      <c r="M50" s="20">
        <f>IFERROR(__xludf.DUMMYFUNCTION("FILTER(Datos!$E$2:$E1003, Datos!$F$2:$F1003=M$1, Datos!$G$2:$G1003=M$2, Datos!$A$2:$A1003=$A50)"),3018.359)</f>
        <v>3018.359</v>
      </c>
      <c r="N50" s="20">
        <f>IFERROR(__xludf.DUMMYFUNCTION("FILTER(Datos!$D$2:$D1003, Datos!$F$2:$F1003=N$1, Datos!$G$2:$G1003=N$2, Datos!$A$2:$A1003=$A50)"),3393.2)</f>
        <v>3393.2</v>
      </c>
      <c r="O50" s="20">
        <f>IFERROR(__xludf.DUMMYFUNCTION("FILTER(Datos!$E$2:$E1003, Datos!$F$2:$F1003=O$1, Datos!$G$2:$G1003=O$2, Datos!$A$2:$A1003=$A50)"),5473.241)</f>
        <v>5473.241</v>
      </c>
      <c r="P50" s="20">
        <f>IFERROR(__xludf.DUMMYFUNCTION("FILTER(Datos!$D$2:$D1003, Datos!$F$2:$F1003=P$1, Datos!$G$2:$G1003=P$2, Datos!$A$2:$A1003=$A50)"),4109.467)</f>
        <v>4109.467</v>
      </c>
      <c r="Q50" s="21">
        <f>IFERROR(__xludf.DUMMYFUNCTION("FILTER(Datos!$E$2:$E1003, Datos!$F$2:$F1003=Q$1, Datos!$G$2:$G1003=Q$2, Datos!$A$2:$A1003=$A50)"),6445.886)</f>
        <v>6445.886</v>
      </c>
    </row>
    <row r="51">
      <c r="A51" s="18">
        <f t="shared" si="2"/>
        <v>46</v>
      </c>
      <c r="B51" s="19">
        <f>IFERROR(__xludf.DUMMYFUNCTION("FILTER(Datos!$D$2:$D1003, Datos!$F$2:$F1003=B$1, Datos!$G$2:$G1003=B$2, Datos!$A$2:$A1003=$A51)"),1909.833)</f>
        <v>1909.833</v>
      </c>
      <c r="C51" s="20">
        <f>IFERROR(__xludf.DUMMYFUNCTION("FILTER(Datos!$E$2:$E1003, Datos!$F$2:$F1003=C$1, Datos!$G$2:$G1003=C$2, Datos!$A$2:$A1003=$A51)"),2007.82)</f>
        <v>2007.82</v>
      </c>
      <c r="D51" s="20">
        <f>IFERROR(__xludf.DUMMYFUNCTION("FILTER(Datos!$D$2:$D1003, Datos!$F$2:$F1003=D$1, Datos!$G$2:$G1003=D$2, Datos!$A$2:$A1003=$A51)"),2200.3)</f>
        <v>2200.3</v>
      </c>
      <c r="E51" s="20">
        <f>IFERROR(__xludf.DUMMYFUNCTION("FILTER(Datos!$E$2:$E1003, Datos!$F$2:$F1003=E$1, Datos!$G$2:$G1003=E$2, Datos!$A$2:$A1003=$A51)"),2662.744)</f>
        <v>2662.744</v>
      </c>
      <c r="F51" s="20">
        <f>IFERROR(__xludf.DUMMYFUNCTION("FILTER(Datos!$D$2:$D1003, Datos!$F$2:$F1003=F$1, Datos!$G$2:$G1003=F$2, Datos!$A$2:$A1003=$A51)"),4124.7)</f>
        <v>4124.7</v>
      </c>
      <c r="G51" s="20">
        <f>IFERROR(__xludf.DUMMYFUNCTION("FILTER(Datos!$E$2:$E1003, Datos!$F$2:$F1003=G$1, Datos!$G$2:$G1003=G$2, Datos!$A$2:$A1003=$A51)"),6572.534)</f>
        <v>6572.534</v>
      </c>
      <c r="H51" s="20">
        <f>IFERROR(__xludf.DUMMYFUNCTION("FILTER(Datos!$D$2:$D1003, Datos!$F$2:$F1003=H$1, Datos!$G$2:$G1003=H$2, Datos!$A$2:$A1003=$A51)"),4763.7)</f>
        <v>4763.7</v>
      </c>
      <c r="I51" s="21">
        <f>IFERROR(__xludf.DUMMYFUNCTION("FILTER(Datos!$E$2:$E1003, Datos!$F$2:$F1003=I$1, Datos!$G$2:$G1003=I$2, Datos!$A$2:$A1003=$A51)"),7244.227)</f>
        <v>7244.227</v>
      </c>
      <c r="J51" s="20">
        <f>IFERROR(__xludf.DUMMYFUNCTION("FILTER(Datos!$D$2:$D1003, Datos!$F$2:$F1003=J$1, Datos!$G$2:$G1003=J$2, Datos!$A$2:$A1003=$A51)"),1821.833)</f>
        <v>1821.833</v>
      </c>
      <c r="K51" s="20">
        <f>IFERROR(__xludf.DUMMYFUNCTION("FILTER(Datos!$E$2:$E1003, Datos!$F$2:$F1003=K$1, Datos!$G$2:$G1003=K$2, Datos!$A$2:$A1003=$A51)"),2297.88)</f>
        <v>2297.88</v>
      </c>
      <c r="L51" s="20">
        <f>IFERROR(__xludf.DUMMYFUNCTION("FILTER(Datos!$D$2:$D1003, Datos!$F$2:$F1003=L$1, Datos!$G$2:$G1003=L$2, Datos!$A$2:$A1003=$A51)"),2193.767)</f>
        <v>2193.767</v>
      </c>
      <c r="M51" s="20">
        <f>IFERROR(__xludf.DUMMYFUNCTION("FILTER(Datos!$E$2:$E1003, Datos!$F$2:$F1003=M$1, Datos!$G$2:$G1003=M$2, Datos!$A$2:$A1003=$A51)"),3014.217)</f>
        <v>3014.217</v>
      </c>
      <c r="N51" s="20">
        <f>IFERROR(__xludf.DUMMYFUNCTION("FILTER(Datos!$D$2:$D1003, Datos!$F$2:$F1003=N$1, Datos!$G$2:$G1003=N$2, Datos!$A$2:$A1003=$A51)"),3360.4)</f>
        <v>3360.4</v>
      </c>
      <c r="O51" s="20">
        <f>IFERROR(__xludf.DUMMYFUNCTION("FILTER(Datos!$E$2:$E1003, Datos!$F$2:$F1003=O$1, Datos!$G$2:$G1003=O$2, Datos!$A$2:$A1003=$A51)"),5426.59)</f>
        <v>5426.59</v>
      </c>
      <c r="P51" s="20">
        <f>IFERROR(__xludf.DUMMYFUNCTION("FILTER(Datos!$D$2:$D1003, Datos!$F$2:$F1003=P$1, Datos!$G$2:$G1003=P$2, Datos!$A$2:$A1003=$A51)"),4090.667)</f>
        <v>4090.667</v>
      </c>
      <c r="Q51" s="21">
        <f>IFERROR(__xludf.DUMMYFUNCTION("FILTER(Datos!$E$2:$E1003, Datos!$F$2:$F1003=Q$1, Datos!$G$2:$G1003=Q$2, Datos!$A$2:$A1003=$A51)"),6427.778)</f>
        <v>6427.778</v>
      </c>
    </row>
    <row r="52">
      <c r="A52" s="18">
        <f t="shared" si="2"/>
        <v>47</v>
      </c>
      <c r="B52" s="19">
        <f>IFERROR(__xludf.DUMMYFUNCTION("FILTER(Datos!$D$2:$D1003, Datos!$F$2:$F1003=B$1, Datos!$G$2:$G1003=B$2, Datos!$A$2:$A1003=$A52)"),1909.833)</f>
        <v>1909.833</v>
      </c>
      <c r="C52" s="20">
        <f>IFERROR(__xludf.DUMMYFUNCTION("FILTER(Datos!$E$2:$E1003, Datos!$F$2:$F1003=C$1, Datos!$G$2:$G1003=C$2, Datos!$A$2:$A1003=$A52)"),2006.911)</f>
        <v>2006.911</v>
      </c>
      <c r="D52" s="20">
        <f>IFERROR(__xludf.DUMMYFUNCTION("FILTER(Datos!$D$2:$D1003, Datos!$F$2:$F1003=D$1, Datos!$G$2:$G1003=D$2, Datos!$A$2:$A1003=$A52)"),2199.2)</f>
        <v>2199.2</v>
      </c>
      <c r="E52" s="20">
        <f>IFERROR(__xludf.DUMMYFUNCTION("FILTER(Datos!$E$2:$E1003, Datos!$F$2:$F1003=E$1, Datos!$G$2:$G1003=E$2, Datos!$A$2:$A1003=$A52)"),2638.18)</f>
        <v>2638.18</v>
      </c>
      <c r="F52" s="20">
        <f>IFERROR(__xludf.DUMMYFUNCTION("FILTER(Datos!$D$2:$D1003, Datos!$F$2:$F1003=F$1, Datos!$G$2:$G1003=F$2, Datos!$A$2:$A1003=$A52)"),4112.167)</f>
        <v>4112.167</v>
      </c>
      <c r="G52" s="20">
        <f>IFERROR(__xludf.DUMMYFUNCTION("FILTER(Datos!$E$2:$E1003, Datos!$F$2:$F1003=G$1, Datos!$G$2:$G1003=G$2, Datos!$A$2:$A1003=$A52)"),6550.375)</f>
        <v>6550.375</v>
      </c>
      <c r="H52" s="20">
        <f>IFERROR(__xludf.DUMMYFUNCTION("FILTER(Datos!$D$2:$D1003, Datos!$F$2:$F1003=H$1, Datos!$G$2:$G1003=H$2, Datos!$A$2:$A1003=$A52)"),4756.333)</f>
        <v>4756.333</v>
      </c>
      <c r="I52" s="21">
        <f>IFERROR(__xludf.DUMMYFUNCTION("FILTER(Datos!$E$2:$E1003, Datos!$F$2:$F1003=I$1, Datos!$G$2:$G1003=I$2, Datos!$A$2:$A1003=$A52)"),7247.648)</f>
        <v>7247.648</v>
      </c>
      <c r="J52" s="20">
        <f>IFERROR(__xludf.DUMMYFUNCTION("FILTER(Datos!$D$2:$D1003, Datos!$F$2:$F1003=J$1, Datos!$G$2:$G1003=J$2, Datos!$A$2:$A1003=$A52)"),1821.833)</f>
        <v>1821.833</v>
      </c>
      <c r="K52" s="20">
        <f>IFERROR(__xludf.DUMMYFUNCTION("FILTER(Datos!$E$2:$E1003, Datos!$F$2:$F1003=K$1, Datos!$G$2:$G1003=K$2, Datos!$A$2:$A1003=$A52)"),2296.668)</f>
        <v>2296.668</v>
      </c>
      <c r="L52" s="20">
        <f>IFERROR(__xludf.DUMMYFUNCTION("FILTER(Datos!$D$2:$D1003, Datos!$F$2:$F1003=L$1, Datos!$G$2:$G1003=L$2, Datos!$A$2:$A1003=$A52)"),2189.7)</f>
        <v>2189.7</v>
      </c>
      <c r="M52" s="20">
        <f>IFERROR(__xludf.DUMMYFUNCTION("FILTER(Datos!$E$2:$E1003, Datos!$F$2:$F1003=M$1, Datos!$G$2:$G1003=M$2, Datos!$A$2:$A1003=$A52)"),3001.552)</f>
        <v>3001.552</v>
      </c>
      <c r="N52" s="20">
        <f>IFERROR(__xludf.DUMMYFUNCTION("FILTER(Datos!$D$2:$D1003, Datos!$F$2:$F1003=N$1, Datos!$G$2:$G1003=N$2, Datos!$A$2:$A1003=$A52)"),3348.067)</f>
        <v>3348.067</v>
      </c>
      <c r="O52" s="20">
        <f>IFERROR(__xludf.DUMMYFUNCTION("FILTER(Datos!$E$2:$E1003, Datos!$F$2:$F1003=O$1, Datos!$G$2:$G1003=O$2, Datos!$A$2:$A1003=$A52)"),5377.597)</f>
        <v>5377.597</v>
      </c>
      <c r="P52" s="20">
        <f>IFERROR(__xludf.DUMMYFUNCTION("FILTER(Datos!$D$2:$D1003, Datos!$F$2:$F1003=P$1, Datos!$G$2:$G1003=P$2, Datos!$A$2:$A1003=$A52)"),4058.767)</f>
        <v>4058.767</v>
      </c>
      <c r="Q52" s="21">
        <f>IFERROR(__xludf.DUMMYFUNCTION("FILTER(Datos!$E$2:$E1003, Datos!$F$2:$F1003=Q$1, Datos!$G$2:$G1003=Q$2, Datos!$A$2:$A1003=$A52)"),6404.785)</f>
        <v>6404.785</v>
      </c>
    </row>
    <row r="53">
      <c r="A53" s="18">
        <f t="shared" si="2"/>
        <v>48</v>
      </c>
      <c r="B53" s="19">
        <f>IFERROR(__xludf.DUMMYFUNCTION("FILTER(Datos!$D$2:$D1003, Datos!$F$2:$F1003=B$1, Datos!$G$2:$G1003=B$2, Datos!$A$2:$A1003=$A53)"),1909.833)</f>
        <v>1909.833</v>
      </c>
      <c r="C53" s="20">
        <f>IFERROR(__xludf.DUMMYFUNCTION("FILTER(Datos!$E$2:$E1003, Datos!$F$2:$F1003=C$1, Datos!$G$2:$G1003=C$2, Datos!$A$2:$A1003=$A53)"),2002.228)</f>
        <v>2002.228</v>
      </c>
      <c r="D53" s="20">
        <f>IFERROR(__xludf.DUMMYFUNCTION("FILTER(Datos!$D$2:$D1003, Datos!$F$2:$F1003=D$1, Datos!$G$2:$G1003=D$2, Datos!$A$2:$A1003=$A53)"),2198.267)</f>
        <v>2198.267</v>
      </c>
      <c r="E53" s="20">
        <f>IFERROR(__xludf.DUMMYFUNCTION("FILTER(Datos!$E$2:$E1003, Datos!$F$2:$F1003=E$1, Datos!$G$2:$G1003=E$2, Datos!$A$2:$A1003=$A53)"),2613.212)</f>
        <v>2613.212</v>
      </c>
      <c r="F53" s="20">
        <f>IFERROR(__xludf.DUMMYFUNCTION("FILTER(Datos!$D$2:$D1003, Datos!$F$2:$F1003=F$1, Datos!$G$2:$G1003=F$2, Datos!$A$2:$A1003=$A53)"),4102.3)</f>
        <v>4102.3</v>
      </c>
      <c r="G53" s="20">
        <f>IFERROR(__xludf.DUMMYFUNCTION("FILTER(Datos!$E$2:$E1003, Datos!$F$2:$F1003=G$1, Datos!$G$2:$G1003=G$2, Datos!$A$2:$A1003=$A53)"),6537.539)</f>
        <v>6537.539</v>
      </c>
      <c r="H53" s="20">
        <f>IFERROR(__xludf.DUMMYFUNCTION("FILTER(Datos!$D$2:$D1003, Datos!$F$2:$F1003=H$1, Datos!$G$2:$G1003=H$2, Datos!$A$2:$A1003=$A53)"),4756.333)</f>
        <v>4756.333</v>
      </c>
      <c r="I53" s="21">
        <f>IFERROR(__xludf.DUMMYFUNCTION("FILTER(Datos!$E$2:$E1003, Datos!$F$2:$F1003=I$1, Datos!$G$2:$G1003=I$2, Datos!$A$2:$A1003=$A53)"),7222.864)</f>
        <v>7222.864</v>
      </c>
      <c r="J53" s="20">
        <f>IFERROR(__xludf.DUMMYFUNCTION("FILTER(Datos!$D$2:$D1003, Datos!$F$2:$F1003=J$1, Datos!$G$2:$G1003=J$2, Datos!$A$2:$A1003=$A53)"),1821.833)</f>
        <v>1821.833</v>
      </c>
      <c r="K53" s="20">
        <f>IFERROR(__xludf.DUMMYFUNCTION("FILTER(Datos!$E$2:$E1003, Datos!$F$2:$F1003=K$1, Datos!$G$2:$G1003=K$2, Datos!$A$2:$A1003=$A53)"),2286.354)</f>
        <v>2286.354</v>
      </c>
      <c r="L53" s="20">
        <f>IFERROR(__xludf.DUMMYFUNCTION("FILTER(Datos!$D$2:$D1003, Datos!$F$2:$F1003=L$1, Datos!$G$2:$G1003=L$2, Datos!$A$2:$A1003=$A53)"),2187.367)</f>
        <v>2187.367</v>
      </c>
      <c r="M53" s="20">
        <f>IFERROR(__xludf.DUMMYFUNCTION("FILTER(Datos!$E$2:$E1003, Datos!$F$2:$F1003=M$1, Datos!$G$2:$G1003=M$2, Datos!$A$2:$A1003=$A53)"),2983.701)</f>
        <v>2983.701</v>
      </c>
      <c r="N53" s="20">
        <f>IFERROR(__xludf.DUMMYFUNCTION("FILTER(Datos!$D$2:$D1003, Datos!$F$2:$F1003=N$1, Datos!$G$2:$G1003=N$2, Datos!$A$2:$A1003=$A53)"),3317.7)</f>
        <v>3317.7</v>
      </c>
      <c r="O53" s="20">
        <f>IFERROR(__xludf.DUMMYFUNCTION("FILTER(Datos!$E$2:$E1003, Datos!$F$2:$F1003=O$1, Datos!$G$2:$G1003=O$2, Datos!$A$2:$A1003=$A53)"),5335.205)</f>
        <v>5335.205</v>
      </c>
      <c r="P53" s="20">
        <f>IFERROR(__xludf.DUMMYFUNCTION("FILTER(Datos!$D$2:$D1003, Datos!$F$2:$F1003=P$1, Datos!$G$2:$G1003=P$2, Datos!$A$2:$A1003=$A53)"),4049.767)</f>
        <v>4049.767</v>
      </c>
      <c r="Q53" s="21">
        <f>IFERROR(__xludf.DUMMYFUNCTION("FILTER(Datos!$E$2:$E1003, Datos!$F$2:$F1003=Q$1, Datos!$G$2:$G1003=Q$2, Datos!$A$2:$A1003=$A53)"),6389.001)</f>
        <v>6389.001</v>
      </c>
    </row>
    <row r="54">
      <c r="A54" s="18">
        <f t="shared" si="2"/>
        <v>49</v>
      </c>
      <c r="B54" s="19">
        <f>IFERROR(__xludf.DUMMYFUNCTION("FILTER(Datos!$D$2:$D1003, Datos!$F$2:$F1003=B$1, Datos!$G$2:$G1003=B$2, Datos!$A$2:$A1003=$A54)"),1909.833)</f>
        <v>1909.833</v>
      </c>
      <c r="C54" s="20">
        <f>IFERROR(__xludf.DUMMYFUNCTION("FILTER(Datos!$E$2:$E1003, Datos!$F$2:$F1003=C$1, Datos!$G$2:$G1003=C$2, Datos!$A$2:$A1003=$A54)"),2004.721)</f>
        <v>2004.721</v>
      </c>
      <c r="D54" s="20">
        <f>IFERROR(__xludf.DUMMYFUNCTION("FILTER(Datos!$D$2:$D1003, Datos!$F$2:$F1003=D$1, Datos!$G$2:$G1003=D$2, Datos!$A$2:$A1003=$A54)"),2193.8)</f>
        <v>2193.8</v>
      </c>
      <c r="E54" s="20">
        <f>IFERROR(__xludf.DUMMYFUNCTION("FILTER(Datos!$E$2:$E1003, Datos!$F$2:$F1003=E$1, Datos!$G$2:$G1003=E$2, Datos!$A$2:$A1003=$A54)"),2593.966)</f>
        <v>2593.966</v>
      </c>
      <c r="F54" s="20">
        <f>IFERROR(__xludf.DUMMYFUNCTION("FILTER(Datos!$D$2:$D1003, Datos!$F$2:$F1003=F$1, Datos!$G$2:$G1003=F$2, Datos!$A$2:$A1003=$A54)"),4088.867)</f>
        <v>4088.867</v>
      </c>
      <c r="G54" s="20">
        <f>IFERROR(__xludf.DUMMYFUNCTION("FILTER(Datos!$E$2:$E1003, Datos!$F$2:$F1003=G$1, Datos!$G$2:$G1003=G$2, Datos!$A$2:$A1003=$A54)"),6512.388)</f>
        <v>6512.388</v>
      </c>
      <c r="H54" s="20">
        <f>IFERROR(__xludf.DUMMYFUNCTION("FILTER(Datos!$D$2:$D1003, Datos!$F$2:$F1003=H$1, Datos!$G$2:$G1003=H$2, Datos!$A$2:$A1003=$A54)"),4737.733)</f>
        <v>4737.733</v>
      </c>
      <c r="I54" s="21">
        <f>IFERROR(__xludf.DUMMYFUNCTION("FILTER(Datos!$E$2:$E1003, Datos!$F$2:$F1003=I$1, Datos!$G$2:$G1003=I$2, Datos!$A$2:$A1003=$A54)"),7215.702)</f>
        <v>7215.702</v>
      </c>
      <c r="J54" s="20">
        <f>IFERROR(__xludf.DUMMYFUNCTION("FILTER(Datos!$D$2:$D1003, Datos!$F$2:$F1003=J$1, Datos!$G$2:$G1003=J$2, Datos!$A$2:$A1003=$A54)"),1821.833)</f>
        <v>1821.833</v>
      </c>
      <c r="K54" s="20">
        <f>IFERROR(__xludf.DUMMYFUNCTION("FILTER(Datos!$E$2:$E1003, Datos!$F$2:$F1003=K$1, Datos!$G$2:$G1003=K$2, Datos!$A$2:$A1003=$A54)"),2287.251)</f>
        <v>2287.251</v>
      </c>
      <c r="L54" s="20">
        <f>IFERROR(__xludf.DUMMYFUNCTION("FILTER(Datos!$D$2:$D1003, Datos!$F$2:$F1003=L$1, Datos!$G$2:$G1003=L$2, Datos!$A$2:$A1003=$A54)"),2181.367)</f>
        <v>2181.367</v>
      </c>
      <c r="M54" s="20">
        <f>IFERROR(__xludf.DUMMYFUNCTION("FILTER(Datos!$E$2:$E1003, Datos!$F$2:$F1003=M$1, Datos!$G$2:$G1003=M$2, Datos!$A$2:$A1003=$A54)"),2976.022)</f>
        <v>2976.022</v>
      </c>
      <c r="N54" s="20">
        <f>IFERROR(__xludf.DUMMYFUNCTION("FILTER(Datos!$D$2:$D1003, Datos!$F$2:$F1003=N$1, Datos!$G$2:$G1003=N$2, Datos!$A$2:$A1003=$A54)"),3304.633)</f>
        <v>3304.633</v>
      </c>
      <c r="O54" s="20">
        <f>IFERROR(__xludf.DUMMYFUNCTION("FILTER(Datos!$E$2:$E1003, Datos!$F$2:$F1003=O$1, Datos!$G$2:$G1003=O$2, Datos!$A$2:$A1003=$A54)"),5290.015)</f>
        <v>5290.015</v>
      </c>
      <c r="P54" s="20">
        <f>IFERROR(__xludf.DUMMYFUNCTION("FILTER(Datos!$D$2:$D1003, Datos!$F$2:$F1003=P$1, Datos!$G$2:$G1003=P$2, Datos!$A$2:$A1003=$A54)"),4035.9)</f>
        <v>4035.9</v>
      </c>
      <c r="Q54" s="21">
        <f>IFERROR(__xludf.DUMMYFUNCTION("FILTER(Datos!$E$2:$E1003, Datos!$F$2:$F1003=Q$1, Datos!$G$2:$G1003=Q$2, Datos!$A$2:$A1003=$A54)"),6371.818)</f>
        <v>6371.818</v>
      </c>
    </row>
    <row r="55">
      <c r="A55" s="18">
        <f t="shared" si="2"/>
        <v>50</v>
      </c>
      <c r="B55" s="19">
        <f>IFERROR(__xludf.DUMMYFUNCTION("FILTER(Datos!$D$2:$D1003, Datos!$F$2:$F1003=B$1, Datos!$G$2:$G1003=B$2, Datos!$A$2:$A1003=$A55)"),1909.833)</f>
        <v>1909.833</v>
      </c>
      <c r="C55" s="20">
        <f>IFERROR(__xludf.DUMMYFUNCTION("FILTER(Datos!$E$2:$E1003, Datos!$F$2:$F1003=C$1, Datos!$G$2:$G1003=C$2, Datos!$A$2:$A1003=$A55)"),2003.566)</f>
        <v>2003.566</v>
      </c>
      <c r="D55" s="20">
        <f>IFERROR(__xludf.DUMMYFUNCTION("FILTER(Datos!$D$2:$D1003, Datos!$F$2:$F1003=D$1, Datos!$G$2:$G1003=D$2, Datos!$A$2:$A1003=$A55)"),2189.933)</f>
        <v>2189.933</v>
      </c>
      <c r="E55" s="20">
        <f>IFERROR(__xludf.DUMMYFUNCTION("FILTER(Datos!$E$2:$E1003, Datos!$F$2:$F1003=E$1, Datos!$G$2:$G1003=E$2, Datos!$A$2:$A1003=$A55)"),2577.874)</f>
        <v>2577.874</v>
      </c>
      <c r="F55" s="20">
        <f>IFERROR(__xludf.DUMMYFUNCTION("FILTER(Datos!$D$2:$D1003, Datos!$F$2:$F1003=F$1, Datos!$G$2:$G1003=F$2, Datos!$A$2:$A1003=$A55)"),4081.467)</f>
        <v>4081.467</v>
      </c>
      <c r="G55" s="20">
        <f>IFERROR(__xludf.DUMMYFUNCTION("FILTER(Datos!$E$2:$E1003, Datos!$F$2:$F1003=G$1, Datos!$G$2:$G1003=G$2, Datos!$A$2:$A1003=$A55)"),6473.177)</f>
        <v>6473.177</v>
      </c>
      <c r="H55" s="20">
        <f>IFERROR(__xludf.DUMMYFUNCTION("FILTER(Datos!$D$2:$D1003, Datos!$F$2:$F1003=H$1, Datos!$G$2:$G1003=H$2, Datos!$A$2:$A1003=$A55)"),4709.4)</f>
        <v>4709.4</v>
      </c>
      <c r="I55" s="21">
        <f>IFERROR(__xludf.DUMMYFUNCTION("FILTER(Datos!$E$2:$E1003, Datos!$F$2:$F1003=I$1, Datos!$G$2:$G1003=I$2, Datos!$A$2:$A1003=$A55)"),7194.481)</f>
        <v>7194.481</v>
      </c>
      <c r="J55" s="20">
        <f>IFERROR(__xludf.DUMMYFUNCTION("FILTER(Datos!$D$2:$D1003, Datos!$F$2:$F1003=J$1, Datos!$G$2:$G1003=J$2, Datos!$A$2:$A1003=$A55)"),1821.833)</f>
        <v>1821.833</v>
      </c>
      <c r="K55" s="20">
        <f>IFERROR(__xludf.DUMMYFUNCTION("FILTER(Datos!$E$2:$E1003, Datos!$F$2:$F1003=K$1, Datos!$G$2:$G1003=K$2, Datos!$A$2:$A1003=$A55)"),2289.383)</f>
        <v>2289.383</v>
      </c>
      <c r="L55" s="20">
        <f>IFERROR(__xludf.DUMMYFUNCTION("FILTER(Datos!$D$2:$D1003, Datos!$F$2:$F1003=L$1, Datos!$G$2:$G1003=L$2, Datos!$A$2:$A1003=$A55)"),2180.333)</f>
        <v>2180.333</v>
      </c>
      <c r="M55" s="20">
        <f>IFERROR(__xludf.DUMMYFUNCTION("FILTER(Datos!$E$2:$E1003, Datos!$F$2:$F1003=M$1, Datos!$G$2:$G1003=M$2, Datos!$A$2:$A1003=$A55)"),2981.275)</f>
        <v>2981.275</v>
      </c>
      <c r="N55" s="20">
        <f>IFERROR(__xludf.DUMMYFUNCTION("FILTER(Datos!$D$2:$D1003, Datos!$F$2:$F1003=N$1, Datos!$G$2:$G1003=N$2, Datos!$A$2:$A1003=$A55)"),3287.067)</f>
        <v>3287.067</v>
      </c>
      <c r="O55" s="20">
        <f>IFERROR(__xludf.DUMMYFUNCTION("FILTER(Datos!$E$2:$E1003, Datos!$F$2:$F1003=O$1, Datos!$G$2:$G1003=O$2, Datos!$A$2:$A1003=$A55)"),5241.121)</f>
        <v>5241.121</v>
      </c>
      <c r="P55" s="20">
        <f>IFERROR(__xludf.DUMMYFUNCTION("FILTER(Datos!$D$2:$D1003, Datos!$F$2:$F1003=P$1, Datos!$G$2:$G1003=P$2, Datos!$A$2:$A1003=$A55)"),4025.967)</f>
        <v>4025.967</v>
      </c>
      <c r="Q55" s="21">
        <f>IFERROR(__xludf.DUMMYFUNCTION("FILTER(Datos!$E$2:$E1003, Datos!$F$2:$F1003=Q$1, Datos!$G$2:$G1003=Q$2, Datos!$A$2:$A1003=$A55)"),6349.061)</f>
        <v>6349.061</v>
      </c>
    </row>
    <row r="56">
      <c r="A56" s="18">
        <f t="shared" si="2"/>
        <v>51</v>
      </c>
      <c r="B56" s="19">
        <f>IFERROR(__xludf.DUMMYFUNCTION("FILTER(Datos!$D$2:$D1003, Datos!$F$2:$F1003=B$1, Datos!$G$2:$G1003=B$2, Datos!$A$2:$A1003=$A56)"),1909.833)</f>
        <v>1909.833</v>
      </c>
      <c r="C56" s="20">
        <f>IFERROR(__xludf.DUMMYFUNCTION("FILTER(Datos!$E$2:$E1003, Datos!$F$2:$F1003=C$1, Datos!$G$2:$G1003=C$2, Datos!$A$2:$A1003=$A56)"),2004.183)</f>
        <v>2004.183</v>
      </c>
      <c r="D56" s="20">
        <f>IFERROR(__xludf.DUMMYFUNCTION("FILTER(Datos!$D$2:$D1003, Datos!$F$2:$F1003=D$1, Datos!$G$2:$G1003=D$2, Datos!$A$2:$A1003=$A56)"),2189.3)</f>
        <v>2189.3</v>
      </c>
      <c r="E56" s="20">
        <f>IFERROR(__xludf.DUMMYFUNCTION("FILTER(Datos!$E$2:$E1003, Datos!$F$2:$F1003=E$1, Datos!$G$2:$G1003=E$2, Datos!$A$2:$A1003=$A56)"),2562.559)</f>
        <v>2562.559</v>
      </c>
      <c r="F56" s="20">
        <f>IFERROR(__xludf.DUMMYFUNCTION("FILTER(Datos!$D$2:$D1003, Datos!$F$2:$F1003=F$1, Datos!$G$2:$G1003=F$2, Datos!$A$2:$A1003=$A56)"),4079.9)</f>
        <v>4079.9</v>
      </c>
      <c r="G56" s="20">
        <f>IFERROR(__xludf.DUMMYFUNCTION("FILTER(Datos!$E$2:$E1003, Datos!$F$2:$F1003=G$1, Datos!$G$2:$G1003=G$2, Datos!$A$2:$A1003=$A56)"),6453.251)</f>
        <v>6453.251</v>
      </c>
      <c r="H56" s="20">
        <f>IFERROR(__xludf.DUMMYFUNCTION("FILTER(Datos!$D$2:$D1003, Datos!$F$2:$F1003=H$1, Datos!$G$2:$G1003=H$2, Datos!$A$2:$A1003=$A56)"),4702.633)</f>
        <v>4702.633</v>
      </c>
      <c r="I56" s="21">
        <f>IFERROR(__xludf.DUMMYFUNCTION("FILTER(Datos!$E$2:$E1003, Datos!$F$2:$F1003=I$1, Datos!$G$2:$G1003=I$2, Datos!$A$2:$A1003=$A56)"),7179.997)</f>
        <v>7179.997</v>
      </c>
      <c r="J56" s="20">
        <f>IFERROR(__xludf.DUMMYFUNCTION("FILTER(Datos!$D$2:$D1003, Datos!$F$2:$F1003=J$1, Datos!$G$2:$G1003=J$2, Datos!$A$2:$A1003=$A56)"),1821.833)</f>
        <v>1821.833</v>
      </c>
      <c r="K56" s="20">
        <f>IFERROR(__xludf.DUMMYFUNCTION("FILTER(Datos!$E$2:$E1003, Datos!$F$2:$F1003=K$1, Datos!$G$2:$G1003=K$2, Datos!$A$2:$A1003=$A56)"),2288.694)</f>
        <v>2288.694</v>
      </c>
      <c r="L56" s="20">
        <f>IFERROR(__xludf.DUMMYFUNCTION("FILTER(Datos!$D$2:$D1003, Datos!$F$2:$F1003=L$1, Datos!$G$2:$G1003=L$2, Datos!$A$2:$A1003=$A56)"),2175.633)</f>
        <v>2175.633</v>
      </c>
      <c r="M56" s="20">
        <f>IFERROR(__xludf.DUMMYFUNCTION("FILTER(Datos!$E$2:$E1003, Datos!$F$2:$F1003=M$1, Datos!$G$2:$G1003=M$2, Datos!$A$2:$A1003=$A56)"),2969.441)</f>
        <v>2969.441</v>
      </c>
      <c r="N56" s="20">
        <f>IFERROR(__xludf.DUMMYFUNCTION("FILTER(Datos!$D$2:$D1003, Datos!$F$2:$F1003=N$1, Datos!$G$2:$G1003=N$2, Datos!$A$2:$A1003=$A56)"),3255.733)</f>
        <v>3255.733</v>
      </c>
      <c r="O56" s="20">
        <f>IFERROR(__xludf.DUMMYFUNCTION("FILTER(Datos!$E$2:$E1003, Datos!$F$2:$F1003=O$1, Datos!$G$2:$G1003=O$2, Datos!$A$2:$A1003=$A56)"),5180.949)</f>
        <v>5180.949</v>
      </c>
      <c r="P56" s="20">
        <f>IFERROR(__xludf.DUMMYFUNCTION("FILTER(Datos!$D$2:$D1003, Datos!$F$2:$F1003=P$1, Datos!$G$2:$G1003=P$2, Datos!$A$2:$A1003=$A56)"),4020.033)</f>
        <v>4020.033</v>
      </c>
      <c r="Q56" s="21">
        <f>IFERROR(__xludf.DUMMYFUNCTION("FILTER(Datos!$E$2:$E1003, Datos!$F$2:$F1003=Q$1, Datos!$G$2:$G1003=Q$2, Datos!$A$2:$A1003=$A56)"),6321.513)</f>
        <v>6321.513</v>
      </c>
    </row>
    <row r="57">
      <c r="A57" s="18">
        <f t="shared" si="2"/>
        <v>52</v>
      </c>
      <c r="B57" s="19">
        <f>IFERROR(__xludf.DUMMYFUNCTION("FILTER(Datos!$D$2:$D1003, Datos!$F$2:$F1003=B$1, Datos!$G$2:$G1003=B$2, Datos!$A$2:$A1003=$A57)"),1909.833)</f>
        <v>1909.833</v>
      </c>
      <c r="C57" s="20">
        <f>IFERROR(__xludf.DUMMYFUNCTION("FILTER(Datos!$E$2:$E1003, Datos!$F$2:$F1003=C$1, Datos!$G$2:$G1003=C$2, Datos!$A$2:$A1003=$A57)"),2007.919)</f>
        <v>2007.919</v>
      </c>
      <c r="D57" s="20">
        <f>IFERROR(__xludf.DUMMYFUNCTION("FILTER(Datos!$D$2:$D1003, Datos!$F$2:$F1003=D$1, Datos!$G$2:$G1003=D$2, Datos!$A$2:$A1003=$A57)"),2185.4)</f>
        <v>2185.4</v>
      </c>
      <c r="E57" s="20">
        <f>IFERROR(__xludf.DUMMYFUNCTION("FILTER(Datos!$E$2:$E1003, Datos!$F$2:$F1003=E$1, Datos!$G$2:$G1003=E$2, Datos!$A$2:$A1003=$A57)"),2542.341)</f>
        <v>2542.341</v>
      </c>
      <c r="F57" s="20">
        <f>IFERROR(__xludf.DUMMYFUNCTION("FILTER(Datos!$D$2:$D1003, Datos!$F$2:$F1003=F$1, Datos!$G$2:$G1003=F$2, Datos!$A$2:$A1003=$A57)"),4055.9)</f>
        <v>4055.9</v>
      </c>
      <c r="G57" s="20">
        <f>IFERROR(__xludf.DUMMYFUNCTION("FILTER(Datos!$E$2:$E1003, Datos!$F$2:$F1003=G$1, Datos!$G$2:$G1003=G$2, Datos!$A$2:$A1003=$A57)"),6422.13)</f>
        <v>6422.13</v>
      </c>
      <c r="H57" s="20">
        <f>IFERROR(__xludf.DUMMYFUNCTION("FILTER(Datos!$D$2:$D1003, Datos!$F$2:$F1003=H$1, Datos!$G$2:$G1003=H$2, Datos!$A$2:$A1003=$A57)"),4696.533)</f>
        <v>4696.533</v>
      </c>
      <c r="I57" s="21">
        <f>IFERROR(__xludf.DUMMYFUNCTION("FILTER(Datos!$E$2:$E1003, Datos!$F$2:$F1003=I$1, Datos!$G$2:$G1003=I$2, Datos!$A$2:$A1003=$A57)"),7154.513)</f>
        <v>7154.513</v>
      </c>
      <c r="J57" s="20">
        <f>IFERROR(__xludf.DUMMYFUNCTION("FILTER(Datos!$D$2:$D1003, Datos!$F$2:$F1003=J$1, Datos!$G$2:$G1003=J$2, Datos!$A$2:$A1003=$A57)"),1821.533)</f>
        <v>1821.533</v>
      </c>
      <c r="K57" s="20">
        <f>IFERROR(__xludf.DUMMYFUNCTION("FILTER(Datos!$E$2:$E1003, Datos!$F$2:$F1003=K$1, Datos!$G$2:$G1003=K$2, Datos!$A$2:$A1003=$A57)"),2279.019)</f>
        <v>2279.019</v>
      </c>
      <c r="L57" s="20">
        <f>IFERROR(__xludf.DUMMYFUNCTION("FILTER(Datos!$D$2:$D1003, Datos!$F$2:$F1003=L$1, Datos!$G$2:$G1003=L$2, Datos!$A$2:$A1003=$A57)"),2169.5)</f>
        <v>2169.5</v>
      </c>
      <c r="M57" s="20">
        <f>IFERROR(__xludf.DUMMYFUNCTION("FILTER(Datos!$E$2:$E1003, Datos!$F$2:$F1003=M$1, Datos!$G$2:$G1003=M$2, Datos!$A$2:$A1003=$A57)"),2947.809)</f>
        <v>2947.809</v>
      </c>
      <c r="N57" s="20">
        <f>IFERROR(__xludf.DUMMYFUNCTION("FILTER(Datos!$D$2:$D1003, Datos!$F$2:$F1003=N$1, Datos!$G$2:$G1003=N$2, Datos!$A$2:$A1003=$A57)"),3216.333)</f>
        <v>3216.333</v>
      </c>
      <c r="O57" s="20">
        <f>IFERROR(__xludf.DUMMYFUNCTION("FILTER(Datos!$E$2:$E1003, Datos!$F$2:$F1003=O$1, Datos!$G$2:$G1003=O$2, Datos!$A$2:$A1003=$A57)"),5148.885)</f>
        <v>5148.885</v>
      </c>
      <c r="P57" s="20">
        <f>IFERROR(__xludf.DUMMYFUNCTION("FILTER(Datos!$D$2:$D1003, Datos!$F$2:$F1003=P$1, Datos!$G$2:$G1003=P$2, Datos!$A$2:$A1003=$A57)"),3998.633)</f>
        <v>3998.633</v>
      </c>
      <c r="Q57" s="21">
        <f>IFERROR(__xludf.DUMMYFUNCTION("FILTER(Datos!$E$2:$E1003, Datos!$F$2:$F1003=Q$1, Datos!$G$2:$G1003=Q$2, Datos!$A$2:$A1003=$A57)"),6310.665)</f>
        <v>6310.665</v>
      </c>
    </row>
    <row r="58">
      <c r="A58" s="18">
        <f t="shared" si="2"/>
        <v>53</v>
      </c>
      <c r="B58" s="19">
        <f>IFERROR(__xludf.DUMMYFUNCTION("FILTER(Datos!$D$2:$D1003, Datos!$F$2:$F1003=B$1, Datos!$G$2:$G1003=B$2, Datos!$A$2:$A1003=$A58)"),1909.833)</f>
        <v>1909.833</v>
      </c>
      <c r="C58" s="20">
        <f>IFERROR(__xludf.DUMMYFUNCTION("FILTER(Datos!$E$2:$E1003, Datos!$F$2:$F1003=C$1, Datos!$G$2:$G1003=C$2, Datos!$A$2:$A1003=$A58)"),2005.338)</f>
        <v>2005.338</v>
      </c>
      <c r="D58" s="20">
        <f>IFERROR(__xludf.DUMMYFUNCTION("FILTER(Datos!$D$2:$D1003, Datos!$F$2:$F1003=D$1, Datos!$G$2:$G1003=D$2, Datos!$A$2:$A1003=$A58)"),2184.933)</f>
        <v>2184.933</v>
      </c>
      <c r="E58" s="20">
        <f>IFERROR(__xludf.DUMMYFUNCTION("FILTER(Datos!$E$2:$E1003, Datos!$F$2:$F1003=E$1, Datos!$G$2:$G1003=E$2, Datos!$A$2:$A1003=$A58)"),2525.244)</f>
        <v>2525.244</v>
      </c>
      <c r="F58" s="20">
        <f>IFERROR(__xludf.DUMMYFUNCTION("FILTER(Datos!$D$2:$D1003, Datos!$F$2:$F1003=F$1, Datos!$G$2:$G1003=F$2, Datos!$A$2:$A1003=$A58)"),4041.3)</f>
        <v>4041.3</v>
      </c>
      <c r="G58" s="20">
        <f>IFERROR(__xludf.DUMMYFUNCTION("FILTER(Datos!$E$2:$E1003, Datos!$F$2:$F1003=G$1, Datos!$G$2:$G1003=G$2, Datos!$A$2:$A1003=$A58)"),6388.084)</f>
        <v>6388.084</v>
      </c>
      <c r="H58" s="20">
        <f>IFERROR(__xludf.DUMMYFUNCTION("FILTER(Datos!$D$2:$D1003, Datos!$F$2:$F1003=H$1, Datos!$G$2:$G1003=H$2, Datos!$A$2:$A1003=$A58)"),4687.2)</f>
        <v>4687.2</v>
      </c>
      <c r="I58" s="21">
        <f>IFERROR(__xludf.DUMMYFUNCTION("FILTER(Datos!$E$2:$E1003, Datos!$F$2:$F1003=I$1, Datos!$G$2:$G1003=I$2, Datos!$A$2:$A1003=$A58)"),7156.674)</f>
        <v>7156.674</v>
      </c>
      <c r="J58" s="20">
        <f>IFERROR(__xludf.DUMMYFUNCTION("FILTER(Datos!$D$2:$D1003, Datos!$F$2:$F1003=J$1, Datos!$G$2:$G1003=J$2, Datos!$A$2:$A1003=$A58)"),1821.533)</f>
        <v>1821.533</v>
      </c>
      <c r="K58" s="20">
        <f>IFERROR(__xludf.DUMMYFUNCTION("FILTER(Datos!$E$2:$E1003, Datos!$F$2:$F1003=K$1, Datos!$G$2:$G1003=K$2, Datos!$A$2:$A1003=$A58)"),2278.555)</f>
        <v>2278.555</v>
      </c>
      <c r="L58" s="20">
        <f>IFERROR(__xludf.DUMMYFUNCTION("FILTER(Datos!$D$2:$D1003, Datos!$F$2:$F1003=L$1, Datos!$G$2:$G1003=L$2, Datos!$A$2:$A1003=$A58)"),2168.433)</f>
        <v>2168.433</v>
      </c>
      <c r="M58" s="20">
        <f>IFERROR(__xludf.DUMMYFUNCTION("FILTER(Datos!$E$2:$E1003, Datos!$F$2:$F1003=M$1, Datos!$G$2:$G1003=M$2, Datos!$A$2:$A1003=$A58)"),2937.773)</f>
        <v>2937.773</v>
      </c>
      <c r="N58" s="20">
        <f>IFERROR(__xludf.DUMMYFUNCTION("FILTER(Datos!$D$2:$D1003, Datos!$F$2:$F1003=N$1, Datos!$G$2:$G1003=N$2, Datos!$A$2:$A1003=$A58)"),3161.833)</f>
        <v>3161.833</v>
      </c>
      <c r="O58" s="20">
        <f>IFERROR(__xludf.DUMMYFUNCTION("FILTER(Datos!$E$2:$E1003, Datos!$F$2:$F1003=O$1, Datos!$G$2:$G1003=O$2, Datos!$A$2:$A1003=$A58)"),5108.688)</f>
        <v>5108.688</v>
      </c>
      <c r="P58" s="20">
        <f>IFERROR(__xludf.DUMMYFUNCTION("FILTER(Datos!$D$2:$D1003, Datos!$F$2:$F1003=P$1, Datos!$G$2:$G1003=P$2, Datos!$A$2:$A1003=$A58)"),3995.7)</f>
        <v>3995.7</v>
      </c>
      <c r="Q58" s="21">
        <f>IFERROR(__xludf.DUMMYFUNCTION("FILTER(Datos!$E$2:$E1003, Datos!$F$2:$F1003=Q$1, Datos!$G$2:$G1003=Q$2, Datos!$A$2:$A1003=$A58)"),6309.738)</f>
        <v>6309.738</v>
      </c>
    </row>
    <row r="59">
      <c r="A59" s="18">
        <f t="shared" si="2"/>
        <v>54</v>
      </c>
      <c r="B59" s="19">
        <f>IFERROR(__xludf.DUMMYFUNCTION("FILTER(Datos!$D$2:$D1003, Datos!$F$2:$F1003=B$1, Datos!$G$2:$G1003=B$2, Datos!$A$2:$A1003=$A59)"),1909.833)</f>
        <v>1909.833</v>
      </c>
      <c r="C59" s="20">
        <f>IFERROR(__xludf.DUMMYFUNCTION("FILTER(Datos!$E$2:$E1003, Datos!$F$2:$F1003=C$1, Datos!$G$2:$G1003=C$2, Datos!$A$2:$A1003=$A59)"),2007.163)</f>
        <v>2007.163</v>
      </c>
      <c r="D59" s="20">
        <f>IFERROR(__xludf.DUMMYFUNCTION("FILTER(Datos!$D$2:$D1003, Datos!$F$2:$F1003=D$1, Datos!$G$2:$G1003=D$2, Datos!$A$2:$A1003=$A59)"),2182.867)</f>
        <v>2182.867</v>
      </c>
      <c r="E59" s="20">
        <f>IFERROR(__xludf.DUMMYFUNCTION("FILTER(Datos!$E$2:$E1003, Datos!$F$2:$F1003=E$1, Datos!$G$2:$G1003=E$2, Datos!$A$2:$A1003=$A59)"),2504.581)</f>
        <v>2504.581</v>
      </c>
      <c r="F59" s="20">
        <f>IFERROR(__xludf.DUMMYFUNCTION("FILTER(Datos!$D$2:$D1003, Datos!$F$2:$F1003=F$1, Datos!$G$2:$G1003=F$2, Datos!$A$2:$A1003=$A59)"),4036.067)</f>
        <v>4036.067</v>
      </c>
      <c r="G59" s="20">
        <f>IFERROR(__xludf.DUMMYFUNCTION("FILTER(Datos!$E$2:$E1003, Datos!$F$2:$F1003=G$1, Datos!$G$2:$G1003=G$2, Datos!$A$2:$A1003=$A59)"),6351.835)</f>
        <v>6351.835</v>
      </c>
      <c r="H59" s="20">
        <f>IFERROR(__xludf.DUMMYFUNCTION("FILTER(Datos!$D$2:$D1003, Datos!$F$2:$F1003=H$1, Datos!$G$2:$G1003=H$2, Datos!$A$2:$A1003=$A59)"),4665.8)</f>
        <v>4665.8</v>
      </c>
      <c r="I59" s="21">
        <f>IFERROR(__xludf.DUMMYFUNCTION("FILTER(Datos!$E$2:$E1003, Datos!$F$2:$F1003=I$1, Datos!$G$2:$G1003=I$2, Datos!$A$2:$A1003=$A59)"),7145.233)</f>
        <v>7145.233</v>
      </c>
      <c r="J59" s="20">
        <f>IFERROR(__xludf.DUMMYFUNCTION("FILTER(Datos!$D$2:$D1003, Datos!$F$2:$F1003=J$1, Datos!$G$2:$G1003=J$2, Datos!$A$2:$A1003=$A59)"),1821.533)</f>
        <v>1821.533</v>
      </c>
      <c r="K59" s="20">
        <f>IFERROR(__xludf.DUMMYFUNCTION("FILTER(Datos!$E$2:$E1003, Datos!$F$2:$F1003=K$1, Datos!$G$2:$G1003=K$2, Datos!$A$2:$A1003=$A59)"),2280.246)</f>
        <v>2280.246</v>
      </c>
      <c r="L59" s="20">
        <f>IFERROR(__xludf.DUMMYFUNCTION("FILTER(Datos!$D$2:$D1003, Datos!$F$2:$F1003=L$1, Datos!$G$2:$G1003=L$2, Datos!$A$2:$A1003=$A59)"),2166.667)</f>
        <v>2166.667</v>
      </c>
      <c r="M59" s="20">
        <f>IFERROR(__xludf.DUMMYFUNCTION("FILTER(Datos!$E$2:$E1003, Datos!$F$2:$F1003=M$1, Datos!$G$2:$G1003=M$2, Datos!$A$2:$A1003=$A59)"),2935.034)</f>
        <v>2935.034</v>
      </c>
      <c r="N59" s="20">
        <f>IFERROR(__xludf.DUMMYFUNCTION("FILTER(Datos!$D$2:$D1003, Datos!$F$2:$F1003=N$1, Datos!$G$2:$G1003=N$2, Datos!$A$2:$A1003=$A59)"),3144.367)</f>
        <v>3144.367</v>
      </c>
      <c r="O59" s="20">
        <f>IFERROR(__xludf.DUMMYFUNCTION("FILTER(Datos!$E$2:$E1003, Datos!$F$2:$F1003=O$1, Datos!$G$2:$G1003=O$2, Datos!$A$2:$A1003=$A59)"),5053.441)</f>
        <v>5053.441</v>
      </c>
      <c r="P59" s="20">
        <f>IFERROR(__xludf.DUMMYFUNCTION("FILTER(Datos!$D$2:$D1003, Datos!$F$2:$F1003=P$1, Datos!$G$2:$G1003=P$2, Datos!$A$2:$A1003=$A59)"),3990.333)</f>
        <v>3990.333</v>
      </c>
      <c r="Q59" s="21">
        <f>IFERROR(__xludf.DUMMYFUNCTION("FILTER(Datos!$E$2:$E1003, Datos!$F$2:$F1003=Q$1, Datos!$G$2:$G1003=Q$2, Datos!$A$2:$A1003=$A59)"),6285.172)</f>
        <v>6285.172</v>
      </c>
    </row>
    <row r="60">
      <c r="A60" s="18">
        <f t="shared" si="2"/>
        <v>55</v>
      </c>
      <c r="B60" s="19">
        <f>IFERROR(__xludf.DUMMYFUNCTION("FILTER(Datos!$D$2:$D1003, Datos!$F$2:$F1003=B$1, Datos!$G$2:$G1003=B$2, Datos!$A$2:$A1003=$A60)"),1909.833)</f>
        <v>1909.833</v>
      </c>
      <c r="C60" s="20">
        <f>IFERROR(__xludf.DUMMYFUNCTION("FILTER(Datos!$E$2:$E1003, Datos!$F$2:$F1003=C$1, Datos!$G$2:$G1003=C$2, Datos!$A$2:$A1003=$A60)"),2000.924)</f>
        <v>2000.924</v>
      </c>
      <c r="D60" s="20">
        <f>IFERROR(__xludf.DUMMYFUNCTION("FILTER(Datos!$D$2:$D1003, Datos!$F$2:$F1003=D$1, Datos!$G$2:$G1003=D$2, Datos!$A$2:$A1003=$A60)"),2181.233)</f>
        <v>2181.233</v>
      </c>
      <c r="E60" s="20">
        <f>IFERROR(__xludf.DUMMYFUNCTION("FILTER(Datos!$E$2:$E1003, Datos!$F$2:$F1003=E$1, Datos!$G$2:$G1003=E$2, Datos!$A$2:$A1003=$A60)"),2496.382)</f>
        <v>2496.382</v>
      </c>
      <c r="F60" s="20">
        <f>IFERROR(__xludf.DUMMYFUNCTION("FILTER(Datos!$D$2:$D1003, Datos!$F$2:$F1003=F$1, Datos!$G$2:$G1003=F$2, Datos!$A$2:$A1003=$A60)"),4017.3)</f>
        <v>4017.3</v>
      </c>
      <c r="G60" s="20">
        <f>IFERROR(__xludf.DUMMYFUNCTION("FILTER(Datos!$E$2:$E1003, Datos!$F$2:$F1003=G$1, Datos!$G$2:$G1003=G$2, Datos!$A$2:$A1003=$A60)"),6331.505)</f>
        <v>6331.505</v>
      </c>
      <c r="H60" s="20">
        <f>IFERROR(__xludf.DUMMYFUNCTION("FILTER(Datos!$D$2:$D1003, Datos!$F$2:$F1003=H$1, Datos!$G$2:$G1003=H$2, Datos!$A$2:$A1003=$A60)"),4663.1)</f>
        <v>4663.1</v>
      </c>
      <c r="I60" s="21">
        <f>IFERROR(__xludf.DUMMYFUNCTION("FILTER(Datos!$E$2:$E1003, Datos!$F$2:$F1003=I$1, Datos!$G$2:$G1003=I$2, Datos!$A$2:$A1003=$A60)"),7133.353)</f>
        <v>7133.353</v>
      </c>
      <c r="J60" s="20">
        <f>IFERROR(__xludf.DUMMYFUNCTION("FILTER(Datos!$D$2:$D1003, Datos!$F$2:$F1003=J$1, Datos!$G$2:$G1003=J$2, Datos!$A$2:$A1003=$A60)"),1821.533)</f>
        <v>1821.533</v>
      </c>
      <c r="K60" s="20">
        <f>IFERROR(__xludf.DUMMYFUNCTION("FILTER(Datos!$E$2:$E1003, Datos!$F$2:$F1003=K$1, Datos!$G$2:$G1003=K$2, Datos!$A$2:$A1003=$A60)"),2277.432)</f>
        <v>2277.432</v>
      </c>
      <c r="L60" s="20">
        <f>IFERROR(__xludf.DUMMYFUNCTION("FILTER(Datos!$D$2:$D1003, Datos!$F$2:$F1003=L$1, Datos!$G$2:$G1003=L$2, Datos!$A$2:$A1003=$A60)"),2164.433)</f>
        <v>2164.433</v>
      </c>
      <c r="M60" s="20">
        <f>IFERROR(__xludf.DUMMYFUNCTION("FILTER(Datos!$E$2:$E1003, Datos!$F$2:$F1003=M$1, Datos!$G$2:$G1003=M$2, Datos!$A$2:$A1003=$A60)"),2936.511)</f>
        <v>2936.511</v>
      </c>
      <c r="N60" s="20">
        <f>IFERROR(__xludf.DUMMYFUNCTION("FILTER(Datos!$D$2:$D1003, Datos!$F$2:$F1003=N$1, Datos!$G$2:$G1003=N$2, Datos!$A$2:$A1003=$A60)"),3131.433)</f>
        <v>3131.433</v>
      </c>
      <c r="O60" s="20">
        <f>IFERROR(__xludf.DUMMYFUNCTION("FILTER(Datos!$E$2:$E1003, Datos!$F$2:$F1003=O$1, Datos!$G$2:$G1003=O$2, Datos!$A$2:$A1003=$A60)"),5020.151)</f>
        <v>5020.151</v>
      </c>
      <c r="P60" s="20">
        <f>IFERROR(__xludf.DUMMYFUNCTION("FILTER(Datos!$D$2:$D1003, Datos!$F$2:$F1003=P$1, Datos!$G$2:$G1003=P$2, Datos!$A$2:$A1003=$A60)"),3983.433)</f>
        <v>3983.433</v>
      </c>
      <c r="Q60" s="21">
        <f>IFERROR(__xludf.DUMMYFUNCTION("FILTER(Datos!$E$2:$E1003, Datos!$F$2:$F1003=Q$1, Datos!$G$2:$G1003=Q$2, Datos!$A$2:$A1003=$A60)"),6267.447)</f>
        <v>6267.447</v>
      </c>
    </row>
    <row r="61">
      <c r="A61" s="18">
        <f t="shared" si="2"/>
        <v>56</v>
      </c>
      <c r="B61" s="19">
        <f>IFERROR(__xludf.DUMMYFUNCTION("FILTER(Datos!$D$2:$D1003, Datos!$F$2:$F1003=B$1, Datos!$G$2:$G1003=B$2, Datos!$A$2:$A1003=$A61)"),1909.833)</f>
        <v>1909.833</v>
      </c>
      <c r="C61" s="20">
        <f>IFERROR(__xludf.DUMMYFUNCTION("FILTER(Datos!$E$2:$E1003, Datos!$F$2:$F1003=C$1, Datos!$G$2:$G1003=C$2, Datos!$A$2:$A1003=$A61)"),2003.215)</f>
        <v>2003.215</v>
      </c>
      <c r="D61" s="20">
        <f>IFERROR(__xludf.DUMMYFUNCTION("FILTER(Datos!$D$2:$D1003, Datos!$F$2:$F1003=D$1, Datos!$G$2:$G1003=D$2, Datos!$A$2:$A1003=$A61)"),2179.7)</f>
        <v>2179.7</v>
      </c>
      <c r="E61" s="20">
        <f>IFERROR(__xludf.DUMMYFUNCTION("FILTER(Datos!$E$2:$E1003, Datos!$F$2:$F1003=E$1, Datos!$G$2:$G1003=E$2, Datos!$A$2:$A1003=$A61)"),2483.086)</f>
        <v>2483.086</v>
      </c>
      <c r="F61" s="20">
        <f>IFERROR(__xludf.DUMMYFUNCTION("FILTER(Datos!$D$2:$D1003, Datos!$F$2:$F1003=F$1, Datos!$G$2:$G1003=F$2, Datos!$A$2:$A1003=$A61)"),3992.4)</f>
        <v>3992.4</v>
      </c>
      <c r="G61" s="20">
        <f>IFERROR(__xludf.DUMMYFUNCTION("FILTER(Datos!$E$2:$E1003, Datos!$F$2:$F1003=G$1, Datos!$G$2:$G1003=G$2, Datos!$A$2:$A1003=$A61)"),6289.287)</f>
        <v>6289.287</v>
      </c>
      <c r="H61" s="20">
        <f>IFERROR(__xludf.DUMMYFUNCTION("FILTER(Datos!$D$2:$D1003, Datos!$F$2:$F1003=H$1, Datos!$G$2:$G1003=H$2, Datos!$A$2:$A1003=$A61)"),4655.733)</f>
        <v>4655.733</v>
      </c>
      <c r="I61" s="21">
        <f>IFERROR(__xludf.DUMMYFUNCTION("FILTER(Datos!$E$2:$E1003, Datos!$F$2:$F1003=I$1, Datos!$G$2:$G1003=I$2, Datos!$A$2:$A1003=$A61)"),7109.125)</f>
        <v>7109.125</v>
      </c>
      <c r="J61" s="20">
        <f>IFERROR(__xludf.DUMMYFUNCTION("FILTER(Datos!$D$2:$D1003, Datos!$F$2:$F1003=J$1, Datos!$G$2:$G1003=J$2, Datos!$A$2:$A1003=$A61)"),1821.533)</f>
        <v>1821.533</v>
      </c>
      <c r="K61" s="20">
        <f>IFERROR(__xludf.DUMMYFUNCTION("FILTER(Datos!$E$2:$E1003, Datos!$F$2:$F1003=K$1, Datos!$G$2:$G1003=K$2, Datos!$A$2:$A1003=$A61)"),2282.609)</f>
        <v>2282.609</v>
      </c>
      <c r="L61" s="20">
        <f>IFERROR(__xludf.DUMMYFUNCTION("FILTER(Datos!$D$2:$D1003, Datos!$F$2:$F1003=L$1, Datos!$G$2:$G1003=L$2, Datos!$A$2:$A1003=$A61)"),2162.867)</f>
        <v>2162.867</v>
      </c>
      <c r="M61" s="20">
        <f>IFERROR(__xludf.DUMMYFUNCTION("FILTER(Datos!$E$2:$E1003, Datos!$F$2:$F1003=M$1, Datos!$G$2:$G1003=M$2, Datos!$A$2:$A1003=$A61)"),2941.788)</f>
        <v>2941.788</v>
      </c>
      <c r="N61" s="20">
        <f>IFERROR(__xludf.DUMMYFUNCTION("FILTER(Datos!$D$2:$D1003, Datos!$F$2:$F1003=N$1, Datos!$G$2:$G1003=N$2, Datos!$A$2:$A1003=$A61)"),3117.467)</f>
        <v>3117.467</v>
      </c>
      <c r="O61" s="20">
        <f>IFERROR(__xludf.DUMMYFUNCTION("FILTER(Datos!$E$2:$E1003, Datos!$F$2:$F1003=O$1, Datos!$G$2:$G1003=O$2, Datos!$A$2:$A1003=$A61)"),4957.172)</f>
        <v>4957.172</v>
      </c>
      <c r="P61" s="20">
        <f>IFERROR(__xludf.DUMMYFUNCTION("FILTER(Datos!$D$2:$D1003, Datos!$F$2:$F1003=P$1, Datos!$G$2:$G1003=P$2, Datos!$A$2:$A1003=$A61)"),3973.067)</f>
        <v>3973.067</v>
      </c>
      <c r="Q61" s="21">
        <f>IFERROR(__xludf.DUMMYFUNCTION("FILTER(Datos!$E$2:$E1003, Datos!$F$2:$F1003=Q$1, Datos!$G$2:$G1003=Q$2, Datos!$A$2:$A1003=$A61)"),6240.237)</f>
        <v>6240.237</v>
      </c>
    </row>
    <row r="62">
      <c r="A62" s="18">
        <f t="shared" si="2"/>
        <v>57</v>
      </c>
      <c r="B62" s="19">
        <f>IFERROR(__xludf.DUMMYFUNCTION("FILTER(Datos!$D$2:$D1003, Datos!$F$2:$F1003=B$1, Datos!$G$2:$G1003=B$2, Datos!$A$2:$A1003=$A62)"),1909.833)</f>
        <v>1909.833</v>
      </c>
      <c r="C62" s="20">
        <f>IFERROR(__xludf.DUMMYFUNCTION("FILTER(Datos!$E$2:$E1003, Datos!$F$2:$F1003=C$1, Datos!$G$2:$G1003=C$2, Datos!$A$2:$A1003=$A62)"),2000.363)</f>
        <v>2000.363</v>
      </c>
      <c r="D62" s="20">
        <f>IFERROR(__xludf.DUMMYFUNCTION("FILTER(Datos!$D$2:$D1003, Datos!$F$2:$F1003=D$1, Datos!$G$2:$G1003=D$2, Datos!$A$2:$A1003=$A62)"),2177.967)</f>
        <v>2177.967</v>
      </c>
      <c r="E62" s="20">
        <f>IFERROR(__xludf.DUMMYFUNCTION("FILTER(Datos!$E$2:$E1003, Datos!$F$2:$F1003=E$1, Datos!$G$2:$G1003=E$2, Datos!$A$2:$A1003=$A62)"),2463.967)</f>
        <v>2463.967</v>
      </c>
      <c r="F62" s="20">
        <f>IFERROR(__xludf.DUMMYFUNCTION("FILTER(Datos!$D$2:$D1003, Datos!$F$2:$F1003=F$1, Datos!$G$2:$G1003=F$2, Datos!$A$2:$A1003=$A62)"),3976.033)</f>
        <v>3976.033</v>
      </c>
      <c r="G62" s="20">
        <f>IFERROR(__xludf.DUMMYFUNCTION("FILTER(Datos!$E$2:$E1003, Datos!$F$2:$F1003=G$1, Datos!$G$2:$G1003=G$2, Datos!$A$2:$A1003=$A62)"),6244.398)</f>
        <v>6244.398</v>
      </c>
      <c r="H62" s="20">
        <f>IFERROR(__xludf.DUMMYFUNCTION("FILTER(Datos!$D$2:$D1003, Datos!$F$2:$F1003=H$1, Datos!$G$2:$G1003=H$2, Datos!$A$2:$A1003=$A62)"),4631.033)</f>
        <v>4631.033</v>
      </c>
      <c r="I62" s="21">
        <f>IFERROR(__xludf.DUMMYFUNCTION("FILTER(Datos!$E$2:$E1003, Datos!$F$2:$F1003=I$1, Datos!$G$2:$G1003=I$2, Datos!$A$2:$A1003=$A62)"),7101.367)</f>
        <v>7101.367</v>
      </c>
      <c r="J62" s="20">
        <f>IFERROR(__xludf.DUMMYFUNCTION("FILTER(Datos!$D$2:$D1003, Datos!$F$2:$F1003=J$1, Datos!$G$2:$G1003=J$2, Datos!$A$2:$A1003=$A62)"),1821.533)</f>
        <v>1821.533</v>
      </c>
      <c r="K62" s="20">
        <f>IFERROR(__xludf.DUMMYFUNCTION("FILTER(Datos!$E$2:$E1003, Datos!$F$2:$F1003=K$1, Datos!$G$2:$G1003=K$2, Datos!$A$2:$A1003=$A62)"),2277.19)</f>
        <v>2277.19</v>
      </c>
      <c r="L62" s="20">
        <f>IFERROR(__xludf.DUMMYFUNCTION("FILTER(Datos!$D$2:$D1003, Datos!$F$2:$F1003=L$1, Datos!$G$2:$G1003=L$2, Datos!$A$2:$A1003=$A62)"),2159.2)</f>
        <v>2159.2</v>
      </c>
      <c r="M62" s="20">
        <f>IFERROR(__xludf.DUMMYFUNCTION("FILTER(Datos!$E$2:$E1003, Datos!$F$2:$F1003=M$1, Datos!$G$2:$G1003=M$2, Datos!$A$2:$A1003=$A62)"),2932.988)</f>
        <v>2932.988</v>
      </c>
      <c r="N62" s="20">
        <f>IFERROR(__xludf.DUMMYFUNCTION("FILTER(Datos!$D$2:$D1003, Datos!$F$2:$F1003=N$1, Datos!$G$2:$G1003=N$2, Datos!$A$2:$A1003=$A62)"),3095.433)</f>
        <v>3095.433</v>
      </c>
      <c r="O62" s="20">
        <f>IFERROR(__xludf.DUMMYFUNCTION("FILTER(Datos!$E$2:$E1003, Datos!$F$2:$F1003=O$1, Datos!$G$2:$G1003=O$2, Datos!$A$2:$A1003=$A62)"),4913.034)</f>
        <v>4913.034</v>
      </c>
      <c r="P62" s="20">
        <f>IFERROR(__xludf.DUMMYFUNCTION("FILTER(Datos!$D$2:$D1003, Datos!$F$2:$F1003=P$1, Datos!$G$2:$G1003=P$2, Datos!$A$2:$A1003=$A62)"),3961.4)</f>
        <v>3961.4</v>
      </c>
      <c r="Q62" s="21">
        <f>IFERROR(__xludf.DUMMYFUNCTION("FILTER(Datos!$E$2:$E1003, Datos!$F$2:$F1003=Q$1, Datos!$G$2:$G1003=Q$2, Datos!$A$2:$A1003=$A62)"),6211.434)</f>
        <v>6211.434</v>
      </c>
    </row>
    <row r="63">
      <c r="A63" s="18">
        <f t="shared" si="2"/>
        <v>58</v>
      </c>
      <c r="B63" s="19">
        <f>IFERROR(__xludf.DUMMYFUNCTION("FILTER(Datos!$D$2:$D1003, Datos!$F$2:$F1003=B$1, Datos!$G$2:$G1003=B$2, Datos!$A$2:$A1003=$A63)"),1909.833)</f>
        <v>1909.833</v>
      </c>
      <c r="C63" s="20">
        <f>IFERROR(__xludf.DUMMYFUNCTION("FILTER(Datos!$E$2:$E1003, Datos!$F$2:$F1003=C$1, Datos!$G$2:$G1003=C$2, Datos!$A$2:$A1003=$A63)"),2002.308)</f>
        <v>2002.308</v>
      </c>
      <c r="D63" s="20">
        <f>IFERROR(__xludf.DUMMYFUNCTION("FILTER(Datos!$D$2:$D1003, Datos!$F$2:$F1003=D$1, Datos!$G$2:$G1003=D$2, Datos!$A$2:$A1003=$A63)"),2175.133)</f>
        <v>2175.133</v>
      </c>
      <c r="E63" s="20">
        <f>IFERROR(__xludf.DUMMYFUNCTION("FILTER(Datos!$E$2:$E1003, Datos!$F$2:$F1003=E$1, Datos!$G$2:$G1003=E$2, Datos!$A$2:$A1003=$A63)"),2448.984)</f>
        <v>2448.984</v>
      </c>
      <c r="F63" s="20">
        <f>IFERROR(__xludf.DUMMYFUNCTION("FILTER(Datos!$D$2:$D1003, Datos!$F$2:$F1003=F$1, Datos!$G$2:$G1003=F$2, Datos!$A$2:$A1003=$A63)"),3962.767)</f>
        <v>3962.767</v>
      </c>
      <c r="G63" s="20">
        <f>IFERROR(__xludf.DUMMYFUNCTION("FILTER(Datos!$E$2:$E1003, Datos!$F$2:$F1003=G$1, Datos!$G$2:$G1003=G$2, Datos!$A$2:$A1003=$A63)"),6216.859)</f>
        <v>6216.859</v>
      </c>
      <c r="H63" s="20">
        <f>IFERROR(__xludf.DUMMYFUNCTION("FILTER(Datos!$D$2:$D1003, Datos!$F$2:$F1003=H$1, Datos!$G$2:$G1003=H$2, Datos!$A$2:$A1003=$A63)"),4613.033)</f>
        <v>4613.033</v>
      </c>
      <c r="I63" s="21">
        <f>IFERROR(__xludf.DUMMYFUNCTION("FILTER(Datos!$E$2:$E1003, Datos!$F$2:$F1003=I$1, Datos!$G$2:$G1003=I$2, Datos!$A$2:$A1003=$A63)"),7082.326)</f>
        <v>7082.326</v>
      </c>
      <c r="J63" s="20">
        <f>IFERROR(__xludf.DUMMYFUNCTION("FILTER(Datos!$D$2:$D1003, Datos!$F$2:$F1003=J$1, Datos!$G$2:$G1003=J$2, Datos!$A$2:$A1003=$A63)"),1821.533)</f>
        <v>1821.533</v>
      </c>
      <c r="K63" s="20">
        <f>IFERROR(__xludf.DUMMYFUNCTION("FILTER(Datos!$E$2:$E1003, Datos!$F$2:$F1003=K$1, Datos!$G$2:$G1003=K$2, Datos!$A$2:$A1003=$A63)"),2279.909)</f>
        <v>2279.909</v>
      </c>
      <c r="L63" s="20">
        <f>IFERROR(__xludf.DUMMYFUNCTION("FILTER(Datos!$D$2:$D1003, Datos!$F$2:$F1003=L$1, Datos!$G$2:$G1003=L$2, Datos!$A$2:$A1003=$A63)"),2158.0)</f>
        <v>2158</v>
      </c>
      <c r="M63" s="20">
        <f>IFERROR(__xludf.DUMMYFUNCTION("FILTER(Datos!$E$2:$E1003, Datos!$F$2:$F1003=M$1, Datos!$G$2:$G1003=M$2, Datos!$A$2:$A1003=$A63)"),2920.229)</f>
        <v>2920.229</v>
      </c>
      <c r="N63" s="20">
        <f>IFERROR(__xludf.DUMMYFUNCTION("FILTER(Datos!$D$2:$D1003, Datos!$F$2:$F1003=N$1, Datos!$G$2:$G1003=N$2, Datos!$A$2:$A1003=$A63)"),3087.733)</f>
        <v>3087.733</v>
      </c>
      <c r="O63" s="20">
        <f>IFERROR(__xludf.DUMMYFUNCTION("FILTER(Datos!$E$2:$E1003, Datos!$F$2:$F1003=O$1, Datos!$G$2:$G1003=O$2, Datos!$A$2:$A1003=$A63)"),4869.928)</f>
        <v>4869.928</v>
      </c>
      <c r="P63" s="20">
        <f>IFERROR(__xludf.DUMMYFUNCTION("FILTER(Datos!$D$2:$D1003, Datos!$F$2:$F1003=P$1, Datos!$G$2:$G1003=P$2, Datos!$A$2:$A1003=$A63)"),3956.233)</f>
        <v>3956.233</v>
      </c>
      <c r="Q63" s="21">
        <f>IFERROR(__xludf.DUMMYFUNCTION("FILTER(Datos!$E$2:$E1003, Datos!$F$2:$F1003=Q$1, Datos!$G$2:$G1003=Q$2, Datos!$A$2:$A1003=$A63)"),6202.101)</f>
        <v>6202.101</v>
      </c>
    </row>
    <row r="64">
      <c r="A64" s="18">
        <f t="shared" si="2"/>
        <v>59</v>
      </c>
      <c r="B64" s="19">
        <f>IFERROR(__xludf.DUMMYFUNCTION("FILTER(Datos!$D$2:$D1003, Datos!$F$2:$F1003=B$1, Datos!$G$2:$G1003=B$2, Datos!$A$2:$A1003=$A64)"),1909.833)</f>
        <v>1909.833</v>
      </c>
      <c r="C64" s="20">
        <f>IFERROR(__xludf.DUMMYFUNCTION("FILTER(Datos!$E$2:$E1003, Datos!$F$2:$F1003=C$1, Datos!$G$2:$G1003=C$2, Datos!$A$2:$A1003=$A64)"),2002.653)</f>
        <v>2002.653</v>
      </c>
      <c r="D64" s="20">
        <f>IFERROR(__xludf.DUMMYFUNCTION("FILTER(Datos!$D$2:$D1003, Datos!$F$2:$F1003=D$1, Datos!$G$2:$G1003=D$2, Datos!$A$2:$A1003=$A64)"),2174.167)</f>
        <v>2174.167</v>
      </c>
      <c r="E64" s="20">
        <f>IFERROR(__xludf.DUMMYFUNCTION("FILTER(Datos!$E$2:$E1003, Datos!$F$2:$F1003=E$1, Datos!$G$2:$G1003=E$2, Datos!$A$2:$A1003=$A64)"),2437.151)</f>
        <v>2437.151</v>
      </c>
      <c r="F64" s="20">
        <f>IFERROR(__xludf.DUMMYFUNCTION("FILTER(Datos!$D$2:$D1003, Datos!$F$2:$F1003=F$1, Datos!$G$2:$G1003=F$2, Datos!$A$2:$A1003=$A64)"),3953.8)</f>
        <v>3953.8</v>
      </c>
      <c r="G64" s="20">
        <f>IFERROR(__xludf.DUMMYFUNCTION("FILTER(Datos!$E$2:$E1003, Datos!$F$2:$F1003=G$1, Datos!$G$2:$G1003=G$2, Datos!$A$2:$A1003=$A64)"),6193.039)</f>
        <v>6193.039</v>
      </c>
      <c r="H64" s="20">
        <f>IFERROR(__xludf.DUMMYFUNCTION("FILTER(Datos!$D$2:$D1003, Datos!$F$2:$F1003=H$1, Datos!$G$2:$G1003=H$2, Datos!$A$2:$A1003=$A64)"),4613.033)</f>
        <v>4613.033</v>
      </c>
      <c r="I64" s="21">
        <f>IFERROR(__xludf.DUMMYFUNCTION("FILTER(Datos!$E$2:$E1003, Datos!$F$2:$F1003=I$1, Datos!$G$2:$G1003=I$2, Datos!$A$2:$A1003=$A64)"),7073.604)</f>
        <v>7073.604</v>
      </c>
      <c r="J64" s="20">
        <f>IFERROR(__xludf.DUMMYFUNCTION("FILTER(Datos!$D$2:$D1003, Datos!$F$2:$F1003=J$1, Datos!$G$2:$G1003=J$2, Datos!$A$2:$A1003=$A64)"),1821.533)</f>
        <v>1821.533</v>
      </c>
      <c r="K64" s="20">
        <f>IFERROR(__xludf.DUMMYFUNCTION("FILTER(Datos!$E$2:$E1003, Datos!$F$2:$F1003=K$1, Datos!$G$2:$G1003=K$2, Datos!$A$2:$A1003=$A64)"),2290.554)</f>
        <v>2290.554</v>
      </c>
      <c r="L64" s="20">
        <f>IFERROR(__xludf.DUMMYFUNCTION("FILTER(Datos!$D$2:$D1003, Datos!$F$2:$F1003=L$1, Datos!$G$2:$G1003=L$2, Datos!$A$2:$A1003=$A64)"),2154.333)</f>
        <v>2154.333</v>
      </c>
      <c r="M64" s="20">
        <f>IFERROR(__xludf.DUMMYFUNCTION("FILTER(Datos!$E$2:$E1003, Datos!$F$2:$F1003=M$1, Datos!$G$2:$G1003=M$2, Datos!$A$2:$A1003=$A64)"),2918.685)</f>
        <v>2918.685</v>
      </c>
      <c r="N64" s="20">
        <f>IFERROR(__xludf.DUMMYFUNCTION("FILTER(Datos!$D$2:$D1003, Datos!$F$2:$F1003=N$1, Datos!$G$2:$G1003=N$2, Datos!$A$2:$A1003=$A64)"),3062.167)</f>
        <v>3062.167</v>
      </c>
      <c r="O64" s="20">
        <f>IFERROR(__xludf.DUMMYFUNCTION("FILTER(Datos!$E$2:$E1003, Datos!$F$2:$F1003=O$1, Datos!$G$2:$G1003=O$2, Datos!$A$2:$A1003=$A64)"),4815.631)</f>
        <v>4815.631</v>
      </c>
      <c r="P64" s="20">
        <f>IFERROR(__xludf.DUMMYFUNCTION("FILTER(Datos!$D$2:$D1003, Datos!$F$2:$F1003=P$1, Datos!$G$2:$G1003=P$2, Datos!$A$2:$A1003=$A64)"),3950.533)</f>
        <v>3950.533</v>
      </c>
      <c r="Q64" s="21">
        <f>IFERROR(__xludf.DUMMYFUNCTION("FILTER(Datos!$E$2:$E1003, Datos!$F$2:$F1003=Q$1, Datos!$G$2:$G1003=Q$2, Datos!$A$2:$A1003=$A64)"),6189.681)</f>
        <v>6189.681</v>
      </c>
    </row>
    <row r="65">
      <c r="A65" s="18">
        <f t="shared" si="2"/>
        <v>60</v>
      </c>
      <c r="B65" s="19">
        <f>IFERROR(__xludf.DUMMYFUNCTION("FILTER(Datos!$D$2:$D1003, Datos!$F$2:$F1003=B$1, Datos!$G$2:$G1003=B$2, Datos!$A$2:$A1003=$A65)"),1909.833)</f>
        <v>1909.833</v>
      </c>
      <c r="C65" s="20">
        <f>IFERROR(__xludf.DUMMYFUNCTION("FILTER(Datos!$E$2:$E1003, Datos!$F$2:$F1003=C$1, Datos!$G$2:$G1003=C$2, Datos!$A$2:$A1003=$A65)"),1999.814)</f>
        <v>1999.814</v>
      </c>
      <c r="D65" s="20">
        <f>IFERROR(__xludf.DUMMYFUNCTION("FILTER(Datos!$D$2:$D1003, Datos!$F$2:$F1003=D$1, Datos!$G$2:$G1003=D$2, Datos!$A$2:$A1003=$A65)"),2173.8)</f>
        <v>2173.8</v>
      </c>
      <c r="E65" s="20">
        <f>IFERROR(__xludf.DUMMYFUNCTION("FILTER(Datos!$E$2:$E1003, Datos!$F$2:$F1003=E$1, Datos!$G$2:$G1003=E$2, Datos!$A$2:$A1003=$A65)"),2420.127)</f>
        <v>2420.127</v>
      </c>
      <c r="F65" s="20">
        <f>IFERROR(__xludf.DUMMYFUNCTION("FILTER(Datos!$D$2:$D1003, Datos!$F$2:$F1003=F$1, Datos!$G$2:$G1003=F$2, Datos!$A$2:$A1003=$A65)"),3946.3)</f>
        <v>3946.3</v>
      </c>
      <c r="G65" s="20">
        <f>IFERROR(__xludf.DUMMYFUNCTION("FILTER(Datos!$E$2:$E1003, Datos!$F$2:$F1003=G$1, Datos!$G$2:$G1003=G$2, Datos!$A$2:$A1003=$A65)"),6166.256)</f>
        <v>6166.256</v>
      </c>
      <c r="H65" s="20">
        <f>IFERROR(__xludf.DUMMYFUNCTION("FILTER(Datos!$D$2:$D1003, Datos!$F$2:$F1003=H$1, Datos!$G$2:$G1003=H$2, Datos!$A$2:$A1003=$A65)"),4613.033)</f>
        <v>4613.033</v>
      </c>
      <c r="I65" s="21">
        <f>IFERROR(__xludf.DUMMYFUNCTION("FILTER(Datos!$E$2:$E1003, Datos!$F$2:$F1003=I$1, Datos!$G$2:$G1003=I$2, Datos!$A$2:$A1003=$A65)"),7075.435)</f>
        <v>7075.435</v>
      </c>
      <c r="J65" s="20">
        <f>IFERROR(__xludf.DUMMYFUNCTION("FILTER(Datos!$D$2:$D1003, Datos!$F$2:$F1003=J$1, Datos!$G$2:$G1003=J$2, Datos!$A$2:$A1003=$A65)"),1821.533)</f>
        <v>1821.533</v>
      </c>
      <c r="K65" s="20">
        <f>IFERROR(__xludf.DUMMYFUNCTION("FILTER(Datos!$E$2:$E1003, Datos!$F$2:$F1003=K$1, Datos!$G$2:$G1003=K$2, Datos!$A$2:$A1003=$A65)"),2285.615)</f>
        <v>2285.615</v>
      </c>
      <c r="L65" s="20">
        <f>IFERROR(__xludf.DUMMYFUNCTION("FILTER(Datos!$D$2:$D1003, Datos!$F$2:$F1003=L$1, Datos!$G$2:$G1003=L$2, Datos!$A$2:$A1003=$A65)"),2154.333)</f>
        <v>2154.333</v>
      </c>
      <c r="M65" s="20">
        <f>IFERROR(__xludf.DUMMYFUNCTION("FILTER(Datos!$E$2:$E1003, Datos!$F$2:$F1003=M$1, Datos!$G$2:$G1003=M$2, Datos!$A$2:$A1003=$A65)"),2923.205)</f>
        <v>2923.205</v>
      </c>
      <c r="N65" s="20">
        <f>IFERROR(__xludf.DUMMYFUNCTION("FILTER(Datos!$D$2:$D1003, Datos!$F$2:$F1003=N$1, Datos!$G$2:$G1003=N$2, Datos!$A$2:$A1003=$A65)"),3039.0)</f>
        <v>3039</v>
      </c>
      <c r="O65" s="20">
        <f>IFERROR(__xludf.DUMMYFUNCTION("FILTER(Datos!$E$2:$E1003, Datos!$F$2:$F1003=O$1, Datos!$G$2:$G1003=O$2, Datos!$A$2:$A1003=$A65)"),4779.13)</f>
        <v>4779.13</v>
      </c>
      <c r="P65" s="20">
        <f>IFERROR(__xludf.DUMMYFUNCTION("FILTER(Datos!$D$2:$D1003, Datos!$F$2:$F1003=P$1, Datos!$G$2:$G1003=P$2, Datos!$A$2:$A1003=$A65)"),3939.333)</f>
        <v>3939.333</v>
      </c>
      <c r="Q65" s="21">
        <f>IFERROR(__xludf.DUMMYFUNCTION("FILTER(Datos!$E$2:$E1003, Datos!$F$2:$F1003=Q$1, Datos!$G$2:$G1003=Q$2, Datos!$A$2:$A1003=$A65)"),6183.148)</f>
        <v>6183.148</v>
      </c>
    </row>
    <row r="66">
      <c r="A66" s="18">
        <f t="shared" si="2"/>
        <v>61</v>
      </c>
      <c r="B66" s="19">
        <f>IFERROR(__xludf.DUMMYFUNCTION("FILTER(Datos!$D$2:$D1003, Datos!$F$2:$F1003=B$1, Datos!$G$2:$G1003=B$2, Datos!$A$2:$A1003=$A66)"),1909.833)</f>
        <v>1909.833</v>
      </c>
      <c r="C66" s="20">
        <f>IFERROR(__xludf.DUMMYFUNCTION("FILTER(Datos!$E$2:$E1003, Datos!$F$2:$F1003=C$1, Datos!$G$2:$G1003=C$2, Datos!$A$2:$A1003=$A66)"),1997.752)</f>
        <v>1997.752</v>
      </c>
      <c r="D66" s="20">
        <f>IFERROR(__xludf.DUMMYFUNCTION("FILTER(Datos!$D$2:$D1003, Datos!$F$2:$F1003=D$1, Datos!$G$2:$G1003=D$2, Datos!$A$2:$A1003=$A66)"),2173.167)</f>
        <v>2173.167</v>
      </c>
      <c r="E66" s="20">
        <f>IFERROR(__xludf.DUMMYFUNCTION("FILTER(Datos!$E$2:$E1003, Datos!$F$2:$F1003=E$1, Datos!$G$2:$G1003=E$2, Datos!$A$2:$A1003=$A66)"),2410.393)</f>
        <v>2410.393</v>
      </c>
      <c r="F66" s="20">
        <f>IFERROR(__xludf.DUMMYFUNCTION("FILTER(Datos!$D$2:$D1003, Datos!$F$2:$F1003=F$1, Datos!$G$2:$G1003=F$2, Datos!$A$2:$A1003=$A66)"),3932.467)</f>
        <v>3932.467</v>
      </c>
      <c r="G66" s="20">
        <f>IFERROR(__xludf.DUMMYFUNCTION("FILTER(Datos!$E$2:$E1003, Datos!$F$2:$F1003=G$1, Datos!$G$2:$G1003=G$2, Datos!$A$2:$A1003=$A66)"),6144.774)</f>
        <v>6144.774</v>
      </c>
      <c r="H66" s="20">
        <f>IFERROR(__xludf.DUMMYFUNCTION("FILTER(Datos!$D$2:$D1003, Datos!$F$2:$F1003=H$1, Datos!$G$2:$G1003=H$2, Datos!$A$2:$A1003=$A66)"),4606.233)</f>
        <v>4606.233</v>
      </c>
      <c r="I66" s="21">
        <f>IFERROR(__xludf.DUMMYFUNCTION("FILTER(Datos!$E$2:$E1003, Datos!$F$2:$F1003=I$1, Datos!$G$2:$G1003=I$2, Datos!$A$2:$A1003=$A66)"),7062.488)</f>
        <v>7062.488</v>
      </c>
      <c r="J66" s="20">
        <f>IFERROR(__xludf.DUMMYFUNCTION("FILTER(Datos!$D$2:$D1003, Datos!$F$2:$F1003=J$1, Datos!$G$2:$G1003=J$2, Datos!$A$2:$A1003=$A66)"),1821.533)</f>
        <v>1821.533</v>
      </c>
      <c r="K66" s="20">
        <f>IFERROR(__xludf.DUMMYFUNCTION("FILTER(Datos!$E$2:$E1003, Datos!$F$2:$F1003=K$1, Datos!$G$2:$G1003=K$2, Datos!$A$2:$A1003=$A66)"),2286.582)</f>
        <v>2286.582</v>
      </c>
      <c r="L66" s="20">
        <f>IFERROR(__xludf.DUMMYFUNCTION("FILTER(Datos!$D$2:$D1003, Datos!$F$2:$F1003=L$1, Datos!$G$2:$G1003=L$2, Datos!$A$2:$A1003=$A66)"),2151.933)</f>
        <v>2151.933</v>
      </c>
      <c r="M66" s="20">
        <f>IFERROR(__xludf.DUMMYFUNCTION("FILTER(Datos!$E$2:$E1003, Datos!$F$2:$F1003=M$1, Datos!$G$2:$G1003=M$2, Datos!$A$2:$A1003=$A66)"),2918.63)</f>
        <v>2918.63</v>
      </c>
      <c r="N66" s="20">
        <f>IFERROR(__xludf.DUMMYFUNCTION("FILTER(Datos!$D$2:$D1003, Datos!$F$2:$F1003=N$1, Datos!$G$2:$G1003=N$2, Datos!$A$2:$A1003=$A66)"),3021.4)</f>
        <v>3021.4</v>
      </c>
      <c r="O66" s="20">
        <f>IFERROR(__xludf.DUMMYFUNCTION("FILTER(Datos!$E$2:$E1003, Datos!$F$2:$F1003=O$1, Datos!$G$2:$G1003=O$2, Datos!$A$2:$A1003=$A66)"),4775.558)</f>
        <v>4775.558</v>
      </c>
      <c r="P66" s="20">
        <f>IFERROR(__xludf.DUMMYFUNCTION("FILTER(Datos!$D$2:$D1003, Datos!$F$2:$F1003=P$1, Datos!$G$2:$G1003=P$2, Datos!$A$2:$A1003=$A66)"),3920.433)</f>
        <v>3920.433</v>
      </c>
      <c r="Q66" s="21">
        <f>IFERROR(__xludf.DUMMYFUNCTION("FILTER(Datos!$E$2:$E1003, Datos!$F$2:$F1003=Q$1, Datos!$G$2:$G1003=Q$2, Datos!$A$2:$A1003=$A66)"),6183.702)</f>
        <v>6183.702</v>
      </c>
    </row>
    <row r="67">
      <c r="A67" s="18">
        <f t="shared" si="2"/>
        <v>62</v>
      </c>
      <c r="B67" s="19">
        <f>IFERROR(__xludf.DUMMYFUNCTION("FILTER(Datos!$D$2:$D1003, Datos!$F$2:$F1003=B$1, Datos!$G$2:$G1003=B$2, Datos!$A$2:$A1003=$A67)"),1909.833)</f>
        <v>1909.833</v>
      </c>
      <c r="C67" s="20">
        <f>IFERROR(__xludf.DUMMYFUNCTION("FILTER(Datos!$E$2:$E1003, Datos!$F$2:$F1003=C$1, Datos!$G$2:$G1003=C$2, Datos!$A$2:$A1003=$A67)"),1999.226)</f>
        <v>1999.226</v>
      </c>
      <c r="D67" s="20">
        <f>IFERROR(__xludf.DUMMYFUNCTION("FILTER(Datos!$D$2:$D1003, Datos!$F$2:$F1003=D$1, Datos!$G$2:$G1003=D$2, Datos!$A$2:$A1003=$A67)"),2171.033)</f>
        <v>2171.033</v>
      </c>
      <c r="E67" s="20">
        <f>IFERROR(__xludf.DUMMYFUNCTION("FILTER(Datos!$E$2:$E1003, Datos!$F$2:$F1003=E$1, Datos!$G$2:$G1003=E$2, Datos!$A$2:$A1003=$A67)"),2395.688)</f>
        <v>2395.688</v>
      </c>
      <c r="F67" s="20">
        <f>IFERROR(__xludf.DUMMYFUNCTION("FILTER(Datos!$D$2:$D1003, Datos!$F$2:$F1003=F$1, Datos!$G$2:$G1003=F$2, Datos!$A$2:$A1003=$A67)"),3901.467)</f>
        <v>3901.467</v>
      </c>
      <c r="G67" s="20">
        <f>IFERROR(__xludf.DUMMYFUNCTION("FILTER(Datos!$E$2:$E1003, Datos!$F$2:$F1003=G$1, Datos!$G$2:$G1003=G$2, Datos!$A$2:$A1003=$A67)"),6120.901)</f>
        <v>6120.901</v>
      </c>
      <c r="H67" s="20">
        <f>IFERROR(__xludf.DUMMYFUNCTION("FILTER(Datos!$D$2:$D1003, Datos!$F$2:$F1003=H$1, Datos!$G$2:$G1003=H$2, Datos!$A$2:$A1003=$A67)"),4554.967)</f>
        <v>4554.967</v>
      </c>
      <c r="I67" s="21">
        <f>IFERROR(__xludf.DUMMYFUNCTION("FILTER(Datos!$E$2:$E1003, Datos!$F$2:$F1003=I$1, Datos!$G$2:$G1003=I$2, Datos!$A$2:$A1003=$A67)"),7030.274)</f>
        <v>7030.274</v>
      </c>
      <c r="J67" s="20">
        <f>IFERROR(__xludf.DUMMYFUNCTION("FILTER(Datos!$D$2:$D1003, Datos!$F$2:$F1003=J$1, Datos!$G$2:$G1003=J$2, Datos!$A$2:$A1003=$A67)"),1821.533)</f>
        <v>1821.533</v>
      </c>
      <c r="K67" s="20">
        <f>IFERROR(__xludf.DUMMYFUNCTION("FILTER(Datos!$E$2:$E1003, Datos!$F$2:$F1003=K$1, Datos!$G$2:$G1003=K$2, Datos!$A$2:$A1003=$A67)"),2288.075)</f>
        <v>2288.075</v>
      </c>
      <c r="L67" s="20">
        <f>IFERROR(__xludf.DUMMYFUNCTION("FILTER(Datos!$D$2:$D1003, Datos!$F$2:$F1003=L$1, Datos!$G$2:$G1003=L$2, Datos!$A$2:$A1003=$A67)"),2148.5)</f>
        <v>2148.5</v>
      </c>
      <c r="M67" s="20">
        <f>IFERROR(__xludf.DUMMYFUNCTION("FILTER(Datos!$E$2:$E1003, Datos!$F$2:$F1003=M$1, Datos!$G$2:$G1003=M$2, Datos!$A$2:$A1003=$A67)"),2917.687)</f>
        <v>2917.687</v>
      </c>
      <c r="N67" s="20">
        <f>IFERROR(__xludf.DUMMYFUNCTION("FILTER(Datos!$D$2:$D1003, Datos!$F$2:$F1003=N$1, Datos!$G$2:$G1003=N$2, Datos!$A$2:$A1003=$A67)"),3015.533)</f>
        <v>3015.533</v>
      </c>
      <c r="O67" s="20">
        <f>IFERROR(__xludf.DUMMYFUNCTION("FILTER(Datos!$E$2:$E1003, Datos!$F$2:$F1003=O$1, Datos!$G$2:$G1003=O$2, Datos!$A$2:$A1003=$A67)"),4759.757)</f>
        <v>4759.757</v>
      </c>
      <c r="P67" s="20">
        <f>IFERROR(__xludf.DUMMYFUNCTION("FILTER(Datos!$D$2:$D1003, Datos!$F$2:$F1003=P$1, Datos!$G$2:$G1003=P$2, Datos!$A$2:$A1003=$A67)"),3905.767)</f>
        <v>3905.767</v>
      </c>
      <c r="Q67" s="21">
        <f>IFERROR(__xludf.DUMMYFUNCTION("FILTER(Datos!$E$2:$E1003, Datos!$F$2:$F1003=Q$1, Datos!$G$2:$G1003=Q$2, Datos!$A$2:$A1003=$A67)"),6160.934)</f>
        <v>6160.934</v>
      </c>
    </row>
    <row r="68">
      <c r="A68" s="18">
        <f t="shared" si="2"/>
        <v>63</v>
      </c>
      <c r="B68" s="19">
        <f>IFERROR(__xludf.DUMMYFUNCTION("FILTER(Datos!$D$2:$D1003, Datos!$F$2:$F1003=B$1, Datos!$G$2:$G1003=B$2, Datos!$A$2:$A1003=$A68)"),1909.833)</f>
        <v>1909.833</v>
      </c>
      <c r="C68" s="20">
        <f>IFERROR(__xludf.DUMMYFUNCTION("FILTER(Datos!$E$2:$E1003, Datos!$F$2:$F1003=C$1, Datos!$G$2:$G1003=C$2, Datos!$A$2:$A1003=$A68)"),1998.206)</f>
        <v>1998.206</v>
      </c>
      <c r="D68" s="20">
        <f>IFERROR(__xludf.DUMMYFUNCTION("FILTER(Datos!$D$2:$D1003, Datos!$F$2:$F1003=D$1, Datos!$G$2:$G1003=D$2, Datos!$A$2:$A1003=$A68)"),2171.033)</f>
        <v>2171.033</v>
      </c>
      <c r="E68" s="20">
        <f>IFERROR(__xludf.DUMMYFUNCTION("FILTER(Datos!$E$2:$E1003, Datos!$F$2:$F1003=E$1, Datos!$G$2:$G1003=E$2, Datos!$A$2:$A1003=$A68)"),2389.936)</f>
        <v>2389.936</v>
      </c>
      <c r="F68" s="20">
        <f>IFERROR(__xludf.DUMMYFUNCTION("FILTER(Datos!$D$2:$D1003, Datos!$F$2:$F1003=F$1, Datos!$G$2:$G1003=F$2, Datos!$A$2:$A1003=$A68)"),3889.2)</f>
        <v>3889.2</v>
      </c>
      <c r="G68" s="20">
        <f>IFERROR(__xludf.DUMMYFUNCTION("FILTER(Datos!$E$2:$E1003, Datos!$F$2:$F1003=G$1, Datos!$G$2:$G1003=G$2, Datos!$A$2:$A1003=$A68)"),6080.641)</f>
        <v>6080.641</v>
      </c>
      <c r="H68" s="20">
        <f>IFERROR(__xludf.DUMMYFUNCTION("FILTER(Datos!$D$2:$D1003, Datos!$F$2:$F1003=H$1, Datos!$G$2:$G1003=H$2, Datos!$A$2:$A1003=$A68)"),4535.667)</f>
        <v>4535.667</v>
      </c>
      <c r="I68" s="21">
        <f>IFERROR(__xludf.DUMMYFUNCTION("FILTER(Datos!$E$2:$E1003, Datos!$F$2:$F1003=I$1, Datos!$G$2:$G1003=I$2, Datos!$A$2:$A1003=$A68)"),7015.202)</f>
        <v>7015.202</v>
      </c>
      <c r="J68" s="20">
        <f>IFERROR(__xludf.DUMMYFUNCTION("FILTER(Datos!$D$2:$D1003, Datos!$F$2:$F1003=J$1, Datos!$G$2:$G1003=J$2, Datos!$A$2:$A1003=$A68)"),1821.533)</f>
        <v>1821.533</v>
      </c>
      <c r="K68" s="20">
        <f>IFERROR(__xludf.DUMMYFUNCTION("FILTER(Datos!$E$2:$E1003, Datos!$F$2:$F1003=K$1, Datos!$G$2:$G1003=K$2, Datos!$A$2:$A1003=$A68)"),2284.586)</f>
        <v>2284.586</v>
      </c>
      <c r="L68" s="20">
        <f>IFERROR(__xludf.DUMMYFUNCTION("FILTER(Datos!$D$2:$D1003, Datos!$F$2:$F1003=L$1, Datos!$G$2:$G1003=L$2, Datos!$A$2:$A1003=$A68)"),2148.267)</f>
        <v>2148.267</v>
      </c>
      <c r="M68" s="20">
        <f>IFERROR(__xludf.DUMMYFUNCTION("FILTER(Datos!$E$2:$E1003, Datos!$F$2:$F1003=M$1, Datos!$G$2:$G1003=M$2, Datos!$A$2:$A1003=$A68)"),2906.07)</f>
        <v>2906.07</v>
      </c>
      <c r="N68" s="20">
        <f>IFERROR(__xludf.DUMMYFUNCTION("FILTER(Datos!$D$2:$D1003, Datos!$F$2:$F1003=N$1, Datos!$G$2:$G1003=N$2, Datos!$A$2:$A1003=$A68)"),3007.167)</f>
        <v>3007.167</v>
      </c>
      <c r="O68" s="20">
        <f>IFERROR(__xludf.DUMMYFUNCTION("FILTER(Datos!$E$2:$E1003, Datos!$F$2:$F1003=O$1, Datos!$G$2:$G1003=O$2, Datos!$A$2:$A1003=$A68)"),4742.863)</f>
        <v>4742.863</v>
      </c>
      <c r="P68" s="20">
        <f>IFERROR(__xludf.DUMMYFUNCTION("FILTER(Datos!$D$2:$D1003, Datos!$F$2:$F1003=P$1, Datos!$G$2:$G1003=P$2, Datos!$A$2:$A1003=$A68)"),3898.3)</f>
        <v>3898.3</v>
      </c>
      <c r="Q68" s="21">
        <f>IFERROR(__xludf.DUMMYFUNCTION("FILTER(Datos!$E$2:$E1003, Datos!$F$2:$F1003=Q$1, Datos!$G$2:$G1003=Q$2, Datos!$A$2:$A1003=$A68)"),6136.897)</f>
        <v>6136.897</v>
      </c>
    </row>
    <row r="69">
      <c r="A69" s="18">
        <f t="shared" si="2"/>
        <v>64</v>
      </c>
      <c r="B69" s="19">
        <f>IFERROR(__xludf.DUMMYFUNCTION("FILTER(Datos!$D$2:$D1003, Datos!$F$2:$F1003=B$1, Datos!$G$2:$G1003=B$2, Datos!$A$2:$A1003=$A69)"),1909.833)</f>
        <v>1909.833</v>
      </c>
      <c r="C69" s="20">
        <f>IFERROR(__xludf.DUMMYFUNCTION("FILTER(Datos!$E$2:$E1003, Datos!$F$2:$F1003=C$1, Datos!$G$2:$G1003=C$2, Datos!$A$2:$A1003=$A69)"),1998.438)</f>
        <v>1998.438</v>
      </c>
      <c r="D69" s="20">
        <f>IFERROR(__xludf.DUMMYFUNCTION("FILTER(Datos!$D$2:$D1003, Datos!$F$2:$F1003=D$1, Datos!$G$2:$G1003=D$2, Datos!$A$2:$A1003=$A69)"),2171.033)</f>
        <v>2171.033</v>
      </c>
      <c r="E69" s="20">
        <f>IFERROR(__xludf.DUMMYFUNCTION("FILTER(Datos!$E$2:$E1003, Datos!$F$2:$F1003=E$1, Datos!$G$2:$G1003=E$2, Datos!$A$2:$A1003=$A69)"),2386.988)</f>
        <v>2386.988</v>
      </c>
      <c r="F69" s="20">
        <f>IFERROR(__xludf.DUMMYFUNCTION("FILTER(Datos!$D$2:$D1003, Datos!$F$2:$F1003=F$1, Datos!$G$2:$G1003=F$2, Datos!$A$2:$A1003=$A69)"),3885.433)</f>
        <v>3885.433</v>
      </c>
      <c r="G69" s="20">
        <f>IFERROR(__xludf.DUMMYFUNCTION("FILTER(Datos!$E$2:$E1003, Datos!$F$2:$F1003=G$1, Datos!$G$2:$G1003=G$2, Datos!$A$2:$A1003=$A69)"),6036.774)</f>
        <v>6036.774</v>
      </c>
      <c r="H69" s="20">
        <f>IFERROR(__xludf.DUMMYFUNCTION("FILTER(Datos!$D$2:$D1003, Datos!$F$2:$F1003=H$1, Datos!$G$2:$G1003=H$2, Datos!$A$2:$A1003=$A69)"),4532.467)</f>
        <v>4532.467</v>
      </c>
      <c r="I69" s="21">
        <f>IFERROR(__xludf.DUMMYFUNCTION("FILTER(Datos!$E$2:$E1003, Datos!$F$2:$F1003=I$1, Datos!$G$2:$G1003=I$2, Datos!$A$2:$A1003=$A69)"),6979.945)</f>
        <v>6979.945</v>
      </c>
      <c r="J69" s="20">
        <f>IFERROR(__xludf.DUMMYFUNCTION("FILTER(Datos!$D$2:$D1003, Datos!$F$2:$F1003=J$1, Datos!$G$2:$G1003=J$2, Datos!$A$2:$A1003=$A69)"),1821.533)</f>
        <v>1821.533</v>
      </c>
      <c r="K69" s="20">
        <f>IFERROR(__xludf.DUMMYFUNCTION("FILTER(Datos!$E$2:$E1003, Datos!$F$2:$F1003=K$1, Datos!$G$2:$G1003=K$2, Datos!$A$2:$A1003=$A69)"),2288.655)</f>
        <v>2288.655</v>
      </c>
      <c r="L69" s="20">
        <f>IFERROR(__xludf.DUMMYFUNCTION("FILTER(Datos!$D$2:$D1003, Datos!$F$2:$F1003=L$1, Datos!$G$2:$G1003=L$2, Datos!$A$2:$A1003=$A69)"),2146.467)</f>
        <v>2146.467</v>
      </c>
      <c r="M69" s="20">
        <f>IFERROR(__xludf.DUMMYFUNCTION("FILTER(Datos!$E$2:$E1003, Datos!$F$2:$F1003=M$1, Datos!$G$2:$G1003=M$2, Datos!$A$2:$A1003=$A69)"),2911.095)</f>
        <v>2911.095</v>
      </c>
      <c r="N69" s="20">
        <f>IFERROR(__xludf.DUMMYFUNCTION("FILTER(Datos!$D$2:$D1003, Datos!$F$2:$F1003=N$1, Datos!$G$2:$G1003=N$2, Datos!$A$2:$A1003=$A69)"),2972.9)</f>
        <v>2972.9</v>
      </c>
      <c r="O69" s="20">
        <f>IFERROR(__xludf.DUMMYFUNCTION("FILTER(Datos!$E$2:$E1003, Datos!$F$2:$F1003=O$1, Datos!$G$2:$G1003=O$2, Datos!$A$2:$A1003=$A69)"),4727.7)</f>
        <v>4727.7</v>
      </c>
      <c r="P69" s="20">
        <f>IFERROR(__xludf.DUMMYFUNCTION("FILTER(Datos!$D$2:$D1003, Datos!$F$2:$F1003=P$1, Datos!$G$2:$G1003=P$2, Datos!$A$2:$A1003=$A69)"),3879.2)</f>
        <v>3879.2</v>
      </c>
      <c r="Q69" s="21">
        <f>IFERROR(__xludf.DUMMYFUNCTION("FILTER(Datos!$E$2:$E1003, Datos!$F$2:$F1003=Q$1, Datos!$G$2:$G1003=Q$2, Datos!$A$2:$A1003=$A69)"),6107.799)</f>
        <v>6107.799</v>
      </c>
    </row>
    <row r="70">
      <c r="A70" s="18">
        <f t="shared" si="2"/>
        <v>65</v>
      </c>
      <c r="B70" s="19">
        <f>IFERROR(__xludf.DUMMYFUNCTION("FILTER(Datos!$D$2:$D1003, Datos!$F$2:$F1003=B$1, Datos!$G$2:$G1003=B$2, Datos!$A$2:$A1003=$A70)"),1909.833)</f>
        <v>1909.833</v>
      </c>
      <c r="C70" s="20">
        <f>IFERROR(__xludf.DUMMYFUNCTION("FILTER(Datos!$E$2:$E1003, Datos!$F$2:$F1003=C$1, Datos!$G$2:$G1003=C$2, Datos!$A$2:$A1003=$A70)"),1997.214)</f>
        <v>1997.214</v>
      </c>
      <c r="D70" s="20">
        <f>IFERROR(__xludf.DUMMYFUNCTION("FILTER(Datos!$D$2:$D1003, Datos!$F$2:$F1003=D$1, Datos!$G$2:$G1003=D$2, Datos!$A$2:$A1003=$A70)"),2168.833)</f>
        <v>2168.833</v>
      </c>
      <c r="E70" s="20">
        <f>IFERROR(__xludf.DUMMYFUNCTION("FILTER(Datos!$E$2:$E1003, Datos!$F$2:$F1003=E$1, Datos!$G$2:$G1003=E$2, Datos!$A$2:$A1003=$A70)"),2379.98)</f>
        <v>2379.98</v>
      </c>
      <c r="F70" s="20">
        <f>IFERROR(__xludf.DUMMYFUNCTION("FILTER(Datos!$D$2:$D1003, Datos!$F$2:$F1003=F$1, Datos!$G$2:$G1003=F$2, Datos!$A$2:$A1003=$A70)"),3876.267)</f>
        <v>3876.267</v>
      </c>
      <c r="G70" s="20">
        <f>IFERROR(__xludf.DUMMYFUNCTION("FILTER(Datos!$E$2:$E1003, Datos!$F$2:$F1003=G$1, Datos!$G$2:$G1003=G$2, Datos!$A$2:$A1003=$A70)"),6017.43)</f>
        <v>6017.43</v>
      </c>
      <c r="H70" s="20">
        <f>IFERROR(__xludf.DUMMYFUNCTION("FILTER(Datos!$D$2:$D1003, Datos!$F$2:$F1003=H$1, Datos!$G$2:$G1003=H$2, Datos!$A$2:$A1003=$A70)"),4529.133)</f>
        <v>4529.133</v>
      </c>
      <c r="I70" s="21">
        <f>IFERROR(__xludf.DUMMYFUNCTION("FILTER(Datos!$E$2:$E1003, Datos!$F$2:$F1003=I$1, Datos!$G$2:$G1003=I$2, Datos!$A$2:$A1003=$A70)"),6973.633)</f>
        <v>6973.633</v>
      </c>
      <c r="J70" s="20">
        <f>IFERROR(__xludf.DUMMYFUNCTION("FILTER(Datos!$D$2:$D1003, Datos!$F$2:$F1003=J$1, Datos!$G$2:$G1003=J$2, Datos!$A$2:$A1003=$A70)"),1821.533)</f>
        <v>1821.533</v>
      </c>
      <c r="K70" s="20">
        <f>IFERROR(__xludf.DUMMYFUNCTION("FILTER(Datos!$E$2:$E1003, Datos!$F$2:$F1003=K$1, Datos!$G$2:$G1003=K$2, Datos!$A$2:$A1003=$A70)"),2281.455)</f>
        <v>2281.455</v>
      </c>
      <c r="L70" s="20">
        <f>IFERROR(__xludf.DUMMYFUNCTION("FILTER(Datos!$D$2:$D1003, Datos!$F$2:$F1003=L$1, Datos!$G$2:$G1003=L$2, Datos!$A$2:$A1003=$A70)"),2146.067)</f>
        <v>2146.067</v>
      </c>
      <c r="M70" s="20">
        <f>IFERROR(__xludf.DUMMYFUNCTION("FILTER(Datos!$E$2:$E1003, Datos!$F$2:$F1003=M$1, Datos!$G$2:$G1003=M$2, Datos!$A$2:$A1003=$A70)"),2910.99)</f>
        <v>2910.99</v>
      </c>
      <c r="N70" s="20">
        <f>IFERROR(__xludf.DUMMYFUNCTION("FILTER(Datos!$D$2:$D1003, Datos!$F$2:$F1003=N$1, Datos!$G$2:$G1003=N$2, Datos!$A$2:$A1003=$A70)"),2965.9)</f>
        <v>2965.9</v>
      </c>
      <c r="O70" s="20">
        <f>IFERROR(__xludf.DUMMYFUNCTION("FILTER(Datos!$E$2:$E1003, Datos!$F$2:$F1003=O$1, Datos!$G$2:$G1003=O$2, Datos!$A$2:$A1003=$A70)"),4671.069)</f>
        <v>4671.069</v>
      </c>
      <c r="P70" s="20">
        <f>IFERROR(__xludf.DUMMYFUNCTION("FILTER(Datos!$D$2:$D1003, Datos!$F$2:$F1003=P$1, Datos!$G$2:$G1003=P$2, Datos!$A$2:$A1003=$A70)"),3858.1)</f>
        <v>3858.1</v>
      </c>
      <c r="Q70" s="21">
        <f>IFERROR(__xludf.DUMMYFUNCTION("FILTER(Datos!$E$2:$E1003, Datos!$F$2:$F1003=Q$1, Datos!$G$2:$G1003=Q$2, Datos!$A$2:$A1003=$A70)"),6086.278)</f>
        <v>6086.278</v>
      </c>
    </row>
    <row r="71">
      <c r="A71" s="18">
        <f t="shared" si="2"/>
        <v>66</v>
      </c>
      <c r="B71" s="19">
        <f>IFERROR(__xludf.DUMMYFUNCTION("FILTER(Datos!$D$2:$D1003, Datos!$F$2:$F1003=B$1, Datos!$G$2:$G1003=B$2, Datos!$A$2:$A1003=$A71)"),1909.833)</f>
        <v>1909.833</v>
      </c>
      <c r="C71" s="20">
        <f>IFERROR(__xludf.DUMMYFUNCTION("FILTER(Datos!$E$2:$E1003, Datos!$F$2:$F1003=C$1, Datos!$G$2:$G1003=C$2, Datos!$A$2:$A1003=$A71)"),1998.066)</f>
        <v>1998.066</v>
      </c>
      <c r="D71" s="20">
        <f>IFERROR(__xludf.DUMMYFUNCTION("FILTER(Datos!$D$2:$D1003, Datos!$F$2:$F1003=D$1, Datos!$G$2:$G1003=D$2, Datos!$A$2:$A1003=$A71)"),2168.833)</f>
        <v>2168.833</v>
      </c>
      <c r="E71" s="20">
        <f>IFERROR(__xludf.DUMMYFUNCTION("FILTER(Datos!$E$2:$E1003, Datos!$F$2:$F1003=E$1, Datos!$G$2:$G1003=E$2, Datos!$A$2:$A1003=$A71)"),2370.317)</f>
        <v>2370.317</v>
      </c>
      <c r="F71" s="20">
        <f>IFERROR(__xludf.DUMMYFUNCTION("FILTER(Datos!$D$2:$D1003, Datos!$F$2:$F1003=F$1, Datos!$G$2:$G1003=F$2, Datos!$A$2:$A1003=$A71)"),3829.167)</f>
        <v>3829.167</v>
      </c>
      <c r="G71" s="20">
        <f>IFERROR(__xludf.DUMMYFUNCTION("FILTER(Datos!$E$2:$E1003, Datos!$F$2:$F1003=G$1, Datos!$G$2:$G1003=G$2, Datos!$A$2:$A1003=$A71)"),5994.207)</f>
        <v>5994.207</v>
      </c>
      <c r="H71" s="20">
        <f>IFERROR(__xludf.DUMMYFUNCTION("FILTER(Datos!$D$2:$D1003, Datos!$F$2:$F1003=H$1, Datos!$G$2:$G1003=H$2, Datos!$A$2:$A1003=$A71)"),4502.1)</f>
        <v>4502.1</v>
      </c>
      <c r="I71" s="21">
        <f>IFERROR(__xludf.DUMMYFUNCTION("FILTER(Datos!$E$2:$E1003, Datos!$F$2:$F1003=I$1, Datos!$G$2:$G1003=I$2, Datos!$A$2:$A1003=$A71)"),6982.535)</f>
        <v>6982.535</v>
      </c>
      <c r="J71" s="20">
        <f>IFERROR(__xludf.DUMMYFUNCTION("FILTER(Datos!$D$2:$D1003, Datos!$F$2:$F1003=J$1, Datos!$G$2:$G1003=J$2, Datos!$A$2:$A1003=$A71)"),1821.533)</f>
        <v>1821.533</v>
      </c>
      <c r="K71" s="20">
        <f>IFERROR(__xludf.DUMMYFUNCTION("FILTER(Datos!$E$2:$E1003, Datos!$F$2:$F1003=K$1, Datos!$G$2:$G1003=K$2, Datos!$A$2:$A1003=$A71)"),2278.073)</f>
        <v>2278.073</v>
      </c>
      <c r="L71" s="20">
        <f>IFERROR(__xludf.DUMMYFUNCTION("FILTER(Datos!$D$2:$D1003, Datos!$F$2:$F1003=L$1, Datos!$G$2:$G1003=L$2, Datos!$A$2:$A1003=$A71)"),2145.967)</f>
        <v>2145.967</v>
      </c>
      <c r="M71" s="20">
        <f>IFERROR(__xludf.DUMMYFUNCTION("FILTER(Datos!$E$2:$E1003, Datos!$F$2:$F1003=M$1, Datos!$G$2:$G1003=M$2, Datos!$A$2:$A1003=$A71)"),2905.089)</f>
        <v>2905.089</v>
      </c>
      <c r="N71" s="20">
        <f>IFERROR(__xludf.DUMMYFUNCTION("FILTER(Datos!$D$2:$D1003, Datos!$F$2:$F1003=N$1, Datos!$G$2:$G1003=N$2, Datos!$A$2:$A1003=$A71)"),2919.0)</f>
        <v>2919</v>
      </c>
      <c r="O71" s="20">
        <f>IFERROR(__xludf.DUMMYFUNCTION("FILTER(Datos!$E$2:$E1003, Datos!$F$2:$F1003=O$1, Datos!$G$2:$G1003=O$2, Datos!$A$2:$A1003=$A71)"),4634.903)</f>
        <v>4634.903</v>
      </c>
      <c r="P71" s="20">
        <f>IFERROR(__xludf.DUMMYFUNCTION("FILTER(Datos!$D$2:$D1003, Datos!$F$2:$F1003=P$1, Datos!$G$2:$G1003=P$2, Datos!$A$2:$A1003=$A71)"),3836.467)</f>
        <v>3836.467</v>
      </c>
      <c r="Q71" s="21">
        <f>IFERROR(__xludf.DUMMYFUNCTION("FILTER(Datos!$E$2:$E1003, Datos!$F$2:$F1003=Q$1, Datos!$G$2:$G1003=Q$2, Datos!$A$2:$A1003=$A71)"),6070.386)</f>
        <v>6070.386</v>
      </c>
    </row>
    <row r="72">
      <c r="A72" s="18">
        <f t="shared" si="2"/>
        <v>67</v>
      </c>
      <c r="B72" s="19">
        <f>IFERROR(__xludf.DUMMYFUNCTION("FILTER(Datos!$D$2:$D1003, Datos!$F$2:$F1003=B$1, Datos!$G$2:$G1003=B$2, Datos!$A$2:$A1003=$A72)"),1909.833)</f>
        <v>1909.833</v>
      </c>
      <c r="C72" s="20">
        <f>IFERROR(__xludf.DUMMYFUNCTION("FILTER(Datos!$E$2:$E1003, Datos!$F$2:$F1003=C$1, Datos!$G$2:$G1003=C$2, Datos!$A$2:$A1003=$A72)"),1996.996)</f>
        <v>1996.996</v>
      </c>
      <c r="D72" s="20">
        <f>IFERROR(__xludf.DUMMYFUNCTION("FILTER(Datos!$D$2:$D1003, Datos!$F$2:$F1003=D$1, Datos!$G$2:$G1003=D$2, Datos!$A$2:$A1003=$A72)"),2168.833)</f>
        <v>2168.833</v>
      </c>
      <c r="E72" s="20">
        <f>IFERROR(__xludf.DUMMYFUNCTION("FILTER(Datos!$E$2:$E1003, Datos!$F$2:$F1003=E$1, Datos!$G$2:$G1003=E$2, Datos!$A$2:$A1003=$A72)"),2364.023)</f>
        <v>2364.023</v>
      </c>
      <c r="F72" s="20">
        <f>IFERROR(__xludf.DUMMYFUNCTION("FILTER(Datos!$D$2:$D1003, Datos!$F$2:$F1003=F$1, Datos!$G$2:$G1003=F$2, Datos!$A$2:$A1003=$A72)"),3810.033)</f>
        <v>3810.033</v>
      </c>
      <c r="G72" s="20">
        <f>IFERROR(__xludf.DUMMYFUNCTION("FILTER(Datos!$E$2:$E1003, Datos!$F$2:$F1003=G$1, Datos!$G$2:$G1003=G$2, Datos!$A$2:$A1003=$A72)"),5940.769)</f>
        <v>5940.769</v>
      </c>
      <c r="H72" s="20">
        <f>IFERROR(__xludf.DUMMYFUNCTION("FILTER(Datos!$D$2:$D1003, Datos!$F$2:$F1003=H$1, Datos!$G$2:$G1003=H$2, Datos!$A$2:$A1003=$A72)"),4493.6)</f>
        <v>4493.6</v>
      </c>
      <c r="I72" s="21">
        <f>IFERROR(__xludf.DUMMYFUNCTION("FILTER(Datos!$E$2:$E1003, Datos!$F$2:$F1003=I$1, Datos!$G$2:$G1003=I$2, Datos!$A$2:$A1003=$A72)"),6973.411)</f>
        <v>6973.411</v>
      </c>
      <c r="J72" s="20">
        <f>IFERROR(__xludf.DUMMYFUNCTION("FILTER(Datos!$D$2:$D1003, Datos!$F$2:$F1003=J$1, Datos!$G$2:$G1003=J$2, Datos!$A$2:$A1003=$A72)"),1821.533)</f>
        <v>1821.533</v>
      </c>
      <c r="K72" s="20">
        <f>IFERROR(__xludf.DUMMYFUNCTION("FILTER(Datos!$E$2:$E1003, Datos!$F$2:$F1003=K$1, Datos!$G$2:$G1003=K$2, Datos!$A$2:$A1003=$A72)"),2285.42)</f>
        <v>2285.42</v>
      </c>
      <c r="L72" s="20">
        <f>IFERROR(__xludf.DUMMYFUNCTION("FILTER(Datos!$D$2:$D1003, Datos!$F$2:$F1003=L$1, Datos!$G$2:$G1003=L$2, Datos!$A$2:$A1003=$A72)"),2140.5)</f>
        <v>2140.5</v>
      </c>
      <c r="M72" s="20">
        <f>IFERROR(__xludf.DUMMYFUNCTION("FILTER(Datos!$E$2:$E1003, Datos!$F$2:$F1003=M$1, Datos!$G$2:$G1003=M$2, Datos!$A$2:$A1003=$A72)"),2889.148)</f>
        <v>2889.148</v>
      </c>
      <c r="N72" s="20">
        <f>IFERROR(__xludf.DUMMYFUNCTION("FILTER(Datos!$D$2:$D1003, Datos!$F$2:$F1003=N$1, Datos!$G$2:$G1003=N$2, Datos!$A$2:$A1003=$A72)"),2909.667)</f>
        <v>2909.667</v>
      </c>
      <c r="O72" s="20">
        <f>IFERROR(__xludf.DUMMYFUNCTION("FILTER(Datos!$E$2:$E1003, Datos!$F$2:$F1003=O$1, Datos!$G$2:$G1003=O$2, Datos!$A$2:$A1003=$A72)"),4614.576)</f>
        <v>4614.576</v>
      </c>
      <c r="P72" s="20">
        <f>IFERROR(__xludf.DUMMYFUNCTION("FILTER(Datos!$D$2:$D1003, Datos!$F$2:$F1003=P$1, Datos!$G$2:$G1003=P$2, Datos!$A$2:$A1003=$A72)"),3815.933)</f>
        <v>3815.933</v>
      </c>
      <c r="Q72" s="21">
        <f>IFERROR(__xludf.DUMMYFUNCTION("FILTER(Datos!$E$2:$E1003, Datos!$F$2:$F1003=Q$1, Datos!$G$2:$G1003=Q$2, Datos!$A$2:$A1003=$A72)"),6057.357)</f>
        <v>6057.357</v>
      </c>
    </row>
    <row r="73">
      <c r="A73" s="18">
        <f t="shared" si="2"/>
        <v>68</v>
      </c>
      <c r="B73" s="19">
        <f>IFERROR(__xludf.DUMMYFUNCTION("FILTER(Datos!$D$2:$D1003, Datos!$F$2:$F1003=B$1, Datos!$G$2:$G1003=B$2, Datos!$A$2:$A1003=$A73)"),1909.833)</f>
        <v>1909.833</v>
      </c>
      <c r="C73" s="20">
        <f>IFERROR(__xludf.DUMMYFUNCTION("FILTER(Datos!$E$2:$E1003, Datos!$F$2:$F1003=C$1, Datos!$G$2:$G1003=C$2, Datos!$A$2:$A1003=$A73)"),2000.081)</f>
        <v>2000.081</v>
      </c>
      <c r="D73" s="20">
        <f>IFERROR(__xludf.DUMMYFUNCTION("FILTER(Datos!$D$2:$D1003, Datos!$F$2:$F1003=D$1, Datos!$G$2:$G1003=D$2, Datos!$A$2:$A1003=$A73)"),2166.667)</f>
        <v>2166.667</v>
      </c>
      <c r="E73" s="20">
        <f>IFERROR(__xludf.DUMMYFUNCTION("FILTER(Datos!$E$2:$E1003, Datos!$F$2:$F1003=E$1, Datos!$G$2:$G1003=E$2, Datos!$A$2:$A1003=$A73)"),2355.769)</f>
        <v>2355.769</v>
      </c>
      <c r="F73" s="20">
        <f>IFERROR(__xludf.DUMMYFUNCTION("FILTER(Datos!$D$2:$D1003, Datos!$F$2:$F1003=F$1, Datos!$G$2:$G1003=F$2, Datos!$A$2:$A1003=$A73)"),3788.2)</f>
        <v>3788.2</v>
      </c>
      <c r="G73" s="20">
        <f>IFERROR(__xludf.DUMMYFUNCTION("FILTER(Datos!$E$2:$E1003, Datos!$F$2:$F1003=G$1, Datos!$G$2:$G1003=G$2, Datos!$A$2:$A1003=$A73)"),5905.919)</f>
        <v>5905.919</v>
      </c>
      <c r="H73" s="20">
        <f>IFERROR(__xludf.DUMMYFUNCTION("FILTER(Datos!$D$2:$D1003, Datos!$F$2:$F1003=H$1, Datos!$G$2:$G1003=H$2, Datos!$A$2:$A1003=$A73)"),4466.233)</f>
        <v>4466.233</v>
      </c>
      <c r="I73" s="21">
        <f>IFERROR(__xludf.DUMMYFUNCTION("FILTER(Datos!$E$2:$E1003, Datos!$F$2:$F1003=I$1, Datos!$G$2:$G1003=I$2, Datos!$A$2:$A1003=$A73)"),6971.986)</f>
        <v>6971.986</v>
      </c>
      <c r="J73" s="20">
        <f>IFERROR(__xludf.DUMMYFUNCTION("FILTER(Datos!$D$2:$D1003, Datos!$F$2:$F1003=J$1, Datos!$G$2:$G1003=J$2, Datos!$A$2:$A1003=$A73)"),1821.533)</f>
        <v>1821.533</v>
      </c>
      <c r="K73" s="20">
        <f>IFERROR(__xludf.DUMMYFUNCTION("FILTER(Datos!$E$2:$E1003, Datos!$F$2:$F1003=K$1, Datos!$G$2:$G1003=K$2, Datos!$A$2:$A1003=$A73)"),2281.507)</f>
        <v>2281.507</v>
      </c>
      <c r="L73" s="20">
        <f>IFERROR(__xludf.DUMMYFUNCTION("FILTER(Datos!$D$2:$D1003, Datos!$F$2:$F1003=L$1, Datos!$G$2:$G1003=L$2, Datos!$A$2:$A1003=$A73)"),2140.5)</f>
        <v>2140.5</v>
      </c>
      <c r="M73" s="20">
        <f>IFERROR(__xludf.DUMMYFUNCTION("FILTER(Datos!$E$2:$E1003, Datos!$F$2:$F1003=M$1, Datos!$G$2:$G1003=M$2, Datos!$A$2:$A1003=$A73)"),2883.255)</f>
        <v>2883.255</v>
      </c>
      <c r="N73" s="20">
        <f>IFERROR(__xludf.DUMMYFUNCTION("FILTER(Datos!$D$2:$D1003, Datos!$F$2:$F1003=N$1, Datos!$G$2:$G1003=N$2, Datos!$A$2:$A1003=$A73)"),2891.733)</f>
        <v>2891.733</v>
      </c>
      <c r="O73" s="20">
        <f>IFERROR(__xludf.DUMMYFUNCTION("FILTER(Datos!$E$2:$E1003, Datos!$F$2:$F1003=O$1, Datos!$G$2:$G1003=O$2, Datos!$A$2:$A1003=$A73)"),4566.152)</f>
        <v>4566.152</v>
      </c>
      <c r="P73" s="20">
        <f>IFERROR(__xludf.DUMMYFUNCTION("FILTER(Datos!$D$2:$D1003, Datos!$F$2:$F1003=P$1, Datos!$G$2:$G1003=P$2, Datos!$A$2:$A1003=$A73)"),3809.067)</f>
        <v>3809.067</v>
      </c>
      <c r="Q73" s="21">
        <f>IFERROR(__xludf.DUMMYFUNCTION("FILTER(Datos!$E$2:$E1003, Datos!$F$2:$F1003=Q$1, Datos!$G$2:$G1003=Q$2, Datos!$A$2:$A1003=$A73)"),6052.297)</f>
        <v>6052.297</v>
      </c>
    </row>
    <row r="74">
      <c r="A74" s="18">
        <f t="shared" si="2"/>
        <v>69</v>
      </c>
      <c r="B74" s="19">
        <f>IFERROR(__xludf.DUMMYFUNCTION("FILTER(Datos!$D$2:$D1003, Datos!$F$2:$F1003=B$1, Datos!$G$2:$G1003=B$2, Datos!$A$2:$A1003=$A74)"),1909.833)</f>
        <v>1909.833</v>
      </c>
      <c r="C74" s="20">
        <f>IFERROR(__xludf.DUMMYFUNCTION("FILTER(Datos!$E$2:$E1003, Datos!$F$2:$F1003=C$1, Datos!$G$2:$G1003=C$2, Datos!$A$2:$A1003=$A74)"),1995.409)</f>
        <v>1995.409</v>
      </c>
      <c r="D74" s="20">
        <f>IFERROR(__xludf.DUMMYFUNCTION("FILTER(Datos!$D$2:$D1003, Datos!$F$2:$F1003=D$1, Datos!$G$2:$G1003=D$2, Datos!$A$2:$A1003=$A74)"),2166.667)</f>
        <v>2166.667</v>
      </c>
      <c r="E74" s="20">
        <f>IFERROR(__xludf.DUMMYFUNCTION("FILTER(Datos!$E$2:$E1003, Datos!$F$2:$F1003=E$1, Datos!$G$2:$G1003=E$2, Datos!$A$2:$A1003=$A74)"),2351.279)</f>
        <v>2351.279</v>
      </c>
      <c r="F74" s="20">
        <f>IFERROR(__xludf.DUMMYFUNCTION("FILTER(Datos!$D$2:$D1003, Datos!$F$2:$F1003=F$1, Datos!$G$2:$G1003=F$2, Datos!$A$2:$A1003=$A74)"),3766.9)</f>
        <v>3766.9</v>
      </c>
      <c r="G74" s="20">
        <f>IFERROR(__xludf.DUMMYFUNCTION("FILTER(Datos!$E$2:$E1003, Datos!$F$2:$F1003=G$1, Datos!$G$2:$G1003=G$2, Datos!$A$2:$A1003=$A74)"),5868.831)</f>
        <v>5868.831</v>
      </c>
      <c r="H74" s="20">
        <f>IFERROR(__xludf.DUMMYFUNCTION("FILTER(Datos!$D$2:$D1003, Datos!$F$2:$F1003=H$1, Datos!$G$2:$G1003=H$2, Datos!$A$2:$A1003=$A74)"),4451.933)</f>
        <v>4451.933</v>
      </c>
      <c r="I74" s="21">
        <f>IFERROR(__xludf.DUMMYFUNCTION("FILTER(Datos!$E$2:$E1003, Datos!$F$2:$F1003=I$1, Datos!$G$2:$G1003=I$2, Datos!$A$2:$A1003=$A74)"),6945.083)</f>
        <v>6945.083</v>
      </c>
      <c r="J74" s="20">
        <f>IFERROR(__xludf.DUMMYFUNCTION("FILTER(Datos!$D$2:$D1003, Datos!$F$2:$F1003=J$1, Datos!$G$2:$G1003=J$2, Datos!$A$2:$A1003=$A74)"),1821.533)</f>
        <v>1821.533</v>
      </c>
      <c r="K74" s="20">
        <f>IFERROR(__xludf.DUMMYFUNCTION("FILTER(Datos!$E$2:$E1003, Datos!$F$2:$F1003=K$1, Datos!$G$2:$G1003=K$2, Datos!$A$2:$A1003=$A74)"),2285.149)</f>
        <v>2285.149</v>
      </c>
      <c r="L74" s="20">
        <f>IFERROR(__xludf.DUMMYFUNCTION("FILTER(Datos!$D$2:$D1003, Datos!$F$2:$F1003=L$1, Datos!$G$2:$G1003=L$2, Datos!$A$2:$A1003=$A74)"),2138.833)</f>
        <v>2138.833</v>
      </c>
      <c r="M74" s="20">
        <f>IFERROR(__xludf.DUMMYFUNCTION("FILTER(Datos!$E$2:$E1003, Datos!$F$2:$F1003=M$1, Datos!$G$2:$G1003=M$2, Datos!$A$2:$A1003=$A74)"),2878.434)</f>
        <v>2878.434</v>
      </c>
      <c r="N74" s="20">
        <f>IFERROR(__xludf.DUMMYFUNCTION("FILTER(Datos!$D$2:$D1003, Datos!$F$2:$F1003=N$1, Datos!$G$2:$G1003=N$2, Datos!$A$2:$A1003=$A74)"),2879.167)</f>
        <v>2879.167</v>
      </c>
      <c r="O74" s="20">
        <f>IFERROR(__xludf.DUMMYFUNCTION("FILTER(Datos!$E$2:$E1003, Datos!$F$2:$F1003=O$1, Datos!$G$2:$G1003=O$2, Datos!$A$2:$A1003=$A74)"),4513.84)</f>
        <v>4513.84</v>
      </c>
      <c r="P74" s="20">
        <f>IFERROR(__xludf.DUMMYFUNCTION("FILTER(Datos!$D$2:$D1003, Datos!$F$2:$F1003=P$1, Datos!$G$2:$G1003=P$2, Datos!$A$2:$A1003=$A74)"),3782.133)</f>
        <v>3782.133</v>
      </c>
      <c r="Q74" s="21">
        <f>IFERROR(__xludf.DUMMYFUNCTION("FILTER(Datos!$E$2:$E1003, Datos!$F$2:$F1003=Q$1, Datos!$G$2:$G1003=Q$2, Datos!$A$2:$A1003=$A74)"),6026.126)</f>
        <v>6026.126</v>
      </c>
    </row>
    <row r="75">
      <c r="A75" s="18">
        <f t="shared" si="2"/>
        <v>70</v>
      </c>
      <c r="B75" s="19">
        <f>IFERROR(__xludf.DUMMYFUNCTION("FILTER(Datos!$D$2:$D1003, Datos!$F$2:$F1003=B$1, Datos!$G$2:$G1003=B$2, Datos!$A$2:$A1003=$A75)"),1909.833)</f>
        <v>1909.833</v>
      </c>
      <c r="C75" s="20">
        <f>IFERROR(__xludf.DUMMYFUNCTION("FILTER(Datos!$E$2:$E1003, Datos!$F$2:$F1003=C$1, Datos!$G$2:$G1003=C$2, Datos!$A$2:$A1003=$A75)"),1993.275)</f>
        <v>1993.275</v>
      </c>
      <c r="D75" s="20">
        <f>IFERROR(__xludf.DUMMYFUNCTION("FILTER(Datos!$D$2:$D1003, Datos!$F$2:$F1003=D$1, Datos!$G$2:$G1003=D$2, Datos!$A$2:$A1003=$A75)"),2164.067)</f>
        <v>2164.067</v>
      </c>
      <c r="E75" s="20">
        <f>IFERROR(__xludf.DUMMYFUNCTION("FILTER(Datos!$E$2:$E1003, Datos!$F$2:$F1003=E$1, Datos!$G$2:$G1003=E$2, Datos!$A$2:$A1003=$A75)"),2347.118)</f>
        <v>2347.118</v>
      </c>
      <c r="F75" s="20">
        <f>IFERROR(__xludf.DUMMYFUNCTION("FILTER(Datos!$D$2:$D1003, Datos!$F$2:$F1003=F$1, Datos!$G$2:$G1003=F$2, Datos!$A$2:$A1003=$A75)"),3746.2)</f>
        <v>3746.2</v>
      </c>
      <c r="G75" s="20">
        <f>IFERROR(__xludf.DUMMYFUNCTION("FILTER(Datos!$E$2:$E1003, Datos!$F$2:$F1003=G$1, Datos!$G$2:$G1003=G$2, Datos!$A$2:$A1003=$A75)"),5828.541)</f>
        <v>5828.541</v>
      </c>
      <c r="H75" s="20">
        <f>IFERROR(__xludf.DUMMYFUNCTION("FILTER(Datos!$D$2:$D1003, Datos!$F$2:$F1003=H$1, Datos!$G$2:$G1003=H$2, Datos!$A$2:$A1003=$A75)"),4450.5)</f>
        <v>4450.5</v>
      </c>
      <c r="I75" s="21">
        <f>IFERROR(__xludf.DUMMYFUNCTION("FILTER(Datos!$E$2:$E1003, Datos!$F$2:$F1003=I$1, Datos!$G$2:$G1003=I$2, Datos!$A$2:$A1003=$A75)"),6939.985)</f>
        <v>6939.985</v>
      </c>
      <c r="J75" s="20">
        <f>IFERROR(__xludf.DUMMYFUNCTION("FILTER(Datos!$D$2:$D1003, Datos!$F$2:$F1003=J$1, Datos!$G$2:$G1003=J$2, Datos!$A$2:$A1003=$A75)"),1821.533)</f>
        <v>1821.533</v>
      </c>
      <c r="K75" s="20">
        <f>IFERROR(__xludf.DUMMYFUNCTION("FILTER(Datos!$E$2:$E1003, Datos!$F$2:$F1003=K$1, Datos!$G$2:$G1003=K$2, Datos!$A$2:$A1003=$A75)"),2285.848)</f>
        <v>2285.848</v>
      </c>
      <c r="L75" s="20">
        <f>IFERROR(__xludf.DUMMYFUNCTION("FILTER(Datos!$D$2:$D1003, Datos!$F$2:$F1003=L$1, Datos!$G$2:$G1003=L$2, Datos!$A$2:$A1003=$A75)"),2136.167)</f>
        <v>2136.167</v>
      </c>
      <c r="M75" s="20">
        <f>IFERROR(__xludf.DUMMYFUNCTION("FILTER(Datos!$E$2:$E1003, Datos!$F$2:$F1003=M$1, Datos!$G$2:$G1003=M$2, Datos!$A$2:$A1003=$A75)"),2880.283)</f>
        <v>2880.283</v>
      </c>
      <c r="N75" s="20">
        <f>IFERROR(__xludf.DUMMYFUNCTION("FILTER(Datos!$D$2:$D1003, Datos!$F$2:$F1003=N$1, Datos!$G$2:$G1003=N$2, Datos!$A$2:$A1003=$A75)"),2866.333)</f>
        <v>2866.333</v>
      </c>
      <c r="O75" s="20">
        <f>IFERROR(__xludf.DUMMYFUNCTION("FILTER(Datos!$E$2:$E1003, Datos!$F$2:$F1003=O$1, Datos!$G$2:$G1003=O$2, Datos!$A$2:$A1003=$A75)"),4478.325)</f>
        <v>4478.325</v>
      </c>
      <c r="P75" s="20">
        <f>IFERROR(__xludf.DUMMYFUNCTION("FILTER(Datos!$D$2:$D1003, Datos!$F$2:$F1003=P$1, Datos!$G$2:$G1003=P$2, Datos!$A$2:$A1003=$A75)"),3761.6)</f>
        <v>3761.6</v>
      </c>
      <c r="Q75" s="21">
        <f>IFERROR(__xludf.DUMMYFUNCTION("FILTER(Datos!$E$2:$E1003, Datos!$F$2:$F1003=Q$1, Datos!$G$2:$G1003=Q$2, Datos!$A$2:$A1003=$A75)"),6010.17)</f>
        <v>6010.17</v>
      </c>
    </row>
    <row r="76">
      <c r="A76" s="18">
        <f t="shared" si="2"/>
        <v>71</v>
      </c>
      <c r="B76" s="19">
        <f>IFERROR(__xludf.DUMMYFUNCTION("FILTER(Datos!$D$2:$D1003, Datos!$F$2:$F1003=B$1, Datos!$G$2:$G1003=B$2, Datos!$A$2:$A1003=$A76)"),1909.833)</f>
        <v>1909.833</v>
      </c>
      <c r="C76" s="20">
        <f>IFERROR(__xludf.DUMMYFUNCTION("FILTER(Datos!$E$2:$E1003, Datos!$F$2:$F1003=C$1, Datos!$G$2:$G1003=C$2, Datos!$A$2:$A1003=$A76)"),1993.578)</f>
        <v>1993.578</v>
      </c>
      <c r="D76" s="20">
        <f>IFERROR(__xludf.DUMMYFUNCTION("FILTER(Datos!$D$2:$D1003, Datos!$F$2:$F1003=D$1, Datos!$G$2:$G1003=D$2, Datos!$A$2:$A1003=$A76)"),2164.067)</f>
        <v>2164.067</v>
      </c>
      <c r="E76" s="20">
        <f>IFERROR(__xludf.DUMMYFUNCTION("FILTER(Datos!$E$2:$E1003, Datos!$F$2:$F1003=E$1, Datos!$G$2:$G1003=E$2, Datos!$A$2:$A1003=$A76)"),2342.726)</f>
        <v>2342.726</v>
      </c>
      <c r="F76" s="20">
        <f>IFERROR(__xludf.DUMMYFUNCTION("FILTER(Datos!$D$2:$D1003, Datos!$F$2:$F1003=F$1, Datos!$G$2:$G1003=F$2, Datos!$A$2:$A1003=$A76)"),3740.133)</f>
        <v>3740.133</v>
      </c>
      <c r="G76" s="20">
        <f>IFERROR(__xludf.DUMMYFUNCTION("FILTER(Datos!$E$2:$E1003, Datos!$F$2:$F1003=G$1, Datos!$G$2:$G1003=G$2, Datos!$A$2:$A1003=$A76)"),5777.529)</f>
        <v>5777.529</v>
      </c>
      <c r="H76" s="20">
        <f>IFERROR(__xludf.DUMMYFUNCTION("FILTER(Datos!$D$2:$D1003, Datos!$F$2:$F1003=H$1, Datos!$G$2:$G1003=H$2, Datos!$A$2:$A1003=$A76)"),4441.167)</f>
        <v>4441.167</v>
      </c>
      <c r="I76" s="21">
        <f>IFERROR(__xludf.DUMMYFUNCTION("FILTER(Datos!$E$2:$E1003, Datos!$F$2:$F1003=I$1, Datos!$G$2:$G1003=I$2, Datos!$A$2:$A1003=$A76)"),6922.869)</f>
        <v>6922.869</v>
      </c>
      <c r="J76" s="20">
        <f>IFERROR(__xludf.DUMMYFUNCTION("FILTER(Datos!$D$2:$D1003, Datos!$F$2:$F1003=J$1, Datos!$G$2:$G1003=J$2, Datos!$A$2:$A1003=$A76)"),1821.533)</f>
        <v>1821.533</v>
      </c>
      <c r="K76" s="20">
        <f>IFERROR(__xludf.DUMMYFUNCTION("FILTER(Datos!$E$2:$E1003, Datos!$F$2:$F1003=K$1, Datos!$G$2:$G1003=K$2, Datos!$A$2:$A1003=$A76)"),2285.504)</f>
        <v>2285.504</v>
      </c>
      <c r="L76" s="20">
        <f>IFERROR(__xludf.DUMMYFUNCTION("FILTER(Datos!$D$2:$D1003, Datos!$F$2:$F1003=L$1, Datos!$G$2:$G1003=L$2, Datos!$A$2:$A1003=$A76)"),2136.167)</f>
        <v>2136.167</v>
      </c>
      <c r="M76" s="20">
        <f>IFERROR(__xludf.DUMMYFUNCTION("FILTER(Datos!$E$2:$E1003, Datos!$F$2:$F1003=M$1, Datos!$G$2:$G1003=M$2, Datos!$A$2:$A1003=$A76)"),2868.665)</f>
        <v>2868.665</v>
      </c>
      <c r="N76" s="20">
        <f>IFERROR(__xludf.DUMMYFUNCTION("FILTER(Datos!$D$2:$D1003, Datos!$F$2:$F1003=N$1, Datos!$G$2:$G1003=N$2, Datos!$A$2:$A1003=$A76)"),2852.2)</f>
        <v>2852.2</v>
      </c>
      <c r="O76" s="20">
        <f>IFERROR(__xludf.DUMMYFUNCTION("FILTER(Datos!$E$2:$E1003, Datos!$F$2:$F1003=O$1, Datos!$G$2:$G1003=O$2, Datos!$A$2:$A1003=$A76)"),4415.488)</f>
        <v>4415.488</v>
      </c>
      <c r="P76" s="20">
        <f>IFERROR(__xludf.DUMMYFUNCTION("FILTER(Datos!$D$2:$D1003, Datos!$F$2:$F1003=P$1, Datos!$G$2:$G1003=P$2, Datos!$A$2:$A1003=$A76)"),3740.0)</f>
        <v>3740</v>
      </c>
      <c r="Q76" s="21">
        <f>IFERROR(__xludf.DUMMYFUNCTION("FILTER(Datos!$E$2:$E1003, Datos!$F$2:$F1003=Q$1, Datos!$G$2:$G1003=Q$2, Datos!$A$2:$A1003=$A76)"),6004.411)</f>
        <v>6004.411</v>
      </c>
    </row>
    <row r="77">
      <c r="A77" s="18">
        <f t="shared" si="2"/>
        <v>72</v>
      </c>
      <c r="B77" s="19">
        <f>IFERROR(__xludf.DUMMYFUNCTION("FILTER(Datos!$D$2:$D1003, Datos!$F$2:$F1003=B$1, Datos!$G$2:$G1003=B$2, Datos!$A$2:$A1003=$A77)"),1909.833)</f>
        <v>1909.833</v>
      </c>
      <c r="C77" s="20">
        <f>IFERROR(__xludf.DUMMYFUNCTION("FILTER(Datos!$E$2:$E1003, Datos!$F$2:$F1003=C$1, Datos!$G$2:$G1003=C$2, Datos!$A$2:$A1003=$A77)"),1995.12)</f>
        <v>1995.12</v>
      </c>
      <c r="D77" s="20">
        <f>IFERROR(__xludf.DUMMYFUNCTION("FILTER(Datos!$D$2:$D1003, Datos!$F$2:$F1003=D$1, Datos!$G$2:$G1003=D$2, Datos!$A$2:$A1003=$A77)"),2164.067)</f>
        <v>2164.067</v>
      </c>
      <c r="E77" s="20">
        <f>IFERROR(__xludf.DUMMYFUNCTION("FILTER(Datos!$E$2:$E1003, Datos!$F$2:$F1003=E$1, Datos!$G$2:$G1003=E$2, Datos!$A$2:$A1003=$A77)"),2335.162)</f>
        <v>2335.162</v>
      </c>
      <c r="F77" s="20">
        <f>IFERROR(__xludf.DUMMYFUNCTION("FILTER(Datos!$D$2:$D1003, Datos!$F$2:$F1003=F$1, Datos!$G$2:$G1003=F$2, Datos!$A$2:$A1003=$A77)"),3708.467)</f>
        <v>3708.467</v>
      </c>
      <c r="G77" s="20">
        <f>IFERROR(__xludf.DUMMYFUNCTION("FILTER(Datos!$E$2:$E1003, Datos!$F$2:$F1003=G$1, Datos!$G$2:$G1003=G$2, Datos!$A$2:$A1003=$A77)"),5729.716)</f>
        <v>5729.716</v>
      </c>
      <c r="H77" s="20">
        <f>IFERROR(__xludf.DUMMYFUNCTION("FILTER(Datos!$D$2:$D1003, Datos!$F$2:$F1003=H$1, Datos!$G$2:$G1003=H$2, Datos!$A$2:$A1003=$A77)"),4428.833)</f>
        <v>4428.833</v>
      </c>
      <c r="I77" s="21">
        <f>IFERROR(__xludf.DUMMYFUNCTION("FILTER(Datos!$E$2:$E1003, Datos!$F$2:$F1003=I$1, Datos!$G$2:$G1003=I$2, Datos!$A$2:$A1003=$A77)"),6918.755)</f>
        <v>6918.755</v>
      </c>
      <c r="J77" s="20">
        <f>IFERROR(__xludf.DUMMYFUNCTION("FILTER(Datos!$D$2:$D1003, Datos!$F$2:$F1003=J$1, Datos!$G$2:$G1003=J$2, Datos!$A$2:$A1003=$A77)"),1821.233)</f>
        <v>1821.233</v>
      </c>
      <c r="K77" s="20">
        <f>IFERROR(__xludf.DUMMYFUNCTION("FILTER(Datos!$E$2:$E1003, Datos!$F$2:$F1003=K$1, Datos!$G$2:$G1003=K$2, Datos!$A$2:$A1003=$A77)"),2294.01)</f>
        <v>2294.01</v>
      </c>
      <c r="L77" s="20">
        <f>IFERROR(__xludf.DUMMYFUNCTION("FILTER(Datos!$D$2:$D1003, Datos!$F$2:$F1003=L$1, Datos!$G$2:$G1003=L$2, Datos!$A$2:$A1003=$A77)"),2135.833)</f>
        <v>2135.833</v>
      </c>
      <c r="M77" s="20">
        <f>IFERROR(__xludf.DUMMYFUNCTION("FILTER(Datos!$E$2:$E1003, Datos!$F$2:$F1003=M$1, Datos!$G$2:$G1003=M$2, Datos!$A$2:$A1003=$A77)"),2862.617)</f>
        <v>2862.617</v>
      </c>
      <c r="N77" s="20">
        <f>IFERROR(__xludf.DUMMYFUNCTION("FILTER(Datos!$D$2:$D1003, Datos!$F$2:$F1003=N$1, Datos!$G$2:$G1003=N$2, Datos!$A$2:$A1003=$A77)"),2839.7)</f>
        <v>2839.7</v>
      </c>
      <c r="O77" s="20">
        <f>IFERROR(__xludf.DUMMYFUNCTION("FILTER(Datos!$E$2:$E1003, Datos!$F$2:$F1003=O$1, Datos!$G$2:$G1003=O$2, Datos!$A$2:$A1003=$A77)"),4377.181)</f>
        <v>4377.181</v>
      </c>
      <c r="P77" s="20">
        <f>IFERROR(__xludf.DUMMYFUNCTION("FILTER(Datos!$D$2:$D1003, Datos!$F$2:$F1003=P$1, Datos!$G$2:$G1003=P$2, Datos!$A$2:$A1003=$A77)"),3721.133)</f>
        <v>3721.133</v>
      </c>
      <c r="Q77" s="21">
        <f>IFERROR(__xludf.DUMMYFUNCTION("FILTER(Datos!$E$2:$E1003, Datos!$F$2:$F1003=Q$1, Datos!$G$2:$G1003=Q$2, Datos!$A$2:$A1003=$A77)"),5985.38)</f>
        <v>5985.38</v>
      </c>
    </row>
    <row r="78">
      <c r="A78" s="18">
        <f t="shared" si="2"/>
        <v>73</v>
      </c>
      <c r="B78" s="19">
        <f>IFERROR(__xludf.DUMMYFUNCTION("FILTER(Datos!$D$2:$D1003, Datos!$F$2:$F1003=B$1, Datos!$G$2:$G1003=B$2, Datos!$A$2:$A1003=$A78)"),1909.833)</f>
        <v>1909.833</v>
      </c>
      <c r="C78" s="20">
        <f>IFERROR(__xludf.DUMMYFUNCTION("FILTER(Datos!$E$2:$E1003, Datos!$F$2:$F1003=C$1, Datos!$G$2:$G1003=C$2, Datos!$A$2:$A1003=$A78)"),1990.894)</f>
        <v>1990.894</v>
      </c>
      <c r="D78" s="20">
        <f>IFERROR(__xludf.DUMMYFUNCTION("FILTER(Datos!$D$2:$D1003, Datos!$F$2:$F1003=D$1, Datos!$G$2:$G1003=D$2, Datos!$A$2:$A1003=$A78)"),2164.067)</f>
        <v>2164.067</v>
      </c>
      <c r="E78" s="20">
        <f>IFERROR(__xludf.DUMMYFUNCTION("FILTER(Datos!$E$2:$E1003, Datos!$F$2:$F1003=E$1, Datos!$G$2:$G1003=E$2, Datos!$A$2:$A1003=$A78)"),2331.682)</f>
        <v>2331.682</v>
      </c>
      <c r="F78" s="20">
        <f>IFERROR(__xludf.DUMMYFUNCTION("FILTER(Datos!$D$2:$D1003, Datos!$F$2:$F1003=F$1, Datos!$G$2:$G1003=F$2, Datos!$A$2:$A1003=$A78)"),3702.933)</f>
        <v>3702.933</v>
      </c>
      <c r="G78" s="20">
        <f>IFERROR(__xludf.DUMMYFUNCTION("FILTER(Datos!$E$2:$E1003, Datos!$F$2:$F1003=G$1, Datos!$G$2:$G1003=G$2, Datos!$A$2:$A1003=$A78)"),5686.215)</f>
        <v>5686.215</v>
      </c>
      <c r="H78" s="20">
        <f>IFERROR(__xludf.DUMMYFUNCTION("FILTER(Datos!$D$2:$D1003, Datos!$F$2:$F1003=H$1, Datos!$G$2:$G1003=H$2, Datos!$A$2:$A1003=$A78)"),4428.833)</f>
        <v>4428.833</v>
      </c>
      <c r="I78" s="21">
        <f>IFERROR(__xludf.DUMMYFUNCTION("FILTER(Datos!$E$2:$E1003, Datos!$F$2:$F1003=I$1, Datos!$G$2:$G1003=I$2, Datos!$A$2:$A1003=$A78)"),6915.912)</f>
        <v>6915.912</v>
      </c>
      <c r="J78" s="20">
        <f>IFERROR(__xludf.DUMMYFUNCTION("FILTER(Datos!$D$2:$D1003, Datos!$F$2:$F1003=J$1, Datos!$G$2:$G1003=J$2, Datos!$A$2:$A1003=$A78)"),1821.233)</f>
        <v>1821.233</v>
      </c>
      <c r="K78" s="20">
        <f>IFERROR(__xludf.DUMMYFUNCTION("FILTER(Datos!$E$2:$E1003, Datos!$F$2:$F1003=K$1, Datos!$G$2:$G1003=K$2, Datos!$A$2:$A1003=$A78)"),2297.487)</f>
        <v>2297.487</v>
      </c>
      <c r="L78" s="20">
        <f>IFERROR(__xludf.DUMMYFUNCTION("FILTER(Datos!$D$2:$D1003, Datos!$F$2:$F1003=L$1, Datos!$G$2:$G1003=L$2, Datos!$A$2:$A1003=$A78)"),2135.833)</f>
        <v>2135.833</v>
      </c>
      <c r="M78" s="20">
        <f>IFERROR(__xludf.DUMMYFUNCTION("FILTER(Datos!$E$2:$E1003, Datos!$F$2:$F1003=M$1, Datos!$G$2:$G1003=M$2, Datos!$A$2:$A1003=$A78)"),2863.605)</f>
        <v>2863.605</v>
      </c>
      <c r="N78" s="20">
        <f>IFERROR(__xludf.DUMMYFUNCTION("FILTER(Datos!$D$2:$D1003, Datos!$F$2:$F1003=N$1, Datos!$G$2:$G1003=N$2, Datos!$A$2:$A1003=$A78)"),2823.8)</f>
        <v>2823.8</v>
      </c>
      <c r="O78" s="20">
        <f>IFERROR(__xludf.DUMMYFUNCTION("FILTER(Datos!$E$2:$E1003, Datos!$F$2:$F1003=O$1, Datos!$G$2:$G1003=O$2, Datos!$A$2:$A1003=$A78)"),4341.722)</f>
        <v>4341.722</v>
      </c>
      <c r="P78" s="20">
        <f>IFERROR(__xludf.DUMMYFUNCTION("FILTER(Datos!$D$2:$D1003, Datos!$F$2:$F1003=P$1, Datos!$G$2:$G1003=P$2, Datos!$A$2:$A1003=$A78)"),3708.667)</f>
        <v>3708.667</v>
      </c>
      <c r="Q78" s="21">
        <f>IFERROR(__xludf.DUMMYFUNCTION("FILTER(Datos!$E$2:$E1003, Datos!$F$2:$F1003=Q$1, Datos!$G$2:$G1003=Q$2, Datos!$A$2:$A1003=$A78)"),5955.475)</f>
        <v>5955.475</v>
      </c>
    </row>
    <row r="79">
      <c r="A79" s="18">
        <f t="shared" si="2"/>
        <v>74</v>
      </c>
      <c r="B79" s="19">
        <f>IFERROR(__xludf.DUMMYFUNCTION("FILTER(Datos!$D$2:$D1003, Datos!$F$2:$F1003=B$1, Datos!$G$2:$G1003=B$2, Datos!$A$2:$A1003=$A79)"),1909.833)</f>
        <v>1909.833</v>
      </c>
      <c r="C79" s="20">
        <f>IFERROR(__xludf.DUMMYFUNCTION("FILTER(Datos!$E$2:$E1003, Datos!$F$2:$F1003=C$1, Datos!$G$2:$G1003=C$2, Datos!$A$2:$A1003=$A79)"),1988.84)</f>
        <v>1988.84</v>
      </c>
      <c r="D79" s="20">
        <f>IFERROR(__xludf.DUMMYFUNCTION("FILTER(Datos!$D$2:$D1003, Datos!$F$2:$F1003=D$1, Datos!$G$2:$G1003=D$2, Datos!$A$2:$A1003=$A79)"),2164.067)</f>
        <v>2164.067</v>
      </c>
      <c r="E79" s="20">
        <f>IFERROR(__xludf.DUMMYFUNCTION("FILTER(Datos!$E$2:$E1003, Datos!$F$2:$F1003=E$1, Datos!$G$2:$G1003=E$2, Datos!$A$2:$A1003=$A79)"),2327.102)</f>
        <v>2327.102</v>
      </c>
      <c r="F79" s="20">
        <f>IFERROR(__xludf.DUMMYFUNCTION("FILTER(Datos!$D$2:$D1003, Datos!$F$2:$F1003=F$1, Datos!$G$2:$G1003=F$2, Datos!$A$2:$A1003=$A79)"),3682.133)</f>
        <v>3682.133</v>
      </c>
      <c r="G79" s="20">
        <f>IFERROR(__xludf.DUMMYFUNCTION("FILTER(Datos!$E$2:$E1003, Datos!$F$2:$F1003=G$1, Datos!$G$2:$G1003=G$2, Datos!$A$2:$A1003=$A79)"),5639.635)</f>
        <v>5639.635</v>
      </c>
      <c r="H79" s="20">
        <f>IFERROR(__xludf.DUMMYFUNCTION("FILTER(Datos!$D$2:$D1003, Datos!$F$2:$F1003=H$1, Datos!$G$2:$G1003=H$2, Datos!$A$2:$A1003=$A79)"),4428.833)</f>
        <v>4428.833</v>
      </c>
      <c r="I79" s="21">
        <f>IFERROR(__xludf.DUMMYFUNCTION("FILTER(Datos!$E$2:$E1003, Datos!$F$2:$F1003=I$1, Datos!$G$2:$G1003=I$2, Datos!$A$2:$A1003=$A79)"),6906.41)</f>
        <v>6906.41</v>
      </c>
      <c r="J79" s="20">
        <f>IFERROR(__xludf.DUMMYFUNCTION("FILTER(Datos!$D$2:$D1003, Datos!$F$2:$F1003=J$1, Datos!$G$2:$G1003=J$2, Datos!$A$2:$A1003=$A79)"),1821.233)</f>
        <v>1821.233</v>
      </c>
      <c r="K79" s="20">
        <f>IFERROR(__xludf.DUMMYFUNCTION("FILTER(Datos!$E$2:$E1003, Datos!$F$2:$F1003=K$1, Datos!$G$2:$G1003=K$2, Datos!$A$2:$A1003=$A79)"),2294.607)</f>
        <v>2294.607</v>
      </c>
      <c r="L79" s="20">
        <f>IFERROR(__xludf.DUMMYFUNCTION("FILTER(Datos!$D$2:$D1003, Datos!$F$2:$F1003=L$1, Datos!$G$2:$G1003=L$2, Datos!$A$2:$A1003=$A79)"),2133.6)</f>
        <v>2133.6</v>
      </c>
      <c r="M79" s="20">
        <f>IFERROR(__xludf.DUMMYFUNCTION("FILTER(Datos!$E$2:$E1003, Datos!$F$2:$F1003=M$1, Datos!$G$2:$G1003=M$2, Datos!$A$2:$A1003=$A79)"),2864.197)</f>
        <v>2864.197</v>
      </c>
      <c r="N79" s="20">
        <f>IFERROR(__xludf.DUMMYFUNCTION("FILTER(Datos!$D$2:$D1003, Datos!$F$2:$F1003=N$1, Datos!$G$2:$G1003=N$2, Datos!$A$2:$A1003=$A79)"),2813.633)</f>
        <v>2813.633</v>
      </c>
      <c r="O79" s="20">
        <f>IFERROR(__xludf.DUMMYFUNCTION("FILTER(Datos!$E$2:$E1003, Datos!$F$2:$F1003=O$1, Datos!$G$2:$G1003=O$2, Datos!$A$2:$A1003=$A79)"),4326.25)</f>
        <v>4326.25</v>
      </c>
      <c r="P79" s="20">
        <f>IFERROR(__xludf.DUMMYFUNCTION("FILTER(Datos!$D$2:$D1003, Datos!$F$2:$F1003=P$1, Datos!$G$2:$G1003=P$2, Datos!$A$2:$A1003=$A79)"),3689.0)</f>
        <v>3689</v>
      </c>
      <c r="Q79" s="21">
        <f>IFERROR(__xludf.DUMMYFUNCTION("FILTER(Datos!$E$2:$E1003, Datos!$F$2:$F1003=Q$1, Datos!$G$2:$G1003=Q$2, Datos!$A$2:$A1003=$A79)"),5944.536)</f>
        <v>5944.536</v>
      </c>
    </row>
    <row r="80">
      <c r="A80" s="18">
        <f t="shared" si="2"/>
        <v>75</v>
      </c>
      <c r="B80" s="19">
        <f>IFERROR(__xludf.DUMMYFUNCTION("FILTER(Datos!$D$2:$D1003, Datos!$F$2:$F1003=B$1, Datos!$G$2:$G1003=B$2, Datos!$A$2:$A1003=$A80)"),1909.833)</f>
        <v>1909.833</v>
      </c>
      <c r="C80" s="20">
        <f>IFERROR(__xludf.DUMMYFUNCTION("FILTER(Datos!$E$2:$E1003, Datos!$F$2:$F1003=C$1, Datos!$G$2:$G1003=C$2, Datos!$A$2:$A1003=$A80)"),1992.915)</f>
        <v>1992.915</v>
      </c>
      <c r="D80" s="20">
        <f>IFERROR(__xludf.DUMMYFUNCTION("FILTER(Datos!$D$2:$D1003, Datos!$F$2:$F1003=D$1, Datos!$G$2:$G1003=D$2, Datos!$A$2:$A1003=$A80)"),2164.067)</f>
        <v>2164.067</v>
      </c>
      <c r="E80" s="20">
        <f>IFERROR(__xludf.DUMMYFUNCTION("FILTER(Datos!$E$2:$E1003, Datos!$F$2:$F1003=E$1, Datos!$G$2:$G1003=E$2, Datos!$A$2:$A1003=$A80)"),2317.86)</f>
        <v>2317.86</v>
      </c>
      <c r="F80" s="20">
        <f>IFERROR(__xludf.DUMMYFUNCTION("FILTER(Datos!$D$2:$D1003, Datos!$F$2:$F1003=F$1, Datos!$G$2:$G1003=F$2, Datos!$A$2:$A1003=$A80)"),3663.9)</f>
        <v>3663.9</v>
      </c>
      <c r="G80" s="20">
        <f>IFERROR(__xludf.DUMMYFUNCTION("FILTER(Datos!$E$2:$E1003, Datos!$F$2:$F1003=G$1, Datos!$G$2:$G1003=G$2, Datos!$A$2:$A1003=$A80)"),5587.077)</f>
        <v>5587.077</v>
      </c>
      <c r="H80" s="20">
        <f>IFERROR(__xludf.DUMMYFUNCTION("FILTER(Datos!$D$2:$D1003, Datos!$F$2:$F1003=H$1, Datos!$G$2:$G1003=H$2, Datos!$A$2:$A1003=$A80)"),4413.433)</f>
        <v>4413.433</v>
      </c>
      <c r="I80" s="21">
        <f>IFERROR(__xludf.DUMMYFUNCTION("FILTER(Datos!$E$2:$E1003, Datos!$F$2:$F1003=I$1, Datos!$G$2:$G1003=I$2, Datos!$A$2:$A1003=$A80)"),6875.413)</f>
        <v>6875.413</v>
      </c>
      <c r="J80" s="20">
        <f>IFERROR(__xludf.DUMMYFUNCTION("FILTER(Datos!$D$2:$D1003, Datos!$F$2:$F1003=J$1, Datos!$G$2:$G1003=J$2, Datos!$A$2:$A1003=$A80)"),1821.233)</f>
        <v>1821.233</v>
      </c>
      <c r="K80" s="20">
        <f>IFERROR(__xludf.DUMMYFUNCTION("FILTER(Datos!$E$2:$E1003, Datos!$F$2:$F1003=K$1, Datos!$G$2:$G1003=K$2, Datos!$A$2:$A1003=$A80)"),2288.913)</f>
        <v>2288.913</v>
      </c>
      <c r="L80" s="20">
        <f>IFERROR(__xludf.DUMMYFUNCTION("FILTER(Datos!$D$2:$D1003, Datos!$F$2:$F1003=L$1, Datos!$G$2:$G1003=L$2, Datos!$A$2:$A1003=$A80)"),2133.6)</f>
        <v>2133.6</v>
      </c>
      <c r="M80" s="20">
        <f>IFERROR(__xludf.DUMMYFUNCTION("FILTER(Datos!$E$2:$E1003, Datos!$F$2:$F1003=M$1, Datos!$G$2:$G1003=M$2, Datos!$A$2:$A1003=$A80)"),2865.172)</f>
        <v>2865.172</v>
      </c>
      <c r="N80" s="20">
        <f>IFERROR(__xludf.DUMMYFUNCTION("FILTER(Datos!$D$2:$D1003, Datos!$F$2:$F1003=N$1, Datos!$G$2:$G1003=N$2, Datos!$A$2:$A1003=$A80)"),2800.967)</f>
        <v>2800.967</v>
      </c>
      <c r="O80" s="20">
        <f>IFERROR(__xludf.DUMMYFUNCTION("FILTER(Datos!$E$2:$E1003, Datos!$F$2:$F1003=O$1, Datos!$G$2:$G1003=O$2, Datos!$A$2:$A1003=$A80)"),4289.692)</f>
        <v>4289.692</v>
      </c>
      <c r="P80" s="20">
        <f>IFERROR(__xludf.DUMMYFUNCTION("FILTER(Datos!$D$2:$D1003, Datos!$F$2:$F1003=P$1, Datos!$G$2:$G1003=P$2, Datos!$A$2:$A1003=$A80)"),3684.867)</f>
        <v>3684.867</v>
      </c>
      <c r="Q80" s="21">
        <f>IFERROR(__xludf.DUMMYFUNCTION("FILTER(Datos!$E$2:$E1003, Datos!$F$2:$F1003=Q$1, Datos!$G$2:$G1003=Q$2, Datos!$A$2:$A1003=$A80)"),5909.401)</f>
        <v>5909.401</v>
      </c>
    </row>
    <row r="81">
      <c r="A81" s="18">
        <f t="shared" si="2"/>
        <v>76</v>
      </c>
      <c r="B81" s="19">
        <f>IFERROR(__xludf.DUMMYFUNCTION("FILTER(Datos!$D$2:$D1003, Datos!$F$2:$F1003=B$1, Datos!$G$2:$G1003=B$2, Datos!$A$2:$A1003=$A81)"),1909.833)</f>
        <v>1909.833</v>
      </c>
      <c r="C81" s="20">
        <f>IFERROR(__xludf.DUMMYFUNCTION("FILTER(Datos!$E$2:$E1003, Datos!$F$2:$F1003=C$1, Datos!$G$2:$G1003=C$2, Datos!$A$2:$A1003=$A81)"),1994.746)</f>
        <v>1994.746</v>
      </c>
      <c r="D81" s="20">
        <f>IFERROR(__xludf.DUMMYFUNCTION("FILTER(Datos!$D$2:$D1003, Datos!$F$2:$F1003=D$1, Datos!$G$2:$G1003=D$2, Datos!$A$2:$A1003=$A81)"),2163.767)</f>
        <v>2163.767</v>
      </c>
      <c r="E81" s="20">
        <f>IFERROR(__xludf.DUMMYFUNCTION("FILTER(Datos!$E$2:$E1003, Datos!$F$2:$F1003=E$1, Datos!$G$2:$G1003=E$2, Datos!$A$2:$A1003=$A81)"),2321.121)</f>
        <v>2321.121</v>
      </c>
      <c r="F81" s="20">
        <f>IFERROR(__xludf.DUMMYFUNCTION("FILTER(Datos!$D$2:$D1003, Datos!$F$2:$F1003=F$1, Datos!$G$2:$G1003=F$2, Datos!$A$2:$A1003=$A81)"),3652.867)</f>
        <v>3652.867</v>
      </c>
      <c r="G81" s="20">
        <f>IFERROR(__xludf.DUMMYFUNCTION("FILTER(Datos!$E$2:$E1003, Datos!$F$2:$F1003=G$1, Datos!$G$2:$G1003=G$2, Datos!$A$2:$A1003=$A81)"),5537.999)</f>
        <v>5537.999</v>
      </c>
      <c r="H81" s="20">
        <f>IFERROR(__xludf.DUMMYFUNCTION("FILTER(Datos!$D$2:$D1003, Datos!$F$2:$F1003=H$1, Datos!$G$2:$G1003=H$2, Datos!$A$2:$A1003=$A81)"),4411.4)</f>
        <v>4411.4</v>
      </c>
      <c r="I81" s="21">
        <f>IFERROR(__xludf.DUMMYFUNCTION("FILTER(Datos!$E$2:$E1003, Datos!$F$2:$F1003=I$1, Datos!$G$2:$G1003=I$2, Datos!$A$2:$A1003=$A81)"),6859.978)</f>
        <v>6859.978</v>
      </c>
      <c r="J81" s="20">
        <f>IFERROR(__xludf.DUMMYFUNCTION("FILTER(Datos!$D$2:$D1003, Datos!$F$2:$F1003=J$1, Datos!$G$2:$G1003=J$2, Datos!$A$2:$A1003=$A81)"),1821.233)</f>
        <v>1821.233</v>
      </c>
      <c r="K81" s="20">
        <f>IFERROR(__xludf.DUMMYFUNCTION("FILTER(Datos!$E$2:$E1003, Datos!$F$2:$F1003=K$1, Datos!$G$2:$G1003=K$2, Datos!$A$2:$A1003=$A81)"),2294.202)</f>
        <v>2294.202</v>
      </c>
      <c r="L81" s="20">
        <f>IFERROR(__xludf.DUMMYFUNCTION("FILTER(Datos!$D$2:$D1003, Datos!$F$2:$F1003=L$1, Datos!$G$2:$G1003=L$2, Datos!$A$2:$A1003=$A81)"),2133.6)</f>
        <v>2133.6</v>
      </c>
      <c r="M81" s="20">
        <f>IFERROR(__xludf.DUMMYFUNCTION("FILTER(Datos!$E$2:$E1003, Datos!$F$2:$F1003=M$1, Datos!$G$2:$G1003=M$2, Datos!$A$2:$A1003=$A81)"),2853.279)</f>
        <v>2853.279</v>
      </c>
      <c r="N81" s="20">
        <f>IFERROR(__xludf.DUMMYFUNCTION("FILTER(Datos!$D$2:$D1003, Datos!$F$2:$F1003=N$1, Datos!$G$2:$G1003=N$2, Datos!$A$2:$A1003=$A81)"),2791.3)</f>
        <v>2791.3</v>
      </c>
      <c r="O81" s="20">
        <f>IFERROR(__xludf.DUMMYFUNCTION("FILTER(Datos!$E$2:$E1003, Datos!$F$2:$F1003=O$1, Datos!$G$2:$G1003=O$2, Datos!$A$2:$A1003=$A81)"),4271.672)</f>
        <v>4271.672</v>
      </c>
      <c r="P81" s="20">
        <f>IFERROR(__xludf.DUMMYFUNCTION("FILTER(Datos!$D$2:$D1003, Datos!$F$2:$F1003=P$1, Datos!$G$2:$G1003=P$2, Datos!$A$2:$A1003=$A81)"),3665.933)</f>
        <v>3665.933</v>
      </c>
      <c r="Q81" s="21">
        <f>IFERROR(__xludf.DUMMYFUNCTION("FILTER(Datos!$E$2:$E1003, Datos!$F$2:$F1003=Q$1, Datos!$G$2:$G1003=Q$2, Datos!$A$2:$A1003=$A81)"),5878.287)</f>
        <v>5878.287</v>
      </c>
    </row>
    <row r="82">
      <c r="A82" s="18">
        <f t="shared" si="2"/>
        <v>77</v>
      </c>
      <c r="B82" s="19">
        <f>IFERROR(__xludf.DUMMYFUNCTION("FILTER(Datos!$D$2:$D1003, Datos!$F$2:$F1003=B$1, Datos!$G$2:$G1003=B$2, Datos!$A$2:$A1003=$A82)"),1909.833)</f>
        <v>1909.833</v>
      </c>
      <c r="C82" s="20">
        <f>IFERROR(__xludf.DUMMYFUNCTION("FILTER(Datos!$E$2:$E1003, Datos!$F$2:$F1003=C$1, Datos!$G$2:$G1003=C$2, Datos!$A$2:$A1003=$A82)"),1988.276)</f>
        <v>1988.276</v>
      </c>
      <c r="D82" s="20">
        <f>IFERROR(__xludf.DUMMYFUNCTION("FILTER(Datos!$D$2:$D1003, Datos!$F$2:$F1003=D$1, Datos!$G$2:$G1003=D$2, Datos!$A$2:$A1003=$A82)"),2163.767)</f>
        <v>2163.767</v>
      </c>
      <c r="E82" s="20">
        <f>IFERROR(__xludf.DUMMYFUNCTION("FILTER(Datos!$E$2:$E1003, Datos!$F$2:$F1003=E$1, Datos!$G$2:$G1003=E$2, Datos!$A$2:$A1003=$A82)"),2318.295)</f>
        <v>2318.295</v>
      </c>
      <c r="F82" s="20">
        <f>IFERROR(__xludf.DUMMYFUNCTION("FILTER(Datos!$D$2:$D1003, Datos!$F$2:$F1003=F$1, Datos!$G$2:$G1003=F$2, Datos!$A$2:$A1003=$A82)"),3644.533)</f>
        <v>3644.533</v>
      </c>
      <c r="G82" s="20">
        <f>IFERROR(__xludf.DUMMYFUNCTION("FILTER(Datos!$E$2:$E1003, Datos!$F$2:$F1003=G$1, Datos!$G$2:$G1003=G$2, Datos!$A$2:$A1003=$A82)"),5505.577)</f>
        <v>5505.577</v>
      </c>
      <c r="H82" s="20">
        <f>IFERROR(__xludf.DUMMYFUNCTION("FILTER(Datos!$D$2:$D1003, Datos!$F$2:$F1003=H$1, Datos!$G$2:$G1003=H$2, Datos!$A$2:$A1003=$A82)"),4400.433)</f>
        <v>4400.433</v>
      </c>
      <c r="I82" s="21">
        <f>IFERROR(__xludf.DUMMYFUNCTION("FILTER(Datos!$E$2:$E1003, Datos!$F$2:$F1003=I$1, Datos!$G$2:$G1003=I$2, Datos!$A$2:$A1003=$A82)"),6850.467)</f>
        <v>6850.467</v>
      </c>
      <c r="J82" s="20">
        <f>IFERROR(__xludf.DUMMYFUNCTION("FILTER(Datos!$D$2:$D1003, Datos!$F$2:$F1003=J$1, Datos!$G$2:$G1003=J$2, Datos!$A$2:$A1003=$A82)"),1821.233)</f>
        <v>1821.233</v>
      </c>
      <c r="K82" s="20">
        <f>IFERROR(__xludf.DUMMYFUNCTION("FILTER(Datos!$E$2:$E1003, Datos!$F$2:$F1003=K$1, Datos!$G$2:$G1003=K$2, Datos!$A$2:$A1003=$A82)"),2297.765)</f>
        <v>2297.765</v>
      </c>
      <c r="L82" s="20">
        <f>IFERROR(__xludf.DUMMYFUNCTION("FILTER(Datos!$D$2:$D1003, Datos!$F$2:$F1003=L$1, Datos!$G$2:$G1003=L$2, Datos!$A$2:$A1003=$A82)"),2133.6)</f>
        <v>2133.6</v>
      </c>
      <c r="M82" s="20">
        <f>IFERROR(__xludf.DUMMYFUNCTION("FILTER(Datos!$E$2:$E1003, Datos!$F$2:$F1003=M$1, Datos!$G$2:$G1003=M$2, Datos!$A$2:$A1003=$A82)"),2849.37)</f>
        <v>2849.37</v>
      </c>
      <c r="N82" s="20">
        <f>IFERROR(__xludf.DUMMYFUNCTION("FILTER(Datos!$D$2:$D1003, Datos!$F$2:$F1003=N$1, Datos!$G$2:$G1003=N$2, Datos!$A$2:$A1003=$A82)"),2763.6)</f>
        <v>2763.6</v>
      </c>
      <c r="O82" s="20">
        <f>IFERROR(__xludf.DUMMYFUNCTION("FILTER(Datos!$E$2:$E1003, Datos!$F$2:$F1003=O$1, Datos!$G$2:$G1003=O$2, Datos!$A$2:$A1003=$A82)"),4249.159)</f>
        <v>4249.159</v>
      </c>
      <c r="P82" s="20">
        <f>IFERROR(__xludf.DUMMYFUNCTION("FILTER(Datos!$D$2:$D1003, Datos!$F$2:$F1003=P$1, Datos!$G$2:$G1003=P$2, Datos!$A$2:$A1003=$A82)"),3649.4)</f>
        <v>3649.4</v>
      </c>
      <c r="Q82" s="21">
        <f>IFERROR(__xludf.DUMMYFUNCTION("FILTER(Datos!$E$2:$E1003, Datos!$F$2:$F1003=Q$1, Datos!$G$2:$G1003=Q$2, Datos!$A$2:$A1003=$A82)"),5861.238)</f>
        <v>5861.238</v>
      </c>
    </row>
    <row r="83">
      <c r="A83" s="18">
        <f t="shared" si="2"/>
        <v>78</v>
      </c>
      <c r="B83" s="19">
        <f>IFERROR(__xludf.DUMMYFUNCTION("FILTER(Datos!$D$2:$D1003, Datos!$F$2:$F1003=B$1, Datos!$G$2:$G1003=B$2, Datos!$A$2:$A1003=$A83)"),1909.833)</f>
        <v>1909.833</v>
      </c>
      <c r="C83" s="20">
        <f>IFERROR(__xludf.DUMMYFUNCTION("FILTER(Datos!$E$2:$E1003, Datos!$F$2:$F1003=C$1, Datos!$G$2:$G1003=C$2, Datos!$A$2:$A1003=$A83)"),1993.358)</f>
        <v>1993.358</v>
      </c>
      <c r="D83" s="20">
        <f>IFERROR(__xludf.DUMMYFUNCTION("FILTER(Datos!$D$2:$D1003, Datos!$F$2:$F1003=D$1, Datos!$G$2:$G1003=D$2, Datos!$A$2:$A1003=$A83)"),2163.767)</f>
        <v>2163.767</v>
      </c>
      <c r="E83" s="20">
        <f>IFERROR(__xludf.DUMMYFUNCTION("FILTER(Datos!$E$2:$E1003, Datos!$F$2:$F1003=E$1, Datos!$G$2:$G1003=E$2, Datos!$A$2:$A1003=$A83)"),2313.437)</f>
        <v>2313.437</v>
      </c>
      <c r="F83" s="20">
        <f>IFERROR(__xludf.DUMMYFUNCTION("FILTER(Datos!$D$2:$D1003, Datos!$F$2:$F1003=F$1, Datos!$G$2:$G1003=F$2, Datos!$A$2:$A1003=$A83)"),3609.0)</f>
        <v>3609</v>
      </c>
      <c r="G83" s="20">
        <f>IFERROR(__xludf.DUMMYFUNCTION("FILTER(Datos!$E$2:$E1003, Datos!$F$2:$F1003=G$1, Datos!$G$2:$G1003=G$2, Datos!$A$2:$A1003=$A83)"),5457.997)</f>
        <v>5457.997</v>
      </c>
      <c r="H83" s="20">
        <f>IFERROR(__xludf.DUMMYFUNCTION("FILTER(Datos!$D$2:$D1003, Datos!$F$2:$F1003=H$1, Datos!$G$2:$G1003=H$2, Datos!$A$2:$A1003=$A83)"),4367.5)</f>
        <v>4367.5</v>
      </c>
      <c r="I83" s="21">
        <f>IFERROR(__xludf.DUMMYFUNCTION("FILTER(Datos!$E$2:$E1003, Datos!$F$2:$F1003=I$1, Datos!$G$2:$G1003=I$2, Datos!$A$2:$A1003=$A83)"),6841.683)</f>
        <v>6841.683</v>
      </c>
      <c r="J83" s="20">
        <f>IFERROR(__xludf.DUMMYFUNCTION("FILTER(Datos!$D$2:$D1003, Datos!$F$2:$F1003=J$1, Datos!$G$2:$G1003=J$2, Datos!$A$2:$A1003=$A83)"),1821.233)</f>
        <v>1821.233</v>
      </c>
      <c r="K83" s="20">
        <f>IFERROR(__xludf.DUMMYFUNCTION("FILTER(Datos!$E$2:$E1003, Datos!$F$2:$F1003=K$1, Datos!$G$2:$G1003=K$2, Datos!$A$2:$A1003=$A83)"),2290.861)</f>
        <v>2290.861</v>
      </c>
      <c r="L83" s="20">
        <f>IFERROR(__xludf.DUMMYFUNCTION("FILTER(Datos!$D$2:$D1003, Datos!$F$2:$F1003=L$1, Datos!$G$2:$G1003=L$2, Datos!$A$2:$A1003=$A83)"),2133.067)</f>
        <v>2133.067</v>
      </c>
      <c r="M83" s="20">
        <f>IFERROR(__xludf.DUMMYFUNCTION("FILTER(Datos!$E$2:$E1003, Datos!$F$2:$F1003=M$1, Datos!$G$2:$G1003=M$2, Datos!$A$2:$A1003=$A83)"),2851.995)</f>
        <v>2851.995</v>
      </c>
      <c r="N83" s="20">
        <f>IFERROR(__xludf.DUMMYFUNCTION("FILTER(Datos!$D$2:$D1003, Datos!$F$2:$F1003=N$1, Datos!$G$2:$G1003=N$2, Datos!$A$2:$A1003=$A83)"),2754.2)</f>
        <v>2754.2</v>
      </c>
      <c r="O83" s="20">
        <f>IFERROR(__xludf.DUMMYFUNCTION("FILTER(Datos!$E$2:$E1003, Datos!$F$2:$F1003=O$1, Datos!$G$2:$G1003=O$2, Datos!$A$2:$A1003=$A83)"),4238.424)</f>
        <v>4238.424</v>
      </c>
      <c r="P83" s="20">
        <f>IFERROR(__xludf.DUMMYFUNCTION("FILTER(Datos!$D$2:$D1003, Datos!$F$2:$F1003=P$1, Datos!$G$2:$G1003=P$2, Datos!$A$2:$A1003=$A83)"),3635.333)</f>
        <v>3635.333</v>
      </c>
      <c r="Q83" s="21">
        <f>IFERROR(__xludf.DUMMYFUNCTION("FILTER(Datos!$E$2:$E1003, Datos!$F$2:$F1003=Q$1, Datos!$G$2:$G1003=Q$2, Datos!$A$2:$A1003=$A83)"),5839.581)</f>
        <v>5839.581</v>
      </c>
    </row>
    <row r="84">
      <c r="A84" s="18">
        <f t="shared" si="2"/>
        <v>79</v>
      </c>
      <c r="B84" s="19">
        <f>IFERROR(__xludf.DUMMYFUNCTION("FILTER(Datos!$D$2:$D1003, Datos!$F$2:$F1003=B$1, Datos!$G$2:$G1003=B$2, Datos!$A$2:$A1003=$A84)"),1909.833)</f>
        <v>1909.833</v>
      </c>
      <c r="C84" s="20">
        <f>IFERROR(__xludf.DUMMYFUNCTION("FILTER(Datos!$E$2:$E1003, Datos!$F$2:$F1003=C$1, Datos!$G$2:$G1003=C$2, Datos!$A$2:$A1003=$A84)"),1990.608)</f>
        <v>1990.608</v>
      </c>
      <c r="D84" s="20">
        <f>IFERROR(__xludf.DUMMYFUNCTION("FILTER(Datos!$D$2:$D1003, Datos!$F$2:$F1003=D$1, Datos!$G$2:$G1003=D$2, Datos!$A$2:$A1003=$A84)"),2163.667)</f>
        <v>2163.667</v>
      </c>
      <c r="E84" s="20">
        <f>IFERROR(__xludf.DUMMYFUNCTION("FILTER(Datos!$E$2:$E1003, Datos!$F$2:$F1003=E$1, Datos!$G$2:$G1003=E$2, Datos!$A$2:$A1003=$A84)"),2304.617)</f>
        <v>2304.617</v>
      </c>
      <c r="F84" s="20">
        <f>IFERROR(__xludf.DUMMYFUNCTION("FILTER(Datos!$D$2:$D1003, Datos!$F$2:$F1003=F$1, Datos!$G$2:$G1003=F$2, Datos!$A$2:$A1003=$A84)"),3596.467)</f>
        <v>3596.467</v>
      </c>
      <c r="G84" s="20">
        <f>IFERROR(__xludf.DUMMYFUNCTION("FILTER(Datos!$E$2:$E1003, Datos!$F$2:$F1003=G$1, Datos!$G$2:$G1003=G$2, Datos!$A$2:$A1003=$A84)"),5406.371)</f>
        <v>5406.371</v>
      </c>
      <c r="H84" s="20">
        <f>IFERROR(__xludf.DUMMYFUNCTION("FILTER(Datos!$D$2:$D1003, Datos!$F$2:$F1003=H$1, Datos!$G$2:$G1003=H$2, Datos!$A$2:$A1003=$A84)"),4362.067)</f>
        <v>4362.067</v>
      </c>
      <c r="I84" s="21">
        <f>IFERROR(__xludf.DUMMYFUNCTION("FILTER(Datos!$E$2:$E1003, Datos!$F$2:$F1003=I$1, Datos!$G$2:$G1003=I$2, Datos!$A$2:$A1003=$A84)"),6813.039)</f>
        <v>6813.039</v>
      </c>
      <c r="J84" s="20">
        <f>IFERROR(__xludf.DUMMYFUNCTION("FILTER(Datos!$D$2:$D1003, Datos!$F$2:$F1003=J$1, Datos!$G$2:$G1003=J$2, Datos!$A$2:$A1003=$A84)"),1821.233)</f>
        <v>1821.233</v>
      </c>
      <c r="K84" s="20">
        <f>IFERROR(__xludf.DUMMYFUNCTION("FILTER(Datos!$E$2:$E1003, Datos!$F$2:$F1003=K$1, Datos!$G$2:$G1003=K$2, Datos!$A$2:$A1003=$A84)"),2293.253)</f>
        <v>2293.253</v>
      </c>
      <c r="L84" s="20">
        <f>IFERROR(__xludf.DUMMYFUNCTION("FILTER(Datos!$D$2:$D1003, Datos!$F$2:$F1003=L$1, Datos!$G$2:$G1003=L$2, Datos!$A$2:$A1003=$A84)"),2133.067)</f>
        <v>2133.067</v>
      </c>
      <c r="M84" s="20">
        <f>IFERROR(__xludf.DUMMYFUNCTION("FILTER(Datos!$E$2:$E1003, Datos!$F$2:$F1003=M$1, Datos!$G$2:$G1003=M$2, Datos!$A$2:$A1003=$A84)"),2847.953)</f>
        <v>2847.953</v>
      </c>
      <c r="N84" s="20">
        <f>IFERROR(__xludf.DUMMYFUNCTION("FILTER(Datos!$D$2:$D1003, Datos!$F$2:$F1003=N$1, Datos!$G$2:$G1003=N$2, Datos!$A$2:$A1003=$A84)"),2727.367)</f>
        <v>2727.367</v>
      </c>
      <c r="O84" s="20">
        <f>IFERROR(__xludf.DUMMYFUNCTION("FILTER(Datos!$E$2:$E1003, Datos!$F$2:$F1003=O$1, Datos!$G$2:$G1003=O$2, Datos!$A$2:$A1003=$A84)"),4214.325)</f>
        <v>4214.325</v>
      </c>
      <c r="P84" s="20">
        <f>IFERROR(__xludf.DUMMYFUNCTION("FILTER(Datos!$D$2:$D1003, Datos!$F$2:$F1003=P$1, Datos!$G$2:$G1003=P$2, Datos!$A$2:$A1003=$A84)"),3623.567)</f>
        <v>3623.567</v>
      </c>
      <c r="Q84" s="21">
        <f>IFERROR(__xludf.DUMMYFUNCTION("FILTER(Datos!$E$2:$E1003, Datos!$F$2:$F1003=Q$1, Datos!$G$2:$G1003=Q$2, Datos!$A$2:$A1003=$A84)"),5824.069)</f>
        <v>5824.069</v>
      </c>
    </row>
    <row r="85">
      <c r="A85" s="18">
        <f t="shared" si="2"/>
        <v>80</v>
      </c>
      <c r="B85" s="19">
        <f>IFERROR(__xludf.DUMMYFUNCTION("FILTER(Datos!$D$2:$D1003, Datos!$F$2:$F1003=B$1, Datos!$G$2:$G1003=B$2, Datos!$A$2:$A1003=$A85)"),1909.833)</f>
        <v>1909.833</v>
      </c>
      <c r="C85" s="20">
        <f>IFERROR(__xludf.DUMMYFUNCTION("FILTER(Datos!$E$2:$E1003, Datos!$F$2:$F1003=C$1, Datos!$G$2:$G1003=C$2, Datos!$A$2:$A1003=$A85)"),1987.678)</f>
        <v>1987.678</v>
      </c>
      <c r="D85" s="20">
        <f>IFERROR(__xludf.DUMMYFUNCTION("FILTER(Datos!$D$2:$D1003, Datos!$F$2:$F1003=D$1, Datos!$G$2:$G1003=D$2, Datos!$A$2:$A1003=$A85)"),2163.667)</f>
        <v>2163.667</v>
      </c>
      <c r="E85" s="20">
        <f>IFERROR(__xludf.DUMMYFUNCTION("FILTER(Datos!$E$2:$E1003, Datos!$F$2:$F1003=E$1, Datos!$G$2:$G1003=E$2, Datos!$A$2:$A1003=$A85)"),2300.136)</f>
        <v>2300.136</v>
      </c>
      <c r="F85" s="20">
        <f>IFERROR(__xludf.DUMMYFUNCTION("FILTER(Datos!$D$2:$D1003, Datos!$F$2:$F1003=F$1, Datos!$G$2:$G1003=F$2, Datos!$A$2:$A1003=$A85)"),3566.3)</f>
        <v>3566.3</v>
      </c>
      <c r="G85" s="20">
        <f>IFERROR(__xludf.DUMMYFUNCTION("FILTER(Datos!$E$2:$E1003, Datos!$F$2:$F1003=G$1, Datos!$G$2:$G1003=G$2, Datos!$A$2:$A1003=$A85)"),5384.335)</f>
        <v>5384.335</v>
      </c>
      <c r="H85" s="20">
        <f>IFERROR(__xludf.DUMMYFUNCTION("FILTER(Datos!$D$2:$D1003, Datos!$F$2:$F1003=H$1, Datos!$G$2:$G1003=H$2, Datos!$A$2:$A1003=$A85)"),4349.833)</f>
        <v>4349.833</v>
      </c>
      <c r="I85" s="21">
        <f>IFERROR(__xludf.DUMMYFUNCTION("FILTER(Datos!$E$2:$E1003, Datos!$F$2:$F1003=I$1, Datos!$G$2:$G1003=I$2, Datos!$A$2:$A1003=$A85)"),6811.597)</f>
        <v>6811.597</v>
      </c>
      <c r="J85" s="20">
        <f>IFERROR(__xludf.DUMMYFUNCTION("FILTER(Datos!$D$2:$D1003, Datos!$F$2:$F1003=J$1, Datos!$G$2:$G1003=J$2, Datos!$A$2:$A1003=$A85)"),1821.233)</f>
        <v>1821.233</v>
      </c>
      <c r="K85" s="20">
        <f>IFERROR(__xludf.DUMMYFUNCTION("FILTER(Datos!$E$2:$E1003, Datos!$F$2:$F1003=K$1, Datos!$G$2:$G1003=K$2, Datos!$A$2:$A1003=$A85)"),2281.771)</f>
        <v>2281.771</v>
      </c>
      <c r="L85" s="20">
        <f>IFERROR(__xludf.DUMMYFUNCTION("FILTER(Datos!$D$2:$D1003, Datos!$F$2:$F1003=L$1, Datos!$G$2:$G1003=L$2, Datos!$A$2:$A1003=$A85)"),2133.067)</f>
        <v>2133.067</v>
      </c>
      <c r="M85" s="20">
        <f>IFERROR(__xludf.DUMMYFUNCTION("FILTER(Datos!$E$2:$E1003, Datos!$F$2:$F1003=M$1, Datos!$G$2:$G1003=M$2, Datos!$A$2:$A1003=$A85)"),2847.79)</f>
        <v>2847.79</v>
      </c>
      <c r="N85" s="20">
        <f>IFERROR(__xludf.DUMMYFUNCTION("FILTER(Datos!$D$2:$D1003, Datos!$F$2:$F1003=N$1, Datos!$G$2:$G1003=N$2, Datos!$A$2:$A1003=$A85)"),2720.9)</f>
        <v>2720.9</v>
      </c>
      <c r="O85" s="20">
        <f>IFERROR(__xludf.DUMMYFUNCTION("FILTER(Datos!$E$2:$E1003, Datos!$F$2:$F1003=O$1, Datos!$G$2:$G1003=O$2, Datos!$A$2:$A1003=$A85)"),4193.836)</f>
        <v>4193.836</v>
      </c>
      <c r="P85" s="20">
        <f>IFERROR(__xludf.DUMMYFUNCTION("FILTER(Datos!$D$2:$D1003, Datos!$F$2:$F1003=P$1, Datos!$G$2:$G1003=P$2, Datos!$A$2:$A1003=$A85)"),3603.233)</f>
        <v>3603.233</v>
      </c>
      <c r="Q85" s="21">
        <f>IFERROR(__xludf.DUMMYFUNCTION("FILTER(Datos!$E$2:$E1003, Datos!$F$2:$F1003=Q$1, Datos!$G$2:$G1003=Q$2, Datos!$A$2:$A1003=$A85)"),5797.46)</f>
        <v>5797.46</v>
      </c>
    </row>
    <row r="86">
      <c r="A86" s="18">
        <f t="shared" si="2"/>
        <v>81</v>
      </c>
      <c r="B86" s="19">
        <f>IFERROR(__xludf.DUMMYFUNCTION("FILTER(Datos!$D$2:$D1003, Datos!$F$2:$F1003=B$1, Datos!$G$2:$G1003=B$2, Datos!$A$2:$A1003=$A86)"),1909.833)</f>
        <v>1909.833</v>
      </c>
      <c r="C86" s="20">
        <f>IFERROR(__xludf.DUMMYFUNCTION("FILTER(Datos!$E$2:$E1003, Datos!$F$2:$F1003=C$1, Datos!$G$2:$G1003=C$2, Datos!$A$2:$A1003=$A86)"),1991.677)</f>
        <v>1991.677</v>
      </c>
      <c r="D86" s="20">
        <f>IFERROR(__xludf.DUMMYFUNCTION("FILTER(Datos!$D$2:$D1003, Datos!$F$2:$F1003=D$1, Datos!$G$2:$G1003=D$2, Datos!$A$2:$A1003=$A86)"),2163.667)</f>
        <v>2163.667</v>
      </c>
      <c r="E86" s="20">
        <f>IFERROR(__xludf.DUMMYFUNCTION("FILTER(Datos!$E$2:$E1003, Datos!$F$2:$F1003=E$1, Datos!$G$2:$G1003=E$2, Datos!$A$2:$A1003=$A86)"),2293.911)</f>
        <v>2293.911</v>
      </c>
      <c r="F86" s="20">
        <f>IFERROR(__xludf.DUMMYFUNCTION("FILTER(Datos!$D$2:$D1003, Datos!$F$2:$F1003=F$1, Datos!$G$2:$G1003=F$2, Datos!$A$2:$A1003=$A86)"),3560.967)</f>
        <v>3560.967</v>
      </c>
      <c r="G86" s="20">
        <f>IFERROR(__xludf.DUMMYFUNCTION("FILTER(Datos!$E$2:$E1003, Datos!$F$2:$F1003=G$1, Datos!$G$2:$G1003=G$2, Datos!$A$2:$A1003=$A86)"),5348.88)</f>
        <v>5348.88</v>
      </c>
      <c r="H86" s="20">
        <f>IFERROR(__xludf.DUMMYFUNCTION("FILTER(Datos!$D$2:$D1003, Datos!$F$2:$F1003=H$1, Datos!$G$2:$G1003=H$2, Datos!$A$2:$A1003=$A86)"),4337.0)</f>
        <v>4337</v>
      </c>
      <c r="I86" s="21">
        <f>IFERROR(__xludf.DUMMYFUNCTION("FILTER(Datos!$E$2:$E1003, Datos!$F$2:$F1003=I$1, Datos!$G$2:$G1003=I$2, Datos!$A$2:$A1003=$A86)"),6793.103)</f>
        <v>6793.103</v>
      </c>
      <c r="J86" s="20">
        <f>IFERROR(__xludf.DUMMYFUNCTION("FILTER(Datos!$D$2:$D1003, Datos!$F$2:$F1003=J$1, Datos!$G$2:$G1003=J$2, Datos!$A$2:$A1003=$A86)"),1821.233)</f>
        <v>1821.233</v>
      </c>
      <c r="K86" s="20">
        <f>IFERROR(__xludf.DUMMYFUNCTION("FILTER(Datos!$E$2:$E1003, Datos!$F$2:$F1003=K$1, Datos!$G$2:$G1003=K$2, Datos!$A$2:$A1003=$A86)"),2281.612)</f>
        <v>2281.612</v>
      </c>
      <c r="L86" s="20">
        <f>IFERROR(__xludf.DUMMYFUNCTION("FILTER(Datos!$D$2:$D1003, Datos!$F$2:$F1003=L$1, Datos!$G$2:$G1003=L$2, Datos!$A$2:$A1003=$A86)"),2133.0)</f>
        <v>2133</v>
      </c>
      <c r="M86" s="20">
        <f>IFERROR(__xludf.DUMMYFUNCTION("FILTER(Datos!$E$2:$E1003, Datos!$F$2:$F1003=M$1, Datos!$G$2:$G1003=M$2, Datos!$A$2:$A1003=$A86)"),2849.069)</f>
        <v>2849.069</v>
      </c>
      <c r="N86" s="20">
        <f>IFERROR(__xludf.DUMMYFUNCTION("FILTER(Datos!$D$2:$D1003, Datos!$F$2:$F1003=N$1, Datos!$G$2:$G1003=N$2, Datos!$A$2:$A1003=$A86)"),2712.1)</f>
        <v>2712.1</v>
      </c>
      <c r="O86" s="20">
        <f>IFERROR(__xludf.DUMMYFUNCTION("FILTER(Datos!$E$2:$E1003, Datos!$F$2:$F1003=O$1, Datos!$G$2:$G1003=O$2, Datos!$A$2:$A1003=$A86)"),4171.52)</f>
        <v>4171.52</v>
      </c>
      <c r="P86" s="20">
        <f>IFERROR(__xludf.DUMMYFUNCTION("FILTER(Datos!$D$2:$D1003, Datos!$F$2:$F1003=P$1, Datos!$G$2:$G1003=P$2, Datos!$A$2:$A1003=$A86)"),3587.2)</f>
        <v>3587.2</v>
      </c>
      <c r="Q86" s="21">
        <f>IFERROR(__xludf.DUMMYFUNCTION("FILTER(Datos!$E$2:$E1003, Datos!$F$2:$F1003=Q$1, Datos!$G$2:$G1003=Q$2, Datos!$A$2:$A1003=$A86)"),5770.915)</f>
        <v>5770.915</v>
      </c>
    </row>
    <row r="87">
      <c r="A87" s="18">
        <f t="shared" si="2"/>
        <v>82</v>
      </c>
      <c r="B87" s="19">
        <f>IFERROR(__xludf.DUMMYFUNCTION("FILTER(Datos!$D$2:$D1003, Datos!$F$2:$F1003=B$1, Datos!$G$2:$G1003=B$2, Datos!$A$2:$A1003=$A87)"),1909.833)</f>
        <v>1909.833</v>
      </c>
      <c r="C87" s="20">
        <f>IFERROR(__xludf.DUMMYFUNCTION("FILTER(Datos!$E$2:$E1003, Datos!$F$2:$F1003=C$1, Datos!$G$2:$G1003=C$2, Datos!$A$2:$A1003=$A87)"),1991.412)</f>
        <v>1991.412</v>
      </c>
      <c r="D87" s="20">
        <f>IFERROR(__xludf.DUMMYFUNCTION("FILTER(Datos!$D$2:$D1003, Datos!$F$2:$F1003=D$1, Datos!$G$2:$G1003=D$2, Datos!$A$2:$A1003=$A87)"),2163.667)</f>
        <v>2163.667</v>
      </c>
      <c r="E87" s="20">
        <f>IFERROR(__xludf.DUMMYFUNCTION("FILTER(Datos!$E$2:$E1003, Datos!$F$2:$F1003=E$1, Datos!$G$2:$G1003=E$2, Datos!$A$2:$A1003=$A87)"),2293.815)</f>
        <v>2293.815</v>
      </c>
      <c r="F87" s="20">
        <f>IFERROR(__xludf.DUMMYFUNCTION("FILTER(Datos!$D$2:$D1003, Datos!$F$2:$F1003=F$1, Datos!$G$2:$G1003=F$2, Datos!$A$2:$A1003=$A87)"),3550.667)</f>
        <v>3550.667</v>
      </c>
      <c r="G87" s="20">
        <f>IFERROR(__xludf.DUMMYFUNCTION("FILTER(Datos!$E$2:$E1003, Datos!$F$2:$F1003=G$1, Datos!$G$2:$G1003=G$2, Datos!$A$2:$A1003=$A87)"),5317.546)</f>
        <v>5317.546</v>
      </c>
      <c r="H87" s="20">
        <f>IFERROR(__xludf.DUMMYFUNCTION("FILTER(Datos!$D$2:$D1003, Datos!$F$2:$F1003=H$1, Datos!$G$2:$G1003=H$2, Datos!$A$2:$A1003=$A87)"),4329.867)</f>
        <v>4329.867</v>
      </c>
      <c r="I87" s="21">
        <f>IFERROR(__xludf.DUMMYFUNCTION("FILTER(Datos!$E$2:$E1003, Datos!$F$2:$F1003=I$1, Datos!$G$2:$G1003=I$2, Datos!$A$2:$A1003=$A87)"),6749.629)</f>
        <v>6749.629</v>
      </c>
      <c r="J87" s="20">
        <f>IFERROR(__xludf.DUMMYFUNCTION("FILTER(Datos!$D$2:$D1003, Datos!$F$2:$F1003=J$1, Datos!$G$2:$G1003=J$2, Datos!$A$2:$A1003=$A87)"),1821.233)</f>
        <v>1821.233</v>
      </c>
      <c r="K87" s="20">
        <f>IFERROR(__xludf.DUMMYFUNCTION("FILTER(Datos!$E$2:$E1003, Datos!$F$2:$F1003=K$1, Datos!$G$2:$G1003=K$2, Datos!$A$2:$A1003=$A87)"),2290.394)</f>
        <v>2290.394</v>
      </c>
      <c r="L87" s="20">
        <f>IFERROR(__xludf.DUMMYFUNCTION("FILTER(Datos!$D$2:$D1003, Datos!$F$2:$F1003=L$1, Datos!$G$2:$G1003=L$2, Datos!$A$2:$A1003=$A87)"),2132.333)</f>
        <v>2132.333</v>
      </c>
      <c r="M87" s="20">
        <f>IFERROR(__xludf.DUMMYFUNCTION("FILTER(Datos!$E$2:$E1003, Datos!$F$2:$F1003=M$1, Datos!$G$2:$G1003=M$2, Datos!$A$2:$A1003=$A87)"),2842.185)</f>
        <v>2842.185</v>
      </c>
      <c r="N87" s="20">
        <f>IFERROR(__xludf.DUMMYFUNCTION("FILTER(Datos!$D$2:$D1003, Datos!$F$2:$F1003=N$1, Datos!$G$2:$G1003=N$2, Datos!$A$2:$A1003=$A87)"),2704.767)</f>
        <v>2704.767</v>
      </c>
      <c r="O87" s="20">
        <f>IFERROR(__xludf.DUMMYFUNCTION("FILTER(Datos!$E$2:$E1003, Datos!$F$2:$F1003=O$1, Datos!$G$2:$G1003=O$2, Datos!$A$2:$A1003=$A87)"),4127.141)</f>
        <v>4127.141</v>
      </c>
      <c r="P87" s="20">
        <f>IFERROR(__xludf.DUMMYFUNCTION("FILTER(Datos!$D$2:$D1003, Datos!$F$2:$F1003=P$1, Datos!$G$2:$G1003=P$2, Datos!$A$2:$A1003=$A87)"),3564.467)</f>
        <v>3564.467</v>
      </c>
      <c r="Q87" s="21">
        <f>IFERROR(__xludf.DUMMYFUNCTION("FILTER(Datos!$E$2:$E1003, Datos!$F$2:$F1003=Q$1, Datos!$G$2:$G1003=Q$2, Datos!$A$2:$A1003=$A87)"),5764.382)</f>
        <v>5764.382</v>
      </c>
    </row>
    <row r="88">
      <c r="A88" s="18">
        <f t="shared" si="2"/>
        <v>83</v>
      </c>
      <c r="B88" s="19">
        <f>IFERROR(__xludf.DUMMYFUNCTION("FILTER(Datos!$D$2:$D1003, Datos!$F$2:$F1003=B$1, Datos!$G$2:$G1003=B$2, Datos!$A$2:$A1003=$A88)"),1909.833)</f>
        <v>1909.833</v>
      </c>
      <c r="C88" s="20">
        <f>IFERROR(__xludf.DUMMYFUNCTION("FILTER(Datos!$E$2:$E1003, Datos!$F$2:$F1003=C$1, Datos!$G$2:$G1003=C$2, Datos!$A$2:$A1003=$A88)"),1992.382)</f>
        <v>1992.382</v>
      </c>
      <c r="D88" s="20">
        <f>IFERROR(__xludf.DUMMYFUNCTION("FILTER(Datos!$D$2:$D1003, Datos!$F$2:$F1003=D$1, Datos!$G$2:$G1003=D$2, Datos!$A$2:$A1003=$A88)"),2163.667)</f>
        <v>2163.667</v>
      </c>
      <c r="E88" s="20">
        <f>IFERROR(__xludf.DUMMYFUNCTION("FILTER(Datos!$E$2:$E1003, Datos!$F$2:$F1003=E$1, Datos!$G$2:$G1003=E$2, Datos!$A$2:$A1003=$A88)"),2293.91)</f>
        <v>2293.91</v>
      </c>
      <c r="F88" s="20">
        <f>IFERROR(__xludf.DUMMYFUNCTION("FILTER(Datos!$D$2:$D1003, Datos!$F$2:$F1003=F$1, Datos!$G$2:$G1003=F$2, Datos!$A$2:$A1003=$A88)"),3547.533)</f>
        <v>3547.533</v>
      </c>
      <c r="G88" s="20">
        <f>IFERROR(__xludf.DUMMYFUNCTION("FILTER(Datos!$E$2:$E1003, Datos!$F$2:$F1003=G$1, Datos!$G$2:$G1003=G$2, Datos!$A$2:$A1003=$A88)"),5289.87)</f>
        <v>5289.87</v>
      </c>
      <c r="H88" s="20">
        <f>IFERROR(__xludf.DUMMYFUNCTION("FILTER(Datos!$D$2:$D1003, Datos!$F$2:$F1003=H$1, Datos!$G$2:$G1003=H$2, Datos!$A$2:$A1003=$A88)"),4303.267)</f>
        <v>4303.267</v>
      </c>
      <c r="I88" s="21">
        <f>IFERROR(__xludf.DUMMYFUNCTION("FILTER(Datos!$E$2:$E1003, Datos!$F$2:$F1003=I$1, Datos!$G$2:$G1003=I$2, Datos!$A$2:$A1003=$A88)"),6745.048)</f>
        <v>6745.048</v>
      </c>
      <c r="J88" s="20">
        <f>IFERROR(__xludf.DUMMYFUNCTION("FILTER(Datos!$D$2:$D1003, Datos!$F$2:$F1003=J$1, Datos!$G$2:$G1003=J$2, Datos!$A$2:$A1003=$A88)"),1821.233)</f>
        <v>1821.233</v>
      </c>
      <c r="K88" s="20">
        <f>IFERROR(__xludf.DUMMYFUNCTION("FILTER(Datos!$E$2:$E1003, Datos!$F$2:$F1003=K$1, Datos!$G$2:$G1003=K$2, Datos!$A$2:$A1003=$A88)"),2297.006)</f>
        <v>2297.006</v>
      </c>
      <c r="L88" s="20">
        <f>IFERROR(__xludf.DUMMYFUNCTION("FILTER(Datos!$D$2:$D1003, Datos!$F$2:$F1003=L$1, Datos!$G$2:$G1003=L$2, Datos!$A$2:$A1003=$A88)"),2131.633)</f>
        <v>2131.633</v>
      </c>
      <c r="M88" s="20">
        <f>IFERROR(__xludf.DUMMYFUNCTION("FILTER(Datos!$E$2:$E1003, Datos!$F$2:$F1003=M$1, Datos!$G$2:$G1003=M$2, Datos!$A$2:$A1003=$A88)"),2834.182)</f>
        <v>2834.182</v>
      </c>
      <c r="N88" s="20">
        <f>IFERROR(__xludf.DUMMYFUNCTION("FILTER(Datos!$D$2:$D1003, Datos!$F$2:$F1003=N$1, Datos!$G$2:$G1003=N$2, Datos!$A$2:$A1003=$A88)"),2701.967)</f>
        <v>2701.967</v>
      </c>
      <c r="O88" s="20">
        <f>IFERROR(__xludf.DUMMYFUNCTION("FILTER(Datos!$E$2:$E1003, Datos!$F$2:$F1003=O$1, Datos!$G$2:$G1003=O$2, Datos!$A$2:$A1003=$A88)"),4105.956)</f>
        <v>4105.956</v>
      </c>
      <c r="P88" s="20">
        <f>IFERROR(__xludf.DUMMYFUNCTION("FILTER(Datos!$D$2:$D1003, Datos!$F$2:$F1003=P$1, Datos!$G$2:$G1003=P$2, Datos!$A$2:$A1003=$A88)"),3551.467)</f>
        <v>3551.467</v>
      </c>
      <c r="Q88" s="21">
        <f>IFERROR(__xludf.DUMMYFUNCTION("FILTER(Datos!$E$2:$E1003, Datos!$F$2:$F1003=Q$1, Datos!$G$2:$G1003=Q$2, Datos!$A$2:$A1003=$A88)"),5724.131)</f>
        <v>5724.131</v>
      </c>
    </row>
    <row r="89">
      <c r="A89" s="18">
        <f t="shared" si="2"/>
        <v>84</v>
      </c>
      <c r="B89" s="19">
        <f>IFERROR(__xludf.DUMMYFUNCTION("FILTER(Datos!$D$2:$D1003, Datos!$F$2:$F1003=B$1, Datos!$G$2:$G1003=B$2, Datos!$A$2:$A1003=$A89)"),1909.833)</f>
        <v>1909.833</v>
      </c>
      <c r="C89" s="20">
        <f>IFERROR(__xludf.DUMMYFUNCTION("FILTER(Datos!$E$2:$E1003, Datos!$F$2:$F1003=C$1, Datos!$G$2:$G1003=C$2, Datos!$A$2:$A1003=$A89)"),1998.221)</f>
        <v>1998.221</v>
      </c>
      <c r="D89" s="20">
        <f>IFERROR(__xludf.DUMMYFUNCTION("FILTER(Datos!$D$2:$D1003, Datos!$F$2:$F1003=D$1, Datos!$G$2:$G1003=D$2, Datos!$A$2:$A1003=$A89)"),2163.667)</f>
        <v>2163.667</v>
      </c>
      <c r="E89" s="20">
        <f>IFERROR(__xludf.DUMMYFUNCTION("FILTER(Datos!$E$2:$E1003, Datos!$F$2:$F1003=E$1, Datos!$G$2:$G1003=E$2, Datos!$A$2:$A1003=$A89)"),2294.062)</f>
        <v>2294.062</v>
      </c>
      <c r="F89" s="20">
        <f>IFERROR(__xludf.DUMMYFUNCTION("FILTER(Datos!$D$2:$D1003, Datos!$F$2:$F1003=F$1, Datos!$G$2:$G1003=F$2, Datos!$A$2:$A1003=$A89)"),3509.633)</f>
        <v>3509.633</v>
      </c>
      <c r="G89" s="20">
        <f>IFERROR(__xludf.DUMMYFUNCTION("FILTER(Datos!$E$2:$E1003, Datos!$F$2:$F1003=G$1, Datos!$G$2:$G1003=G$2, Datos!$A$2:$A1003=$A89)"),5258.564)</f>
        <v>5258.564</v>
      </c>
      <c r="H89" s="20">
        <f>IFERROR(__xludf.DUMMYFUNCTION("FILTER(Datos!$D$2:$D1003, Datos!$F$2:$F1003=H$1, Datos!$G$2:$G1003=H$2, Datos!$A$2:$A1003=$A89)"),4288.333)</f>
        <v>4288.333</v>
      </c>
      <c r="I89" s="21">
        <f>IFERROR(__xludf.DUMMYFUNCTION("FILTER(Datos!$E$2:$E1003, Datos!$F$2:$F1003=I$1, Datos!$G$2:$G1003=I$2, Datos!$A$2:$A1003=$A89)"),6719.443)</f>
        <v>6719.443</v>
      </c>
      <c r="J89" s="20">
        <f>IFERROR(__xludf.DUMMYFUNCTION("FILTER(Datos!$D$2:$D1003, Datos!$F$2:$F1003=J$1, Datos!$G$2:$G1003=J$2, Datos!$A$2:$A1003=$A89)"),1821.233)</f>
        <v>1821.233</v>
      </c>
      <c r="K89" s="20">
        <f>IFERROR(__xludf.DUMMYFUNCTION("FILTER(Datos!$E$2:$E1003, Datos!$F$2:$F1003=K$1, Datos!$G$2:$G1003=K$2, Datos!$A$2:$A1003=$A89)"),2285.144)</f>
        <v>2285.144</v>
      </c>
      <c r="L89" s="20">
        <f>IFERROR(__xludf.DUMMYFUNCTION("FILTER(Datos!$D$2:$D1003, Datos!$F$2:$F1003=L$1, Datos!$G$2:$G1003=L$2, Datos!$A$2:$A1003=$A89)"),2130.1)</f>
        <v>2130.1</v>
      </c>
      <c r="M89" s="20">
        <f>IFERROR(__xludf.DUMMYFUNCTION("FILTER(Datos!$E$2:$E1003, Datos!$F$2:$F1003=M$1, Datos!$G$2:$G1003=M$2, Datos!$A$2:$A1003=$A89)"),2849.149)</f>
        <v>2849.149</v>
      </c>
      <c r="N89" s="20">
        <f>IFERROR(__xludf.DUMMYFUNCTION("FILTER(Datos!$D$2:$D1003, Datos!$F$2:$F1003=N$1, Datos!$G$2:$G1003=N$2, Datos!$A$2:$A1003=$A89)"),2693.567)</f>
        <v>2693.567</v>
      </c>
      <c r="O89" s="20">
        <f>IFERROR(__xludf.DUMMYFUNCTION("FILTER(Datos!$E$2:$E1003, Datos!$F$2:$F1003=O$1, Datos!$G$2:$G1003=O$2, Datos!$A$2:$A1003=$A89)"),4091.944)</f>
        <v>4091.944</v>
      </c>
      <c r="P89" s="20">
        <f>IFERROR(__xludf.DUMMYFUNCTION("FILTER(Datos!$D$2:$D1003, Datos!$F$2:$F1003=P$1, Datos!$G$2:$G1003=P$2, Datos!$A$2:$A1003=$A89)"),3533.267)</f>
        <v>3533.267</v>
      </c>
      <c r="Q89" s="21">
        <f>IFERROR(__xludf.DUMMYFUNCTION("FILTER(Datos!$E$2:$E1003, Datos!$F$2:$F1003=Q$1, Datos!$G$2:$G1003=Q$2, Datos!$A$2:$A1003=$A89)"),5706.068)</f>
        <v>5706.068</v>
      </c>
    </row>
    <row r="90">
      <c r="A90" s="18">
        <f t="shared" si="2"/>
        <v>85</v>
      </c>
      <c r="B90" s="19">
        <f>IFERROR(__xludf.DUMMYFUNCTION("FILTER(Datos!$D$2:$D1003, Datos!$F$2:$F1003=B$1, Datos!$G$2:$G1003=B$2, Datos!$A$2:$A1003=$A90)"),1909.833)</f>
        <v>1909.833</v>
      </c>
      <c r="C90" s="20">
        <f>IFERROR(__xludf.DUMMYFUNCTION("FILTER(Datos!$E$2:$E1003, Datos!$F$2:$F1003=C$1, Datos!$G$2:$G1003=C$2, Datos!$A$2:$A1003=$A90)"),1995.307)</f>
        <v>1995.307</v>
      </c>
      <c r="D90" s="20">
        <f>IFERROR(__xludf.DUMMYFUNCTION("FILTER(Datos!$D$2:$D1003, Datos!$F$2:$F1003=D$1, Datos!$G$2:$G1003=D$2, Datos!$A$2:$A1003=$A90)"),2163.667)</f>
        <v>2163.667</v>
      </c>
      <c r="E90" s="20">
        <f>IFERROR(__xludf.DUMMYFUNCTION("FILTER(Datos!$E$2:$E1003, Datos!$F$2:$F1003=E$1, Datos!$G$2:$G1003=E$2, Datos!$A$2:$A1003=$A90)"),2297.269)</f>
        <v>2297.269</v>
      </c>
      <c r="F90" s="20">
        <f>IFERROR(__xludf.DUMMYFUNCTION("FILTER(Datos!$D$2:$D1003, Datos!$F$2:$F1003=F$1, Datos!$G$2:$G1003=F$2, Datos!$A$2:$A1003=$A90)"),3473.633)</f>
        <v>3473.633</v>
      </c>
      <c r="G90" s="20">
        <f>IFERROR(__xludf.DUMMYFUNCTION("FILTER(Datos!$E$2:$E1003, Datos!$F$2:$F1003=G$1, Datos!$G$2:$G1003=G$2, Datos!$A$2:$A1003=$A90)"),5225.51)</f>
        <v>5225.51</v>
      </c>
      <c r="H90" s="20">
        <f>IFERROR(__xludf.DUMMYFUNCTION("FILTER(Datos!$D$2:$D1003, Datos!$F$2:$F1003=H$1, Datos!$G$2:$G1003=H$2, Datos!$A$2:$A1003=$A90)"),4272.467)</f>
        <v>4272.467</v>
      </c>
      <c r="I90" s="21">
        <f>IFERROR(__xludf.DUMMYFUNCTION("FILTER(Datos!$E$2:$E1003, Datos!$F$2:$F1003=I$1, Datos!$G$2:$G1003=I$2, Datos!$A$2:$A1003=$A90)"),6709.898)</f>
        <v>6709.898</v>
      </c>
      <c r="J90" s="20">
        <f>IFERROR(__xludf.DUMMYFUNCTION("FILTER(Datos!$D$2:$D1003, Datos!$F$2:$F1003=J$1, Datos!$G$2:$G1003=J$2, Datos!$A$2:$A1003=$A90)"),1821.233)</f>
        <v>1821.233</v>
      </c>
      <c r="K90" s="20">
        <f>IFERROR(__xludf.DUMMYFUNCTION("FILTER(Datos!$E$2:$E1003, Datos!$F$2:$F1003=K$1, Datos!$G$2:$G1003=K$2, Datos!$A$2:$A1003=$A90)"),2286.371)</f>
        <v>2286.371</v>
      </c>
      <c r="L90" s="20">
        <f>IFERROR(__xludf.DUMMYFUNCTION("FILTER(Datos!$D$2:$D1003, Datos!$F$2:$F1003=L$1, Datos!$G$2:$G1003=L$2, Datos!$A$2:$A1003=$A90)"),2129.767)</f>
        <v>2129.767</v>
      </c>
      <c r="M90" s="20">
        <f>IFERROR(__xludf.DUMMYFUNCTION("FILTER(Datos!$E$2:$E1003, Datos!$F$2:$F1003=M$1, Datos!$G$2:$G1003=M$2, Datos!$A$2:$A1003=$A90)"),2851.236)</f>
        <v>2851.236</v>
      </c>
      <c r="N90" s="20">
        <f>IFERROR(__xludf.DUMMYFUNCTION("FILTER(Datos!$D$2:$D1003, Datos!$F$2:$F1003=N$1, Datos!$G$2:$G1003=N$2, Datos!$A$2:$A1003=$A90)"),2683.167)</f>
        <v>2683.167</v>
      </c>
      <c r="O90" s="20">
        <f>IFERROR(__xludf.DUMMYFUNCTION("FILTER(Datos!$E$2:$E1003, Datos!$F$2:$F1003=O$1, Datos!$G$2:$G1003=O$2, Datos!$A$2:$A1003=$A90)"),4080.179)</f>
        <v>4080.179</v>
      </c>
      <c r="P90" s="20">
        <f>IFERROR(__xludf.DUMMYFUNCTION("FILTER(Datos!$D$2:$D1003, Datos!$F$2:$F1003=P$1, Datos!$G$2:$G1003=P$2, Datos!$A$2:$A1003=$A90)"),3521.8)</f>
        <v>3521.8</v>
      </c>
      <c r="Q90" s="21">
        <f>IFERROR(__xludf.DUMMYFUNCTION("FILTER(Datos!$E$2:$E1003, Datos!$F$2:$F1003=Q$1, Datos!$G$2:$G1003=Q$2, Datos!$A$2:$A1003=$A90)"),5700.224)</f>
        <v>5700.224</v>
      </c>
    </row>
    <row r="91">
      <c r="A91" s="18">
        <f t="shared" si="2"/>
        <v>86</v>
      </c>
      <c r="B91" s="19">
        <f>IFERROR(__xludf.DUMMYFUNCTION("FILTER(Datos!$D$2:$D1003, Datos!$F$2:$F1003=B$1, Datos!$G$2:$G1003=B$2, Datos!$A$2:$A1003=$A91)"),1909.833)</f>
        <v>1909.833</v>
      </c>
      <c r="C91" s="20">
        <f>IFERROR(__xludf.DUMMYFUNCTION("FILTER(Datos!$E$2:$E1003, Datos!$F$2:$F1003=C$1, Datos!$G$2:$G1003=C$2, Datos!$A$2:$A1003=$A91)"),1996.377)</f>
        <v>1996.377</v>
      </c>
      <c r="D91" s="20">
        <f>IFERROR(__xludf.DUMMYFUNCTION("FILTER(Datos!$D$2:$D1003, Datos!$F$2:$F1003=D$1, Datos!$G$2:$G1003=D$2, Datos!$A$2:$A1003=$A91)"),2163.667)</f>
        <v>2163.667</v>
      </c>
      <c r="E91" s="20">
        <f>IFERROR(__xludf.DUMMYFUNCTION("FILTER(Datos!$E$2:$E1003, Datos!$F$2:$F1003=E$1, Datos!$G$2:$G1003=E$2, Datos!$A$2:$A1003=$A91)"),2293.322)</f>
        <v>2293.322</v>
      </c>
      <c r="F91" s="20">
        <f>IFERROR(__xludf.DUMMYFUNCTION("FILTER(Datos!$D$2:$D1003, Datos!$F$2:$F1003=F$1, Datos!$G$2:$G1003=F$2, Datos!$A$2:$A1003=$A91)"),3444.133)</f>
        <v>3444.133</v>
      </c>
      <c r="G91" s="20">
        <f>IFERROR(__xludf.DUMMYFUNCTION("FILTER(Datos!$E$2:$E1003, Datos!$F$2:$F1003=G$1, Datos!$G$2:$G1003=G$2, Datos!$A$2:$A1003=$A91)"),5172.262)</f>
        <v>5172.262</v>
      </c>
      <c r="H91" s="20">
        <f>IFERROR(__xludf.DUMMYFUNCTION("FILTER(Datos!$D$2:$D1003, Datos!$F$2:$F1003=H$1, Datos!$G$2:$G1003=H$2, Datos!$A$2:$A1003=$A91)"),4262.467)</f>
        <v>4262.467</v>
      </c>
      <c r="I91" s="21">
        <f>IFERROR(__xludf.DUMMYFUNCTION("FILTER(Datos!$E$2:$E1003, Datos!$F$2:$F1003=I$1, Datos!$G$2:$G1003=I$2, Datos!$A$2:$A1003=$A91)"),6712.003)</f>
        <v>6712.003</v>
      </c>
      <c r="J91" s="20">
        <f>IFERROR(__xludf.DUMMYFUNCTION("FILTER(Datos!$D$2:$D1003, Datos!$F$2:$F1003=J$1, Datos!$G$2:$G1003=J$2, Datos!$A$2:$A1003=$A91)"),1820.933)</f>
        <v>1820.933</v>
      </c>
      <c r="K91" s="20">
        <f>IFERROR(__xludf.DUMMYFUNCTION("FILTER(Datos!$E$2:$E1003, Datos!$F$2:$F1003=K$1, Datos!$G$2:$G1003=K$2, Datos!$A$2:$A1003=$A91)"),2295.239)</f>
        <v>2295.239</v>
      </c>
      <c r="L91" s="20">
        <f>IFERROR(__xludf.DUMMYFUNCTION("FILTER(Datos!$D$2:$D1003, Datos!$F$2:$F1003=L$1, Datos!$G$2:$G1003=L$2, Datos!$A$2:$A1003=$A91)"),2129.767)</f>
        <v>2129.767</v>
      </c>
      <c r="M91" s="20">
        <f>IFERROR(__xludf.DUMMYFUNCTION("FILTER(Datos!$E$2:$E1003, Datos!$F$2:$F1003=M$1, Datos!$G$2:$G1003=M$2, Datos!$A$2:$A1003=$A91)"),2848.929)</f>
        <v>2848.929</v>
      </c>
      <c r="N91" s="20">
        <f>IFERROR(__xludf.DUMMYFUNCTION("FILTER(Datos!$D$2:$D1003, Datos!$F$2:$F1003=N$1, Datos!$G$2:$G1003=N$2, Datos!$A$2:$A1003=$A91)"),2677.7)</f>
        <v>2677.7</v>
      </c>
      <c r="O91" s="20">
        <f>IFERROR(__xludf.DUMMYFUNCTION("FILTER(Datos!$E$2:$E1003, Datos!$F$2:$F1003=O$1, Datos!$G$2:$G1003=O$2, Datos!$A$2:$A1003=$A91)"),4057.459)</f>
        <v>4057.459</v>
      </c>
      <c r="P91" s="20">
        <f>IFERROR(__xludf.DUMMYFUNCTION("FILTER(Datos!$D$2:$D1003, Datos!$F$2:$F1003=P$1, Datos!$G$2:$G1003=P$2, Datos!$A$2:$A1003=$A91)"),3517.4)</f>
        <v>3517.4</v>
      </c>
      <c r="Q91" s="21">
        <f>IFERROR(__xludf.DUMMYFUNCTION("FILTER(Datos!$E$2:$E1003, Datos!$F$2:$F1003=Q$1, Datos!$G$2:$G1003=Q$2, Datos!$A$2:$A1003=$A91)"),5692.306)</f>
        <v>5692.306</v>
      </c>
    </row>
    <row r="92">
      <c r="A92" s="18">
        <f t="shared" si="2"/>
        <v>87</v>
      </c>
      <c r="B92" s="19">
        <f>IFERROR(__xludf.DUMMYFUNCTION("FILTER(Datos!$D$2:$D1003, Datos!$F$2:$F1003=B$1, Datos!$G$2:$G1003=B$2, Datos!$A$2:$A1003=$A92)"),1909.833)</f>
        <v>1909.833</v>
      </c>
      <c r="C92" s="20">
        <f>IFERROR(__xludf.DUMMYFUNCTION("FILTER(Datos!$E$2:$E1003, Datos!$F$2:$F1003=C$1, Datos!$G$2:$G1003=C$2, Datos!$A$2:$A1003=$A92)"),1996.079)</f>
        <v>1996.079</v>
      </c>
      <c r="D92" s="20">
        <f>IFERROR(__xludf.DUMMYFUNCTION("FILTER(Datos!$D$2:$D1003, Datos!$F$2:$F1003=D$1, Datos!$G$2:$G1003=D$2, Datos!$A$2:$A1003=$A92)"),2163.667)</f>
        <v>2163.667</v>
      </c>
      <c r="E92" s="20">
        <f>IFERROR(__xludf.DUMMYFUNCTION("FILTER(Datos!$E$2:$E1003, Datos!$F$2:$F1003=E$1, Datos!$G$2:$G1003=E$2, Datos!$A$2:$A1003=$A92)"),2292.068)</f>
        <v>2292.068</v>
      </c>
      <c r="F92" s="20">
        <f>IFERROR(__xludf.DUMMYFUNCTION("FILTER(Datos!$D$2:$D1003, Datos!$F$2:$F1003=F$1, Datos!$G$2:$G1003=F$2, Datos!$A$2:$A1003=$A92)"),3416.0)</f>
        <v>3416</v>
      </c>
      <c r="G92" s="20">
        <f>IFERROR(__xludf.DUMMYFUNCTION("FILTER(Datos!$E$2:$E1003, Datos!$F$2:$F1003=G$1, Datos!$G$2:$G1003=G$2, Datos!$A$2:$A1003=$A92)"),5139.57)</f>
        <v>5139.57</v>
      </c>
      <c r="H92" s="20">
        <f>IFERROR(__xludf.DUMMYFUNCTION("FILTER(Datos!$D$2:$D1003, Datos!$F$2:$F1003=H$1, Datos!$G$2:$G1003=H$2, Datos!$A$2:$A1003=$A92)"),4262.467)</f>
        <v>4262.467</v>
      </c>
      <c r="I92" s="21">
        <f>IFERROR(__xludf.DUMMYFUNCTION("FILTER(Datos!$E$2:$E1003, Datos!$F$2:$F1003=I$1, Datos!$G$2:$G1003=I$2, Datos!$A$2:$A1003=$A92)"),6685.562)</f>
        <v>6685.562</v>
      </c>
      <c r="J92" s="20">
        <f>IFERROR(__xludf.DUMMYFUNCTION("FILTER(Datos!$D$2:$D1003, Datos!$F$2:$F1003=J$1, Datos!$G$2:$G1003=J$2, Datos!$A$2:$A1003=$A92)"),1820.933)</f>
        <v>1820.933</v>
      </c>
      <c r="K92" s="20">
        <f>IFERROR(__xludf.DUMMYFUNCTION("FILTER(Datos!$E$2:$E1003, Datos!$F$2:$F1003=K$1, Datos!$G$2:$G1003=K$2, Datos!$A$2:$A1003=$A92)"),2294.994)</f>
        <v>2294.994</v>
      </c>
      <c r="L92" s="20">
        <f>IFERROR(__xludf.DUMMYFUNCTION("FILTER(Datos!$D$2:$D1003, Datos!$F$2:$F1003=L$1, Datos!$G$2:$G1003=L$2, Datos!$A$2:$A1003=$A92)"),2129.767)</f>
        <v>2129.767</v>
      </c>
      <c r="M92" s="20">
        <f>IFERROR(__xludf.DUMMYFUNCTION("FILTER(Datos!$E$2:$E1003, Datos!$F$2:$F1003=M$1, Datos!$G$2:$G1003=M$2, Datos!$A$2:$A1003=$A92)"),2830.824)</f>
        <v>2830.824</v>
      </c>
      <c r="N92" s="20">
        <f>IFERROR(__xludf.DUMMYFUNCTION("FILTER(Datos!$D$2:$D1003, Datos!$F$2:$F1003=N$1, Datos!$G$2:$G1003=N$2, Datos!$A$2:$A1003=$A92)"),2669.233)</f>
        <v>2669.233</v>
      </c>
      <c r="O92" s="20">
        <f>IFERROR(__xludf.DUMMYFUNCTION("FILTER(Datos!$E$2:$E1003, Datos!$F$2:$F1003=O$1, Datos!$G$2:$G1003=O$2, Datos!$A$2:$A1003=$A92)"),4051.824)</f>
        <v>4051.824</v>
      </c>
      <c r="P92" s="20">
        <f>IFERROR(__xludf.DUMMYFUNCTION("FILTER(Datos!$D$2:$D1003, Datos!$F$2:$F1003=P$1, Datos!$G$2:$G1003=P$2, Datos!$A$2:$A1003=$A92)"),3503.167)</f>
        <v>3503.167</v>
      </c>
      <c r="Q92" s="21">
        <f>IFERROR(__xludf.DUMMYFUNCTION("FILTER(Datos!$E$2:$E1003, Datos!$F$2:$F1003=Q$1, Datos!$G$2:$G1003=Q$2, Datos!$A$2:$A1003=$A92)"),5662.959)</f>
        <v>5662.959</v>
      </c>
    </row>
    <row r="93">
      <c r="A93" s="18">
        <f t="shared" si="2"/>
        <v>88</v>
      </c>
      <c r="B93" s="19">
        <f>IFERROR(__xludf.DUMMYFUNCTION("FILTER(Datos!$D$2:$D1003, Datos!$F$2:$F1003=B$1, Datos!$G$2:$G1003=B$2, Datos!$A$2:$A1003=$A93)"),1909.833)</f>
        <v>1909.833</v>
      </c>
      <c r="C93" s="20">
        <f>IFERROR(__xludf.DUMMYFUNCTION("FILTER(Datos!$E$2:$E1003, Datos!$F$2:$F1003=C$1, Datos!$G$2:$G1003=C$2, Datos!$A$2:$A1003=$A93)"),1993.156)</f>
        <v>1993.156</v>
      </c>
      <c r="D93" s="20">
        <f>IFERROR(__xludf.DUMMYFUNCTION("FILTER(Datos!$D$2:$D1003, Datos!$F$2:$F1003=D$1, Datos!$G$2:$G1003=D$2, Datos!$A$2:$A1003=$A93)"),2163.667)</f>
        <v>2163.667</v>
      </c>
      <c r="E93" s="20">
        <f>IFERROR(__xludf.DUMMYFUNCTION("FILTER(Datos!$E$2:$E1003, Datos!$F$2:$F1003=E$1, Datos!$G$2:$G1003=E$2, Datos!$A$2:$A1003=$A93)"),2293.544)</f>
        <v>2293.544</v>
      </c>
      <c r="F93" s="20">
        <f>IFERROR(__xludf.DUMMYFUNCTION("FILTER(Datos!$D$2:$D1003, Datos!$F$2:$F1003=F$1, Datos!$G$2:$G1003=F$2, Datos!$A$2:$A1003=$A93)"),3394.767)</f>
        <v>3394.767</v>
      </c>
      <c r="G93" s="20">
        <f>IFERROR(__xludf.DUMMYFUNCTION("FILTER(Datos!$E$2:$E1003, Datos!$F$2:$F1003=G$1, Datos!$G$2:$G1003=G$2, Datos!$A$2:$A1003=$A93)"),5092.035)</f>
        <v>5092.035</v>
      </c>
      <c r="H93" s="20">
        <f>IFERROR(__xludf.DUMMYFUNCTION("FILTER(Datos!$D$2:$D1003, Datos!$F$2:$F1003=H$1, Datos!$G$2:$G1003=H$2, Datos!$A$2:$A1003=$A93)"),4250.0)</f>
        <v>4250</v>
      </c>
      <c r="I93" s="21">
        <f>IFERROR(__xludf.DUMMYFUNCTION("FILTER(Datos!$E$2:$E1003, Datos!$F$2:$F1003=I$1, Datos!$G$2:$G1003=I$2, Datos!$A$2:$A1003=$A93)"),6679.454)</f>
        <v>6679.454</v>
      </c>
      <c r="J93" s="20">
        <f>IFERROR(__xludf.DUMMYFUNCTION("FILTER(Datos!$D$2:$D1003, Datos!$F$2:$F1003=J$1, Datos!$G$2:$G1003=J$2, Datos!$A$2:$A1003=$A93)"),1820.933)</f>
        <v>1820.933</v>
      </c>
      <c r="K93" s="20">
        <f>IFERROR(__xludf.DUMMYFUNCTION("FILTER(Datos!$E$2:$E1003, Datos!$F$2:$F1003=K$1, Datos!$G$2:$G1003=K$2, Datos!$A$2:$A1003=$A93)"),2295.294)</f>
        <v>2295.294</v>
      </c>
      <c r="L93" s="20">
        <f>IFERROR(__xludf.DUMMYFUNCTION("FILTER(Datos!$D$2:$D1003, Datos!$F$2:$F1003=L$1, Datos!$G$2:$G1003=L$2, Datos!$A$2:$A1003=$A93)"),2129.767)</f>
        <v>2129.767</v>
      </c>
      <c r="M93" s="20">
        <f>IFERROR(__xludf.DUMMYFUNCTION("FILTER(Datos!$E$2:$E1003, Datos!$F$2:$F1003=M$1, Datos!$G$2:$G1003=M$2, Datos!$A$2:$A1003=$A93)"),2833.634)</f>
        <v>2833.634</v>
      </c>
      <c r="N93" s="20">
        <f>IFERROR(__xludf.DUMMYFUNCTION("FILTER(Datos!$D$2:$D1003, Datos!$F$2:$F1003=N$1, Datos!$G$2:$G1003=N$2, Datos!$A$2:$A1003=$A93)"),2669.233)</f>
        <v>2669.233</v>
      </c>
      <c r="O93" s="20">
        <f>IFERROR(__xludf.DUMMYFUNCTION("FILTER(Datos!$E$2:$E1003, Datos!$F$2:$F1003=O$1, Datos!$G$2:$G1003=O$2, Datos!$A$2:$A1003=$A93)"),4015.788)</f>
        <v>4015.788</v>
      </c>
      <c r="P93" s="20">
        <f>IFERROR(__xludf.DUMMYFUNCTION("FILTER(Datos!$D$2:$D1003, Datos!$F$2:$F1003=P$1, Datos!$G$2:$G1003=P$2, Datos!$A$2:$A1003=$A93)"),3478.233)</f>
        <v>3478.233</v>
      </c>
      <c r="Q93" s="21">
        <f>IFERROR(__xludf.DUMMYFUNCTION("FILTER(Datos!$E$2:$E1003, Datos!$F$2:$F1003=Q$1, Datos!$G$2:$G1003=Q$2, Datos!$A$2:$A1003=$A93)"),5646.919)</f>
        <v>5646.919</v>
      </c>
    </row>
    <row r="94">
      <c r="A94" s="18">
        <f t="shared" si="2"/>
        <v>89</v>
      </c>
      <c r="B94" s="19">
        <f>IFERROR(__xludf.DUMMYFUNCTION("FILTER(Datos!$D$2:$D1003, Datos!$F$2:$F1003=B$1, Datos!$G$2:$G1003=B$2, Datos!$A$2:$A1003=$A94)"),1909.833)</f>
        <v>1909.833</v>
      </c>
      <c r="C94" s="20">
        <f>IFERROR(__xludf.DUMMYFUNCTION("FILTER(Datos!$E$2:$E1003, Datos!$F$2:$F1003=C$1, Datos!$G$2:$G1003=C$2, Datos!$A$2:$A1003=$A94)"),1993.087)</f>
        <v>1993.087</v>
      </c>
      <c r="D94" s="20">
        <f>IFERROR(__xludf.DUMMYFUNCTION("FILTER(Datos!$D$2:$D1003, Datos!$F$2:$F1003=D$1, Datos!$G$2:$G1003=D$2, Datos!$A$2:$A1003=$A94)"),2162.9)</f>
        <v>2162.9</v>
      </c>
      <c r="E94" s="20">
        <f>IFERROR(__xludf.DUMMYFUNCTION("FILTER(Datos!$E$2:$E1003, Datos!$F$2:$F1003=E$1, Datos!$G$2:$G1003=E$2, Datos!$A$2:$A1003=$A94)"),2293.144)</f>
        <v>2293.144</v>
      </c>
      <c r="F94" s="20">
        <f>IFERROR(__xludf.DUMMYFUNCTION("FILTER(Datos!$D$2:$D1003, Datos!$F$2:$F1003=F$1, Datos!$G$2:$G1003=F$2, Datos!$A$2:$A1003=$A94)"),3370.467)</f>
        <v>3370.467</v>
      </c>
      <c r="G94" s="20">
        <f>IFERROR(__xludf.DUMMYFUNCTION("FILTER(Datos!$E$2:$E1003, Datos!$F$2:$F1003=G$1, Datos!$G$2:$G1003=G$2, Datos!$A$2:$A1003=$A94)"),5042.993)</f>
        <v>5042.993</v>
      </c>
      <c r="H94" s="20">
        <f>IFERROR(__xludf.DUMMYFUNCTION("FILTER(Datos!$D$2:$D1003, Datos!$F$2:$F1003=H$1, Datos!$G$2:$G1003=H$2, Datos!$A$2:$A1003=$A94)"),4249.967)</f>
        <v>4249.967</v>
      </c>
      <c r="I94" s="21">
        <f>IFERROR(__xludf.DUMMYFUNCTION("FILTER(Datos!$E$2:$E1003, Datos!$F$2:$F1003=I$1, Datos!$G$2:$G1003=I$2, Datos!$A$2:$A1003=$A94)"),6655.812)</f>
        <v>6655.812</v>
      </c>
      <c r="J94" s="20">
        <f>IFERROR(__xludf.DUMMYFUNCTION("FILTER(Datos!$D$2:$D1003, Datos!$F$2:$F1003=J$1, Datos!$G$2:$G1003=J$2, Datos!$A$2:$A1003=$A94)"),1820.933)</f>
        <v>1820.933</v>
      </c>
      <c r="K94" s="20">
        <f>IFERROR(__xludf.DUMMYFUNCTION("FILTER(Datos!$E$2:$E1003, Datos!$F$2:$F1003=K$1, Datos!$G$2:$G1003=K$2, Datos!$A$2:$A1003=$A94)"),2298.469)</f>
        <v>2298.469</v>
      </c>
      <c r="L94" s="20">
        <f>IFERROR(__xludf.DUMMYFUNCTION("FILTER(Datos!$D$2:$D1003, Datos!$F$2:$F1003=L$1, Datos!$G$2:$G1003=L$2, Datos!$A$2:$A1003=$A94)"),2128.9)</f>
        <v>2128.9</v>
      </c>
      <c r="M94" s="20">
        <f>IFERROR(__xludf.DUMMYFUNCTION("FILTER(Datos!$E$2:$E1003, Datos!$F$2:$F1003=M$1, Datos!$G$2:$G1003=M$2, Datos!$A$2:$A1003=$A94)"),2839.025)</f>
        <v>2839.025</v>
      </c>
      <c r="N94" s="20">
        <f>IFERROR(__xludf.DUMMYFUNCTION("FILTER(Datos!$D$2:$D1003, Datos!$F$2:$F1003=N$1, Datos!$G$2:$G1003=N$2, Datos!$A$2:$A1003=$A94)"),2669.067)</f>
        <v>2669.067</v>
      </c>
      <c r="O94" s="20">
        <f>IFERROR(__xludf.DUMMYFUNCTION("FILTER(Datos!$E$2:$E1003, Datos!$F$2:$F1003=O$1, Datos!$G$2:$G1003=O$2, Datos!$A$2:$A1003=$A94)"),3998.5)</f>
        <v>3998.5</v>
      </c>
      <c r="P94" s="20">
        <f>IFERROR(__xludf.DUMMYFUNCTION("FILTER(Datos!$D$2:$D1003, Datos!$F$2:$F1003=P$1, Datos!$G$2:$G1003=P$2, Datos!$A$2:$A1003=$A94)"),3463.533)</f>
        <v>3463.533</v>
      </c>
      <c r="Q94" s="21">
        <f>IFERROR(__xludf.DUMMYFUNCTION("FILTER(Datos!$E$2:$E1003, Datos!$F$2:$F1003=Q$1, Datos!$G$2:$G1003=Q$2, Datos!$A$2:$A1003=$A94)"),5645.374)</f>
        <v>5645.374</v>
      </c>
    </row>
    <row r="95">
      <c r="A95" s="18">
        <f t="shared" si="2"/>
        <v>90</v>
      </c>
      <c r="B95" s="19">
        <f>IFERROR(__xludf.DUMMYFUNCTION("FILTER(Datos!$D$2:$D1003, Datos!$F$2:$F1003=B$1, Datos!$G$2:$G1003=B$2, Datos!$A$2:$A1003=$A95)"),1909.833)</f>
        <v>1909.833</v>
      </c>
      <c r="C95" s="20">
        <f>IFERROR(__xludf.DUMMYFUNCTION("FILTER(Datos!$E$2:$E1003, Datos!$F$2:$F1003=C$1, Datos!$G$2:$G1003=C$2, Datos!$A$2:$A1003=$A95)"),1988.572)</f>
        <v>1988.572</v>
      </c>
      <c r="D95" s="20">
        <f>IFERROR(__xludf.DUMMYFUNCTION("FILTER(Datos!$D$2:$D1003, Datos!$F$2:$F1003=D$1, Datos!$G$2:$G1003=D$2, Datos!$A$2:$A1003=$A95)"),2162.9)</f>
        <v>2162.9</v>
      </c>
      <c r="E95" s="20">
        <f>IFERROR(__xludf.DUMMYFUNCTION("FILTER(Datos!$E$2:$E1003, Datos!$F$2:$F1003=E$1, Datos!$G$2:$G1003=E$2, Datos!$A$2:$A1003=$A95)"),2291.152)</f>
        <v>2291.152</v>
      </c>
      <c r="F95" s="20">
        <f>IFERROR(__xludf.DUMMYFUNCTION("FILTER(Datos!$D$2:$D1003, Datos!$F$2:$F1003=F$1, Datos!$G$2:$G1003=F$2, Datos!$A$2:$A1003=$A95)"),3343.967)</f>
        <v>3343.967</v>
      </c>
      <c r="G95" s="20">
        <f>IFERROR(__xludf.DUMMYFUNCTION("FILTER(Datos!$E$2:$E1003, Datos!$F$2:$F1003=G$1, Datos!$G$2:$G1003=G$2, Datos!$A$2:$A1003=$A95)"),5009.833)</f>
        <v>5009.833</v>
      </c>
      <c r="H95" s="20">
        <f>IFERROR(__xludf.DUMMYFUNCTION("FILTER(Datos!$D$2:$D1003, Datos!$F$2:$F1003=H$1, Datos!$G$2:$G1003=H$2, Datos!$A$2:$A1003=$A95)"),4243.633)</f>
        <v>4243.633</v>
      </c>
      <c r="I95" s="21">
        <f>IFERROR(__xludf.DUMMYFUNCTION("FILTER(Datos!$E$2:$E1003, Datos!$F$2:$F1003=I$1, Datos!$G$2:$G1003=I$2, Datos!$A$2:$A1003=$A95)"),6631.83)</f>
        <v>6631.83</v>
      </c>
      <c r="J95" s="20">
        <f>IFERROR(__xludf.DUMMYFUNCTION("FILTER(Datos!$D$2:$D1003, Datos!$F$2:$F1003=J$1, Datos!$G$2:$G1003=J$2, Datos!$A$2:$A1003=$A95)"),1820.933)</f>
        <v>1820.933</v>
      </c>
      <c r="K95" s="20">
        <f>IFERROR(__xludf.DUMMYFUNCTION("FILTER(Datos!$E$2:$E1003, Datos!$F$2:$F1003=K$1, Datos!$G$2:$G1003=K$2, Datos!$A$2:$A1003=$A95)"),2293.827)</f>
        <v>2293.827</v>
      </c>
      <c r="L95" s="20">
        <f>IFERROR(__xludf.DUMMYFUNCTION("FILTER(Datos!$D$2:$D1003, Datos!$F$2:$F1003=L$1, Datos!$G$2:$G1003=L$2, Datos!$A$2:$A1003=$A95)"),2128.9)</f>
        <v>2128.9</v>
      </c>
      <c r="M95" s="20">
        <f>IFERROR(__xludf.DUMMYFUNCTION("FILTER(Datos!$E$2:$E1003, Datos!$F$2:$F1003=M$1, Datos!$G$2:$G1003=M$2, Datos!$A$2:$A1003=$A95)"),2839.629)</f>
        <v>2839.629</v>
      </c>
      <c r="N95" s="20">
        <f>IFERROR(__xludf.DUMMYFUNCTION("FILTER(Datos!$D$2:$D1003, Datos!$F$2:$F1003=N$1, Datos!$G$2:$G1003=N$2, Datos!$A$2:$A1003=$A95)"),2666.867)</f>
        <v>2666.867</v>
      </c>
      <c r="O95" s="20">
        <f>IFERROR(__xludf.DUMMYFUNCTION("FILTER(Datos!$E$2:$E1003, Datos!$F$2:$F1003=O$1, Datos!$G$2:$G1003=O$2, Datos!$A$2:$A1003=$A95)"),3974.535)</f>
        <v>3974.535</v>
      </c>
      <c r="P95" s="20">
        <f>IFERROR(__xludf.DUMMYFUNCTION("FILTER(Datos!$D$2:$D1003, Datos!$F$2:$F1003=P$1, Datos!$G$2:$G1003=P$2, Datos!$A$2:$A1003=$A95)"),3450.833)</f>
        <v>3450.833</v>
      </c>
      <c r="Q95" s="21">
        <f>IFERROR(__xludf.DUMMYFUNCTION("FILTER(Datos!$E$2:$E1003, Datos!$F$2:$F1003=Q$1, Datos!$G$2:$G1003=Q$2, Datos!$A$2:$A1003=$A95)"),5631.207)</f>
        <v>5631.207</v>
      </c>
    </row>
    <row r="96">
      <c r="A96" s="18">
        <f t="shared" si="2"/>
        <v>91</v>
      </c>
      <c r="B96" s="19">
        <f>IFERROR(__xludf.DUMMYFUNCTION("FILTER(Datos!$D$2:$D1003, Datos!$F$2:$F1003=B$1, Datos!$G$2:$G1003=B$2, Datos!$A$2:$A1003=$A96)"),1909.833)</f>
        <v>1909.833</v>
      </c>
      <c r="C96" s="20">
        <f>IFERROR(__xludf.DUMMYFUNCTION("FILTER(Datos!$E$2:$E1003, Datos!$F$2:$F1003=C$1, Datos!$G$2:$G1003=C$2, Datos!$A$2:$A1003=$A96)"),1990.465)</f>
        <v>1990.465</v>
      </c>
      <c r="D96" s="20">
        <f>IFERROR(__xludf.DUMMYFUNCTION("FILTER(Datos!$D$2:$D1003, Datos!$F$2:$F1003=D$1, Datos!$G$2:$G1003=D$2, Datos!$A$2:$A1003=$A96)"),2162.9)</f>
        <v>2162.9</v>
      </c>
      <c r="E96" s="20">
        <f>IFERROR(__xludf.DUMMYFUNCTION("FILTER(Datos!$E$2:$E1003, Datos!$F$2:$F1003=E$1, Datos!$G$2:$G1003=E$2, Datos!$A$2:$A1003=$A96)"),2286.565)</f>
        <v>2286.565</v>
      </c>
      <c r="F96" s="20">
        <f>IFERROR(__xludf.DUMMYFUNCTION("FILTER(Datos!$D$2:$D1003, Datos!$F$2:$F1003=F$1, Datos!$G$2:$G1003=F$2, Datos!$A$2:$A1003=$A96)"),3326.067)</f>
        <v>3326.067</v>
      </c>
      <c r="G96" s="20">
        <f>IFERROR(__xludf.DUMMYFUNCTION("FILTER(Datos!$E$2:$E1003, Datos!$F$2:$F1003=G$1, Datos!$G$2:$G1003=G$2, Datos!$A$2:$A1003=$A96)"),4966.006)</f>
        <v>4966.006</v>
      </c>
      <c r="H96" s="20">
        <f>IFERROR(__xludf.DUMMYFUNCTION("FILTER(Datos!$D$2:$D1003, Datos!$F$2:$F1003=H$1, Datos!$G$2:$G1003=H$2, Datos!$A$2:$A1003=$A96)"),4243.633)</f>
        <v>4243.633</v>
      </c>
      <c r="I96" s="21">
        <f>IFERROR(__xludf.DUMMYFUNCTION("FILTER(Datos!$E$2:$E1003, Datos!$F$2:$F1003=I$1, Datos!$G$2:$G1003=I$2, Datos!$A$2:$A1003=$A96)"),6622.004)</f>
        <v>6622.004</v>
      </c>
      <c r="J96" s="20">
        <f>IFERROR(__xludf.DUMMYFUNCTION("FILTER(Datos!$D$2:$D1003, Datos!$F$2:$F1003=J$1, Datos!$G$2:$G1003=J$2, Datos!$A$2:$A1003=$A96)"),1818.8)</f>
        <v>1818.8</v>
      </c>
      <c r="K96" s="20">
        <f>IFERROR(__xludf.DUMMYFUNCTION("FILTER(Datos!$E$2:$E1003, Datos!$F$2:$F1003=K$1, Datos!$G$2:$G1003=K$2, Datos!$A$2:$A1003=$A96)"),2291.709)</f>
        <v>2291.709</v>
      </c>
      <c r="L96" s="20">
        <f>IFERROR(__xludf.DUMMYFUNCTION("FILTER(Datos!$D$2:$D1003, Datos!$F$2:$F1003=L$1, Datos!$G$2:$G1003=L$2, Datos!$A$2:$A1003=$A96)"),2128.233)</f>
        <v>2128.233</v>
      </c>
      <c r="M96" s="20">
        <f>IFERROR(__xludf.DUMMYFUNCTION("FILTER(Datos!$E$2:$E1003, Datos!$F$2:$F1003=M$1, Datos!$G$2:$G1003=M$2, Datos!$A$2:$A1003=$A96)"),2834.717)</f>
        <v>2834.717</v>
      </c>
      <c r="N96" s="20">
        <f>IFERROR(__xludf.DUMMYFUNCTION("FILTER(Datos!$D$2:$D1003, Datos!$F$2:$F1003=N$1, Datos!$G$2:$G1003=N$2, Datos!$A$2:$A1003=$A96)"),2665.567)</f>
        <v>2665.567</v>
      </c>
      <c r="O96" s="20">
        <f>IFERROR(__xludf.DUMMYFUNCTION("FILTER(Datos!$E$2:$E1003, Datos!$F$2:$F1003=O$1, Datos!$G$2:$G1003=O$2, Datos!$A$2:$A1003=$A96)"),3948.002)</f>
        <v>3948.002</v>
      </c>
      <c r="P96" s="20">
        <f>IFERROR(__xludf.DUMMYFUNCTION("FILTER(Datos!$D$2:$D1003, Datos!$F$2:$F1003=P$1, Datos!$G$2:$G1003=P$2, Datos!$A$2:$A1003=$A96)"),3443.0)</f>
        <v>3443</v>
      </c>
      <c r="Q96" s="21">
        <f>IFERROR(__xludf.DUMMYFUNCTION("FILTER(Datos!$E$2:$E1003, Datos!$F$2:$F1003=Q$1, Datos!$G$2:$G1003=Q$2, Datos!$A$2:$A1003=$A96)"),5620.292)</f>
        <v>5620.292</v>
      </c>
    </row>
    <row r="97">
      <c r="A97" s="18">
        <f t="shared" si="2"/>
        <v>92</v>
      </c>
      <c r="B97" s="19">
        <f>IFERROR(__xludf.DUMMYFUNCTION("FILTER(Datos!$D$2:$D1003, Datos!$F$2:$F1003=B$1, Datos!$G$2:$G1003=B$2, Datos!$A$2:$A1003=$A97)"),1909.833)</f>
        <v>1909.833</v>
      </c>
      <c r="C97" s="20">
        <f>IFERROR(__xludf.DUMMYFUNCTION("FILTER(Datos!$E$2:$E1003, Datos!$F$2:$F1003=C$1, Datos!$G$2:$G1003=C$2, Datos!$A$2:$A1003=$A97)"),1989.148)</f>
        <v>1989.148</v>
      </c>
      <c r="D97" s="20">
        <f>IFERROR(__xludf.DUMMYFUNCTION("FILTER(Datos!$D$2:$D1003, Datos!$F$2:$F1003=D$1, Datos!$G$2:$G1003=D$2, Datos!$A$2:$A1003=$A97)"),2162.9)</f>
        <v>2162.9</v>
      </c>
      <c r="E97" s="20">
        <f>IFERROR(__xludf.DUMMYFUNCTION("FILTER(Datos!$E$2:$E1003, Datos!$F$2:$F1003=E$1, Datos!$G$2:$G1003=E$2, Datos!$A$2:$A1003=$A97)"),2288.949)</f>
        <v>2288.949</v>
      </c>
      <c r="F97" s="20">
        <f>IFERROR(__xludf.DUMMYFUNCTION("FILTER(Datos!$D$2:$D1003, Datos!$F$2:$F1003=F$1, Datos!$G$2:$G1003=F$2, Datos!$A$2:$A1003=$A97)"),3316.1)</f>
        <v>3316.1</v>
      </c>
      <c r="G97" s="20">
        <f>IFERROR(__xludf.DUMMYFUNCTION("FILTER(Datos!$E$2:$E1003, Datos!$F$2:$F1003=G$1, Datos!$G$2:$G1003=G$2, Datos!$A$2:$A1003=$A97)"),4904.628)</f>
        <v>4904.628</v>
      </c>
      <c r="H97" s="20">
        <f>IFERROR(__xludf.DUMMYFUNCTION("FILTER(Datos!$D$2:$D1003, Datos!$F$2:$F1003=H$1, Datos!$G$2:$G1003=H$2, Datos!$A$2:$A1003=$A97)"),4235.667)</f>
        <v>4235.667</v>
      </c>
      <c r="I97" s="21">
        <f>IFERROR(__xludf.DUMMYFUNCTION("FILTER(Datos!$E$2:$E1003, Datos!$F$2:$F1003=I$1, Datos!$G$2:$G1003=I$2, Datos!$A$2:$A1003=$A97)"),6610.565)</f>
        <v>6610.565</v>
      </c>
      <c r="J97" s="20">
        <f>IFERROR(__xludf.DUMMYFUNCTION("FILTER(Datos!$D$2:$D1003, Datos!$F$2:$F1003=J$1, Datos!$G$2:$G1003=J$2, Datos!$A$2:$A1003=$A97)"),1818.8)</f>
        <v>1818.8</v>
      </c>
      <c r="K97" s="20">
        <f>IFERROR(__xludf.DUMMYFUNCTION("FILTER(Datos!$E$2:$E1003, Datos!$F$2:$F1003=K$1, Datos!$G$2:$G1003=K$2, Datos!$A$2:$A1003=$A97)"),2288.366)</f>
        <v>2288.366</v>
      </c>
      <c r="L97" s="20">
        <f>IFERROR(__xludf.DUMMYFUNCTION("FILTER(Datos!$D$2:$D1003, Datos!$F$2:$F1003=L$1, Datos!$G$2:$G1003=L$2, Datos!$A$2:$A1003=$A97)"),2128.133)</f>
        <v>2128.133</v>
      </c>
      <c r="M97" s="20">
        <f>IFERROR(__xludf.DUMMYFUNCTION("FILTER(Datos!$E$2:$E1003, Datos!$F$2:$F1003=M$1, Datos!$G$2:$G1003=M$2, Datos!$A$2:$A1003=$A97)"),2830.744)</f>
        <v>2830.744</v>
      </c>
      <c r="N97" s="20">
        <f>IFERROR(__xludf.DUMMYFUNCTION("FILTER(Datos!$D$2:$D1003, Datos!$F$2:$F1003=N$1, Datos!$G$2:$G1003=N$2, Datos!$A$2:$A1003=$A97)"),2665.3)</f>
        <v>2665.3</v>
      </c>
      <c r="O97" s="20">
        <f>IFERROR(__xludf.DUMMYFUNCTION("FILTER(Datos!$E$2:$E1003, Datos!$F$2:$F1003=O$1, Datos!$G$2:$G1003=O$2, Datos!$A$2:$A1003=$A97)"),3954.177)</f>
        <v>3954.177</v>
      </c>
      <c r="P97" s="20">
        <f>IFERROR(__xludf.DUMMYFUNCTION("FILTER(Datos!$D$2:$D1003, Datos!$F$2:$F1003=P$1, Datos!$G$2:$G1003=P$2, Datos!$A$2:$A1003=$A97)"),3434.1)</f>
        <v>3434.1</v>
      </c>
      <c r="Q97" s="21">
        <f>IFERROR(__xludf.DUMMYFUNCTION("FILTER(Datos!$E$2:$E1003, Datos!$F$2:$F1003=Q$1, Datos!$G$2:$G1003=Q$2, Datos!$A$2:$A1003=$A97)"),5575.921)</f>
        <v>5575.921</v>
      </c>
    </row>
    <row r="98">
      <c r="A98" s="18">
        <f t="shared" si="2"/>
        <v>93</v>
      </c>
      <c r="B98" s="19">
        <f>IFERROR(__xludf.DUMMYFUNCTION("FILTER(Datos!$D$2:$D1003, Datos!$F$2:$F1003=B$1, Datos!$G$2:$G1003=B$2, Datos!$A$2:$A1003=$A98)"),1909.833)</f>
        <v>1909.833</v>
      </c>
      <c r="C98" s="20">
        <f>IFERROR(__xludf.DUMMYFUNCTION("FILTER(Datos!$E$2:$E1003, Datos!$F$2:$F1003=C$1, Datos!$G$2:$G1003=C$2, Datos!$A$2:$A1003=$A98)"),1992.139)</f>
        <v>1992.139</v>
      </c>
      <c r="D98" s="20">
        <f>IFERROR(__xludf.DUMMYFUNCTION("FILTER(Datos!$D$2:$D1003, Datos!$F$2:$F1003=D$1, Datos!$G$2:$G1003=D$2, Datos!$A$2:$A1003=$A98)"),2162.9)</f>
        <v>2162.9</v>
      </c>
      <c r="E98" s="20">
        <f>IFERROR(__xludf.DUMMYFUNCTION("FILTER(Datos!$E$2:$E1003, Datos!$F$2:$F1003=E$1, Datos!$G$2:$G1003=E$2, Datos!$A$2:$A1003=$A98)"),2287.687)</f>
        <v>2287.687</v>
      </c>
      <c r="F98" s="20">
        <f>IFERROR(__xludf.DUMMYFUNCTION("FILTER(Datos!$D$2:$D1003, Datos!$F$2:$F1003=F$1, Datos!$G$2:$G1003=F$2, Datos!$A$2:$A1003=$A98)"),3309.767)</f>
        <v>3309.767</v>
      </c>
      <c r="G98" s="20">
        <f>IFERROR(__xludf.DUMMYFUNCTION("FILTER(Datos!$E$2:$E1003, Datos!$F$2:$F1003=G$1, Datos!$G$2:$G1003=G$2, Datos!$A$2:$A1003=$A98)"),4853.015)</f>
        <v>4853.015</v>
      </c>
      <c r="H98" s="20">
        <f>IFERROR(__xludf.DUMMYFUNCTION("FILTER(Datos!$D$2:$D1003, Datos!$F$2:$F1003=H$1, Datos!$G$2:$G1003=H$2, Datos!$A$2:$A1003=$A98)"),4225.733)</f>
        <v>4225.733</v>
      </c>
      <c r="I98" s="21">
        <f>IFERROR(__xludf.DUMMYFUNCTION("FILTER(Datos!$E$2:$E1003, Datos!$F$2:$F1003=I$1, Datos!$G$2:$G1003=I$2, Datos!$A$2:$A1003=$A98)"),6589.627)</f>
        <v>6589.627</v>
      </c>
      <c r="J98" s="20">
        <f>IFERROR(__xludf.DUMMYFUNCTION("FILTER(Datos!$D$2:$D1003, Datos!$F$2:$F1003=J$1, Datos!$G$2:$G1003=J$2, Datos!$A$2:$A1003=$A98)"),1818.8)</f>
        <v>1818.8</v>
      </c>
      <c r="K98" s="20">
        <f>IFERROR(__xludf.DUMMYFUNCTION("FILTER(Datos!$E$2:$E1003, Datos!$F$2:$F1003=K$1, Datos!$G$2:$G1003=K$2, Datos!$A$2:$A1003=$A98)"),2291.309)</f>
        <v>2291.309</v>
      </c>
      <c r="L98" s="20">
        <f>IFERROR(__xludf.DUMMYFUNCTION("FILTER(Datos!$D$2:$D1003, Datos!$F$2:$F1003=L$1, Datos!$G$2:$G1003=L$2, Datos!$A$2:$A1003=$A98)"),2128.133)</f>
        <v>2128.133</v>
      </c>
      <c r="M98" s="20">
        <f>IFERROR(__xludf.DUMMYFUNCTION("FILTER(Datos!$E$2:$E1003, Datos!$F$2:$F1003=M$1, Datos!$G$2:$G1003=M$2, Datos!$A$2:$A1003=$A98)"),2826.617)</f>
        <v>2826.617</v>
      </c>
      <c r="N98" s="20">
        <f>IFERROR(__xludf.DUMMYFUNCTION("FILTER(Datos!$D$2:$D1003, Datos!$F$2:$F1003=N$1, Datos!$G$2:$G1003=N$2, Datos!$A$2:$A1003=$A98)"),2657.3)</f>
        <v>2657.3</v>
      </c>
      <c r="O98" s="20">
        <f>IFERROR(__xludf.DUMMYFUNCTION("FILTER(Datos!$E$2:$E1003, Datos!$F$2:$F1003=O$1, Datos!$G$2:$G1003=O$2, Datos!$A$2:$A1003=$A98)"),3934.204)</f>
        <v>3934.204</v>
      </c>
      <c r="P98" s="20">
        <f>IFERROR(__xludf.DUMMYFUNCTION("FILTER(Datos!$D$2:$D1003, Datos!$F$2:$F1003=P$1, Datos!$G$2:$G1003=P$2, Datos!$A$2:$A1003=$A98)"),3427.9)</f>
        <v>3427.9</v>
      </c>
      <c r="Q98" s="21">
        <f>IFERROR(__xludf.DUMMYFUNCTION("FILTER(Datos!$E$2:$E1003, Datos!$F$2:$F1003=Q$1, Datos!$G$2:$G1003=Q$2, Datos!$A$2:$A1003=$A98)"),5564.542)</f>
        <v>5564.542</v>
      </c>
    </row>
    <row r="99">
      <c r="A99" s="18">
        <f t="shared" si="2"/>
        <v>94</v>
      </c>
      <c r="B99" s="19">
        <f>IFERROR(__xludf.DUMMYFUNCTION("FILTER(Datos!$D$2:$D1003, Datos!$F$2:$F1003=B$1, Datos!$G$2:$G1003=B$2, Datos!$A$2:$A1003=$A99)"),1909.833)</f>
        <v>1909.833</v>
      </c>
      <c r="C99" s="20">
        <f>IFERROR(__xludf.DUMMYFUNCTION("FILTER(Datos!$E$2:$E1003, Datos!$F$2:$F1003=C$1, Datos!$G$2:$G1003=C$2, Datos!$A$2:$A1003=$A99)"),1994.173)</f>
        <v>1994.173</v>
      </c>
      <c r="D99" s="20">
        <f>IFERROR(__xludf.DUMMYFUNCTION("FILTER(Datos!$D$2:$D1003, Datos!$F$2:$F1003=D$1, Datos!$G$2:$G1003=D$2, Datos!$A$2:$A1003=$A99)"),2162.9)</f>
        <v>2162.9</v>
      </c>
      <c r="E99" s="20">
        <f>IFERROR(__xludf.DUMMYFUNCTION("FILTER(Datos!$E$2:$E1003, Datos!$F$2:$F1003=E$1, Datos!$G$2:$G1003=E$2, Datos!$A$2:$A1003=$A99)"),2291.224)</f>
        <v>2291.224</v>
      </c>
      <c r="F99" s="20">
        <f>IFERROR(__xludf.DUMMYFUNCTION("FILTER(Datos!$D$2:$D1003, Datos!$F$2:$F1003=F$1, Datos!$G$2:$G1003=F$2, Datos!$A$2:$A1003=$A99)"),3295.5)</f>
        <v>3295.5</v>
      </c>
      <c r="G99" s="20">
        <f>IFERROR(__xludf.DUMMYFUNCTION("FILTER(Datos!$E$2:$E1003, Datos!$F$2:$F1003=G$1, Datos!$G$2:$G1003=G$2, Datos!$A$2:$A1003=$A99)"),4799.714)</f>
        <v>4799.714</v>
      </c>
      <c r="H99" s="20">
        <f>IFERROR(__xludf.DUMMYFUNCTION("FILTER(Datos!$D$2:$D1003, Datos!$F$2:$F1003=H$1, Datos!$G$2:$G1003=H$2, Datos!$A$2:$A1003=$A99)"),4207.9)</f>
        <v>4207.9</v>
      </c>
      <c r="I99" s="21">
        <f>IFERROR(__xludf.DUMMYFUNCTION("FILTER(Datos!$E$2:$E1003, Datos!$F$2:$F1003=I$1, Datos!$G$2:$G1003=I$2, Datos!$A$2:$A1003=$A99)"),6579.239)</f>
        <v>6579.239</v>
      </c>
      <c r="J99" s="20">
        <f>IFERROR(__xludf.DUMMYFUNCTION("FILTER(Datos!$D$2:$D1003, Datos!$F$2:$F1003=J$1, Datos!$G$2:$G1003=J$2, Datos!$A$2:$A1003=$A99)"),1818.8)</f>
        <v>1818.8</v>
      </c>
      <c r="K99" s="20">
        <f>IFERROR(__xludf.DUMMYFUNCTION("FILTER(Datos!$E$2:$E1003, Datos!$F$2:$F1003=K$1, Datos!$G$2:$G1003=K$2, Datos!$A$2:$A1003=$A99)"),2283.974)</f>
        <v>2283.974</v>
      </c>
      <c r="L99" s="20">
        <f>IFERROR(__xludf.DUMMYFUNCTION("FILTER(Datos!$D$2:$D1003, Datos!$F$2:$F1003=L$1, Datos!$G$2:$G1003=L$2, Datos!$A$2:$A1003=$A99)"),2127.8)</f>
        <v>2127.8</v>
      </c>
      <c r="M99" s="20">
        <f>IFERROR(__xludf.DUMMYFUNCTION("FILTER(Datos!$E$2:$E1003, Datos!$F$2:$F1003=M$1, Datos!$G$2:$G1003=M$2, Datos!$A$2:$A1003=$A99)"),2820.695)</f>
        <v>2820.695</v>
      </c>
      <c r="N99" s="20">
        <f>IFERROR(__xludf.DUMMYFUNCTION("FILTER(Datos!$D$2:$D1003, Datos!$F$2:$F1003=N$1, Datos!$G$2:$G1003=N$2, Datos!$A$2:$A1003=$A99)"),2642.433)</f>
        <v>2642.433</v>
      </c>
      <c r="O99" s="20">
        <f>IFERROR(__xludf.DUMMYFUNCTION("FILTER(Datos!$E$2:$E1003, Datos!$F$2:$F1003=O$1, Datos!$G$2:$G1003=O$2, Datos!$A$2:$A1003=$A99)"),3923.25)</f>
        <v>3923.25</v>
      </c>
      <c r="P99" s="20">
        <f>IFERROR(__xludf.DUMMYFUNCTION("FILTER(Datos!$D$2:$D1003, Datos!$F$2:$F1003=P$1, Datos!$G$2:$G1003=P$2, Datos!$A$2:$A1003=$A99)"),3423.567)</f>
        <v>3423.567</v>
      </c>
      <c r="Q99" s="21">
        <f>IFERROR(__xludf.DUMMYFUNCTION("FILTER(Datos!$E$2:$E1003, Datos!$F$2:$F1003=Q$1, Datos!$G$2:$G1003=Q$2, Datos!$A$2:$A1003=$A99)"),5532.932)</f>
        <v>5532.932</v>
      </c>
    </row>
    <row r="100">
      <c r="A100" s="18">
        <f t="shared" si="2"/>
        <v>95</v>
      </c>
      <c r="B100" s="19">
        <f>IFERROR(__xludf.DUMMYFUNCTION("FILTER(Datos!$D$2:$D1003, Datos!$F$2:$F1003=B$1, Datos!$G$2:$G1003=B$2, Datos!$A$2:$A1003=$A100)"),1909.833)</f>
        <v>1909.833</v>
      </c>
      <c r="C100" s="20">
        <f>IFERROR(__xludf.DUMMYFUNCTION("FILTER(Datos!$E$2:$E1003, Datos!$F$2:$F1003=C$1, Datos!$G$2:$G1003=C$2, Datos!$A$2:$A1003=$A100)"),1991.902)</f>
        <v>1991.902</v>
      </c>
      <c r="D100" s="20">
        <f>IFERROR(__xludf.DUMMYFUNCTION("FILTER(Datos!$D$2:$D1003, Datos!$F$2:$F1003=D$1, Datos!$G$2:$G1003=D$2, Datos!$A$2:$A1003=$A100)"),2162.9)</f>
        <v>2162.9</v>
      </c>
      <c r="E100" s="20">
        <f>IFERROR(__xludf.DUMMYFUNCTION("FILTER(Datos!$E$2:$E1003, Datos!$F$2:$F1003=E$1, Datos!$G$2:$G1003=E$2, Datos!$A$2:$A1003=$A100)"),2283.576)</f>
        <v>2283.576</v>
      </c>
      <c r="F100" s="20">
        <f>IFERROR(__xludf.DUMMYFUNCTION("FILTER(Datos!$D$2:$D1003, Datos!$F$2:$F1003=F$1, Datos!$G$2:$G1003=F$2, Datos!$A$2:$A1003=$A100)"),3245.5)</f>
        <v>3245.5</v>
      </c>
      <c r="G100" s="20">
        <f>IFERROR(__xludf.DUMMYFUNCTION("FILTER(Datos!$E$2:$E1003, Datos!$F$2:$F1003=G$1, Datos!$G$2:$G1003=G$2, Datos!$A$2:$A1003=$A100)"),4741.134)</f>
        <v>4741.134</v>
      </c>
      <c r="H100" s="20">
        <f>IFERROR(__xludf.DUMMYFUNCTION("FILTER(Datos!$D$2:$D1003, Datos!$F$2:$F1003=H$1, Datos!$G$2:$G1003=H$2, Datos!$A$2:$A1003=$A100)"),4202.9)</f>
        <v>4202.9</v>
      </c>
      <c r="I100" s="21">
        <f>IFERROR(__xludf.DUMMYFUNCTION("FILTER(Datos!$E$2:$E1003, Datos!$F$2:$F1003=I$1, Datos!$G$2:$G1003=I$2, Datos!$A$2:$A1003=$A100)"),6560.555)</f>
        <v>6560.555</v>
      </c>
      <c r="J100" s="20">
        <f>IFERROR(__xludf.DUMMYFUNCTION("FILTER(Datos!$D$2:$D1003, Datos!$F$2:$F1003=J$1, Datos!$G$2:$G1003=J$2, Datos!$A$2:$A1003=$A100)"),1818.8)</f>
        <v>1818.8</v>
      </c>
      <c r="K100" s="20">
        <f>IFERROR(__xludf.DUMMYFUNCTION("FILTER(Datos!$E$2:$E1003, Datos!$F$2:$F1003=K$1, Datos!$G$2:$G1003=K$2, Datos!$A$2:$A1003=$A100)"),2296.583)</f>
        <v>2296.583</v>
      </c>
      <c r="L100" s="20">
        <f>IFERROR(__xludf.DUMMYFUNCTION("FILTER(Datos!$D$2:$D1003, Datos!$F$2:$F1003=L$1, Datos!$G$2:$G1003=L$2, Datos!$A$2:$A1003=$A100)"),2127.8)</f>
        <v>2127.8</v>
      </c>
      <c r="M100" s="20">
        <f>IFERROR(__xludf.DUMMYFUNCTION("FILTER(Datos!$E$2:$E1003, Datos!$F$2:$F1003=M$1, Datos!$G$2:$G1003=M$2, Datos!$A$2:$A1003=$A100)"),2828.101)</f>
        <v>2828.101</v>
      </c>
      <c r="N100" s="20">
        <f>IFERROR(__xludf.DUMMYFUNCTION("FILTER(Datos!$D$2:$D1003, Datos!$F$2:$F1003=N$1, Datos!$G$2:$G1003=N$2, Datos!$A$2:$A1003=$A100)"),2638.167)</f>
        <v>2638.167</v>
      </c>
      <c r="O100" s="20">
        <f>IFERROR(__xludf.DUMMYFUNCTION("FILTER(Datos!$E$2:$E1003, Datos!$F$2:$F1003=O$1, Datos!$G$2:$G1003=O$2, Datos!$A$2:$A1003=$A100)"),3912.622)</f>
        <v>3912.622</v>
      </c>
      <c r="P100" s="20">
        <f>IFERROR(__xludf.DUMMYFUNCTION("FILTER(Datos!$D$2:$D1003, Datos!$F$2:$F1003=P$1, Datos!$G$2:$G1003=P$2, Datos!$A$2:$A1003=$A100)"),3413.733)</f>
        <v>3413.733</v>
      </c>
      <c r="Q100" s="21">
        <f>IFERROR(__xludf.DUMMYFUNCTION("FILTER(Datos!$E$2:$E1003, Datos!$F$2:$F1003=Q$1, Datos!$G$2:$G1003=Q$2, Datos!$A$2:$A1003=$A100)"),5502.785)</f>
        <v>5502.785</v>
      </c>
    </row>
    <row r="101">
      <c r="A101" s="18">
        <f t="shared" si="2"/>
        <v>96</v>
      </c>
      <c r="B101" s="19">
        <f>IFERROR(__xludf.DUMMYFUNCTION("FILTER(Datos!$D$2:$D1003, Datos!$F$2:$F1003=B$1, Datos!$G$2:$G1003=B$2, Datos!$A$2:$A1003=$A101)"),1909.833)</f>
        <v>1909.833</v>
      </c>
      <c r="C101" s="20">
        <f>IFERROR(__xludf.DUMMYFUNCTION("FILTER(Datos!$E$2:$E1003, Datos!$F$2:$F1003=C$1, Datos!$G$2:$G1003=C$2, Datos!$A$2:$A1003=$A101)"),1987.771)</f>
        <v>1987.771</v>
      </c>
      <c r="D101" s="20">
        <f>IFERROR(__xludf.DUMMYFUNCTION("FILTER(Datos!$D$2:$D1003, Datos!$F$2:$F1003=D$1, Datos!$G$2:$G1003=D$2, Datos!$A$2:$A1003=$A101)"),2162.9)</f>
        <v>2162.9</v>
      </c>
      <c r="E101" s="20">
        <f>IFERROR(__xludf.DUMMYFUNCTION("FILTER(Datos!$E$2:$E1003, Datos!$F$2:$F1003=E$1, Datos!$G$2:$G1003=E$2, Datos!$A$2:$A1003=$A101)"),2283.38)</f>
        <v>2283.38</v>
      </c>
      <c r="F101" s="20">
        <f>IFERROR(__xludf.DUMMYFUNCTION("FILTER(Datos!$D$2:$D1003, Datos!$F$2:$F1003=F$1, Datos!$G$2:$G1003=F$2, Datos!$A$2:$A1003=$A101)"),3224.933)</f>
        <v>3224.933</v>
      </c>
      <c r="G101" s="20">
        <f>IFERROR(__xludf.DUMMYFUNCTION("FILTER(Datos!$E$2:$E1003, Datos!$F$2:$F1003=G$1, Datos!$G$2:$G1003=G$2, Datos!$A$2:$A1003=$A101)"),4690.089)</f>
        <v>4690.089</v>
      </c>
      <c r="H101" s="20">
        <f>IFERROR(__xludf.DUMMYFUNCTION("FILTER(Datos!$D$2:$D1003, Datos!$F$2:$F1003=H$1, Datos!$G$2:$G1003=H$2, Datos!$A$2:$A1003=$A101)"),4193.967)</f>
        <v>4193.967</v>
      </c>
      <c r="I101" s="21">
        <f>IFERROR(__xludf.DUMMYFUNCTION("FILTER(Datos!$E$2:$E1003, Datos!$F$2:$F1003=I$1, Datos!$G$2:$G1003=I$2, Datos!$A$2:$A1003=$A101)"),6576.878)</f>
        <v>6576.878</v>
      </c>
      <c r="J101" s="20">
        <f>IFERROR(__xludf.DUMMYFUNCTION("FILTER(Datos!$D$2:$D1003, Datos!$F$2:$F1003=J$1, Datos!$G$2:$G1003=J$2, Datos!$A$2:$A1003=$A101)"),1818.8)</f>
        <v>1818.8</v>
      </c>
      <c r="K101" s="20">
        <f>IFERROR(__xludf.DUMMYFUNCTION("FILTER(Datos!$E$2:$E1003, Datos!$F$2:$F1003=K$1, Datos!$G$2:$G1003=K$2, Datos!$A$2:$A1003=$A101)"),2290.897)</f>
        <v>2290.897</v>
      </c>
      <c r="L101" s="20">
        <f>IFERROR(__xludf.DUMMYFUNCTION("FILTER(Datos!$D$2:$D1003, Datos!$F$2:$F1003=L$1, Datos!$G$2:$G1003=L$2, Datos!$A$2:$A1003=$A101)"),2127.8)</f>
        <v>2127.8</v>
      </c>
      <c r="M101" s="20">
        <f>IFERROR(__xludf.DUMMYFUNCTION("FILTER(Datos!$E$2:$E1003, Datos!$F$2:$F1003=M$1, Datos!$G$2:$G1003=M$2, Datos!$A$2:$A1003=$A101)"),2829.177)</f>
        <v>2829.177</v>
      </c>
      <c r="N101" s="20">
        <f>IFERROR(__xludf.DUMMYFUNCTION("FILTER(Datos!$D$2:$D1003, Datos!$F$2:$F1003=N$1, Datos!$G$2:$G1003=N$2, Datos!$A$2:$A1003=$A101)"),2631.267)</f>
        <v>2631.267</v>
      </c>
      <c r="O101" s="20">
        <f>IFERROR(__xludf.DUMMYFUNCTION("FILTER(Datos!$E$2:$E1003, Datos!$F$2:$F1003=O$1, Datos!$G$2:$G1003=O$2, Datos!$A$2:$A1003=$A101)"),3902.066)</f>
        <v>3902.066</v>
      </c>
      <c r="P101" s="20">
        <f>IFERROR(__xludf.DUMMYFUNCTION("FILTER(Datos!$D$2:$D1003, Datos!$F$2:$F1003=P$1, Datos!$G$2:$G1003=P$2, Datos!$A$2:$A1003=$A101)"),3405.2)</f>
        <v>3405.2</v>
      </c>
      <c r="Q101" s="21">
        <f>IFERROR(__xludf.DUMMYFUNCTION("FILTER(Datos!$E$2:$E1003, Datos!$F$2:$F1003=Q$1, Datos!$G$2:$G1003=Q$2, Datos!$A$2:$A1003=$A101)"),5473.356)</f>
        <v>5473.356</v>
      </c>
    </row>
    <row r="102">
      <c r="A102" s="18">
        <f t="shared" si="2"/>
        <v>97</v>
      </c>
      <c r="B102" s="19">
        <f>IFERROR(__xludf.DUMMYFUNCTION("FILTER(Datos!$D$2:$D1003, Datos!$F$2:$F1003=B$1, Datos!$G$2:$G1003=B$2, Datos!$A$2:$A1003=$A102)"),1909.833)</f>
        <v>1909.833</v>
      </c>
      <c r="C102" s="20">
        <f>IFERROR(__xludf.DUMMYFUNCTION("FILTER(Datos!$E$2:$E1003, Datos!$F$2:$F1003=C$1, Datos!$G$2:$G1003=C$2, Datos!$A$2:$A1003=$A102)"),1985.409)</f>
        <v>1985.409</v>
      </c>
      <c r="D102" s="20">
        <f>IFERROR(__xludf.DUMMYFUNCTION("FILTER(Datos!$D$2:$D1003, Datos!$F$2:$F1003=D$1, Datos!$G$2:$G1003=D$2, Datos!$A$2:$A1003=$A102)"),2162.9)</f>
        <v>2162.9</v>
      </c>
      <c r="E102" s="20">
        <f>IFERROR(__xludf.DUMMYFUNCTION("FILTER(Datos!$E$2:$E1003, Datos!$F$2:$F1003=E$1, Datos!$G$2:$G1003=E$2, Datos!$A$2:$A1003=$A102)"),2286.823)</f>
        <v>2286.823</v>
      </c>
      <c r="F102" s="20">
        <f>IFERROR(__xludf.DUMMYFUNCTION("FILTER(Datos!$D$2:$D1003, Datos!$F$2:$F1003=F$1, Datos!$G$2:$G1003=F$2, Datos!$A$2:$A1003=$A102)"),3201.3)</f>
        <v>3201.3</v>
      </c>
      <c r="G102" s="20">
        <f>IFERROR(__xludf.DUMMYFUNCTION("FILTER(Datos!$E$2:$E1003, Datos!$F$2:$F1003=G$1, Datos!$G$2:$G1003=G$2, Datos!$A$2:$A1003=$A102)"),4612.308)</f>
        <v>4612.308</v>
      </c>
      <c r="H102" s="20">
        <f>IFERROR(__xludf.DUMMYFUNCTION("FILTER(Datos!$D$2:$D1003, Datos!$F$2:$F1003=H$1, Datos!$G$2:$G1003=H$2, Datos!$A$2:$A1003=$A102)"),4190.467)</f>
        <v>4190.467</v>
      </c>
      <c r="I102" s="21">
        <f>IFERROR(__xludf.DUMMYFUNCTION("FILTER(Datos!$E$2:$E1003, Datos!$F$2:$F1003=I$1, Datos!$G$2:$G1003=I$2, Datos!$A$2:$A1003=$A102)"),6557.657)</f>
        <v>6557.657</v>
      </c>
      <c r="J102" s="20">
        <f>IFERROR(__xludf.DUMMYFUNCTION("FILTER(Datos!$D$2:$D1003, Datos!$F$2:$F1003=J$1, Datos!$G$2:$G1003=J$2, Datos!$A$2:$A1003=$A102)"),1818.8)</f>
        <v>1818.8</v>
      </c>
      <c r="K102" s="20">
        <f>IFERROR(__xludf.DUMMYFUNCTION("FILTER(Datos!$E$2:$E1003, Datos!$F$2:$F1003=K$1, Datos!$G$2:$G1003=K$2, Datos!$A$2:$A1003=$A102)"),2294.691)</f>
        <v>2294.691</v>
      </c>
      <c r="L102" s="20">
        <f>IFERROR(__xludf.DUMMYFUNCTION("FILTER(Datos!$D$2:$D1003, Datos!$F$2:$F1003=L$1, Datos!$G$2:$G1003=L$2, Datos!$A$2:$A1003=$A102)"),2127.533)</f>
        <v>2127.533</v>
      </c>
      <c r="M102" s="20">
        <f>IFERROR(__xludf.DUMMYFUNCTION("FILTER(Datos!$E$2:$E1003, Datos!$F$2:$F1003=M$1, Datos!$G$2:$G1003=M$2, Datos!$A$2:$A1003=$A102)"),2821.953)</f>
        <v>2821.953</v>
      </c>
      <c r="N102" s="20">
        <f>IFERROR(__xludf.DUMMYFUNCTION("FILTER(Datos!$D$2:$D1003, Datos!$F$2:$F1003=N$1, Datos!$G$2:$G1003=N$2, Datos!$A$2:$A1003=$A102)"),2624.733)</f>
        <v>2624.733</v>
      </c>
      <c r="O102" s="20">
        <f>IFERROR(__xludf.DUMMYFUNCTION("FILTER(Datos!$E$2:$E1003, Datos!$F$2:$F1003=O$1, Datos!$G$2:$G1003=O$2, Datos!$A$2:$A1003=$A102)"),3881.497)</f>
        <v>3881.497</v>
      </c>
      <c r="P102" s="20">
        <f>IFERROR(__xludf.DUMMYFUNCTION("FILTER(Datos!$D$2:$D1003, Datos!$F$2:$F1003=P$1, Datos!$G$2:$G1003=P$2, Datos!$A$2:$A1003=$A102)"),3403.0)</f>
        <v>3403</v>
      </c>
      <c r="Q102" s="21">
        <f>IFERROR(__xludf.DUMMYFUNCTION("FILTER(Datos!$E$2:$E1003, Datos!$F$2:$F1003=Q$1, Datos!$G$2:$G1003=Q$2, Datos!$A$2:$A1003=$A102)"),5434.023)</f>
        <v>5434.023</v>
      </c>
    </row>
    <row r="103">
      <c r="A103" s="18">
        <f t="shared" si="2"/>
        <v>98</v>
      </c>
      <c r="B103" s="19">
        <f>IFERROR(__xludf.DUMMYFUNCTION("FILTER(Datos!$D$2:$D1003, Datos!$F$2:$F1003=B$1, Datos!$G$2:$G1003=B$2, Datos!$A$2:$A1003=$A103)"),1909.833)</f>
        <v>1909.833</v>
      </c>
      <c r="C103" s="20">
        <f>IFERROR(__xludf.DUMMYFUNCTION("FILTER(Datos!$E$2:$E1003, Datos!$F$2:$F1003=C$1, Datos!$G$2:$G1003=C$2, Datos!$A$2:$A1003=$A103)"),1985.771)</f>
        <v>1985.771</v>
      </c>
      <c r="D103" s="20">
        <f>IFERROR(__xludf.DUMMYFUNCTION("FILTER(Datos!$D$2:$D1003, Datos!$F$2:$F1003=D$1, Datos!$G$2:$G1003=D$2, Datos!$A$2:$A1003=$A103)"),2162.9)</f>
        <v>2162.9</v>
      </c>
      <c r="E103" s="20">
        <f>IFERROR(__xludf.DUMMYFUNCTION("FILTER(Datos!$E$2:$E1003, Datos!$F$2:$F1003=E$1, Datos!$G$2:$G1003=E$2, Datos!$A$2:$A1003=$A103)"),2286.586)</f>
        <v>2286.586</v>
      </c>
      <c r="F103" s="20">
        <f>IFERROR(__xludf.DUMMYFUNCTION("FILTER(Datos!$D$2:$D1003, Datos!$F$2:$F1003=F$1, Datos!$G$2:$G1003=F$2, Datos!$A$2:$A1003=$A103)"),3169.0)</f>
        <v>3169</v>
      </c>
      <c r="G103" s="20">
        <f>IFERROR(__xludf.DUMMYFUNCTION("FILTER(Datos!$E$2:$E1003, Datos!$F$2:$F1003=G$1, Datos!$G$2:$G1003=G$2, Datos!$A$2:$A1003=$A103)"),4553.697)</f>
        <v>4553.697</v>
      </c>
      <c r="H103" s="20">
        <f>IFERROR(__xludf.DUMMYFUNCTION("FILTER(Datos!$D$2:$D1003, Datos!$F$2:$F1003=H$1, Datos!$G$2:$G1003=H$2, Datos!$A$2:$A1003=$A103)"),4180.733)</f>
        <v>4180.733</v>
      </c>
      <c r="I103" s="21">
        <f>IFERROR(__xludf.DUMMYFUNCTION("FILTER(Datos!$E$2:$E1003, Datos!$F$2:$F1003=I$1, Datos!$G$2:$G1003=I$2, Datos!$A$2:$A1003=$A103)"),6549.717)</f>
        <v>6549.717</v>
      </c>
      <c r="J103" s="20">
        <f>IFERROR(__xludf.DUMMYFUNCTION("FILTER(Datos!$D$2:$D1003, Datos!$F$2:$F1003=J$1, Datos!$G$2:$G1003=J$2, Datos!$A$2:$A1003=$A103)"),1818.8)</f>
        <v>1818.8</v>
      </c>
      <c r="K103" s="20">
        <f>IFERROR(__xludf.DUMMYFUNCTION("FILTER(Datos!$E$2:$E1003, Datos!$F$2:$F1003=K$1, Datos!$G$2:$G1003=K$2, Datos!$A$2:$A1003=$A103)"),2282.335)</f>
        <v>2282.335</v>
      </c>
      <c r="L103" s="20">
        <f>IFERROR(__xludf.DUMMYFUNCTION("FILTER(Datos!$D$2:$D1003, Datos!$F$2:$F1003=L$1, Datos!$G$2:$G1003=L$2, Datos!$A$2:$A1003=$A103)"),2127.533)</f>
        <v>2127.533</v>
      </c>
      <c r="M103" s="20">
        <f>IFERROR(__xludf.DUMMYFUNCTION("FILTER(Datos!$E$2:$E1003, Datos!$F$2:$F1003=M$1, Datos!$G$2:$G1003=M$2, Datos!$A$2:$A1003=$A103)"),2817.411)</f>
        <v>2817.411</v>
      </c>
      <c r="N103" s="20">
        <f>IFERROR(__xludf.DUMMYFUNCTION("FILTER(Datos!$D$2:$D1003, Datos!$F$2:$F1003=N$1, Datos!$G$2:$G1003=N$2, Datos!$A$2:$A1003=$A103)"),2623.333)</f>
        <v>2623.333</v>
      </c>
      <c r="O103" s="20">
        <f>IFERROR(__xludf.DUMMYFUNCTION("FILTER(Datos!$E$2:$E1003, Datos!$F$2:$F1003=O$1, Datos!$G$2:$G1003=O$2, Datos!$A$2:$A1003=$A103)"),3880.576)</f>
        <v>3880.576</v>
      </c>
      <c r="P103" s="20">
        <f>IFERROR(__xludf.DUMMYFUNCTION("FILTER(Datos!$D$2:$D1003, Datos!$F$2:$F1003=P$1, Datos!$G$2:$G1003=P$2, Datos!$A$2:$A1003=$A103)"),3392.4)</f>
        <v>3392.4</v>
      </c>
      <c r="Q103" s="21">
        <f>IFERROR(__xludf.DUMMYFUNCTION("FILTER(Datos!$E$2:$E1003, Datos!$F$2:$F1003=Q$1, Datos!$G$2:$G1003=Q$2, Datos!$A$2:$A1003=$A103)"),5426.88)</f>
        <v>5426.88</v>
      </c>
    </row>
    <row r="104">
      <c r="A104" s="18">
        <f t="shared" si="2"/>
        <v>99</v>
      </c>
      <c r="B104" s="19">
        <f>IFERROR(__xludf.DUMMYFUNCTION("FILTER(Datos!$D$2:$D1003, Datos!$F$2:$F1003=B$1, Datos!$G$2:$G1003=B$2, Datos!$A$2:$A1003=$A104)"),1909.833)</f>
        <v>1909.833</v>
      </c>
      <c r="C104" s="20">
        <f>IFERROR(__xludf.DUMMYFUNCTION("FILTER(Datos!$E$2:$E1003, Datos!$F$2:$F1003=C$1, Datos!$G$2:$G1003=C$2, Datos!$A$2:$A1003=$A104)"),1986.021)</f>
        <v>1986.021</v>
      </c>
      <c r="D104" s="20">
        <f>IFERROR(__xludf.DUMMYFUNCTION("FILTER(Datos!$D$2:$D1003, Datos!$F$2:$F1003=D$1, Datos!$G$2:$G1003=D$2, Datos!$A$2:$A1003=$A104)"),2162.9)</f>
        <v>2162.9</v>
      </c>
      <c r="E104" s="20">
        <f>IFERROR(__xludf.DUMMYFUNCTION("FILTER(Datos!$E$2:$E1003, Datos!$F$2:$F1003=E$1, Datos!$G$2:$G1003=E$2, Datos!$A$2:$A1003=$A104)"),2281.817)</f>
        <v>2281.817</v>
      </c>
      <c r="F104" s="20">
        <f>IFERROR(__xludf.DUMMYFUNCTION("FILTER(Datos!$D$2:$D1003, Datos!$F$2:$F1003=F$1, Datos!$G$2:$G1003=F$2, Datos!$A$2:$A1003=$A104)"),3167.233)</f>
        <v>3167.233</v>
      </c>
      <c r="G104" s="20">
        <f>IFERROR(__xludf.DUMMYFUNCTION("FILTER(Datos!$E$2:$E1003, Datos!$F$2:$F1003=G$1, Datos!$G$2:$G1003=G$2, Datos!$A$2:$A1003=$A104)"),4488.384)</f>
        <v>4488.384</v>
      </c>
      <c r="H104" s="20">
        <f>IFERROR(__xludf.DUMMYFUNCTION("FILTER(Datos!$D$2:$D1003, Datos!$F$2:$F1003=H$1, Datos!$G$2:$G1003=H$2, Datos!$A$2:$A1003=$A104)"),4175.4)</f>
        <v>4175.4</v>
      </c>
      <c r="I104" s="21">
        <f>IFERROR(__xludf.DUMMYFUNCTION("FILTER(Datos!$E$2:$E1003, Datos!$F$2:$F1003=I$1, Datos!$G$2:$G1003=I$2, Datos!$A$2:$A1003=$A104)"),6543.938)</f>
        <v>6543.938</v>
      </c>
      <c r="J104" s="20">
        <f>IFERROR(__xludf.DUMMYFUNCTION("FILTER(Datos!$D$2:$D1003, Datos!$F$2:$F1003=J$1, Datos!$G$2:$G1003=J$2, Datos!$A$2:$A1003=$A104)"),1818.8)</f>
        <v>1818.8</v>
      </c>
      <c r="K104" s="20">
        <f>IFERROR(__xludf.DUMMYFUNCTION("FILTER(Datos!$E$2:$E1003, Datos!$F$2:$F1003=K$1, Datos!$G$2:$G1003=K$2, Datos!$A$2:$A1003=$A104)"),2289.131)</f>
        <v>2289.131</v>
      </c>
      <c r="L104" s="20">
        <f>IFERROR(__xludf.DUMMYFUNCTION("FILTER(Datos!$D$2:$D1003, Datos!$F$2:$F1003=L$1, Datos!$G$2:$G1003=L$2, Datos!$A$2:$A1003=$A104)"),2127.533)</f>
        <v>2127.533</v>
      </c>
      <c r="M104" s="20">
        <f>IFERROR(__xludf.DUMMYFUNCTION("FILTER(Datos!$E$2:$E1003, Datos!$F$2:$F1003=M$1, Datos!$G$2:$G1003=M$2, Datos!$A$2:$A1003=$A104)"),2822.512)</f>
        <v>2822.512</v>
      </c>
      <c r="N104" s="20">
        <f>IFERROR(__xludf.DUMMYFUNCTION("FILTER(Datos!$D$2:$D1003, Datos!$F$2:$F1003=N$1, Datos!$G$2:$G1003=N$2, Datos!$A$2:$A1003=$A104)"),2620.7)</f>
        <v>2620.7</v>
      </c>
      <c r="O104" s="20">
        <f>IFERROR(__xludf.DUMMYFUNCTION("FILTER(Datos!$E$2:$E1003, Datos!$F$2:$F1003=O$1, Datos!$G$2:$G1003=O$2, Datos!$A$2:$A1003=$A104)"),3865.078)</f>
        <v>3865.078</v>
      </c>
      <c r="P104" s="20">
        <f>IFERROR(__xludf.DUMMYFUNCTION("FILTER(Datos!$D$2:$D1003, Datos!$F$2:$F1003=P$1, Datos!$G$2:$G1003=P$2, Datos!$A$2:$A1003=$A104)"),3390.033)</f>
        <v>3390.033</v>
      </c>
      <c r="Q104" s="21">
        <f>IFERROR(__xludf.DUMMYFUNCTION("FILTER(Datos!$E$2:$E1003, Datos!$F$2:$F1003=Q$1, Datos!$G$2:$G1003=Q$2, Datos!$A$2:$A1003=$A104)"),5392.707)</f>
        <v>5392.707</v>
      </c>
    </row>
    <row r="105">
      <c r="A105" s="18">
        <f t="shared" si="2"/>
        <v>100</v>
      </c>
      <c r="B105" s="19">
        <f>IFERROR(__xludf.DUMMYFUNCTION("FILTER(Datos!$D$2:$D1003, Datos!$F$2:$F1003=B$1, Datos!$G$2:$G1003=B$2, Datos!$A$2:$A1003=$A105)"),1909.833)</f>
        <v>1909.833</v>
      </c>
      <c r="C105" s="20">
        <f>IFERROR(__xludf.DUMMYFUNCTION("FILTER(Datos!$E$2:$E1003, Datos!$F$2:$F1003=C$1, Datos!$G$2:$G1003=C$2, Datos!$A$2:$A1003=$A105)"),1983.827)</f>
        <v>1983.827</v>
      </c>
      <c r="D105" s="20">
        <f>IFERROR(__xludf.DUMMYFUNCTION("FILTER(Datos!$D$2:$D1003, Datos!$F$2:$F1003=D$1, Datos!$G$2:$G1003=D$2, Datos!$A$2:$A1003=$A105)"),2162.9)</f>
        <v>2162.9</v>
      </c>
      <c r="E105" s="20">
        <f>IFERROR(__xludf.DUMMYFUNCTION("FILTER(Datos!$E$2:$E1003, Datos!$F$2:$F1003=E$1, Datos!$G$2:$G1003=E$2, Datos!$A$2:$A1003=$A105)"),2279.063)</f>
        <v>2279.063</v>
      </c>
      <c r="F105" s="20">
        <f>IFERROR(__xludf.DUMMYFUNCTION("FILTER(Datos!$D$2:$D1003, Datos!$F$2:$F1003=F$1, Datos!$G$2:$G1003=F$2, Datos!$A$2:$A1003=$A105)"),3144.2)</f>
        <v>3144.2</v>
      </c>
      <c r="G105" s="20">
        <f>IFERROR(__xludf.DUMMYFUNCTION("FILTER(Datos!$E$2:$E1003, Datos!$F$2:$F1003=G$1, Datos!$G$2:$G1003=G$2, Datos!$A$2:$A1003=$A105)"),4443.167)</f>
        <v>4443.167</v>
      </c>
      <c r="H105" s="20">
        <f>IFERROR(__xludf.DUMMYFUNCTION("FILTER(Datos!$D$2:$D1003, Datos!$F$2:$F1003=H$1, Datos!$G$2:$G1003=H$2, Datos!$A$2:$A1003=$A105)"),4175.4)</f>
        <v>4175.4</v>
      </c>
      <c r="I105" s="21">
        <f>IFERROR(__xludf.DUMMYFUNCTION("FILTER(Datos!$E$2:$E1003, Datos!$F$2:$F1003=I$1, Datos!$G$2:$G1003=I$2, Datos!$A$2:$A1003=$A105)"),6515.178)</f>
        <v>6515.178</v>
      </c>
      <c r="J105" s="20">
        <f>IFERROR(__xludf.DUMMYFUNCTION("FILTER(Datos!$D$2:$D1003, Datos!$F$2:$F1003=J$1, Datos!$G$2:$G1003=J$2, Datos!$A$2:$A1003=$A105)"),1818.8)</f>
        <v>1818.8</v>
      </c>
      <c r="K105" s="20">
        <f>IFERROR(__xludf.DUMMYFUNCTION("FILTER(Datos!$E$2:$E1003, Datos!$F$2:$F1003=K$1, Datos!$G$2:$G1003=K$2, Datos!$A$2:$A1003=$A105)"),2288.387)</f>
        <v>2288.387</v>
      </c>
      <c r="L105" s="20">
        <f>IFERROR(__xludf.DUMMYFUNCTION("FILTER(Datos!$D$2:$D1003, Datos!$F$2:$F1003=L$1, Datos!$G$2:$G1003=L$2, Datos!$A$2:$A1003=$A105)"),2127.533)</f>
        <v>2127.533</v>
      </c>
      <c r="M105" s="20">
        <f>IFERROR(__xludf.DUMMYFUNCTION("FILTER(Datos!$E$2:$E1003, Datos!$F$2:$F1003=M$1, Datos!$G$2:$G1003=M$2, Datos!$A$2:$A1003=$A105)"),2815.482)</f>
        <v>2815.482</v>
      </c>
      <c r="N105" s="20">
        <f>IFERROR(__xludf.DUMMYFUNCTION("FILTER(Datos!$D$2:$D1003, Datos!$F$2:$F1003=N$1, Datos!$G$2:$G1003=N$2, Datos!$A$2:$A1003=$A105)"),2617.633)</f>
        <v>2617.633</v>
      </c>
      <c r="O105" s="20">
        <f>IFERROR(__xludf.DUMMYFUNCTION("FILTER(Datos!$E$2:$E1003, Datos!$F$2:$F1003=O$1, Datos!$G$2:$G1003=O$2, Datos!$A$2:$A1003=$A105)"),3848.205)</f>
        <v>3848.205</v>
      </c>
      <c r="P105" s="20">
        <f>IFERROR(__xludf.DUMMYFUNCTION("FILTER(Datos!$D$2:$D1003, Datos!$F$2:$F1003=P$1, Datos!$G$2:$G1003=P$2, Datos!$A$2:$A1003=$A105)"),3387.233)</f>
        <v>3387.233</v>
      </c>
      <c r="Q105" s="21">
        <f>IFERROR(__xludf.DUMMYFUNCTION("FILTER(Datos!$E$2:$E1003, Datos!$F$2:$F1003=Q$1, Datos!$G$2:$G1003=Q$2, Datos!$A$2:$A1003=$A105)"),5364.69)</f>
        <v>5364.69</v>
      </c>
    </row>
    <row r="106">
      <c r="A106" s="18">
        <f t="shared" si="2"/>
        <v>101</v>
      </c>
      <c r="B106" s="19">
        <f>IFERROR(__xludf.DUMMYFUNCTION("FILTER(Datos!$D$2:$D1003, Datos!$F$2:$F1003=B$1, Datos!$G$2:$G1003=B$2, Datos!$A$2:$A1003=$A106)"),1909.833)</f>
        <v>1909.833</v>
      </c>
      <c r="C106" s="20">
        <f>IFERROR(__xludf.DUMMYFUNCTION("FILTER(Datos!$E$2:$E1003, Datos!$F$2:$F1003=C$1, Datos!$G$2:$G1003=C$2, Datos!$A$2:$A1003=$A106)"),1984.544)</f>
        <v>1984.544</v>
      </c>
      <c r="D106" s="20">
        <f>IFERROR(__xludf.DUMMYFUNCTION("FILTER(Datos!$D$2:$D1003, Datos!$F$2:$F1003=D$1, Datos!$G$2:$G1003=D$2, Datos!$A$2:$A1003=$A106)"),2162.9)</f>
        <v>2162.9</v>
      </c>
      <c r="E106" s="20">
        <f>IFERROR(__xludf.DUMMYFUNCTION("FILTER(Datos!$E$2:$E1003, Datos!$F$2:$F1003=E$1, Datos!$G$2:$G1003=E$2, Datos!$A$2:$A1003=$A106)"),2278.651)</f>
        <v>2278.651</v>
      </c>
      <c r="F106" s="20">
        <f>IFERROR(__xludf.DUMMYFUNCTION("FILTER(Datos!$D$2:$D1003, Datos!$F$2:$F1003=F$1, Datos!$G$2:$G1003=F$2, Datos!$A$2:$A1003=$A106)"),3120.267)</f>
        <v>3120.267</v>
      </c>
      <c r="G106" s="20">
        <f>IFERROR(__xludf.DUMMYFUNCTION("FILTER(Datos!$E$2:$E1003, Datos!$F$2:$F1003=G$1, Datos!$G$2:$G1003=G$2, Datos!$A$2:$A1003=$A106)"),4379.375)</f>
        <v>4379.375</v>
      </c>
      <c r="H106" s="20">
        <f>IFERROR(__xludf.DUMMYFUNCTION("FILTER(Datos!$D$2:$D1003, Datos!$F$2:$F1003=H$1, Datos!$G$2:$G1003=H$2, Datos!$A$2:$A1003=$A106)"),4169.933)</f>
        <v>4169.933</v>
      </c>
      <c r="I106" s="21">
        <f>IFERROR(__xludf.DUMMYFUNCTION("FILTER(Datos!$E$2:$E1003, Datos!$F$2:$F1003=I$1, Datos!$G$2:$G1003=I$2, Datos!$A$2:$A1003=$A106)"),6478.664)</f>
        <v>6478.664</v>
      </c>
      <c r="J106" s="20">
        <f>IFERROR(__xludf.DUMMYFUNCTION("FILTER(Datos!$D$2:$D1003, Datos!$F$2:$F1003=J$1, Datos!$G$2:$G1003=J$2, Datos!$A$2:$A1003=$A106)"),1818.8)</f>
        <v>1818.8</v>
      </c>
      <c r="K106" s="20">
        <f>IFERROR(__xludf.DUMMYFUNCTION("FILTER(Datos!$E$2:$E1003, Datos!$F$2:$F1003=K$1, Datos!$G$2:$G1003=K$2, Datos!$A$2:$A1003=$A106)"),2288.602)</f>
        <v>2288.602</v>
      </c>
      <c r="L106" s="20">
        <f>IFERROR(__xludf.DUMMYFUNCTION("FILTER(Datos!$D$2:$D1003, Datos!$F$2:$F1003=L$1, Datos!$G$2:$G1003=L$2, Datos!$A$2:$A1003=$A106)"),2127.533)</f>
        <v>2127.533</v>
      </c>
      <c r="M106" s="20">
        <f>IFERROR(__xludf.DUMMYFUNCTION("FILTER(Datos!$E$2:$E1003, Datos!$F$2:$F1003=M$1, Datos!$G$2:$G1003=M$2, Datos!$A$2:$A1003=$A106)"),2820.344)</f>
        <v>2820.344</v>
      </c>
      <c r="N106" s="20">
        <f>IFERROR(__xludf.DUMMYFUNCTION("FILTER(Datos!$D$2:$D1003, Datos!$F$2:$F1003=N$1, Datos!$G$2:$G1003=N$2, Datos!$A$2:$A1003=$A106)"),2613.467)</f>
        <v>2613.467</v>
      </c>
      <c r="O106" s="20">
        <f>IFERROR(__xludf.DUMMYFUNCTION("FILTER(Datos!$E$2:$E1003, Datos!$F$2:$F1003=O$1, Datos!$G$2:$G1003=O$2, Datos!$A$2:$A1003=$A106)"),3830.842)</f>
        <v>3830.842</v>
      </c>
      <c r="P106" s="20">
        <f>IFERROR(__xludf.DUMMYFUNCTION("FILTER(Datos!$D$2:$D1003, Datos!$F$2:$F1003=P$1, Datos!$G$2:$G1003=P$2, Datos!$A$2:$A1003=$A106)"),3367.6)</f>
        <v>3367.6</v>
      </c>
      <c r="Q106" s="21">
        <f>IFERROR(__xludf.DUMMYFUNCTION("FILTER(Datos!$E$2:$E1003, Datos!$F$2:$F1003=Q$1, Datos!$G$2:$G1003=Q$2, Datos!$A$2:$A1003=$A106)"),5340.213)</f>
        <v>5340.213</v>
      </c>
    </row>
    <row r="107">
      <c r="A107" s="18">
        <f t="shared" si="2"/>
        <v>102</v>
      </c>
      <c r="B107" s="19">
        <f>IFERROR(__xludf.DUMMYFUNCTION("FILTER(Datos!$D$2:$D1003, Datos!$F$2:$F1003=B$1, Datos!$G$2:$G1003=B$2, Datos!$A$2:$A1003=$A107)"),1909.833)</f>
        <v>1909.833</v>
      </c>
      <c r="C107" s="20">
        <f>IFERROR(__xludf.DUMMYFUNCTION("FILTER(Datos!$E$2:$E1003, Datos!$F$2:$F1003=C$1, Datos!$G$2:$G1003=C$2, Datos!$A$2:$A1003=$A107)"),1983.923)</f>
        <v>1983.923</v>
      </c>
      <c r="D107" s="20">
        <f>IFERROR(__xludf.DUMMYFUNCTION("FILTER(Datos!$D$2:$D1003, Datos!$F$2:$F1003=D$1, Datos!$G$2:$G1003=D$2, Datos!$A$2:$A1003=$A107)"),2162.9)</f>
        <v>2162.9</v>
      </c>
      <c r="E107" s="20">
        <f>IFERROR(__xludf.DUMMYFUNCTION("FILTER(Datos!$E$2:$E1003, Datos!$F$2:$F1003=E$1, Datos!$G$2:$G1003=E$2, Datos!$A$2:$A1003=$A107)"),2277.612)</f>
        <v>2277.612</v>
      </c>
      <c r="F107" s="20">
        <f>IFERROR(__xludf.DUMMYFUNCTION("FILTER(Datos!$D$2:$D1003, Datos!$F$2:$F1003=F$1, Datos!$G$2:$G1003=F$2, Datos!$A$2:$A1003=$A107)"),3101.133)</f>
        <v>3101.133</v>
      </c>
      <c r="G107" s="20">
        <f>IFERROR(__xludf.DUMMYFUNCTION("FILTER(Datos!$E$2:$E1003, Datos!$F$2:$F1003=G$1, Datos!$G$2:$G1003=G$2, Datos!$A$2:$A1003=$A107)"),4334.251)</f>
        <v>4334.251</v>
      </c>
      <c r="H107" s="20">
        <f>IFERROR(__xludf.DUMMYFUNCTION("FILTER(Datos!$D$2:$D1003, Datos!$F$2:$F1003=H$1, Datos!$G$2:$G1003=H$2, Datos!$A$2:$A1003=$A107)"),4140.8)</f>
        <v>4140.8</v>
      </c>
      <c r="I107" s="21">
        <f>IFERROR(__xludf.DUMMYFUNCTION("FILTER(Datos!$E$2:$E1003, Datos!$F$2:$F1003=I$1, Datos!$G$2:$G1003=I$2, Datos!$A$2:$A1003=$A107)"),6454.579)</f>
        <v>6454.579</v>
      </c>
      <c r="J107" s="20">
        <f>IFERROR(__xludf.DUMMYFUNCTION("FILTER(Datos!$D$2:$D1003, Datos!$F$2:$F1003=J$1, Datos!$G$2:$G1003=J$2, Datos!$A$2:$A1003=$A107)"),1818.8)</f>
        <v>1818.8</v>
      </c>
      <c r="K107" s="20">
        <f>IFERROR(__xludf.DUMMYFUNCTION("FILTER(Datos!$E$2:$E1003, Datos!$F$2:$F1003=K$1, Datos!$G$2:$G1003=K$2, Datos!$A$2:$A1003=$A107)"),2289.346)</f>
        <v>2289.346</v>
      </c>
      <c r="L107" s="20">
        <f>IFERROR(__xludf.DUMMYFUNCTION("FILTER(Datos!$D$2:$D1003, Datos!$F$2:$F1003=L$1, Datos!$G$2:$G1003=L$2, Datos!$A$2:$A1003=$A107)"),2127.533)</f>
        <v>2127.533</v>
      </c>
      <c r="M107" s="20">
        <f>IFERROR(__xludf.DUMMYFUNCTION("FILTER(Datos!$E$2:$E1003, Datos!$F$2:$F1003=M$1, Datos!$G$2:$G1003=M$2, Datos!$A$2:$A1003=$A107)"),2820.193)</f>
        <v>2820.193</v>
      </c>
      <c r="N107" s="20">
        <f>IFERROR(__xludf.DUMMYFUNCTION("FILTER(Datos!$D$2:$D1003, Datos!$F$2:$F1003=N$1, Datos!$G$2:$G1003=N$2, Datos!$A$2:$A1003=$A107)"),2613.467)</f>
        <v>2613.467</v>
      </c>
      <c r="O107" s="20">
        <f>IFERROR(__xludf.DUMMYFUNCTION("FILTER(Datos!$E$2:$E1003, Datos!$F$2:$F1003=O$1, Datos!$G$2:$G1003=O$2, Datos!$A$2:$A1003=$A107)"),3813.141)</f>
        <v>3813.141</v>
      </c>
      <c r="P107" s="20">
        <f>IFERROR(__xludf.DUMMYFUNCTION("FILTER(Datos!$D$2:$D1003, Datos!$F$2:$F1003=P$1, Datos!$G$2:$G1003=P$2, Datos!$A$2:$A1003=$A107)"),3349.4)</f>
        <v>3349.4</v>
      </c>
      <c r="Q107" s="21">
        <f>IFERROR(__xludf.DUMMYFUNCTION("FILTER(Datos!$E$2:$E1003, Datos!$F$2:$F1003=Q$1, Datos!$G$2:$G1003=Q$2, Datos!$A$2:$A1003=$A107)"),5344.09)</f>
        <v>5344.09</v>
      </c>
    </row>
    <row r="108">
      <c r="A108" s="18">
        <f t="shared" si="2"/>
        <v>103</v>
      </c>
      <c r="B108" s="19">
        <f>IFERROR(__xludf.DUMMYFUNCTION("FILTER(Datos!$D$2:$D1003, Datos!$F$2:$F1003=B$1, Datos!$G$2:$G1003=B$2, Datos!$A$2:$A1003=$A108)"),1909.833)</f>
        <v>1909.833</v>
      </c>
      <c r="C108" s="20">
        <f>IFERROR(__xludf.DUMMYFUNCTION("FILTER(Datos!$E$2:$E1003, Datos!$F$2:$F1003=C$1, Datos!$G$2:$G1003=C$2, Datos!$A$2:$A1003=$A108)"),1986.937)</f>
        <v>1986.937</v>
      </c>
      <c r="D108" s="20">
        <f>IFERROR(__xludf.DUMMYFUNCTION("FILTER(Datos!$D$2:$D1003, Datos!$F$2:$F1003=D$1, Datos!$G$2:$G1003=D$2, Datos!$A$2:$A1003=$A108)"),2162.9)</f>
        <v>2162.9</v>
      </c>
      <c r="E108" s="20">
        <f>IFERROR(__xludf.DUMMYFUNCTION("FILTER(Datos!$E$2:$E1003, Datos!$F$2:$F1003=E$1, Datos!$G$2:$G1003=E$2, Datos!$A$2:$A1003=$A108)"),2276.186)</f>
        <v>2276.186</v>
      </c>
      <c r="F108" s="20">
        <f>IFERROR(__xludf.DUMMYFUNCTION("FILTER(Datos!$D$2:$D1003, Datos!$F$2:$F1003=F$1, Datos!$G$2:$G1003=F$2, Datos!$A$2:$A1003=$A108)"),3088.0)</f>
        <v>3088</v>
      </c>
      <c r="G108" s="20">
        <f>IFERROR(__xludf.DUMMYFUNCTION("FILTER(Datos!$E$2:$E1003, Datos!$F$2:$F1003=G$1, Datos!$G$2:$G1003=G$2, Datos!$A$2:$A1003=$A108)"),4283.22)</f>
        <v>4283.22</v>
      </c>
      <c r="H108" s="20">
        <f>IFERROR(__xludf.DUMMYFUNCTION("FILTER(Datos!$D$2:$D1003, Datos!$F$2:$F1003=H$1, Datos!$G$2:$G1003=H$2, Datos!$A$2:$A1003=$A108)"),4133.367)</f>
        <v>4133.367</v>
      </c>
      <c r="I108" s="21">
        <f>IFERROR(__xludf.DUMMYFUNCTION("FILTER(Datos!$E$2:$E1003, Datos!$F$2:$F1003=I$1, Datos!$G$2:$G1003=I$2, Datos!$A$2:$A1003=$A108)"),6463.12)</f>
        <v>6463.12</v>
      </c>
      <c r="J108" s="20">
        <f>IFERROR(__xludf.DUMMYFUNCTION("FILTER(Datos!$D$2:$D1003, Datos!$F$2:$F1003=J$1, Datos!$G$2:$G1003=J$2, Datos!$A$2:$A1003=$A108)"),1818.8)</f>
        <v>1818.8</v>
      </c>
      <c r="K108" s="20">
        <f>IFERROR(__xludf.DUMMYFUNCTION("FILTER(Datos!$E$2:$E1003, Datos!$F$2:$F1003=K$1, Datos!$G$2:$G1003=K$2, Datos!$A$2:$A1003=$A108)"),2295.732)</f>
        <v>2295.732</v>
      </c>
      <c r="L108" s="20">
        <f>IFERROR(__xludf.DUMMYFUNCTION("FILTER(Datos!$D$2:$D1003, Datos!$F$2:$F1003=L$1, Datos!$G$2:$G1003=L$2, Datos!$A$2:$A1003=$A108)"),2127.533)</f>
        <v>2127.533</v>
      </c>
      <c r="M108" s="20">
        <f>IFERROR(__xludf.DUMMYFUNCTION("FILTER(Datos!$E$2:$E1003, Datos!$F$2:$F1003=M$1, Datos!$G$2:$G1003=M$2, Datos!$A$2:$A1003=$A108)"),2807.849)</f>
        <v>2807.849</v>
      </c>
      <c r="N108" s="20">
        <f>IFERROR(__xludf.DUMMYFUNCTION("FILTER(Datos!$D$2:$D1003, Datos!$F$2:$F1003=N$1, Datos!$G$2:$G1003=N$2, Datos!$A$2:$A1003=$A108)"),2605.867)</f>
        <v>2605.867</v>
      </c>
      <c r="O108" s="20">
        <f>IFERROR(__xludf.DUMMYFUNCTION("FILTER(Datos!$E$2:$E1003, Datos!$F$2:$F1003=O$1, Datos!$G$2:$G1003=O$2, Datos!$A$2:$A1003=$A108)"),3808.371)</f>
        <v>3808.371</v>
      </c>
      <c r="P108" s="20">
        <f>IFERROR(__xludf.DUMMYFUNCTION("FILTER(Datos!$D$2:$D1003, Datos!$F$2:$F1003=P$1, Datos!$G$2:$G1003=P$2, Datos!$A$2:$A1003=$A108)"),3345.4)</f>
        <v>3345.4</v>
      </c>
      <c r="Q108" s="21">
        <f>IFERROR(__xludf.DUMMYFUNCTION("FILTER(Datos!$E$2:$E1003, Datos!$F$2:$F1003=Q$1, Datos!$G$2:$G1003=Q$2, Datos!$A$2:$A1003=$A108)"),5325.736)</f>
        <v>5325.736</v>
      </c>
    </row>
    <row r="109">
      <c r="A109" s="18">
        <f t="shared" si="2"/>
        <v>104</v>
      </c>
      <c r="B109" s="19">
        <f>IFERROR(__xludf.DUMMYFUNCTION("FILTER(Datos!$D$2:$D1003, Datos!$F$2:$F1003=B$1, Datos!$G$2:$G1003=B$2, Datos!$A$2:$A1003=$A109)"),1909.833)</f>
        <v>1909.833</v>
      </c>
      <c r="C109" s="20">
        <f>IFERROR(__xludf.DUMMYFUNCTION("FILTER(Datos!$E$2:$E1003, Datos!$F$2:$F1003=C$1, Datos!$G$2:$G1003=C$2, Datos!$A$2:$A1003=$A109)"),1987.483)</f>
        <v>1987.483</v>
      </c>
      <c r="D109" s="20">
        <f>IFERROR(__xludf.DUMMYFUNCTION("FILTER(Datos!$D$2:$D1003, Datos!$F$2:$F1003=D$1, Datos!$G$2:$G1003=D$2, Datos!$A$2:$A1003=$A109)"),2162.9)</f>
        <v>2162.9</v>
      </c>
      <c r="E109" s="20">
        <f>IFERROR(__xludf.DUMMYFUNCTION("FILTER(Datos!$E$2:$E1003, Datos!$F$2:$F1003=E$1, Datos!$G$2:$G1003=E$2, Datos!$A$2:$A1003=$A109)"),2275.248)</f>
        <v>2275.248</v>
      </c>
      <c r="F109" s="20">
        <f>IFERROR(__xludf.DUMMYFUNCTION("FILTER(Datos!$D$2:$D1003, Datos!$F$2:$F1003=F$1, Datos!$G$2:$G1003=F$2, Datos!$A$2:$A1003=$A109)"),3073.5)</f>
        <v>3073.5</v>
      </c>
      <c r="G109" s="20">
        <f>IFERROR(__xludf.DUMMYFUNCTION("FILTER(Datos!$E$2:$E1003, Datos!$F$2:$F1003=G$1, Datos!$G$2:$G1003=G$2, Datos!$A$2:$A1003=$A109)"),4232.959)</f>
        <v>4232.959</v>
      </c>
      <c r="H109" s="20">
        <f>IFERROR(__xludf.DUMMYFUNCTION("FILTER(Datos!$D$2:$D1003, Datos!$F$2:$F1003=H$1, Datos!$G$2:$G1003=H$2, Datos!$A$2:$A1003=$A109)"),4125.1)</f>
        <v>4125.1</v>
      </c>
      <c r="I109" s="21">
        <f>IFERROR(__xludf.DUMMYFUNCTION("FILTER(Datos!$E$2:$E1003, Datos!$F$2:$F1003=I$1, Datos!$G$2:$G1003=I$2, Datos!$A$2:$A1003=$A109)"),6441.085)</f>
        <v>6441.085</v>
      </c>
      <c r="J109" s="20">
        <f>IFERROR(__xludf.DUMMYFUNCTION("FILTER(Datos!$D$2:$D1003, Datos!$F$2:$F1003=J$1, Datos!$G$2:$G1003=J$2, Datos!$A$2:$A1003=$A109)"),1818.8)</f>
        <v>1818.8</v>
      </c>
      <c r="K109" s="20">
        <f>IFERROR(__xludf.DUMMYFUNCTION("FILTER(Datos!$E$2:$E1003, Datos!$F$2:$F1003=K$1, Datos!$G$2:$G1003=K$2, Datos!$A$2:$A1003=$A109)"),2294.656)</f>
        <v>2294.656</v>
      </c>
      <c r="L109" s="20">
        <f>IFERROR(__xludf.DUMMYFUNCTION("FILTER(Datos!$D$2:$D1003, Datos!$F$2:$F1003=L$1, Datos!$G$2:$G1003=L$2, Datos!$A$2:$A1003=$A109)"),2126.833)</f>
        <v>2126.833</v>
      </c>
      <c r="M109" s="20">
        <f>IFERROR(__xludf.DUMMYFUNCTION("FILTER(Datos!$E$2:$E1003, Datos!$F$2:$F1003=M$1, Datos!$G$2:$G1003=M$2, Datos!$A$2:$A1003=$A109)"),2801.187)</f>
        <v>2801.187</v>
      </c>
      <c r="N109" s="20">
        <f>IFERROR(__xludf.DUMMYFUNCTION("FILTER(Datos!$D$2:$D1003, Datos!$F$2:$F1003=N$1, Datos!$G$2:$G1003=N$2, Datos!$A$2:$A1003=$A109)"),2605.8)</f>
        <v>2605.8</v>
      </c>
      <c r="O109" s="20">
        <f>IFERROR(__xludf.DUMMYFUNCTION("FILTER(Datos!$E$2:$E1003, Datos!$F$2:$F1003=O$1, Datos!$G$2:$G1003=O$2, Datos!$A$2:$A1003=$A109)"),3795.002)</f>
        <v>3795.002</v>
      </c>
      <c r="P109" s="20">
        <f>IFERROR(__xludf.DUMMYFUNCTION("FILTER(Datos!$D$2:$D1003, Datos!$F$2:$F1003=P$1, Datos!$G$2:$G1003=P$2, Datos!$A$2:$A1003=$A109)"),3330.9)</f>
        <v>3330.9</v>
      </c>
      <c r="Q109" s="21">
        <f>IFERROR(__xludf.DUMMYFUNCTION("FILTER(Datos!$E$2:$E1003, Datos!$F$2:$F1003=Q$1, Datos!$G$2:$G1003=Q$2, Datos!$A$2:$A1003=$A109)"),5303.991)</f>
        <v>5303.991</v>
      </c>
    </row>
    <row r="110">
      <c r="A110" s="18">
        <f t="shared" si="2"/>
        <v>105</v>
      </c>
      <c r="B110" s="19">
        <f>IFERROR(__xludf.DUMMYFUNCTION("FILTER(Datos!$D$2:$D1003, Datos!$F$2:$F1003=B$1, Datos!$G$2:$G1003=B$2, Datos!$A$2:$A1003=$A110)"),1909.833)</f>
        <v>1909.833</v>
      </c>
      <c r="C110" s="20">
        <f>IFERROR(__xludf.DUMMYFUNCTION("FILTER(Datos!$E$2:$E1003, Datos!$F$2:$F1003=C$1, Datos!$G$2:$G1003=C$2, Datos!$A$2:$A1003=$A110)"),1988.562)</f>
        <v>1988.562</v>
      </c>
      <c r="D110" s="20">
        <f>IFERROR(__xludf.DUMMYFUNCTION("FILTER(Datos!$D$2:$D1003, Datos!$F$2:$F1003=D$1, Datos!$G$2:$G1003=D$2, Datos!$A$2:$A1003=$A110)"),2162.9)</f>
        <v>2162.9</v>
      </c>
      <c r="E110" s="20">
        <f>IFERROR(__xludf.DUMMYFUNCTION("FILTER(Datos!$E$2:$E1003, Datos!$F$2:$F1003=E$1, Datos!$G$2:$G1003=E$2, Datos!$A$2:$A1003=$A110)"),2266.824)</f>
        <v>2266.824</v>
      </c>
      <c r="F110" s="20">
        <f>IFERROR(__xludf.DUMMYFUNCTION("FILTER(Datos!$D$2:$D1003, Datos!$F$2:$F1003=F$1, Datos!$G$2:$G1003=F$2, Datos!$A$2:$A1003=$A110)"),3045.6)</f>
        <v>3045.6</v>
      </c>
      <c r="G110" s="20">
        <f>IFERROR(__xludf.DUMMYFUNCTION("FILTER(Datos!$E$2:$E1003, Datos!$F$2:$F1003=G$1, Datos!$G$2:$G1003=G$2, Datos!$A$2:$A1003=$A110)"),4175.231)</f>
        <v>4175.231</v>
      </c>
      <c r="H110" s="20">
        <f>IFERROR(__xludf.DUMMYFUNCTION("FILTER(Datos!$D$2:$D1003, Datos!$F$2:$F1003=H$1, Datos!$G$2:$G1003=H$2, Datos!$A$2:$A1003=$A110)"),4119.167)</f>
        <v>4119.167</v>
      </c>
      <c r="I110" s="21">
        <f>IFERROR(__xludf.DUMMYFUNCTION("FILTER(Datos!$E$2:$E1003, Datos!$F$2:$F1003=I$1, Datos!$G$2:$G1003=I$2, Datos!$A$2:$A1003=$A110)"),6426.926)</f>
        <v>6426.926</v>
      </c>
      <c r="J110" s="20">
        <f>IFERROR(__xludf.DUMMYFUNCTION("FILTER(Datos!$D$2:$D1003, Datos!$F$2:$F1003=J$1, Datos!$G$2:$G1003=J$2, Datos!$A$2:$A1003=$A110)"),1816.667)</f>
        <v>1816.667</v>
      </c>
      <c r="K110" s="20">
        <f>IFERROR(__xludf.DUMMYFUNCTION("FILTER(Datos!$E$2:$E1003, Datos!$F$2:$F1003=K$1, Datos!$G$2:$G1003=K$2, Datos!$A$2:$A1003=$A110)"),2298.293)</f>
        <v>2298.293</v>
      </c>
      <c r="L110" s="20">
        <f>IFERROR(__xludf.DUMMYFUNCTION("FILTER(Datos!$D$2:$D1003, Datos!$F$2:$F1003=L$1, Datos!$G$2:$G1003=L$2, Datos!$A$2:$A1003=$A110)"),2126.833)</f>
        <v>2126.833</v>
      </c>
      <c r="M110" s="20">
        <f>IFERROR(__xludf.DUMMYFUNCTION("FILTER(Datos!$E$2:$E1003, Datos!$F$2:$F1003=M$1, Datos!$G$2:$G1003=M$2, Datos!$A$2:$A1003=$A110)"),2806.106)</f>
        <v>2806.106</v>
      </c>
      <c r="N110" s="20">
        <f>IFERROR(__xludf.DUMMYFUNCTION("FILTER(Datos!$D$2:$D1003, Datos!$F$2:$F1003=N$1, Datos!$G$2:$G1003=N$2, Datos!$A$2:$A1003=$A110)"),2600.333)</f>
        <v>2600.333</v>
      </c>
      <c r="O110" s="20">
        <f>IFERROR(__xludf.DUMMYFUNCTION("FILTER(Datos!$E$2:$E1003, Datos!$F$2:$F1003=O$1, Datos!$G$2:$G1003=O$2, Datos!$A$2:$A1003=$A110)"),3777.259)</f>
        <v>3777.259</v>
      </c>
      <c r="P110" s="20">
        <f>IFERROR(__xludf.DUMMYFUNCTION("FILTER(Datos!$D$2:$D1003, Datos!$F$2:$F1003=P$1, Datos!$G$2:$G1003=P$2, Datos!$A$2:$A1003=$A110)"),3320.6)</f>
        <v>3320.6</v>
      </c>
      <c r="Q110" s="21">
        <f>IFERROR(__xludf.DUMMYFUNCTION("FILTER(Datos!$E$2:$E1003, Datos!$F$2:$F1003=Q$1, Datos!$G$2:$G1003=Q$2, Datos!$A$2:$A1003=$A110)"),5277.193)</f>
        <v>5277.193</v>
      </c>
    </row>
    <row r="111">
      <c r="A111" s="18">
        <f t="shared" si="2"/>
        <v>106</v>
      </c>
      <c r="B111" s="19">
        <f>IFERROR(__xludf.DUMMYFUNCTION("FILTER(Datos!$D$2:$D1003, Datos!$F$2:$F1003=B$1, Datos!$G$2:$G1003=B$2, Datos!$A$2:$A1003=$A111)"),1909.833)</f>
        <v>1909.833</v>
      </c>
      <c r="C111" s="20">
        <f>IFERROR(__xludf.DUMMYFUNCTION("FILTER(Datos!$E$2:$E1003, Datos!$F$2:$F1003=C$1, Datos!$G$2:$G1003=C$2, Datos!$A$2:$A1003=$A111)"),1991.64)</f>
        <v>1991.64</v>
      </c>
      <c r="D111" s="20">
        <f>IFERROR(__xludf.DUMMYFUNCTION("FILTER(Datos!$D$2:$D1003, Datos!$F$2:$F1003=D$1, Datos!$G$2:$G1003=D$2, Datos!$A$2:$A1003=$A111)"),2162.9)</f>
        <v>2162.9</v>
      </c>
      <c r="E111" s="20">
        <f>IFERROR(__xludf.DUMMYFUNCTION("FILTER(Datos!$E$2:$E1003, Datos!$F$2:$F1003=E$1, Datos!$G$2:$G1003=E$2, Datos!$A$2:$A1003=$A111)"),2266.305)</f>
        <v>2266.305</v>
      </c>
      <c r="F111" s="20">
        <f>IFERROR(__xludf.DUMMYFUNCTION("FILTER(Datos!$D$2:$D1003, Datos!$F$2:$F1003=F$1, Datos!$G$2:$G1003=F$2, Datos!$A$2:$A1003=$A111)"),3032.033)</f>
        <v>3032.033</v>
      </c>
      <c r="G111" s="20">
        <f>IFERROR(__xludf.DUMMYFUNCTION("FILTER(Datos!$E$2:$E1003, Datos!$F$2:$F1003=G$1, Datos!$G$2:$G1003=G$2, Datos!$A$2:$A1003=$A111)"),4124.461)</f>
        <v>4124.461</v>
      </c>
      <c r="H111" s="20">
        <f>IFERROR(__xludf.DUMMYFUNCTION("FILTER(Datos!$D$2:$D1003, Datos!$F$2:$F1003=H$1, Datos!$G$2:$G1003=H$2, Datos!$A$2:$A1003=$A111)"),4110.233)</f>
        <v>4110.233</v>
      </c>
      <c r="I111" s="21">
        <f>IFERROR(__xludf.DUMMYFUNCTION("FILTER(Datos!$E$2:$E1003, Datos!$F$2:$F1003=I$1, Datos!$G$2:$G1003=I$2, Datos!$A$2:$A1003=$A111)"),6398.101)</f>
        <v>6398.101</v>
      </c>
      <c r="J111" s="20">
        <f>IFERROR(__xludf.DUMMYFUNCTION("FILTER(Datos!$D$2:$D1003, Datos!$F$2:$F1003=J$1, Datos!$G$2:$G1003=J$2, Datos!$A$2:$A1003=$A111)"),1816.667)</f>
        <v>1816.667</v>
      </c>
      <c r="K111" s="20">
        <f>IFERROR(__xludf.DUMMYFUNCTION("FILTER(Datos!$E$2:$E1003, Datos!$F$2:$F1003=K$1, Datos!$G$2:$G1003=K$2, Datos!$A$2:$A1003=$A111)"),2295.201)</f>
        <v>2295.201</v>
      </c>
      <c r="L111" s="20">
        <f>IFERROR(__xludf.DUMMYFUNCTION("FILTER(Datos!$D$2:$D1003, Datos!$F$2:$F1003=L$1, Datos!$G$2:$G1003=L$2, Datos!$A$2:$A1003=$A111)"),2126.833)</f>
        <v>2126.833</v>
      </c>
      <c r="M111" s="20">
        <f>IFERROR(__xludf.DUMMYFUNCTION("FILTER(Datos!$E$2:$E1003, Datos!$F$2:$F1003=M$1, Datos!$G$2:$G1003=M$2, Datos!$A$2:$A1003=$A111)"),2807.262)</f>
        <v>2807.262</v>
      </c>
      <c r="N111" s="20">
        <f>IFERROR(__xludf.DUMMYFUNCTION("FILTER(Datos!$D$2:$D1003, Datos!$F$2:$F1003=N$1, Datos!$G$2:$G1003=N$2, Datos!$A$2:$A1003=$A111)"),2598.667)</f>
        <v>2598.667</v>
      </c>
      <c r="O111" s="20">
        <f>IFERROR(__xludf.DUMMYFUNCTION("FILTER(Datos!$E$2:$E1003, Datos!$F$2:$F1003=O$1, Datos!$G$2:$G1003=O$2, Datos!$A$2:$A1003=$A111)"),3783.946)</f>
        <v>3783.946</v>
      </c>
      <c r="P111" s="20">
        <f>IFERROR(__xludf.DUMMYFUNCTION("FILTER(Datos!$D$2:$D1003, Datos!$F$2:$F1003=P$1, Datos!$G$2:$G1003=P$2, Datos!$A$2:$A1003=$A111)"),3301.733)</f>
        <v>3301.733</v>
      </c>
      <c r="Q111" s="21">
        <f>IFERROR(__xludf.DUMMYFUNCTION("FILTER(Datos!$E$2:$E1003, Datos!$F$2:$F1003=Q$1, Datos!$G$2:$G1003=Q$2, Datos!$A$2:$A1003=$A111)"),5268.292)</f>
        <v>5268.292</v>
      </c>
    </row>
    <row r="112">
      <c r="A112" s="18">
        <f t="shared" si="2"/>
        <v>107</v>
      </c>
      <c r="B112" s="19">
        <f>IFERROR(__xludf.DUMMYFUNCTION("FILTER(Datos!$D$2:$D1003, Datos!$F$2:$F1003=B$1, Datos!$G$2:$G1003=B$2, Datos!$A$2:$A1003=$A112)"),1909.833)</f>
        <v>1909.833</v>
      </c>
      <c r="C112" s="20">
        <f>IFERROR(__xludf.DUMMYFUNCTION("FILTER(Datos!$E$2:$E1003, Datos!$F$2:$F1003=C$1, Datos!$G$2:$G1003=C$2, Datos!$A$2:$A1003=$A112)"),1993.008)</f>
        <v>1993.008</v>
      </c>
      <c r="D112" s="20">
        <f>IFERROR(__xludf.DUMMYFUNCTION("FILTER(Datos!$D$2:$D1003, Datos!$F$2:$F1003=D$1, Datos!$G$2:$G1003=D$2, Datos!$A$2:$A1003=$A112)"),2162.9)</f>
        <v>2162.9</v>
      </c>
      <c r="E112" s="20">
        <f>IFERROR(__xludf.DUMMYFUNCTION("FILTER(Datos!$E$2:$E1003, Datos!$F$2:$F1003=E$1, Datos!$G$2:$G1003=E$2, Datos!$A$2:$A1003=$A112)"),2264.021)</f>
        <v>2264.021</v>
      </c>
      <c r="F112" s="20">
        <f>IFERROR(__xludf.DUMMYFUNCTION("FILTER(Datos!$D$2:$D1003, Datos!$F$2:$F1003=F$1, Datos!$G$2:$G1003=F$2, Datos!$A$2:$A1003=$A112)"),3003.733)</f>
        <v>3003.733</v>
      </c>
      <c r="G112" s="20">
        <f>IFERROR(__xludf.DUMMYFUNCTION("FILTER(Datos!$E$2:$E1003, Datos!$F$2:$F1003=G$1, Datos!$G$2:$G1003=G$2, Datos!$A$2:$A1003=$A112)"),4067.799)</f>
        <v>4067.799</v>
      </c>
      <c r="H112" s="20">
        <f>IFERROR(__xludf.DUMMYFUNCTION("FILTER(Datos!$D$2:$D1003, Datos!$F$2:$F1003=H$1, Datos!$G$2:$G1003=H$2, Datos!$A$2:$A1003=$A112)"),4096.167)</f>
        <v>4096.167</v>
      </c>
      <c r="I112" s="21">
        <f>IFERROR(__xludf.DUMMYFUNCTION("FILTER(Datos!$E$2:$E1003, Datos!$F$2:$F1003=I$1, Datos!$G$2:$G1003=I$2, Datos!$A$2:$A1003=$A112)"),6383.768)</f>
        <v>6383.768</v>
      </c>
      <c r="J112" s="20">
        <f>IFERROR(__xludf.DUMMYFUNCTION("FILTER(Datos!$D$2:$D1003, Datos!$F$2:$F1003=J$1, Datos!$G$2:$G1003=J$2, Datos!$A$2:$A1003=$A112)"),1816.667)</f>
        <v>1816.667</v>
      </c>
      <c r="K112" s="20">
        <f>IFERROR(__xludf.DUMMYFUNCTION("FILTER(Datos!$E$2:$E1003, Datos!$F$2:$F1003=K$1, Datos!$G$2:$G1003=K$2, Datos!$A$2:$A1003=$A112)"),2281.477)</f>
        <v>2281.477</v>
      </c>
      <c r="L112" s="20">
        <f>IFERROR(__xludf.DUMMYFUNCTION("FILTER(Datos!$D$2:$D1003, Datos!$F$2:$F1003=L$1, Datos!$G$2:$G1003=L$2, Datos!$A$2:$A1003=$A112)"),2126.833)</f>
        <v>2126.833</v>
      </c>
      <c r="M112" s="20">
        <f>IFERROR(__xludf.DUMMYFUNCTION("FILTER(Datos!$E$2:$E1003, Datos!$F$2:$F1003=M$1, Datos!$G$2:$G1003=M$2, Datos!$A$2:$A1003=$A112)"),2801.091)</f>
        <v>2801.091</v>
      </c>
      <c r="N112" s="20">
        <f>IFERROR(__xludf.DUMMYFUNCTION("FILTER(Datos!$D$2:$D1003, Datos!$F$2:$F1003=N$1, Datos!$G$2:$G1003=N$2, Datos!$A$2:$A1003=$A112)"),2598.667)</f>
        <v>2598.667</v>
      </c>
      <c r="O112" s="20">
        <f>IFERROR(__xludf.DUMMYFUNCTION("FILTER(Datos!$E$2:$E1003, Datos!$F$2:$F1003=O$1, Datos!$G$2:$G1003=O$2, Datos!$A$2:$A1003=$A112)"),3784.579)</f>
        <v>3784.579</v>
      </c>
      <c r="P112" s="20">
        <f>IFERROR(__xludf.DUMMYFUNCTION("FILTER(Datos!$D$2:$D1003, Datos!$F$2:$F1003=P$1, Datos!$G$2:$G1003=P$2, Datos!$A$2:$A1003=$A112)"),3295.767)</f>
        <v>3295.767</v>
      </c>
      <c r="Q112" s="21">
        <f>IFERROR(__xludf.DUMMYFUNCTION("FILTER(Datos!$E$2:$E1003, Datos!$F$2:$F1003=Q$1, Datos!$G$2:$G1003=Q$2, Datos!$A$2:$A1003=$A112)"),5238.648)</f>
        <v>5238.648</v>
      </c>
    </row>
    <row r="113">
      <c r="A113" s="18">
        <f t="shared" si="2"/>
        <v>108</v>
      </c>
      <c r="B113" s="19">
        <f>IFERROR(__xludf.DUMMYFUNCTION("FILTER(Datos!$D$2:$D1003, Datos!$F$2:$F1003=B$1, Datos!$G$2:$G1003=B$2, Datos!$A$2:$A1003=$A113)"),1909.833)</f>
        <v>1909.833</v>
      </c>
      <c r="C113" s="20">
        <f>IFERROR(__xludf.DUMMYFUNCTION("FILTER(Datos!$E$2:$E1003, Datos!$F$2:$F1003=C$1, Datos!$G$2:$G1003=C$2, Datos!$A$2:$A1003=$A113)"),1988.992)</f>
        <v>1988.992</v>
      </c>
      <c r="D113" s="20">
        <f>IFERROR(__xludf.DUMMYFUNCTION("FILTER(Datos!$D$2:$D1003, Datos!$F$2:$F1003=D$1, Datos!$G$2:$G1003=D$2, Datos!$A$2:$A1003=$A113)"),2162.9)</f>
        <v>2162.9</v>
      </c>
      <c r="E113" s="20">
        <f>IFERROR(__xludf.DUMMYFUNCTION("FILTER(Datos!$E$2:$E1003, Datos!$F$2:$F1003=E$1, Datos!$G$2:$G1003=E$2, Datos!$A$2:$A1003=$A113)"),2268.357)</f>
        <v>2268.357</v>
      </c>
      <c r="F113" s="20">
        <f>IFERROR(__xludf.DUMMYFUNCTION("FILTER(Datos!$D$2:$D1003, Datos!$F$2:$F1003=F$1, Datos!$G$2:$G1003=F$2, Datos!$A$2:$A1003=$A113)"),2992.367)</f>
        <v>2992.367</v>
      </c>
      <c r="G113" s="20">
        <f>IFERROR(__xludf.DUMMYFUNCTION("FILTER(Datos!$E$2:$E1003, Datos!$F$2:$F1003=G$1, Datos!$G$2:$G1003=G$2, Datos!$A$2:$A1003=$A113)"),4004.973)</f>
        <v>4004.973</v>
      </c>
      <c r="H113" s="20">
        <f>IFERROR(__xludf.DUMMYFUNCTION("FILTER(Datos!$D$2:$D1003, Datos!$F$2:$F1003=H$1, Datos!$G$2:$G1003=H$2, Datos!$A$2:$A1003=$A113)"),4090.3)</f>
        <v>4090.3</v>
      </c>
      <c r="I113" s="21">
        <f>IFERROR(__xludf.DUMMYFUNCTION("FILTER(Datos!$E$2:$E1003, Datos!$F$2:$F1003=I$1, Datos!$G$2:$G1003=I$2, Datos!$A$2:$A1003=$A113)"),6355.007)</f>
        <v>6355.007</v>
      </c>
      <c r="J113" s="20">
        <f>IFERROR(__xludf.DUMMYFUNCTION("FILTER(Datos!$D$2:$D1003, Datos!$F$2:$F1003=J$1, Datos!$G$2:$G1003=J$2, Datos!$A$2:$A1003=$A113)"),1816.667)</f>
        <v>1816.667</v>
      </c>
      <c r="K113" s="20">
        <f>IFERROR(__xludf.DUMMYFUNCTION("FILTER(Datos!$E$2:$E1003, Datos!$F$2:$F1003=K$1, Datos!$G$2:$G1003=K$2, Datos!$A$2:$A1003=$A113)"),2281.602)</f>
        <v>2281.602</v>
      </c>
      <c r="L113" s="20">
        <f>IFERROR(__xludf.DUMMYFUNCTION("FILTER(Datos!$D$2:$D1003, Datos!$F$2:$F1003=L$1, Datos!$G$2:$G1003=L$2, Datos!$A$2:$A1003=$A113)"),2126.833)</f>
        <v>2126.833</v>
      </c>
      <c r="M113" s="20">
        <f>IFERROR(__xludf.DUMMYFUNCTION("FILTER(Datos!$E$2:$E1003, Datos!$F$2:$F1003=M$1, Datos!$G$2:$G1003=M$2, Datos!$A$2:$A1003=$A113)"),2799.763)</f>
        <v>2799.763</v>
      </c>
      <c r="N113" s="20">
        <f>IFERROR(__xludf.DUMMYFUNCTION("FILTER(Datos!$D$2:$D1003, Datos!$F$2:$F1003=N$1, Datos!$G$2:$G1003=N$2, Datos!$A$2:$A1003=$A113)"),2593.5)</f>
        <v>2593.5</v>
      </c>
      <c r="O113" s="20">
        <f>IFERROR(__xludf.DUMMYFUNCTION("FILTER(Datos!$E$2:$E1003, Datos!$F$2:$F1003=O$1, Datos!$G$2:$G1003=O$2, Datos!$A$2:$A1003=$A113)"),3757.761)</f>
        <v>3757.761</v>
      </c>
      <c r="P113" s="20">
        <f>IFERROR(__xludf.DUMMYFUNCTION("FILTER(Datos!$D$2:$D1003, Datos!$F$2:$F1003=P$1, Datos!$G$2:$G1003=P$2, Datos!$A$2:$A1003=$A113)"),3284.7)</f>
        <v>3284.7</v>
      </c>
      <c r="Q113" s="21">
        <f>IFERROR(__xludf.DUMMYFUNCTION("FILTER(Datos!$E$2:$E1003, Datos!$F$2:$F1003=Q$1, Datos!$G$2:$G1003=Q$2, Datos!$A$2:$A1003=$A113)"),5181.412)</f>
        <v>5181.412</v>
      </c>
    </row>
    <row r="114">
      <c r="A114" s="18">
        <f t="shared" si="2"/>
        <v>109</v>
      </c>
      <c r="B114" s="19">
        <f>IFERROR(__xludf.DUMMYFUNCTION("FILTER(Datos!$D$2:$D1003, Datos!$F$2:$F1003=B$1, Datos!$G$2:$G1003=B$2, Datos!$A$2:$A1003=$A114)"),1909.833)</f>
        <v>1909.833</v>
      </c>
      <c r="C114" s="20">
        <f>IFERROR(__xludf.DUMMYFUNCTION("FILTER(Datos!$E$2:$E1003, Datos!$F$2:$F1003=C$1, Datos!$G$2:$G1003=C$2, Datos!$A$2:$A1003=$A114)"),1988.174)</f>
        <v>1988.174</v>
      </c>
      <c r="D114" s="20">
        <f>IFERROR(__xludf.DUMMYFUNCTION("FILTER(Datos!$D$2:$D1003, Datos!$F$2:$F1003=D$1, Datos!$G$2:$G1003=D$2, Datos!$A$2:$A1003=$A114)"),2162.9)</f>
        <v>2162.9</v>
      </c>
      <c r="E114" s="20">
        <f>IFERROR(__xludf.DUMMYFUNCTION("FILTER(Datos!$E$2:$E1003, Datos!$F$2:$F1003=E$1, Datos!$G$2:$G1003=E$2, Datos!$A$2:$A1003=$A114)"),2267.193)</f>
        <v>2267.193</v>
      </c>
      <c r="F114" s="20">
        <f>IFERROR(__xludf.DUMMYFUNCTION("FILTER(Datos!$D$2:$D1003, Datos!$F$2:$F1003=F$1, Datos!$G$2:$G1003=F$2, Datos!$A$2:$A1003=$A114)"),2979.6)</f>
        <v>2979.6</v>
      </c>
      <c r="G114" s="20">
        <f>IFERROR(__xludf.DUMMYFUNCTION("FILTER(Datos!$E$2:$E1003, Datos!$F$2:$F1003=G$1, Datos!$G$2:$G1003=G$2, Datos!$A$2:$A1003=$A114)"),3957.589)</f>
        <v>3957.589</v>
      </c>
      <c r="H114" s="20">
        <f>IFERROR(__xludf.DUMMYFUNCTION("FILTER(Datos!$D$2:$D1003, Datos!$F$2:$F1003=H$1, Datos!$G$2:$G1003=H$2, Datos!$A$2:$A1003=$A114)"),4075.567)</f>
        <v>4075.567</v>
      </c>
      <c r="I114" s="21">
        <f>IFERROR(__xludf.DUMMYFUNCTION("FILTER(Datos!$E$2:$E1003, Datos!$F$2:$F1003=I$1, Datos!$G$2:$G1003=I$2, Datos!$A$2:$A1003=$A114)"),6337.323)</f>
        <v>6337.323</v>
      </c>
      <c r="J114" s="20">
        <f>IFERROR(__xludf.DUMMYFUNCTION("FILTER(Datos!$D$2:$D1003, Datos!$F$2:$F1003=J$1, Datos!$G$2:$G1003=J$2, Datos!$A$2:$A1003=$A114)"),1816.667)</f>
        <v>1816.667</v>
      </c>
      <c r="K114" s="20">
        <f>IFERROR(__xludf.DUMMYFUNCTION("FILTER(Datos!$E$2:$E1003, Datos!$F$2:$F1003=K$1, Datos!$G$2:$G1003=K$2, Datos!$A$2:$A1003=$A114)"),2291.845)</f>
        <v>2291.845</v>
      </c>
      <c r="L114" s="20">
        <f>IFERROR(__xludf.DUMMYFUNCTION("FILTER(Datos!$D$2:$D1003, Datos!$F$2:$F1003=L$1, Datos!$G$2:$G1003=L$2, Datos!$A$2:$A1003=$A114)"),2126.233)</f>
        <v>2126.233</v>
      </c>
      <c r="M114" s="20">
        <f>IFERROR(__xludf.DUMMYFUNCTION("FILTER(Datos!$E$2:$E1003, Datos!$F$2:$F1003=M$1, Datos!$G$2:$G1003=M$2, Datos!$A$2:$A1003=$A114)"),2796.145)</f>
        <v>2796.145</v>
      </c>
      <c r="N114" s="20">
        <f>IFERROR(__xludf.DUMMYFUNCTION("FILTER(Datos!$D$2:$D1003, Datos!$F$2:$F1003=N$1, Datos!$G$2:$G1003=N$2, Datos!$A$2:$A1003=$A114)"),2590.933)</f>
        <v>2590.933</v>
      </c>
      <c r="O114" s="20">
        <f>IFERROR(__xludf.DUMMYFUNCTION("FILTER(Datos!$E$2:$E1003, Datos!$F$2:$F1003=O$1, Datos!$G$2:$G1003=O$2, Datos!$A$2:$A1003=$A114)"),3734.075)</f>
        <v>3734.075</v>
      </c>
      <c r="P114" s="20">
        <f>IFERROR(__xludf.DUMMYFUNCTION("FILTER(Datos!$D$2:$D1003, Datos!$F$2:$F1003=P$1, Datos!$G$2:$G1003=P$2, Datos!$A$2:$A1003=$A114)"),3269.367)</f>
        <v>3269.367</v>
      </c>
      <c r="Q114" s="21">
        <f>IFERROR(__xludf.DUMMYFUNCTION("FILTER(Datos!$E$2:$E1003, Datos!$F$2:$F1003=Q$1, Datos!$G$2:$G1003=Q$2, Datos!$A$2:$A1003=$A114)"),5186.476)</f>
        <v>5186.476</v>
      </c>
    </row>
    <row r="115">
      <c r="A115" s="18">
        <f t="shared" si="2"/>
        <v>110</v>
      </c>
      <c r="B115" s="19">
        <f>IFERROR(__xludf.DUMMYFUNCTION("FILTER(Datos!$D$2:$D1003, Datos!$F$2:$F1003=B$1, Datos!$G$2:$G1003=B$2, Datos!$A$2:$A1003=$A115)"),1909.833)</f>
        <v>1909.833</v>
      </c>
      <c r="C115" s="20">
        <f>IFERROR(__xludf.DUMMYFUNCTION("FILTER(Datos!$E$2:$E1003, Datos!$F$2:$F1003=C$1, Datos!$G$2:$G1003=C$2, Datos!$A$2:$A1003=$A115)"),1989.31)</f>
        <v>1989.31</v>
      </c>
      <c r="D115" s="20">
        <f>IFERROR(__xludf.DUMMYFUNCTION("FILTER(Datos!$D$2:$D1003, Datos!$F$2:$F1003=D$1, Datos!$G$2:$G1003=D$2, Datos!$A$2:$A1003=$A115)"),2162.9)</f>
        <v>2162.9</v>
      </c>
      <c r="E115" s="20">
        <f>IFERROR(__xludf.DUMMYFUNCTION("FILTER(Datos!$E$2:$E1003, Datos!$F$2:$F1003=E$1, Datos!$G$2:$G1003=E$2, Datos!$A$2:$A1003=$A115)"),2264.787)</f>
        <v>2264.787</v>
      </c>
      <c r="F115" s="20">
        <f>IFERROR(__xludf.DUMMYFUNCTION("FILTER(Datos!$D$2:$D1003, Datos!$F$2:$F1003=F$1, Datos!$G$2:$G1003=F$2, Datos!$A$2:$A1003=$A115)"),2975.167)</f>
        <v>2975.167</v>
      </c>
      <c r="G115" s="20">
        <f>IFERROR(__xludf.DUMMYFUNCTION("FILTER(Datos!$E$2:$E1003, Datos!$F$2:$F1003=G$1, Datos!$G$2:$G1003=G$2, Datos!$A$2:$A1003=$A115)"),3917.868)</f>
        <v>3917.868</v>
      </c>
      <c r="H115" s="20">
        <f>IFERROR(__xludf.DUMMYFUNCTION("FILTER(Datos!$D$2:$D1003, Datos!$F$2:$F1003=H$1, Datos!$G$2:$G1003=H$2, Datos!$A$2:$A1003=$A115)"),4062.6)</f>
        <v>4062.6</v>
      </c>
      <c r="I115" s="21">
        <f>IFERROR(__xludf.DUMMYFUNCTION("FILTER(Datos!$E$2:$E1003, Datos!$F$2:$F1003=I$1, Datos!$G$2:$G1003=I$2, Datos!$A$2:$A1003=$A115)"),6318.51)</f>
        <v>6318.51</v>
      </c>
      <c r="J115" s="20">
        <f>IFERROR(__xludf.DUMMYFUNCTION("FILTER(Datos!$D$2:$D1003, Datos!$F$2:$F1003=J$1, Datos!$G$2:$G1003=J$2, Datos!$A$2:$A1003=$A115)"),1816.667)</f>
        <v>1816.667</v>
      </c>
      <c r="K115" s="20">
        <f>IFERROR(__xludf.DUMMYFUNCTION("FILTER(Datos!$E$2:$E1003, Datos!$F$2:$F1003=K$1, Datos!$G$2:$G1003=K$2, Datos!$A$2:$A1003=$A115)"),2289.246)</f>
        <v>2289.246</v>
      </c>
      <c r="L115" s="20">
        <f>IFERROR(__xludf.DUMMYFUNCTION("FILTER(Datos!$D$2:$D1003, Datos!$F$2:$F1003=L$1, Datos!$G$2:$G1003=L$2, Datos!$A$2:$A1003=$A115)"),2123.133)</f>
        <v>2123.133</v>
      </c>
      <c r="M115" s="20">
        <f>IFERROR(__xludf.DUMMYFUNCTION("FILTER(Datos!$E$2:$E1003, Datos!$F$2:$F1003=M$1, Datos!$G$2:$G1003=M$2, Datos!$A$2:$A1003=$A115)"),2796.985)</f>
        <v>2796.985</v>
      </c>
      <c r="N115" s="20">
        <f>IFERROR(__xludf.DUMMYFUNCTION("FILTER(Datos!$D$2:$D1003, Datos!$F$2:$F1003=N$1, Datos!$G$2:$G1003=N$2, Datos!$A$2:$A1003=$A115)"),2586.367)</f>
        <v>2586.367</v>
      </c>
      <c r="O115" s="20">
        <f>IFERROR(__xludf.DUMMYFUNCTION("FILTER(Datos!$E$2:$E1003, Datos!$F$2:$F1003=O$1, Datos!$G$2:$G1003=O$2, Datos!$A$2:$A1003=$A115)"),3721.536)</f>
        <v>3721.536</v>
      </c>
      <c r="P115" s="20">
        <f>IFERROR(__xludf.DUMMYFUNCTION("FILTER(Datos!$D$2:$D1003, Datos!$F$2:$F1003=P$1, Datos!$G$2:$G1003=P$2, Datos!$A$2:$A1003=$A115)"),3265.6)</f>
        <v>3265.6</v>
      </c>
      <c r="Q115" s="21">
        <f>IFERROR(__xludf.DUMMYFUNCTION("FILTER(Datos!$E$2:$E1003, Datos!$F$2:$F1003=Q$1, Datos!$G$2:$G1003=Q$2, Datos!$A$2:$A1003=$A115)"),5182.33)</f>
        <v>5182.33</v>
      </c>
    </row>
    <row r="116">
      <c r="A116" s="18">
        <f t="shared" si="2"/>
        <v>111</v>
      </c>
      <c r="B116" s="19">
        <f>IFERROR(__xludf.DUMMYFUNCTION("FILTER(Datos!$D$2:$D1003, Datos!$F$2:$F1003=B$1, Datos!$G$2:$G1003=B$2, Datos!$A$2:$A1003=$A116)"),1909.833)</f>
        <v>1909.833</v>
      </c>
      <c r="C116" s="20">
        <f>IFERROR(__xludf.DUMMYFUNCTION("FILTER(Datos!$E$2:$E1003, Datos!$F$2:$F1003=C$1, Datos!$G$2:$G1003=C$2, Datos!$A$2:$A1003=$A116)"),1989.139)</f>
        <v>1989.139</v>
      </c>
      <c r="D116" s="20">
        <f>IFERROR(__xludf.DUMMYFUNCTION("FILTER(Datos!$D$2:$D1003, Datos!$F$2:$F1003=D$1, Datos!$G$2:$G1003=D$2, Datos!$A$2:$A1003=$A116)"),2162.9)</f>
        <v>2162.9</v>
      </c>
      <c r="E116" s="20">
        <f>IFERROR(__xludf.DUMMYFUNCTION("FILTER(Datos!$E$2:$E1003, Datos!$F$2:$F1003=E$1, Datos!$G$2:$G1003=E$2, Datos!$A$2:$A1003=$A116)"),2264.959)</f>
        <v>2264.959</v>
      </c>
      <c r="F116" s="20">
        <f>IFERROR(__xludf.DUMMYFUNCTION("FILTER(Datos!$D$2:$D1003, Datos!$F$2:$F1003=F$1, Datos!$G$2:$G1003=F$2, Datos!$A$2:$A1003=$A116)"),2963.233)</f>
        <v>2963.233</v>
      </c>
      <c r="G116" s="20">
        <f>IFERROR(__xludf.DUMMYFUNCTION("FILTER(Datos!$E$2:$E1003, Datos!$F$2:$F1003=G$1, Datos!$G$2:$G1003=G$2, Datos!$A$2:$A1003=$A116)"),3882.253)</f>
        <v>3882.253</v>
      </c>
      <c r="H116" s="20">
        <f>IFERROR(__xludf.DUMMYFUNCTION("FILTER(Datos!$D$2:$D1003, Datos!$F$2:$F1003=H$1, Datos!$G$2:$G1003=H$2, Datos!$A$2:$A1003=$A116)"),4062.6)</f>
        <v>4062.6</v>
      </c>
      <c r="I116" s="21">
        <f>IFERROR(__xludf.DUMMYFUNCTION("FILTER(Datos!$E$2:$E1003, Datos!$F$2:$F1003=I$1, Datos!$G$2:$G1003=I$2, Datos!$A$2:$A1003=$A116)"),6312.285)</f>
        <v>6312.285</v>
      </c>
      <c r="J116" s="20">
        <f>IFERROR(__xludf.DUMMYFUNCTION("FILTER(Datos!$D$2:$D1003, Datos!$F$2:$F1003=J$1, Datos!$G$2:$G1003=J$2, Datos!$A$2:$A1003=$A116)"),1816.667)</f>
        <v>1816.667</v>
      </c>
      <c r="K116" s="20">
        <f>IFERROR(__xludf.DUMMYFUNCTION("FILTER(Datos!$E$2:$E1003, Datos!$F$2:$F1003=K$1, Datos!$G$2:$G1003=K$2, Datos!$A$2:$A1003=$A116)"),2286.811)</f>
        <v>2286.811</v>
      </c>
      <c r="L116" s="20">
        <f>IFERROR(__xludf.DUMMYFUNCTION("FILTER(Datos!$D$2:$D1003, Datos!$F$2:$F1003=L$1, Datos!$G$2:$G1003=L$2, Datos!$A$2:$A1003=$A116)"),2123.133)</f>
        <v>2123.133</v>
      </c>
      <c r="M116" s="20">
        <f>IFERROR(__xludf.DUMMYFUNCTION("FILTER(Datos!$E$2:$E1003, Datos!$F$2:$F1003=M$1, Datos!$G$2:$G1003=M$2, Datos!$A$2:$A1003=$A116)"),2792.027)</f>
        <v>2792.027</v>
      </c>
      <c r="N116" s="20">
        <f>IFERROR(__xludf.DUMMYFUNCTION("FILTER(Datos!$D$2:$D1003, Datos!$F$2:$F1003=N$1, Datos!$G$2:$G1003=N$2, Datos!$A$2:$A1003=$A116)"),2583.3)</f>
        <v>2583.3</v>
      </c>
      <c r="O116" s="20">
        <f>IFERROR(__xludf.DUMMYFUNCTION("FILTER(Datos!$E$2:$E1003, Datos!$F$2:$F1003=O$1, Datos!$G$2:$G1003=O$2, Datos!$A$2:$A1003=$A116)"),3727.487)</f>
        <v>3727.487</v>
      </c>
      <c r="P116" s="20">
        <f>IFERROR(__xludf.DUMMYFUNCTION("FILTER(Datos!$D$2:$D1003, Datos!$F$2:$F1003=P$1, Datos!$G$2:$G1003=P$2, Datos!$A$2:$A1003=$A116)"),3256.7)</f>
        <v>3256.7</v>
      </c>
      <c r="Q116" s="21">
        <f>IFERROR(__xludf.DUMMYFUNCTION("FILTER(Datos!$E$2:$E1003, Datos!$F$2:$F1003=Q$1, Datos!$G$2:$G1003=Q$2, Datos!$A$2:$A1003=$A116)"),5183.733)</f>
        <v>5183.733</v>
      </c>
    </row>
    <row r="117">
      <c r="A117" s="18">
        <f t="shared" si="2"/>
        <v>112</v>
      </c>
      <c r="B117" s="19">
        <f>IFERROR(__xludf.DUMMYFUNCTION("FILTER(Datos!$D$2:$D1003, Datos!$F$2:$F1003=B$1, Datos!$G$2:$G1003=B$2, Datos!$A$2:$A1003=$A117)"),1909.833)</f>
        <v>1909.833</v>
      </c>
      <c r="C117" s="20">
        <f>IFERROR(__xludf.DUMMYFUNCTION("FILTER(Datos!$E$2:$E1003, Datos!$F$2:$F1003=C$1, Datos!$G$2:$G1003=C$2, Datos!$A$2:$A1003=$A117)"),1987.24)</f>
        <v>1987.24</v>
      </c>
      <c r="D117" s="20">
        <f>IFERROR(__xludf.DUMMYFUNCTION("FILTER(Datos!$D$2:$D1003, Datos!$F$2:$F1003=D$1, Datos!$G$2:$G1003=D$2, Datos!$A$2:$A1003=$A117)"),2162.9)</f>
        <v>2162.9</v>
      </c>
      <c r="E117" s="20">
        <f>IFERROR(__xludf.DUMMYFUNCTION("FILTER(Datos!$E$2:$E1003, Datos!$F$2:$F1003=E$1, Datos!$G$2:$G1003=E$2, Datos!$A$2:$A1003=$A117)"),2264.824)</f>
        <v>2264.824</v>
      </c>
      <c r="F117" s="20">
        <f>IFERROR(__xludf.DUMMYFUNCTION("FILTER(Datos!$D$2:$D1003, Datos!$F$2:$F1003=F$1, Datos!$G$2:$G1003=F$2, Datos!$A$2:$A1003=$A117)"),2948.667)</f>
        <v>2948.667</v>
      </c>
      <c r="G117" s="20">
        <f>IFERROR(__xludf.DUMMYFUNCTION("FILTER(Datos!$E$2:$E1003, Datos!$F$2:$F1003=G$1, Datos!$G$2:$G1003=G$2, Datos!$A$2:$A1003=$A117)"),3843.48)</f>
        <v>3843.48</v>
      </c>
      <c r="H117" s="20">
        <f>IFERROR(__xludf.DUMMYFUNCTION("FILTER(Datos!$D$2:$D1003, Datos!$F$2:$F1003=H$1, Datos!$G$2:$G1003=H$2, Datos!$A$2:$A1003=$A117)"),4033.667)</f>
        <v>4033.667</v>
      </c>
      <c r="I117" s="21">
        <f>IFERROR(__xludf.DUMMYFUNCTION("FILTER(Datos!$E$2:$E1003, Datos!$F$2:$F1003=I$1, Datos!$G$2:$G1003=I$2, Datos!$A$2:$A1003=$A117)"),6289.278)</f>
        <v>6289.278</v>
      </c>
      <c r="J117" s="20">
        <f>IFERROR(__xludf.DUMMYFUNCTION("FILTER(Datos!$D$2:$D1003, Datos!$F$2:$F1003=J$1, Datos!$G$2:$G1003=J$2, Datos!$A$2:$A1003=$A117)"),1816.667)</f>
        <v>1816.667</v>
      </c>
      <c r="K117" s="20">
        <f>IFERROR(__xludf.DUMMYFUNCTION("FILTER(Datos!$E$2:$E1003, Datos!$F$2:$F1003=K$1, Datos!$G$2:$G1003=K$2, Datos!$A$2:$A1003=$A117)"),2286.877)</f>
        <v>2286.877</v>
      </c>
      <c r="L117" s="20">
        <f>IFERROR(__xludf.DUMMYFUNCTION("FILTER(Datos!$D$2:$D1003, Datos!$F$2:$F1003=L$1, Datos!$G$2:$G1003=L$2, Datos!$A$2:$A1003=$A117)"),2123.133)</f>
        <v>2123.133</v>
      </c>
      <c r="M117" s="20">
        <f>IFERROR(__xludf.DUMMYFUNCTION("FILTER(Datos!$E$2:$E1003, Datos!$F$2:$F1003=M$1, Datos!$G$2:$G1003=M$2, Datos!$A$2:$A1003=$A117)"),2785.345)</f>
        <v>2785.345</v>
      </c>
      <c r="N117" s="20">
        <f>IFERROR(__xludf.DUMMYFUNCTION("FILTER(Datos!$D$2:$D1003, Datos!$F$2:$F1003=N$1, Datos!$G$2:$G1003=N$2, Datos!$A$2:$A1003=$A117)"),2583.3)</f>
        <v>2583.3</v>
      </c>
      <c r="O117" s="20">
        <f>IFERROR(__xludf.DUMMYFUNCTION("FILTER(Datos!$E$2:$E1003, Datos!$F$2:$F1003=O$1, Datos!$G$2:$G1003=O$2, Datos!$A$2:$A1003=$A117)"),3715.474)</f>
        <v>3715.474</v>
      </c>
      <c r="P117" s="20">
        <f>IFERROR(__xludf.DUMMYFUNCTION("FILTER(Datos!$D$2:$D1003, Datos!$F$2:$F1003=P$1, Datos!$G$2:$G1003=P$2, Datos!$A$2:$A1003=$A117)"),3242.8)</f>
        <v>3242.8</v>
      </c>
      <c r="Q117" s="21">
        <f>IFERROR(__xludf.DUMMYFUNCTION("FILTER(Datos!$E$2:$E1003, Datos!$F$2:$F1003=Q$1, Datos!$G$2:$G1003=Q$2, Datos!$A$2:$A1003=$A117)"),5157.486)</f>
        <v>5157.486</v>
      </c>
    </row>
    <row r="118">
      <c r="A118" s="18">
        <f t="shared" si="2"/>
        <v>113</v>
      </c>
      <c r="B118" s="19">
        <f>IFERROR(__xludf.DUMMYFUNCTION("FILTER(Datos!$D$2:$D1003, Datos!$F$2:$F1003=B$1, Datos!$G$2:$G1003=B$2, Datos!$A$2:$A1003=$A118)"),1909.833)</f>
        <v>1909.833</v>
      </c>
      <c r="C118" s="20">
        <f>IFERROR(__xludf.DUMMYFUNCTION("FILTER(Datos!$E$2:$E1003, Datos!$F$2:$F1003=C$1, Datos!$G$2:$G1003=C$2, Datos!$A$2:$A1003=$A118)"),1990.807)</f>
        <v>1990.807</v>
      </c>
      <c r="D118" s="20">
        <f>IFERROR(__xludf.DUMMYFUNCTION("FILTER(Datos!$D$2:$D1003, Datos!$F$2:$F1003=D$1, Datos!$G$2:$G1003=D$2, Datos!$A$2:$A1003=$A118)"),2162.9)</f>
        <v>2162.9</v>
      </c>
      <c r="E118" s="20">
        <f>IFERROR(__xludf.DUMMYFUNCTION("FILTER(Datos!$E$2:$E1003, Datos!$F$2:$F1003=E$1, Datos!$G$2:$G1003=E$2, Datos!$A$2:$A1003=$A118)"),2264.542)</f>
        <v>2264.542</v>
      </c>
      <c r="F118" s="20">
        <f>IFERROR(__xludf.DUMMYFUNCTION("FILTER(Datos!$D$2:$D1003, Datos!$F$2:$F1003=F$1, Datos!$G$2:$G1003=F$2, Datos!$A$2:$A1003=$A118)"),2927.167)</f>
        <v>2927.167</v>
      </c>
      <c r="G118" s="20">
        <f>IFERROR(__xludf.DUMMYFUNCTION("FILTER(Datos!$E$2:$E1003, Datos!$F$2:$F1003=G$1, Datos!$G$2:$G1003=G$2, Datos!$A$2:$A1003=$A118)"),3814.372)</f>
        <v>3814.372</v>
      </c>
      <c r="H118" s="20">
        <f>IFERROR(__xludf.DUMMYFUNCTION("FILTER(Datos!$D$2:$D1003, Datos!$F$2:$F1003=H$1, Datos!$G$2:$G1003=H$2, Datos!$A$2:$A1003=$A118)"),4029.133)</f>
        <v>4029.133</v>
      </c>
      <c r="I118" s="21">
        <f>IFERROR(__xludf.DUMMYFUNCTION("FILTER(Datos!$E$2:$E1003, Datos!$F$2:$F1003=I$1, Datos!$G$2:$G1003=I$2, Datos!$A$2:$A1003=$A118)"),6259.648)</f>
        <v>6259.648</v>
      </c>
      <c r="J118" s="20">
        <f>IFERROR(__xludf.DUMMYFUNCTION("FILTER(Datos!$D$2:$D1003, Datos!$F$2:$F1003=J$1, Datos!$G$2:$G1003=J$2, Datos!$A$2:$A1003=$A118)"),1816.667)</f>
        <v>1816.667</v>
      </c>
      <c r="K118" s="20">
        <f>IFERROR(__xludf.DUMMYFUNCTION("FILTER(Datos!$E$2:$E1003, Datos!$F$2:$F1003=K$1, Datos!$G$2:$G1003=K$2, Datos!$A$2:$A1003=$A118)"),2291.327)</f>
        <v>2291.327</v>
      </c>
      <c r="L118" s="20">
        <f>IFERROR(__xludf.DUMMYFUNCTION("FILTER(Datos!$D$2:$D1003, Datos!$F$2:$F1003=L$1, Datos!$G$2:$G1003=L$2, Datos!$A$2:$A1003=$A118)"),2122.8)</f>
        <v>2122.8</v>
      </c>
      <c r="M118" s="20">
        <f>IFERROR(__xludf.DUMMYFUNCTION("FILTER(Datos!$E$2:$E1003, Datos!$F$2:$F1003=M$1, Datos!$G$2:$G1003=M$2, Datos!$A$2:$A1003=$A118)"),2793.114)</f>
        <v>2793.114</v>
      </c>
      <c r="N118" s="20">
        <f>IFERROR(__xludf.DUMMYFUNCTION("FILTER(Datos!$D$2:$D1003, Datos!$F$2:$F1003=N$1, Datos!$G$2:$G1003=N$2, Datos!$A$2:$A1003=$A118)"),2577.4)</f>
        <v>2577.4</v>
      </c>
      <c r="O118" s="20">
        <f>IFERROR(__xludf.DUMMYFUNCTION("FILTER(Datos!$E$2:$E1003, Datos!$F$2:$F1003=O$1, Datos!$G$2:$G1003=O$2, Datos!$A$2:$A1003=$A118)"),3708.553)</f>
        <v>3708.553</v>
      </c>
      <c r="P118" s="20">
        <f>IFERROR(__xludf.DUMMYFUNCTION("FILTER(Datos!$D$2:$D1003, Datos!$F$2:$F1003=P$1, Datos!$G$2:$G1003=P$2, Datos!$A$2:$A1003=$A118)"),3225.5)</f>
        <v>3225.5</v>
      </c>
      <c r="Q118" s="21">
        <f>IFERROR(__xludf.DUMMYFUNCTION("FILTER(Datos!$E$2:$E1003, Datos!$F$2:$F1003=Q$1, Datos!$G$2:$G1003=Q$2, Datos!$A$2:$A1003=$A118)"),5107.671)</f>
        <v>5107.671</v>
      </c>
    </row>
    <row r="119">
      <c r="A119" s="18">
        <f t="shared" si="2"/>
        <v>114</v>
      </c>
      <c r="B119" s="19">
        <f>IFERROR(__xludf.DUMMYFUNCTION("FILTER(Datos!$D$2:$D1003, Datos!$F$2:$F1003=B$1, Datos!$G$2:$G1003=B$2, Datos!$A$2:$A1003=$A119)"),1909.833)</f>
        <v>1909.833</v>
      </c>
      <c r="C119" s="20">
        <f>IFERROR(__xludf.DUMMYFUNCTION("FILTER(Datos!$E$2:$E1003, Datos!$F$2:$F1003=C$1, Datos!$G$2:$G1003=C$2, Datos!$A$2:$A1003=$A119)"),1985.568)</f>
        <v>1985.568</v>
      </c>
      <c r="D119" s="20">
        <f>IFERROR(__xludf.DUMMYFUNCTION("FILTER(Datos!$D$2:$D1003, Datos!$F$2:$F1003=D$1, Datos!$G$2:$G1003=D$2, Datos!$A$2:$A1003=$A119)"),2162.9)</f>
        <v>2162.9</v>
      </c>
      <c r="E119" s="20">
        <f>IFERROR(__xludf.DUMMYFUNCTION("FILTER(Datos!$E$2:$E1003, Datos!$F$2:$F1003=E$1, Datos!$G$2:$G1003=E$2, Datos!$A$2:$A1003=$A119)"),2268.125)</f>
        <v>2268.125</v>
      </c>
      <c r="F119" s="20">
        <f>IFERROR(__xludf.DUMMYFUNCTION("FILTER(Datos!$D$2:$D1003, Datos!$F$2:$F1003=F$1, Datos!$G$2:$G1003=F$2, Datos!$A$2:$A1003=$A119)"),2914.967)</f>
        <v>2914.967</v>
      </c>
      <c r="G119" s="20">
        <f>IFERROR(__xludf.DUMMYFUNCTION("FILTER(Datos!$E$2:$E1003, Datos!$F$2:$F1003=G$1, Datos!$G$2:$G1003=G$2, Datos!$A$2:$A1003=$A119)"),3772.676)</f>
        <v>3772.676</v>
      </c>
      <c r="H119" s="20">
        <f>IFERROR(__xludf.DUMMYFUNCTION("FILTER(Datos!$D$2:$D1003, Datos!$F$2:$F1003=H$1, Datos!$G$2:$G1003=H$2, Datos!$A$2:$A1003=$A119)"),4024.233)</f>
        <v>4024.233</v>
      </c>
      <c r="I119" s="21">
        <f>IFERROR(__xludf.DUMMYFUNCTION("FILTER(Datos!$E$2:$E1003, Datos!$F$2:$F1003=I$1, Datos!$G$2:$G1003=I$2, Datos!$A$2:$A1003=$A119)"),6243.901)</f>
        <v>6243.901</v>
      </c>
      <c r="J119" s="20">
        <f>IFERROR(__xludf.DUMMYFUNCTION("FILTER(Datos!$D$2:$D1003, Datos!$F$2:$F1003=J$1, Datos!$G$2:$G1003=J$2, Datos!$A$2:$A1003=$A119)"),1816.667)</f>
        <v>1816.667</v>
      </c>
      <c r="K119" s="20">
        <f>IFERROR(__xludf.DUMMYFUNCTION("FILTER(Datos!$E$2:$E1003, Datos!$F$2:$F1003=K$1, Datos!$G$2:$G1003=K$2, Datos!$A$2:$A1003=$A119)"),2295.313)</f>
        <v>2295.313</v>
      </c>
      <c r="L119" s="20">
        <f>IFERROR(__xludf.DUMMYFUNCTION("FILTER(Datos!$D$2:$D1003, Datos!$F$2:$F1003=L$1, Datos!$G$2:$G1003=L$2, Datos!$A$2:$A1003=$A119)"),2122.133)</f>
        <v>2122.133</v>
      </c>
      <c r="M119" s="20">
        <f>IFERROR(__xludf.DUMMYFUNCTION("FILTER(Datos!$E$2:$E1003, Datos!$F$2:$F1003=M$1, Datos!$G$2:$G1003=M$2, Datos!$A$2:$A1003=$A119)"),2788.162)</f>
        <v>2788.162</v>
      </c>
      <c r="N119" s="20">
        <f>IFERROR(__xludf.DUMMYFUNCTION("FILTER(Datos!$D$2:$D1003, Datos!$F$2:$F1003=N$1, Datos!$G$2:$G1003=N$2, Datos!$A$2:$A1003=$A119)"),2577.333)</f>
        <v>2577.333</v>
      </c>
      <c r="O119" s="20">
        <f>IFERROR(__xludf.DUMMYFUNCTION("FILTER(Datos!$E$2:$E1003, Datos!$F$2:$F1003=O$1, Datos!$G$2:$G1003=O$2, Datos!$A$2:$A1003=$A119)"),3697.5)</f>
        <v>3697.5</v>
      </c>
      <c r="P119" s="20">
        <f>IFERROR(__xludf.DUMMYFUNCTION("FILTER(Datos!$D$2:$D1003, Datos!$F$2:$F1003=P$1, Datos!$G$2:$G1003=P$2, Datos!$A$2:$A1003=$A119)"),3223.633)</f>
        <v>3223.633</v>
      </c>
      <c r="Q119" s="21">
        <f>IFERROR(__xludf.DUMMYFUNCTION("FILTER(Datos!$E$2:$E1003, Datos!$F$2:$F1003=Q$1, Datos!$G$2:$G1003=Q$2, Datos!$A$2:$A1003=$A119)"),5093.924)</f>
        <v>5093.924</v>
      </c>
    </row>
    <row r="120">
      <c r="A120" s="18">
        <f t="shared" si="2"/>
        <v>115</v>
      </c>
      <c r="B120" s="19">
        <f>IFERROR(__xludf.DUMMYFUNCTION("FILTER(Datos!$D$2:$D1003, Datos!$F$2:$F1003=B$1, Datos!$G$2:$G1003=B$2, Datos!$A$2:$A1003=$A120)"),1909.833)</f>
        <v>1909.833</v>
      </c>
      <c r="C120" s="20">
        <f>IFERROR(__xludf.DUMMYFUNCTION("FILTER(Datos!$E$2:$E1003, Datos!$F$2:$F1003=C$1, Datos!$G$2:$G1003=C$2, Datos!$A$2:$A1003=$A120)"),1988.923)</f>
        <v>1988.923</v>
      </c>
      <c r="D120" s="20">
        <f>IFERROR(__xludf.DUMMYFUNCTION("FILTER(Datos!$D$2:$D1003, Datos!$F$2:$F1003=D$1, Datos!$G$2:$G1003=D$2, Datos!$A$2:$A1003=$A120)"),2162.9)</f>
        <v>2162.9</v>
      </c>
      <c r="E120" s="20">
        <f>IFERROR(__xludf.DUMMYFUNCTION("FILTER(Datos!$E$2:$E1003, Datos!$F$2:$F1003=E$1, Datos!$G$2:$G1003=E$2, Datos!$A$2:$A1003=$A120)"),2269.366)</f>
        <v>2269.366</v>
      </c>
      <c r="F120" s="20">
        <f>IFERROR(__xludf.DUMMYFUNCTION("FILTER(Datos!$D$2:$D1003, Datos!$F$2:$F1003=F$1, Datos!$G$2:$G1003=F$2, Datos!$A$2:$A1003=$A120)"),2913.633)</f>
        <v>2913.633</v>
      </c>
      <c r="G120" s="20">
        <f>IFERROR(__xludf.DUMMYFUNCTION("FILTER(Datos!$E$2:$E1003, Datos!$F$2:$F1003=G$1, Datos!$G$2:$G1003=G$2, Datos!$A$2:$A1003=$A120)"),3738.928)</f>
        <v>3738.928</v>
      </c>
      <c r="H120" s="20">
        <f>IFERROR(__xludf.DUMMYFUNCTION("FILTER(Datos!$D$2:$D1003, Datos!$F$2:$F1003=H$1, Datos!$G$2:$G1003=H$2, Datos!$A$2:$A1003=$A120)"),4007.133)</f>
        <v>4007.133</v>
      </c>
      <c r="I120" s="21">
        <f>IFERROR(__xludf.DUMMYFUNCTION("FILTER(Datos!$E$2:$E1003, Datos!$F$2:$F1003=I$1, Datos!$G$2:$G1003=I$2, Datos!$A$2:$A1003=$A120)"),6218.598)</f>
        <v>6218.598</v>
      </c>
      <c r="J120" s="20">
        <f>IFERROR(__xludf.DUMMYFUNCTION("FILTER(Datos!$D$2:$D1003, Datos!$F$2:$F1003=J$1, Datos!$G$2:$G1003=J$2, Datos!$A$2:$A1003=$A120)"),1816.667)</f>
        <v>1816.667</v>
      </c>
      <c r="K120" s="20">
        <f>IFERROR(__xludf.DUMMYFUNCTION("FILTER(Datos!$E$2:$E1003, Datos!$F$2:$F1003=K$1, Datos!$G$2:$G1003=K$2, Datos!$A$2:$A1003=$A120)"),2286.749)</f>
        <v>2286.749</v>
      </c>
      <c r="L120" s="20">
        <f>IFERROR(__xludf.DUMMYFUNCTION("FILTER(Datos!$D$2:$D1003, Datos!$F$2:$F1003=L$1, Datos!$G$2:$G1003=L$2, Datos!$A$2:$A1003=$A120)"),2120.0)</f>
        <v>2120</v>
      </c>
      <c r="M120" s="20">
        <f>IFERROR(__xludf.DUMMYFUNCTION("FILTER(Datos!$E$2:$E1003, Datos!$F$2:$F1003=M$1, Datos!$G$2:$G1003=M$2, Datos!$A$2:$A1003=$A120)"),2803.75)</f>
        <v>2803.75</v>
      </c>
      <c r="N120" s="20">
        <f>IFERROR(__xludf.DUMMYFUNCTION("FILTER(Datos!$D$2:$D1003, Datos!$F$2:$F1003=N$1, Datos!$G$2:$G1003=N$2, Datos!$A$2:$A1003=$A120)"),2577.1)</f>
        <v>2577.1</v>
      </c>
      <c r="O120" s="20">
        <f>IFERROR(__xludf.DUMMYFUNCTION("FILTER(Datos!$E$2:$E1003, Datos!$F$2:$F1003=O$1, Datos!$G$2:$G1003=O$2, Datos!$A$2:$A1003=$A120)"),3699.321)</f>
        <v>3699.321</v>
      </c>
      <c r="P120" s="20">
        <f>IFERROR(__xludf.DUMMYFUNCTION("FILTER(Datos!$D$2:$D1003, Datos!$F$2:$F1003=P$1, Datos!$G$2:$G1003=P$2, Datos!$A$2:$A1003=$A120)"),3222.267)</f>
        <v>3222.267</v>
      </c>
      <c r="Q120" s="21">
        <f>IFERROR(__xludf.DUMMYFUNCTION("FILTER(Datos!$E$2:$E1003, Datos!$F$2:$F1003=Q$1, Datos!$G$2:$G1003=Q$2, Datos!$A$2:$A1003=$A120)"),5084.435)</f>
        <v>5084.435</v>
      </c>
    </row>
    <row r="121">
      <c r="A121" s="18">
        <f t="shared" si="2"/>
        <v>116</v>
      </c>
      <c r="B121" s="19">
        <f>IFERROR(__xludf.DUMMYFUNCTION("FILTER(Datos!$D$2:$D1003, Datos!$F$2:$F1003=B$1, Datos!$G$2:$G1003=B$2, Datos!$A$2:$A1003=$A121)"),1909.833)</f>
        <v>1909.833</v>
      </c>
      <c r="C121" s="20">
        <f>IFERROR(__xludf.DUMMYFUNCTION("FILTER(Datos!$E$2:$E1003, Datos!$F$2:$F1003=C$1, Datos!$G$2:$G1003=C$2, Datos!$A$2:$A1003=$A121)"),1994.078)</f>
        <v>1994.078</v>
      </c>
      <c r="D121" s="20">
        <f>IFERROR(__xludf.DUMMYFUNCTION("FILTER(Datos!$D$2:$D1003, Datos!$F$2:$F1003=D$1, Datos!$G$2:$G1003=D$2, Datos!$A$2:$A1003=$A121)"),2162.9)</f>
        <v>2162.9</v>
      </c>
      <c r="E121" s="20">
        <f>IFERROR(__xludf.DUMMYFUNCTION("FILTER(Datos!$E$2:$E1003, Datos!$F$2:$F1003=E$1, Datos!$G$2:$G1003=E$2, Datos!$A$2:$A1003=$A121)"),2266.759)</f>
        <v>2266.759</v>
      </c>
      <c r="F121" s="20">
        <f>IFERROR(__xludf.DUMMYFUNCTION("FILTER(Datos!$D$2:$D1003, Datos!$F$2:$F1003=F$1, Datos!$G$2:$G1003=F$2, Datos!$A$2:$A1003=$A121)"),2897.1)</f>
        <v>2897.1</v>
      </c>
      <c r="G121" s="20">
        <f>IFERROR(__xludf.DUMMYFUNCTION("FILTER(Datos!$E$2:$E1003, Datos!$F$2:$F1003=G$1, Datos!$G$2:$G1003=G$2, Datos!$A$2:$A1003=$A121)"),3707.03)</f>
        <v>3707.03</v>
      </c>
      <c r="H121" s="20">
        <f>IFERROR(__xludf.DUMMYFUNCTION("FILTER(Datos!$D$2:$D1003, Datos!$F$2:$F1003=H$1, Datos!$G$2:$G1003=H$2, Datos!$A$2:$A1003=$A121)"),4001.467)</f>
        <v>4001.467</v>
      </c>
      <c r="I121" s="21">
        <f>IFERROR(__xludf.DUMMYFUNCTION("FILTER(Datos!$E$2:$E1003, Datos!$F$2:$F1003=I$1, Datos!$G$2:$G1003=I$2, Datos!$A$2:$A1003=$A121)"),6181.498)</f>
        <v>6181.498</v>
      </c>
      <c r="J121" s="20">
        <f>IFERROR(__xludf.DUMMYFUNCTION("FILTER(Datos!$D$2:$D1003, Datos!$F$2:$F1003=J$1, Datos!$G$2:$G1003=J$2, Datos!$A$2:$A1003=$A121)"),1816.667)</f>
        <v>1816.667</v>
      </c>
      <c r="K121" s="20">
        <f>IFERROR(__xludf.DUMMYFUNCTION("FILTER(Datos!$E$2:$E1003, Datos!$F$2:$F1003=K$1, Datos!$G$2:$G1003=K$2, Datos!$A$2:$A1003=$A121)"),2279.205)</f>
        <v>2279.205</v>
      </c>
      <c r="L121" s="20">
        <f>IFERROR(__xludf.DUMMYFUNCTION("FILTER(Datos!$D$2:$D1003, Datos!$F$2:$F1003=L$1, Datos!$G$2:$G1003=L$2, Datos!$A$2:$A1003=$A121)"),2120.0)</f>
        <v>2120</v>
      </c>
      <c r="M121" s="20">
        <f>IFERROR(__xludf.DUMMYFUNCTION("FILTER(Datos!$E$2:$E1003, Datos!$F$2:$F1003=M$1, Datos!$G$2:$G1003=M$2, Datos!$A$2:$A1003=$A121)"),2797.902)</f>
        <v>2797.902</v>
      </c>
      <c r="N121" s="20">
        <f>IFERROR(__xludf.DUMMYFUNCTION("FILTER(Datos!$D$2:$D1003, Datos!$F$2:$F1003=N$1, Datos!$G$2:$G1003=N$2, Datos!$A$2:$A1003=$A121)"),2576.8)</f>
        <v>2576.8</v>
      </c>
      <c r="O121" s="20">
        <f>IFERROR(__xludf.DUMMYFUNCTION("FILTER(Datos!$E$2:$E1003, Datos!$F$2:$F1003=O$1, Datos!$G$2:$G1003=O$2, Datos!$A$2:$A1003=$A121)"),3690.345)</f>
        <v>3690.345</v>
      </c>
      <c r="P121" s="20">
        <f>IFERROR(__xludf.DUMMYFUNCTION("FILTER(Datos!$D$2:$D1003, Datos!$F$2:$F1003=P$1, Datos!$G$2:$G1003=P$2, Datos!$A$2:$A1003=$A121)"),3222.267)</f>
        <v>3222.267</v>
      </c>
      <c r="Q121" s="21">
        <f>IFERROR(__xludf.DUMMYFUNCTION("FILTER(Datos!$E$2:$E1003, Datos!$F$2:$F1003=Q$1, Datos!$G$2:$G1003=Q$2, Datos!$A$2:$A1003=$A121)"),5078.759)</f>
        <v>5078.759</v>
      </c>
    </row>
    <row r="122">
      <c r="A122" s="18">
        <f t="shared" si="2"/>
        <v>117</v>
      </c>
      <c r="B122" s="19">
        <f>IFERROR(__xludf.DUMMYFUNCTION("FILTER(Datos!$D$2:$D1003, Datos!$F$2:$F1003=B$1, Datos!$G$2:$G1003=B$2, Datos!$A$2:$A1003=$A122)"),1909.833)</f>
        <v>1909.833</v>
      </c>
      <c r="C122" s="20">
        <f>IFERROR(__xludf.DUMMYFUNCTION("FILTER(Datos!$E$2:$E1003, Datos!$F$2:$F1003=C$1, Datos!$G$2:$G1003=C$2, Datos!$A$2:$A1003=$A122)"),1995.909)</f>
        <v>1995.909</v>
      </c>
      <c r="D122" s="20">
        <f>IFERROR(__xludf.DUMMYFUNCTION("FILTER(Datos!$D$2:$D1003, Datos!$F$2:$F1003=D$1, Datos!$G$2:$G1003=D$2, Datos!$A$2:$A1003=$A122)"),2162.9)</f>
        <v>2162.9</v>
      </c>
      <c r="E122" s="20">
        <f>IFERROR(__xludf.DUMMYFUNCTION("FILTER(Datos!$E$2:$E1003, Datos!$F$2:$F1003=E$1, Datos!$G$2:$G1003=E$2, Datos!$A$2:$A1003=$A122)"),2266.224)</f>
        <v>2266.224</v>
      </c>
      <c r="F122" s="20">
        <f>IFERROR(__xludf.DUMMYFUNCTION("FILTER(Datos!$D$2:$D1003, Datos!$F$2:$F1003=F$1, Datos!$G$2:$G1003=F$2, Datos!$A$2:$A1003=$A122)"),2892.8)</f>
        <v>2892.8</v>
      </c>
      <c r="G122" s="20">
        <f>IFERROR(__xludf.DUMMYFUNCTION("FILTER(Datos!$E$2:$E1003, Datos!$F$2:$F1003=G$1, Datos!$G$2:$G1003=G$2, Datos!$A$2:$A1003=$A122)"),3677.578)</f>
        <v>3677.578</v>
      </c>
      <c r="H122" s="20">
        <f>IFERROR(__xludf.DUMMYFUNCTION("FILTER(Datos!$D$2:$D1003, Datos!$F$2:$F1003=H$1, Datos!$G$2:$G1003=H$2, Datos!$A$2:$A1003=$A122)"),3990.2)</f>
        <v>3990.2</v>
      </c>
      <c r="I122" s="21">
        <f>IFERROR(__xludf.DUMMYFUNCTION("FILTER(Datos!$E$2:$E1003, Datos!$F$2:$F1003=I$1, Datos!$G$2:$G1003=I$2, Datos!$A$2:$A1003=$A122)"),6164.445)</f>
        <v>6164.445</v>
      </c>
      <c r="J122" s="20">
        <f>IFERROR(__xludf.DUMMYFUNCTION("FILTER(Datos!$D$2:$D1003, Datos!$F$2:$F1003=J$1, Datos!$G$2:$G1003=J$2, Datos!$A$2:$A1003=$A122)"),1816.667)</f>
        <v>1816.667</v>
      </c>
      <c r="K122" s="20">
        <f>IFERROR(__xludf.DUMMYFUNCTION("FILTER(Datos!$E$2:$E1003, Datos!$F$2:$F1003=K$1, Datos!$G$2:$G1003=K$2, Datos!$A$2:$A1003=$A122)"),2289.665)</f>
        <v>2289.665</v>
      </c>
      <c r="L122" s="20">
        <f>IFERROR(__xludf.DUMMYFUNCTION("FILTER(Datos!$D$2:$D1003, Datos!$F$2:$F1003=L$1, Datos!$G$2:$G1003=L$2, Datos!$A$2:$A1003=$A122)"),2120.0)</f>
        <v>2120</v>
      </c>
      <c r="M122" s="20">
        <f>IFERROR(__xludf.DUMMYFUNCTION("FILTER(Datos!$E$2:$E1003, Datos!$F$2:$F1003=M$1, Datos!$G$2:$G1003=M$2, Datos!$A$2:$A1003=$A122)"),2790.508)</f>
        <v>2790.508</v>
      </c>
      <c r="N122" s="20">
        <f>IFERROR(__xludf.DUMMYFUNCTION("FILTER(Datos!$D$2:$D1003, Datos!$F$2:$F1003=N$1, Datos!$G$2:$G1003=N$2, Datos!$A$2:$A1003=$A122)"),2572.467)</f>
        <v>2572.467</v>
      </c>
      <c r="O122" s="20">
        <f>IFERROR(__xludf.DUMMYFUNCTION("FILTER(Datos!$E$2:$E1003, Datos!$F$2:$F1003=O$1, Datos!$G$2:$G1003=O$2, Datos!$A$2:$A1003=$A122)"),3664.723)</f>
        <v>3664.723</v>
      </c>
      <c r="P122" s="20">
        <f>IFERROR(__xludf.DUMMYFUNCTION("FILTER(Datos!$D$2:$D1003, Datos!$F$2:$F1003=P$1, Datos!$G$2:$G1003=P$2, Datos!$A$2:$A1003=$A122)"),3206.9)</f>
        <v>3206.9</v>
      </c>
      <c r="Q122" s="21">
        <f>IFERROR(__xludf.DUMMYFUNCTION("FILTER(Datos!$E$2:$E1003, Datos!$F$2:$F1003=Q$1, Datos!$G$2:$G1003=Q$2, Datos!$A$2:$A1003=$A122)"),5082.828)</f>
        <v>5082.828</v>
      </c>
    </row>
    <row r="123">
      <c r="A123" s="18">
        <f t="shared" si="2"/>
        <v>118</v>
      </c>
      <c r="B123" s="19">
        <f>IFERROR(__xludf.DUMMYFUNCTION("FILTER(Datos!$D$2:$D1003, Datos!$F$2:$F1003=B$1, Datos!$G$2:$G1003=B$2, Datos!$A$2:$A1003=$A123)"),1909.833)</f>
        <v>1909.833</v>
      </c>
      <c r="C123" s="20">
        <f>IFERROR(__xludf.DUMMYFUNCTION("FILTER(Datos!$E$2:$E1003, Datos!$F$2:$F1003=C$1, Datos!$G$2:$G1003=C$2, Datos!$A$2:$A1003=$A123)"),1994.344)</f>
        <v>1994.344</v>
      </c>
      <c r="D123" s="20">
        <f>IFERROR(__xludf.DUMMYFUNCTION("FILTER(Datos!$D$2:$D1003, Datos!$F$2:$F1003=D$1, Datos!$G$2:$G1003=D$2, Datos!$A$2:$A1003=$A123)"),2162.9)</f>
        <v>2162.9</v>
      </c>
      <c r="E123" s="20">
        <f>IFERROR(__xludf.DUMMYFUNCTION("FILTER(Datos!$E$2:$E1003, Datos!$F$2:$F1003=E$1, Datos!$G$2:$G1003=E$2, Datos!$A$2:$A1003=$A123)"),2266.771)</f>
        <v>2266.771</v>
      </c>
      <c r="F123" s="20">
        <f>IFERROR(__xludf.DUMMYFUNCTION("FILTER(Datos!$D$2:$D1003, Datos!$F$2:$F1003=F$1, Datos!$G$2:$G1003=F$2, Datos!$A$2:$A1003=$A123)"),2887.267)</f>
        <v>2887.267</v>
      </c>
      <c r="G123" s="20">
        <f>IFERROR(__xludf.DUMMYFUNCTION("FILTER(Datos!$E$2:$E1003, Datos!$F$2:$F1003=G$1, Datos!$G$2:$G1003=G$2, Datos!$A$2:$A1003=$A123)"),3635.942)</f>
        <v>3635.942</v>
      </c>
      <c r="H123" s="20">
        <f>IFERROR(__xludf.DUMMYFUNCTION("FILTER(Datos!$D$2:$D1003, Datos!$F$2:$F1003=H$1, Datos!$G$2:$G1003=H$2, Datos!$A$2:$A1003=$A123)"),3970.833)</f>
        <v>3970.833</v>
      </c>
      <c r="I123" s="21">
        <f>IFERROR(__xludf.DUMMYFUNCTION("FILTER(Datos!$E$2:$E1003, Datos!$F$2:$F1003=I$1, Datos!$G$2:$G1003=I$2, Datos!$A$2:$A1003=$A123)"),6131.88)</f>
        <v>6131.88</v>
      </c>
      <c r="J123" s="20">
        <f>IFERROR(__xludf.DUMMYFUNCTION("FILTER(Datos!$D$2:$D1003, Datos!$F$2:$F1003=J$1, Datos!$G$2:$G1003=J$2, Datos!$A$2:$A1003=$A123)"),1816.667)</f>
        <v>1816.667</v>
      </c>
      <c r="K123" s="20">
        <f>IFERROR(__xludf.DUMMYFUNCTION("FILTER(Datos!$E$2:$E1003, Datos!$F$2:$F1003=K$1, Datos!$G$2:$G1003=K$2, Datos!$A$2:$A1003=$A123)"),2296.608)</f>
        <v>2296.608</v>
      </c>
      <c r="L123" s="20">
        <f>IFERROR(__xludf.DUMMYFUNCTION("FILTER(Datos!$D$2:$D1003, Datos!$F$2:$F1003=L$1, Datos!$G$2:$G1003=L$2, Datos!$A$2:$A1003=$A123)"),2120.0)</f>
        <v>2120</v>
      </c>
      <c r="M123" s="20">
        <f>IFERROR(__xludf.DUMMYFUNCTION("FILTER(Datos!$E$2:$E1003, Datos!$F$2:$F1003=M$1, Datos!$G$2:$G1003=M$2, Datos!$A$2:$A1003=$A123)"),2780.923)</f>
        <v>2780.923</v>
      </c>
      <c r="N123" s="20">
        <f>IFERROR(__xludf.DUMMYFUNCTION("FILTER(Datos!$D$2:$D1003, Datos!$F$2:$F1003=N$1, Datos!$G$2:$G1003=N$2, Datos!$A$2:$A1003=$A123)"),2569.1)</f>
        <v>2569.1</v>
      </c>
      <c r="O123" s="20">
        <f>IFERROR(__xludf.DUMMYFUNCTION("FILTER(Datos!$E$2:$E1003, Datos!$F$2:$F1003=O$1, Datos!$G$2:$G1003=O$2, Datos!$A$2:$A1003=$A123)"),3674.281)</f>
        <v>3674.281</v>
      </c>
      <c r="P123" s="20">
        <f>IFERROR(__xludf.DUMMYFUNCTION("FILTER(Datos!$D$2:$D1003, Datos!$F$2:$F1003=P$1, Datos!$G$2:$G1003=P$2, Datos!$A$2:$A1003=$A123)"),3193.1)</f>
        <v>3193.1</v>
      </c>
      <c r="Q123" s="21">
        <f>IFERROR(__xludf.DUMMYFUNCTION("FILTER(Datos!$E$2:$E1003, Datos!$F$2:$F1003=Q$1, Datos!$G$2:$G1003=Q$2, Datos!$A$2:$A1003=$A123)"),5064.341)</f>
        <v>5064.341</v>
      </c>
    </row>
    <row r="124">
      <c r="A124" s="18">
        <f t="shared" si="2"/>
        <v>119</v>
      </c>
      <c r="B124" s="19">
        <f>IFERROR(__xludf.DUMMYFUNCTION("FILTER(Datos!$D$2:$D1003, Datos!$F$2:$F1003=B$1, Datos!$G$2:$G1003=B$2, Datos!$A$2:$A1003=$A124)"),1909.833)</f>
        <v>1909.833</v>
      </c>
      <c r="C124" s="20">
        <f>IFERROR(__xludf.DUMMYFUNCTION("FILTER(Datos!$E$2:$E1003, Datos!$F$2:$F1003=C$1, Datos!$G$2:$G1003=C$2, Datos!$A$2:$A1003=$A124)"),1993.856)</f>
        <v>1993.856</v>
      </c>
      <c r="D124" s="20">
        <f>IFERROR(__xludf.DUMMYFUNCTION("FILTER(Datos!$D$2:$D1003, Datos!$F$2:$F1003=D$1, Datos!$G$2:$G1003=D$2, Datos!$A$2:$A1003=$A124)"),2162.9)</f>
        <v>2162.9</v>
      </c>
      <c r="E124" s="20">
        <f>IFERROR(__xludf.DUMMYFUNCTION("FILTER(Datos!$E$2:$E1003, Datos!$F$2:$F1003=E$1, Datos!$G$2:$G1003=E$2, Datos!$A$2:$A1003=$A124)"),2269.869)</f>
        <v>2269.869</v>
      </c>
      <c r="F124" s="20">
        <f>IFERROR(__xludf.DUMMYFUNCTION("FILTER(Datos!$D$2:$D1003, Datos!$F$2:$F1003=F$1, Datos!$G$2:$G1003=F$2, Datos!$A$2:$A1003=$A124)"),2878.5)</f>
        <v>2878.5</v>
      </c>
      <c r="G124" s="20">
        <f>IFERROR(__xludf.DUMMYFUNCTION("FILTER(Datos!$E$2:$E1003, Datos!$F$2:$F1003=G$1, Datos!$G$2:$G1003=G$2, Datos!$A$2:$A1003=$A124)"),3609.616)</f>
        <v>3609.616</v>
      </c>
      <c r="H124" s="20">
        <f>IFERROR(__xludf.DUMMYFUNCTION("FILTER(Datos!$D$2:$D1003, Datos!$F$2:$F1003=H$1, Datos!$G$2:$G1003=H$2, Datos!$A$2:$A1003=$A124)"),3952.033)</f>
        <v>3952.033</v>
      </c>
      <c r="I124" s="21">
        <f>IFERROR(__xludf.DUMMYFUNCTION("FILTER(Datos!$E$2:$E1003, Datos!$F$2:$F1003=I$1, Datos!$G$2:$G1003=I$2, Datos!$A$2:$A1003=$A124)"),6102.664)</f>
        <v>6102.664</v>
      </c>
      <c r="J124" s="20">
        <f>IFERROR(__xludf.DUMMYFUNCTION("FILTER(Datos!$D$2:$D1003, Datos!$F$2:$F1003=J$1, Datos!$G$2:$G1003=J$2, Datos!$A$2:$A1003=$A124)"),1816.667)</f>
        <v>1816.667</v>
      </c>
      <c r="K124" s="20">
        <f>IFERROR(__xludf.DUMMYFUNCTION("FILTER(Datos!$E$2:$E1003, Datos!$F$2:$F1003=K$1, Datos!$G$2:$G1003=K$2, Datos!$A$2:$A1003=$A124)"),2292.716)</f>
        <v>2292.716</v>
      </c>
      <c r="L124" s="20">
        <f>IFERROR(__xludf.DUMMYFUNCTION("FILTER(Datos!$D$2:$D1003, Datos!$F$2:$F1003=L$1, Datos!$G$2:$G1003=L$2, Datos!$A$2:$A1003=$A124)"),2120.0)</f>
        <v>2120</v>
      </c>
      <c r="M124" s="20">
        <f>IFERROR(__xludf.DUMMYFUNCTION("FILTER(Datos!$E$2:$E1003, Datos!$F$2:$F1003=M$1, Datos!$G$2:$G1003=M$2, Datos!$A$2:$A1003=$A124)"),2787.567)</f>
        <v>2787.567</v>
      </c>
      <c r="N124" s="20">
        <f>IFERROR(__xludf.DUMMYFUNCTION("FILTER(Datos!$D$2:$D1003, Datos!$F$2:$F1003=N$1, Datos!$G$2:$G1003=N$2, Datos!$A$2:$A1003=$A124)"),2569.1)</f>
        <v>2569.1</v>
      </c>
      <c r="O124" s="20">
        <f>IFERROR(__xludf.DUMMYFUNCTION("FILTER(Datos!$E$2:$E1003, Datos!$F$2:$F1003=O$1, Datos!$G$2:$G1003=O$2, Datos!$A$2:$A1003=$A124)"),3668.522)</f>
        <v>3668.522</v>
      </c>
      <c r="P124" s="20">
        <f>IFERROR(__xludf.DUMMYFUNCTION("FILTER(Datos!$D$2:$D1003, Datos!$F$2:$F1003=P$1, Datos!$G$2:$G1003=P$2, Datos!$A$2:$A1003=$A124)"),3188.833)</f>
        <v>3188.833</v>
      </c>
      <c r="Q124" s="21">
        <f>IFERROR(__xludf.DUMMYFUNCTION("FILTER(Datos!$E$2:$E1003, Datos!$F$2:$F1003=Q$1, Datos!$G$2:$G1003=Q$2, Datos!$A$2:$A1003=$A124)"),5041.147)</f>
        <v>5041.147</v>
      </c>
    </row>
    <row r="125">
      <c r="A125" s="18">
        <f t="shared" si="2"/>
        <v>120</v>
      </c>
      <c r="B125" s="19">
        <f>IFERROR(__xludf.DUMMYFUNCTION("FILTER(Datos!$D$2:$D1003, Datos!$F$2:$F1003=B$1, Datos!$G$2:$G1003=B$2, Datos!$A$2:$A1003=$A125)"),1909.833)</f>
        <v>1909.833</v>
      </c>
      <c r="C125" s="20">
        <f>IFERROR(__xludf.DUMMYFUNCTION("FILTER(Datos!$E$2:$E1003, Datos!$F$2:$F1003=C$1, Datos!$G$2:$G1003=C$2, Datos!$A$2:$A1003=$A125)"),1988.661)</f>
        <v>1988.661</v>
      </c>
      <c r="D125" s="20">
        <f>IFERROR(__xludf.DUMMYFUNCTION("FILTER(Datos!$D$2:$D1003, Datos!$F$2:$F1003=D$1, Datos!$G$2:$G1003=D$2, Datos!$A$2:$A1003=$A125)"),2162.9)</f>
        <v>2162.9</v>
      </c>
      <c r="E125" s="20">
        <f>IFERROR(__xludf.DUMMYFUNCTION("FILTER(Datos!$E$2:$E1003, Datos!$F$2:$F1003=E$1, Datos!$G$2:$G1003=E$2, Datos!$A$2:$A1003=$A125)"),2267.398)</f>
        <v>2267.398</v>
      </c>
      <c r="F125" s="20">
        <f>IFERROR(__xludf.DUMMYFUNCTION("FILTER(Datos!$D$2:$D1003, Datos!$F$2:$F1003=F$1, Datos!$G$2:$G1003=F$2, Datos!$A$2:$A1003=$A125)"),2874.3)</f>
        <v>2874.3</v>
      </c>
      <c r="G125" s="20">
        <f>IFERROR(__xludf.DUMMYFUNCTION("FILTER(Datos!$E$2:$E1003, Datos!$F$2:$F1003=G$1, Datos!$G$2:$G1003=G$2, Datos!$A$2:$A1003=$A125)"),3596.273)</f>
        <v>3596.273</v>
      </c>
      <c r="H125" s="20">
        <f>IFERROR(__xludf.DUMMYFUNCTION("FILTER(Datos!$D$2:$D1003, Datos!$F$2:$F1003=H$1, Datos!$G$2:$G1003=H$2, Datos!$A$2:$A1003=$A125)"),3920.233)</f>
        <v>3920.233</v>
      </c>
      <c r="I125" s="21">
        <f>IFERROR(__xludf.DUMMYFUNCTION("FILTER(Datos!$E$2:$E1003, Datos!$F$2:$F1003=I$1, Datos!$G$2:$G1003=I$2, Datos!$A$2:$A1003=$A125)"),6072.401)</f>
        <v>6072.401</v>
      </c>
      <c r="J125" s="20">
        <f>IFERROR(__xludf.DUMMYFUNCTION("FILTER(Datos!$D$2:$D1003, Datos!$F$2:$F1003=J$1, Datos!$G$2:$G1003=J$2, Datos!$A$2:$A1003=$A125)"),1816.667)</f>
        <v>1816.667</v>
      </c>
      <c r="K125" s="20">
        <f>IFERROR(__xludf.DUMMYFUNCTION("FILTER(Datos!$E$2:$E1003, Datos!$F$2:$F1003=K$1, Datos!$G$2:$G1003=K$2, Datos!$A$2:$A1003=$A125)"),2295.039)</f>
        <v>2295.039</v>
      </c>
      <c r="L125" s="20">
        <f>IFERROR(__xludf.DUMMYFUNCTION("FILTER(Datos!$D$2:$D1003, Datos!$F$2:$F1003=L$1, Datos!$G$2:$G1003=L$2, Datos!$A$2:$A1003=$A125)"),2120.0)</f>
        <v>2120</v>
      </c>
      <c r="M125" s="20">
        <f>IFERROR(__xludf.DUMMYFUNCTION("FILTER(Datos!$E$2:$E1003, Datos!$F$2:$F1003=M$1, Datos!$G$2:$G1003=M$2, Datos!$A$2:$A1003=$A125)"),2789.361)</f>
        <v>2789.361</v>
      </c>
      <c r="N125" s="20">
        <f>IFERROR(__xludf.DUMMYFUNCTION("FILTER(Datos!$D$2:$D1003, Datos!$F$2:$F1003=N$1, Datos!$G$2:$G1003=N$2, Datos!$A$2:$A1003=$A125)"),2565.233)</f>
        <v>2565.233</v>
      </c>
      <c r="O125" s="20">
        <f>IFERROR(__xludf.DUMMYFUNCTION("FILTER(Datos!$E$2:$E1003, Datos!$F$2:$F1003=O$1, Datos!$G$2:$G1003=O$2, Datos!$A$2:$A1003=$A125)"),3664.298)</f>
        <v>3664.298</v>
      </c>
      <c r="P125" s="20">
        <f>IFERROR(__xludf.DUMMYFUNCTION("FILTER(Datos!$D$2:$D1003, Datos!$F$2:$F1003=P$1, Datos!$G$2:$G1003=P$2, Datos!$A$2:$A1003=$A125)"),3177.8)</f>
        <v>3177.8</v>
      </c>
      <c r="Q125" s="21">
        <f>IFERROR(__xludf.DUMMYFUNCTION("FILTER(Datos!$E$2:$E1003, Datos!$F$2:$F1003=Q$1, Datos!$G$2:$G1003=Q$2, Datos!$A$2:$A1003=$A125)"),5041.101)</f>
        <v>5041.101</v>
      </c>
    </row>
    <row r="126">
      <c r="A126" s="18">
        <f t="shared" si="2"/>
        <v>121</v>
      </c>
      <c r="B126" s="19">
        <f>IFERROR(__xludf.DUMMYFUNCTION("FILTER(Datos!$D$2:$D1003, Datos!$F$2:$F1003=B$1, Datos!$G$2:$G1003=B$2, Datos!$A$2:$A1003=$A126)"),1909.833)</f>
        <v>1909.833</v>
      </c>
      <c r="C126" s="20">
        <f>IFERROR(__xludf.DUMMYFUNCTION("FILTER(Datos!$E$2:$E1003, Datos!$F$2:$F1003=C$1, Datos!$G$2:$G1003=C$2, Datos!$A$2:$A1003=$A126)"),1987.644)</f>
        <v>1987.644</v>
      </c>
      <c r="D126" s="20">
        <f>IFERROR(__xludf.DUMMYFUNCTION("FILTER(Datos!$D$2:$D1003, Datos!$F$2:$F1003=D$1, Datos!$G$2:$G1003=D$2, Datos!$A$2:$A1003=$A126)"),2162.9)</f>
        <v>2162.9</v>
      </c>
      <c r="E126" s="20">
        <f>IFERROR(__xludf.DUMMYFUNCTION("FILTER(Datos!$E$2:$E1003, Datos!$F$2:$F1003=E$1, Datos!$G$2:$G1003=E$2, Datos!$A$2:$A1003=$A126)"),2269.985)</f>
        <v>2269.985</v>
      </c>
      <c r="F126" s="20">
        <f>IFERROR(__xludf.DUMMYFUNCTION("FILTER(Datos!$D$2:$D1003, Datos!$F$2:$F1003=F$1, Datos!$G$2:$G1003=F$2, Datos!$A$2:$A1003=$A126)"),2872.767)</f>
        <v>2872.767</v>
      </c>
      <c r="G126" s="20">
        <f>IFERROR(__xludf.DUMMYFUNCTION("FILTER(Datos!$E$2:$E1003, Datos!$F$2:$F1003=G$1, Datos!$G$2:$G1003=G$2, Datos!$A$2:$A1003=$A126)"),3582.802)</f>
        <v>3582.802</v>
      </c>
      <c r="H126" s="20">
        <f>IFERROR(__xludf.DUMMYFUNCTION("FILTER(Datos!$D$2:$D1003, Datos!$F$2:$F1003=H$1, Datos!$G$2:$G1003=H$2, Datos!$A$2:$A1003=$A126)"),3918.2)</f>
        <v>3918.2</v>
      </c>
      <c r="I126" s="21">
        <f>IFERROR(__xludf.DUMMYFUNCTION("FILTER(Datos!$E$2:$E1003, Datos!$F$2:$F1003=I$1, Datos!$G$2:$G1003=I$2, Datos!$A$2:$A1003=$A126)"),6046.807)</f>
        <v>6046.807</v>
      </c>
      <c r="J126" s="20">
        <f>IFERROR(__xludf.DUMMYFUNCTION("FILTER(Datos!$D$2:$D1003, Datos!$F$2:$F1003=J$1, Datos!$G$2:$G1003=J$2, Datos!$A$2:$A1003=$A126)"),1816.667)</f>
        <v>1816.667</v>
      </c>
      <c r="K126" s="20">
        <f>IFERROR(__xludf.DUMMYFUNCTION("FILTER(Datos!$E$2:$E1003, Datos!$F$2:$F1003=K$1, Datos!$G$2:$G1003=K$2, Datos!$A$2:$A1003=$A126)"),2288.914)</f>
        <v>2288.914</v>
      </c>
      <c r="L126" s="20">
        <f>IFERROR(__xludf.DUMMYFUNCTION("FILTER(Datos!$D$2:$D1003, Datos!$F$2:$F1003=L$1, Datos!$G$2:$G1003=L$2, Datos!$A$2:$A1003=$A126)"),2120.0)</f>
        <v>2120</v>
      </c>
      <c r="M126" s="20">
        <f>IFERROR(__xludf.DUMMYFUNCTION("FILTER(Datos!$E$2:$E1003, Datos!$F$2:$F1003=M$1, Datos!$G$2:$G1003=M$2, Datos!$A$2:$A1003=$A126)"),2783.7)</f>
        <v>2783.7</v>
      </c>
      <c r="N126" s="20">
        <f>IFERROR(__xludf.DUMMYFUNCTION("FILTER(Datos!$D$2:$D1003, Datos!$F$2:$F1003=N$1, Datos!$G$2:$G1003=N$2, Datos!$A$2:$A1003=$A126)"),2559.133)</f>
        <v>2559.133</v>
      </c>
      <c r="O126" s="20">
        <f>IFERROR(__xludf.DUMMYFUNCTION("FILTER(Datos!$E$2:$E1003, Datos!$F$2:$F1003=O$1, Datos!$G$2:$G1003=O$2, Datos!$A$2:$A1003=$A126)"),3670.121)</f>
        <v>3670.121</v>
      </c>
      <c r="P126" s="20">
        <f>IFERROR(__xludf.DUMMYFUNCTION("FILTER(Datos!$D$2:$D1003, Datos!$F$2:$F1003=P$1, Datos!$G$2:$G1003=P$2, Datos!$A$2:$A1003=$A126)"),3171.8)</f>
        <v>3171.8</v>
      </c>
      <c r="Q126" s="21">
        <f>IFERROR(__xludf.DUMMYFUNCTION("FILTER(Datos!$E$2:$E1003, Datos!$F$2:$F1003=Q$1, Datos!$G$2:$G1003=Q$2, Datos!$A$2:$A1003=$A126)"),5036.796)</f>
        <v>5036.796</v>
      </c>
    </row>
    <row r="127">
      <c r="A127" s="18">
        <f t="shared" si="2"/>
        <v>122</v>
      </c>
      <c r="B127" s="19">
        <f>IFERROR(__xludf.DUMMYFUNCTION("FILTER(Datos!$D$2:$D1003, Datos!$F$2:$F1003=B$1, Datos!$G$2:$G1003=B$2, Datos!$A$2:$A1003=$A127)"),1909.833)</f>
        <v>1909.833</v>
      </c>
      <c r="C127" s="20">
        <f>IFERROR(__xludf.DUMMYFUNCTION("FILTER(Datos!$E$2:$E1003, Datos!$F$2:$F1003=C$1, Datos!$G$2:$G1003=C$2, Datos!$A$2:$A1003=$A127)"),1991.727)</f>
        <v>1991.727</v>
      </c>
      <c r="D127" s="20">
        <f>IFERROR(__xludf.DUMMYFUNCTION("FILTER(Datos!$D$2:$D1003, Datos!$F$2:$F1003=D$1, Datos!$G$2:$G1003=D$2, Datos!$A$2:$A1003=$A127)"),2162.9)</f>
        <v>2162.9</v>
      </c>
      <c r="E127" s="20">
        <f>IFERROR(__xludf.DUMMYFUNCTION("FILTER(Datos!$E$2:$E1003, Datos!$F$2:$F1003=E$1, Datos!$G$2:$G1003=E$2, Datos!$A$2:$A1003=$A127)"),2267.914)</f>
        <v>2267.914</v>
      </c>
      <c r="F127" s="20">
        <f>IFERROR(__xludf.DUMMYFUNCTION("FILTER(Datos!$D$2:$D1003, Datos!$F$2:$F1003=F$1, Datos!$G$2:$G1003=F$2, Datos!$A$2:$A1003=$A127)"),2859.367)</f>
        <v>2859.367</v>
      </c>
      <c r="G127" s="20">
        <f>IFERROR(__xludf.DUMMYFUNCTION("FILTER(Datos!$E$2:$E1003, Datos!$F$2:$F1003=G$1, Datos!$G$2:$G1003=G$2, Datos!$A$2:$A1003=$A127)"),3553.496)</f>
        <v>3553.496</v>
      </c>
      <c r="H127" s="20">
        <f>IFERROR(__xludf.DUMMYFUNCTION("FILTER(Datos!$D$2:$D1003, Datos!$F$2:$F1003=H$1, Datos!$G$2:$G1003=H$2, Datos!$A$2:$A1003=$A127)"),3909.0)</f>
        <v>3909</v>
      </c>
      <c r="I127" s="21">
        <f>IFERROR(__xludf.DUMMYFUNCTION("FILTER(Datos!$E$2:$E1003, Datos!$F$2:$F1003=I$1, Datos!$G$2:$G1003=I$2, Datos!$A$2:$A1003=$A127)"),6021.317)</f>
        <v>6021.317</v>
      </c>
      <c r="J127" s="20">
        <f>IFERROR(__xludf.DUMMYFUNCTION("FILTER(Datos!$D$2:$D1003, Datos!$F$2:$F1003=J$1, Datos!$G$2:$G1003=J$2, Datos!$A$2:$A1003=$A127)"),1816.667)</f>
        <v>1816.667</v>
      </c>
      <c r="K127" s="20">
        <f>IFERROR(__xludf.DUMMYFUNCTION("FILTER(Datos!$E$2:$E1003, Datos!$F$2:$F1003=K$1, Datos!$G$2:$G1003=K$2, Datos!$A$2:$A1003=$A127)"),2287.092)</f>
        <v>2287.092</v>
      </c>
      <c r="L127" s="20">
        <f>IFERROR(__xludf.DUMMYFUNCTION("FILTER(Datos!$D$2:$D1003, Datos!$F$2:$F1003=L$1, Datos!$G$2:$G1003=L$2, Datos!$A$2:$A1003=$A127)"),2119.867)</f>
        <v>2119.867</v>
      </c>
      <c r="M127" s="20">
        <f>IFERROR(__xludf.DUMMYFUNCTION("FILTER(Datos!$E$2:$E1003, Datos!$F$2:$F1003=M$1, Datos!$G$2:$G1003=M$2, Datos!$A$2:$A1003=$A127)"),2784.411)</f>
        <v>2784.411</v>
      </c>
      <c r="N127" s="20">
        <f>IFERROR(__xludf.DUMMYFUNCTION("FILTER(Datos!$D$2:$D1003, Datos!$F$2:$F1003=N$1, Datos!$G$2:$G1003=N$2, Datos!$A$2:$A1003=$A127)"),2559.067)</f>
        <v>2559.067</v>
      </c>
      <c r="O127" s="20">
        <f>IFERROR(__xludf.DUMMYFUNCTION("FILTER(Datos!$E$2:$E1003, Datos!$F$2:$F1003=O$1, Datos!$G$2:$G1003=O$2, Datos!$A$2:$A1003=$A127)"),3659.428)</f>
        <v>3659.428</v>
      </c>
      <c r="P127" s="20">
        <f>IFERROR(__xludf.DUMMYFUNCTION("FILTER(Datos!$D$2:$D1003, Datos!$F$2:$F1003=P$1, Datos!$G$2:$G1003=P$2, Datos!$A$2:$A1003=$A127)"),3169.767)</f>
        <v>3169.767</v>
      </c>
      <c r="Q127" s="21">
        <f>IFERROR(__xludf.DUMMYFUNCTION("FILTER(Datos!$E$2:$E1003, Datos!$F$2:$F1003=Q$1, Datos!$G$2:$G1003=Q$2, Datos!$A$2:$A1003=$A127)"),5020.463)</f>
        <v>5020.463</v>
      </c>
    </row>
    <row r="128">
      <c r="A128" s="18">
        <f t="shared" si="2"/>
        <v>123</v>
      </c>
      <c r="B128" s="19">
        <f>IFERROR(__xludf.DUMMYFUNCTION("FILTER(Datos!$D$2:$D1003, Datos!$F$2:$F1003=B$1, Datos!$G$2:$G1003=B$2, Datos!$A$2:$A1003=$A128)"),1909.833)</f>
        <v>1909.833</v>
      </c>
      <c r="C128" s="20">
        <f>IFERROR(__xludf.DUMMYFUNCTION("FILTER(Datos!$E$2:$E1003, Datos!$F$2:$F1003=C$1, Datos!$G$2:$G1003=C$2, Datos!$A$2:$A1003=$A128)"),1992.426)</f>
        <v>1992.426</v>
      </c>
      <c r="D128" s="20">
        <f>IFERROR(__xludf.DUMMYFUNCTION("FILTER(Datos!$D$2:$D1003, Datos!$F$2:$F1003=D$1, Datos!$G$2:$G1003=D$2, Datos!$A$2:$A1003=$A128)"),2162.9)</f>
        <v>2162.9</v>
      </c>
      <c r="E128" s="20">
        <f>IFERROR(__xludf.DUMMYFUNCTION("FILTER(Datos!$E$2:$E1003, Datos!$F$2:$F1003=E$1, Datos!$G$2:$G1003=E$2, Datos!$A$2:$A1003=$A128)"),2267.878)</f>
        <v>2267.878</v>
      </c>
      <c r="F128" s="20">
        <f>IFERROR(__xludf.DUMMYFUNCTION("FILTER(Datos!$D$2:$D1003, Datos!$F$2:$F1003=F$1, Datos!$G$2:$G1003=F$2, Datos!$A$2:$A1003=$A128)"),2855.133)</f>
        <v>2855.133</v>
      </c>
      <c r="G128" s="20">
        <f>IFERROR(__xludf.DUMMYFUNCTION("FILTER(Datos!$E$2:$E1003, Datos!$F$2:$F1003=G$1, Datos!$G$2:$G1003=G$2, Datos!$A$2:$A1003=$A128)"),3536.844)</f>
        <v>3536.844</v>
      </c>
      <c r="H128" s="20">
        <f>IFERROR(__xludf.DUMMYFUNCTION("FILTER(Datos!$D$2:$D1003, Datos!$F$2:$F1003=H$1, Datos!$G$2:$G1003=H$2, Datos!$A$2:$A1003=$A128)"),3898.967)</f>
        <v>3898.967</v>
      </c>
      <c r="I128" s="21">
        <f>IFERROR(__xludf.DUMMYFUNCTION("FILTER(Datos!$E$2:$E1003, Datos!$F$2:$F1003=I$1, Datos!$G$2:$G1003=I$2, Datos!$A$2:$A1003=$A128)"),5961.162)</f>
        <v>5961.162</v>
      </c>
      <c r="J128" s="20">
        <f>IFERROR(__xludf.DUMMYFUNCTION("FILTER(Datos!$D$2:$D1003, Datos!$F$2:$F1003=J$1, Datos!$G$2:$G1003=J$2, Datos!$A$2:$A1003=$A128)"),1816.667)</f>
        <v>1816.667</v>
      </c>
      <c r="K128" s="20">
        <f>IFERROR(__xludf.DUMMYFUNCTION("FILTER(Datos!$E$2:$E1003, Datos!$F$2:$F1003=K$1, Datos!$G$2:$G1003=K$2, Datos!$A$2:$A1003=$A128)"),2294.699)</f>
        <v>2294.699</v>
      </c>
      <c r="L128" s="20">
        <f>IFERROR(__xludf.DUMMYFUNCTION("FILTER(Datos!$D$2:$D1003, Datos!$F$2:$F1003=L$1, Datos!$G$2:$G1003=L$2, Datos!$A$2:$A1003=$A128)"),2119.867)</f>
        <v>2119.867</v>
      </c>
      <c r="M128" s="20">
        <f>IFERROR(__xludf.DUMMYFUNCTION("FILTER(Datos!$E$2:$E1003, Datos!$F$2:$F1003=M$1, Datos!$G$2:$G1003=M$2, Datos!$A$2:$A1003=$A128)"),2776.513)</f>
        <v>2776.513</v>
      </c>
      <c r="N128" s="20">
        <f>IFERROR(__xludf.DUMMYFUNCTION("FILTER(Datos!$D$2:$D1003, Datos!$F$2:$F1003=N$1, Datos!$G$2:$G1003=N$2, Datos!$A$2:$A1003=$A128)"),2557.067)</f>
        <v>2557.067</v>
      </c>
      <c r="O128" s="20">
        <f>IFERROR(__xludf.DUMMYFUNCTION("FILTER(Datos!$E$2:$E1003, Datos!$F$2:$F1003=O$1, Datos!$G$2:$G1003=O$2, Datos!$A$2:$A1003=$A128)"),3648.826)</f>
        <v>3648.826</v>
      </c>
      <c r="P128" s="20">
        <f>IFERROR(__xludf.DUMMYFUNCTION("FILTER(Datos!$D$2:$D1003, Datos!$F$2:$F1003=P$1, Datos!$G$2:$G1003=P$2, Datos!$A$2:$A1003=$A128)"),3160.9)</f>
        <v>3160.9</v>
      </c>
      <c r="Q128" s="21">
        <f>IFERROR(__xludf.DUMMYFUNCTION("FILTER(Datos!$E$2:$E1003, Datos!$F$2:$F1003=Q$1, Datos!$G$2:$G1003=Q$2, Datos!$A$2:$A1003=$A128)"),4982.68)</f>
        <v>4982.68</v>
      </c>
    </row>
    <row r="129">
      <c r="A129" s="18">
        <f t="shared" si="2"/>
        <v>124</v>
      </c>
      <c r="B129" s="19">
        <f>IFERROR(__xludf.DUMMYFUNCTION("FILTER(Datos!$D$2:$D1003, Datos!$F$2:$F1003=B$1, Datos!$G$2:$G1003=B$2, Datos!$A$2:$A1003=$A129)"),1909.833)</f>
        <v>1909.833</v>
      </c>
      <c r="C129" s="20">
        <f>IFERROR(__xludf.DUMMYFUNCTION("FILTER(Datos!$E$2:$E1003, Datos!$F$2:$F1003=C$1, Datos!$G$2:$G1003=C$2, Datos!$A$2:$A1003=$A129)"),1990.867)</f>
        <v>1990.867</v>
      </c>
      <c r="D129" s="20">
        <f>IFERROR(__xludf.DUMMYFUNCTION("FILTER(Datos!$D$2:$D1003, Datos!$F$2:$F1003=D$1, Datos!$G$2:$G1003=D$2, Datos!$A$2:$A1003=$A129)"),2162.9)</f>
        <v>2162.9</v>
      </c>
      <c r="E129" s="20">
        <f>IFERROR(__xludf.DUMMYFUNCTION("FILTER(Datos!$E$2:$E1003, Datos!$F$2:$F1003=E$1, Datos!$G$2:$G1003=E$2, Datos!$A$2:$A1003=$A129)"),2267.52)</f>
        <v>2267.52</v>
      </c>
      <c r="F129" s="20">
        <f>IFERROR(__xludf.DUMMYFUNCTION("FILTER(Datos!$D$2:$D1003, Datos!$F$2:$F1003=F$1, Datos!$G$2:$G1003=F$2, Datos!$A$2:$A1003=$A129)"),2855.133)</f>
        <v>2855.133</v>
      </c>
      <c r="G129" s="20">
        <f>IFERROR(__xludf.DUMMYFUNCTION("FILTER(Datos!$E$2:$E1003, Datos!$F$2:$F1003=G$1, Datos!$G$2:$G1003=G$2, Datos!$A$2:$A1003=$A129)"),3517.938)</f>
        <v>3517.938</v>
      </c>
      <c r="H129" s="20">
        <f>IFERROR(__xludf.DUMMYFUNCTION("FILTER(Datos!$D$2:$D1003, Datos!$F$2:$F1003=H$1, Datos!$G$2:$G1003=H$2, Datos!$A$2:$A1003=$A129)"),3893.7)</f>
        <v>3893.7</v>
      </c>
      <c r="I129" s="21">
        <f>IFERROR(__xludf.DUMMYFUNCTION("FILTER(Datos!$E$2:$E1003, Datos!$F$2:$F1003=I$1, Datos!$G$2:$G1003=I$2, Datos!$A$2:$A1003=$A129)"),5919.531)</f>
        <v>5919.531</v>
      </c>
      <c r="J129" s="20">
        <f>IFERROR(__xludf.DUMMYFUNCTION("FILTER(Datos!$D$2:$D1003, Datos!$F$2:$F1003=J$1, Datos!$G$2:$G1003=J$2, Datos!$A$2:$A1003=$A129)"),1816.667)</f>
        <v>1816.667</v>
      </c>
      <c r="K129" s="20">
        <f>IFERROR(__xludf.DUMMYFUNCTION("FILTER(Datos!$E$2:$E1003, Datos!$F$2:$F1003=K$1, Datos!$G$2:$G1003=K$2, Datos!$A$2:$A1003=$A129)"),2293.376)</f>
        <v>2293.376</v>
      </c>
      <c r="L129" s="20">
        <f>IFERROR(__xludf.DUMMYFUNCTION("FILTER(Datos!$D$2:$D1003, Datos!$F$2:$F1003=L$1, Datos!$G$2:$G1003=L$2, Datos!$A$2:$A1003=$A129)"),2119.867)</f>
        <v>2119.867</v>
      </c>
      <c r="M129" s="20">
        <f>IFERROR(__xludf.DUMMYFUNCTION("FILTER(Datos!$E$2:$E1003, Datos!$F$2:$F1003=M$1, Datos!$G$2:$G1003=M$2, Datos!$A$2:$A1003=$A129)"),2779.226)</f>
        <v>2779.226</v>
      </c>
      <c r="N129" s="20">
        <f>IFERROR(__xludf.DUMMYFUNCTION("FILTER(Datos!$D$2:$D1003, Datos!$F$2:$F1003=N$1, Datos!$G$2:$G1003=N$2, Datos!$A$2:$A1003=$A129)"),2548.367)</f>
        <v>2548.367</v>
      </c>
      <c r="O129" s="20">
        <f>IFERROR(__xludf.DUMMYFUNCTION("FILTER(Datos!$E$2:$E1003, Datos!$F$2:$F1003=O$1, Datos!$G$2:$G1003=O$2, Datos!$A$2:$A1003=$A129)"),3649.243)</f>
        <v>3649.243</v>
      </c>
      <c r="P129" s="20">
        <f>IFERROR(__xludf.DUMMYFUNCTION("FILTER(Datos!$D$2:$D1003, Datos!$F$2:$F1003=P$1, Datos!$G$2:$G1003=P$2, Datos!$A$2:$A1003=$A129)"),3152.967)</f>
        <v>3152.967</v>
      </c>
      <c r="Q129" s="21">
        <f>IFERROR(__xludf.DUMMYFUNCTION("FILTER(Datos!$E$2:$E1003, Datos!$F$2:$F1003=Q$1, Datos!$G$2:$G1003=Q$2, Datos!$A$2:$A1003=$A129)"),4945.831)</f>
        <v>4945.831</v>
      </c>
    </row>
    <row r="130">
      <c r="A130" s="18">
        <f t="shared" si="2"/>
        <v>125</v>
      </c>
      <c r="B130" s="19">
        <f>IFERROR(__xludf.DUMMYFUNCTION("FILTER(Datos!$D$2:$D1003, Datos!$F$2:$F1003=B$1, Datos!$G$2:$G1003=B$2, Datos!$A$2:$A1003=$A130)"),1909.833)</f>
        <v>1909.833</v>
      </c>
      <c r="C130" s="20">
        <f>IFERROR(__xludf.DUMMYFUNCTION("FILTER(Datos!$E$2:$E1003, Datos!$F$2:$F1003=C$1, Datos!$G$2:$G1003=C$2, Datos!$A$2:$A1003=$A130)"),1990.487)</f>
        <v>1990.487</v>
      </c>
      <c r="D130" s="20">
        <f>IFERROR(__xludf.DUMMYFUNCTION("FILTER(Datos!$D$2:$D1003, Datos!$F$2:$F1003=D$1, Datos!$G$2:$G1003=D$2, Datos!$A$2:$A1003=$A130)"),2162.9)</f>
        <v>2162.9</v>
      </c>
      <c r="E130" s="20">
        <f>IFERROR(__xludf.DUMMYFUNCTION("FILTER(Datos!$E$2:$E1003, Datos!$F$2:$F1003=E$1, Datos!$G$2:$G1003=E$2, Datos!$A$2:$A1003=$A130)"),2269.074)</f>
        <v>2269.074</v>
      </c>
      <c r="F130" s="20">
        <f>IFERROR(__xludf.DUMMYFUNCTION("FILTER(Datos!$D$2:$D1003, Datos!$F$2:$F1003=F$1, Datos!$G$2:$G1003=F$2, Datos!$A$2:$A1003=$A130)"),2853.233)</f>
        <v>2853.233</v>
      </c>
      <c r="G130" s="20">
        <f>IFERROR(__xludf.DUMMYFUNCTION("FILTER(Datos!$E$2:$E1003, Datos!$F$2:$F1003=G$1, Datos!$G$2:$G1003=G$2, Datos!$A$2:$A1003=$A130)"),3500.561)</f>
        <v>3500.561</v>
      </c>
      <c r="H130" s="20">
        <f>IFERROR(__xludf.DUMMYFUNCTION("FILTER(Datos!$D$2:$D1003, Datos!$F$2:$F1003=H$1, Datos!$G$2:$G1003=H$2, Datos!$A$2:$A1003=$A130)"),3870.633)</f>
        <v>3870.633</v>
      </c>
      <c r="I130" s="21">
        <f>IFERROR(__xludf.DUMMYFUNCTION("FILTER(Datos!$E$2:$E1003, Datos!$F$2:$F1003=I$1, Datos!$G$2:$G1003=I$2, Datos!$A$2:$A1003=$A130)"),5890.0)</f>
        <v>5890</v>
      </c>
      <c r="J130" s="20">
        <f>IFERROR(__xludf.DUMMYFUNCTION("FILTER(Datos!$D$2:$D1003, Datos!$F$2:$F1003=J$1, Datos!$G$2:$G1003=J$2, Datos!$A$2:$A1003=$A130)"),1816.667)</f>
        <v>1816.667</v>
      </c>
      <c r="K130" s="20">
        <f>IFERROR(__xludf.DUMMYFUNCTION("FILTER(Datos!$E$2:$E1003, Datos!$F$2:$F1003=K$1, Datos!$G$2:$G1003=K$2, Datos!$A$2:$A1003=$A130)"),2275.925)</f>
        <v>2275.925</v>
      </c>
      <c r="L130" s="20">
        <f>IFERROR(__xludf.DUMMYFUNCTION("FILTER(Datos!$D$2:$D1003, Datos!$F$2:$F1003=L$1, Datos!$G$2:$G1003=L$2, Datos!$A$2:$A1003=$A130)"),2119.0)</f>
        <v>2119</v>
      </c>
      <c r="M130" s="20">
        <f>IFERROR(__xludf.DUMMYFUNCTION("FILTER(Datos!$E$2:$E1003, Datos!$F$2:$F1003=M$1, Datos!$G$2:$G1003=M$2, Datos!$A$2:$A1003=$A130)"),2776.475)</f>
        <v>2776.475</v>
      </c>
      <c r="N130" s="20">
        <f>IFERROR(__xludf.DUMMYFUNCTION("FILTER(Datos!$D$2:$D1003, Datos!$F$2:$F1003=N$1, Datos!$G$2:$G1003=N$2, Datos!$A$2:$A1003=$A130)"),2548.367)</f>
        <v>2548.367</v>
      </c>
      <c r="O130" s="20">
        <f>IFERROR(__xludf.DUMMYFUNCTION("FILTER(Datos!$E$2:$E1003, Datos!$F$2:$F1003=O$1, Datos!$G$2:$G1003=O$2, Datos!$A$2:$A1003=$A130)"),3662.521)</f>
        <v>3662.521</v>
      </c>
      <c r="P130" s="20">
        <f>IFERROR(__xludf.DUMMYFUNCTION("FILTER(Datos!$D$2:$D1003, Datos!$F$2:$F1003=P$1, Datos!$G$2:$G1003=P$2, Datos!$A$2:$A1003=$A130)"),3150.8)</f>
        <v>3150.8</v>
      </c>
      <c r="Q130" s="21">
        <f>IFERROR(__xludf.DUMMYFUNCTION("FILTER(Datos!$E$2:$E1003, Datos!$F$2:$F1003=Q$1, Datos!$G$2:$G1003=Q$2, Datos!$A$2:$A1003=$A130)"),4905.558)</f>
        <v>4905.558</v>
      </c>
    </row>
    <row r="131">
      <c r="A131" s="18">
        <f t="shared" si="2"/>
        <v>126</v>
      </c>
      <c r="B131" s="19">
        <f>IFERROR(__xludf.DUMMYFUNCTION("FILTER(Datos!$D$2:$D1003, Datos!$F$2:$F1003=B$1, Datos!$G$2:$G1003=B$2, Datos!$A$2:$A1003=$A131)"),1909.833)</f>
        <v>1909.833</v>
      </c>
      <c r="C131" s="20">
        <f>IFERROR(__xludf.DUMMYFUNCTION("FILTER(Datos!$E$2:$E1003, Datos!$F$2:$F1003=C$1, Datos!$G$2:$G1003=C$2, Datos!$A$2:$A1003=$A131)"),1989.459)</f>
        <v>1989.459</v>
      </c>
      <c r="D131" s="20">
        <f>IFERROR(__xludf.DUMMYFUNCTION("FILTER(Datos!$D$2:$D1003, Datos!$F$2:$F1003=D$1, Datos!$G$2:$G1003=D$2, Datos!$A$2:$A1003=$A131)"),2162.9)</f>
        <v>2162.9</v>
      </c>
      <c r="E131" s="20">
        <f>IFERROR(__xludf.DUMMYFUNCTION("FILTER(Datos!$E$2:$E1003, Datos!$F$2:$F1003=E$1, Datos!$G$2:$G1003=E$2, Datos!$A$2:$A1003=$A131)"),2266.499)</f>
        <v>2266.499</v>
      </c>
      <c r="F131" s="20">
        <f>IFERROR(__xludf.DUMMYFUNCTION("FILTER(Datos!$D$2:$D1003, Datos!$F$2:$F1003=F$1, Datos!$G$2:$G1003=F$2, Datos!$A$2:$A1003=$A131)"),2846.667)</f>
        <v>2846.667</v>
      </c>
      <c r="G131" s="20">
        <f>IFERROR(__xludf.DUMMYFUNCTION("FILTER(Datos!$E$2:$E1003, Datos!$F$2:$F1003=G$1, Datos!$G$2:$G1003=G$2, Datos!$A$2:$A1003=$A131)"),3482.772)</f>
        <v>3482.772</v>
      </c>
      <c r="H131" s="20">
        <f>IFERROR(__xludf.DUMMYFUNCTION("FILTER(Datos!$D$2:$D1003, Datos!$F$2:$F1003=H$1, Datos!$G$2:$G1003=H$2, Datos!$A$2:$A1003=$A131)"),3853.467)</f>
        <v>3853.467</v>
      </c>
      <c r="I131" s="21">
        <f>IFERROR(__xludf.DUMMYFUNCTION("FILTER(Datos!$E$2:$E1003, Datos!$F$2:$F1003=I$1, Datos!$G$2:$G1003=I$2, Datos!$A$2:$A1003=$A131)"),5866.274)</f>
        <v>5866.274</v>
      </c>
      <c r="J131" s="20">
        <f>IFERROR(__xludf.DUMMYFUNCTION("FILTER(Datos!$D$2:$D1003, Datos!$F$2:$F1003=J$1, Datos!$G$2:$G1003=J$2, Datos!$A$2:$A1003=$A131)"),1816.667)</f>
        <v>1816.667</v>
      </c>
      <c r="K131" s="20">
        <f>IFERROR(__xludf.DUMMYFUNCTION("FILTER(Datos!$E$2:$E1003, Datos!$F$2:$F1003=K$1, Datos!$G$2:$G1003=K$2, Datos!$A$2:$A1003=$A131)"),2280.923)</f>
        <v>2280.923</v>
      </c>
      <c r="L131" s="20">
        <f>IFERROR(__xludf.DUMMYFUNCTION("FILTER(Datos!$D$2:$D1003, Datos!$F$2:$F1003=L$1, Datos!$G$2:$G1003=L$2, Datos!$A$2:$A1003=$A131)"),2119.0)</f>
        <v>2119</v>
      </c>
      <c r="M131" s="20">
        <f>IFERROR(__xludf.DUMMYFUNCTION("FILTER(Datos!$E$2:$E1003, Datos!$F$2:$F1003=M$1, Datos!$G$2:$G1003=M$2, Datos!$A$2:$A1003=$A131)"),2787.587)</f>
        <v>2787.587</v>
      </c>
      <c r="N131" s="20">
        <f>IFERROR(__xludf.DUMMYFUNCTION("FILTER(Datos!$D$2:$D1003, Datos!$F$2:$F1003=N$1, Datos!$G$2:$G1003=N$2, Datos!$A$2:$A1003=$A131)"),2548.3)</f>
        <v>2548.3</v>
      </c>
      <c r="O131" s="20">
        <f>IFERROR(__xludf.DUMMYFUNCTION("FILTER(Datos!$E$2:$E1003, Datos!$F$2:$F1003=O$1, Datos!$G$2:$G1003=O$2, Datos!$A$2:$A1003=$A131)"),3652.737)</f>
        <v>3652.737</v>
      </c>
      <c r="P131" s="20">
        <f>IFERROR(__xludf.DUMMYFUNCTION("FILTER(Datos!$D$2:$D1003, Datos!$F$2:$F1003=P$1, Datos!$G$2:$G1003=P$2, Datos!$A$2:$A1003=$A131)"),3144.767)</f>
        <v>3144.767</v>
      </c>
      <c r="Q131" s="21">
        <f>IFERROR(__xludf.DUMMYFUNCTION("FILTER(Datos!$E$2:$E1003, Datos!$F$2:$F1003=Q$1, Datos!$G$2:$G1003=Q$2, Datos!$A$2:$A1003=$A131)"),4902.16)</f>
        <v>4902.16</v>
      </c>
    </row>
    <row r="132">
      <c r="A132" s="18">
        <f t="shared" si="2"/>
        <v>127</v>
      </c>
      <c r="B132" s="19">
        <f>IFERROR(__xludf.DUMMYFUNCTION("FILTER(Datos!$D$2:$D1003, Datos!$F$2:$F1003=B$1, Datos!$G$2:$G1003=B$2, Datos!$A$2:$A1003=$A132)"),1909.833)</f>
        <v>1909.833</v>
      </c>
      <c r="C132" s="20">
        <f>IFERROR(__xludf.DUMMYFUNCTION("FILTER(Datos!$E$2:$E1003, Datos!$F$2:$F1003=C$1, Datos!$G$2:$G1003=C$2, Datos!$A$2:$A1003=$A132)"),1991.489)</f>
        <v>1991.489</v>
      </c>
      <c r="D132" s="20">
        <f>IFERROR(__xludf.DUMMYFUNCTION("FILTER(Datos!$D$2:$D1003, Datos!$F$2:$F1003=D$1, Datos!$G$2:$G1003=D$2, Datos!$A$2:$A1003=$A132)"),2162.9)</f>
        <v>2162.9</v>
      </c>
      <c r="E132" s="20">
        <f>IFERROR(__xludf.DUMMYFUNCTION("FILTER(Datos!$E$2:$E1003, Datos!$F$2:$F1003=E$1, Datos!$G$2:$G1003=E$2, Datos!$A$2:$A1003=$A132)"),2271.042)</f>
        <v>2271.042</v>
      </c>
      <c r="F132" s="20">
        <f>IFERROR(__xludf.DUMMYFUNCTION("FILTER(Datos!$D$2:$D1003, Datos!$F$2:$F1003=F$1, Datos!$G$2:$G1003=F$2, Datos!$A$2:$A1003=$A132)"),2843.933)</f>
        <v>2843.933</v>
      </c>
      <c r="G132" s="20">
        <f>IFERROR(__xludf.DUMMYFUNCTION("FILTER(Datos!$E$2:$E1003, Datos!$F$2:$F1003=G$1, Datos!$G$2:$G1003=G$2, Datos!$A$2:$A1003=$A132)"),3462.755)</f>
        <v>3462.755</v>
      </c>
      <c r="H132" s="20">
        <f>IFERROR(__xludf.DUMMYFUNCTION("FILTER(Datos!$D$2:$D1003, Datos!$F$2:$F1003=H$1, Datos!$G$2:$G1003=H$2, Datos!$A$2:$A1003=$A132)"),3838.9)</f>
        <v>3838.9</v>
      </c>
      <c r="I132" s="21">
        <f>IFERROR(__xludf.DUMMYFUNCTION("FILTER(Datos!$E$2:$E1003, Datos!$F$2:$F1003=I$1, Datos!$G$2:$G1003=I$2, Datos!$A$2:$A1003=$A132)"),5833.673)</f>
        <v>5833.673</v>
      </c>
      <c r="J132" s="20">
        <f>IFERROR(__xludf.DUMMYFUNCTION("FILTER(Datos!$D$2:$D1003, Datos!$F$2:$F1003=J$1, Datos!$G$2:$G1003=J$2, Datos!$A$2:$A1003=$A132)"),1816.667)</f>
        <v>1816.667</v>
      </c>
      <c r="K132" s="20">
        <f>IFERROR(__xludf.DUMMYFUNCTION("FILTER(Datos!$E$2:$E1003, Datos!$F$2:$F1003=K$1, Datos!$G$2:$G1003=K$2, Datos!$A$2:$A1003=$A132)"),2282.606)</f>
        <v>2282.606</v>
      </c>
      <c r="L132" s="20">
        <f>IFERROR(__xludf.DUMMYFUNCTION("FILTER(Datos!$D$2:$D1003, Datos!$F$2:$F1003=L$1, Datos!$G$2:$G1003=L$2, Datos!$A$2:$A1003=$A132)"),2119.0)</f>
        <v>2119</v>
      </c>
      <c r="M132" s="20">
        <f>IFERROR(__xludf.DUMMYFUNCTION("FILTER(Datos!$E$2:$E1003, Datos!$F$2:$F1003=M$1, Datos!$G$2:$G1003=M$2, Datos!$A$2:$A1003=$A132)"),2785.877)</f>
        <v>2785.877</v>
      </c>
      <c r="N132" s="20">
        <f>IFERROR(__xludf.DUMMYFUNCTION("FILTER(Datos!$D$2:$D1003, Datos!$F$2:$F1003=N$1, Datos!$G$2:$G1003=N$2, Datos!$A$2:$A1003=$A132)"),2545.4)</f>
        <v>2545.4</v>
      </c>
      <c r="O132" s="20">
        <f>IFERROR(__xludf.DUMMYFUNCTION("FILTER(Datos!$E$2:$E1003, Datos!$F$2:$F1003=O$1, Datos!$G$2:$G1003=O$2, Datos!$A$2:$A1003=$A132)"),3636.979)</f>
        <v>3636.979</v>
      </c>
      <c r="P132" s="20">
        <f>IFERROR(__xludf.DUMMYFUNCTION("FILTER(Datos!$D$2:$D1003, Datos!$F$2:$F1003=P$1, Datos!$G$2:$G1003=P$2, Datos!$A$2:$A1003=$A132)"),3143.7)</f>
        <v>3143.7</v>
      </c>
      <c r="Q132" s="21">
        <f>IFERROR(__xludf.DUMMYFUNCTION("FILTER(Datos!$E$2:$E1003, Datos!$F$2:$F1003=Q$1, Datos!$G$2:$G1003=Q$2, Datos!$A$2:$A1003=$A132)"),4890.212)</f>
        <v>4890.212</v>
      </c>
    </row>
    <row r="133">
      <c r="A133" s="18">
        <f t="shared" si="2"/>
        <v>128</v>
      </c>
      <c r="B133" s="19">
        <f>IFERROR(__xludf.DUMMYFUNCTION("FILTER(Datos!$D$2:$D1003, Datos!$F$2:$F1003=B$1, Datos!$G$2:$G1003=B$2, Datos!$A$2:$A1003=$A133)"),1909.133)</f>
        <v>1909.133</v>
      </c>
      <c r="C133" s="20">
        <f>IFERROR(__xludf.DUMMYFUNCTION("FILTER(Datos!$E$2:$E1003, Datos!$F$2:$F1003=C$1, Datos!$G$2:$G1003=C$2, Datos!$A$2:$A1003=$A133)"),1987.413)</f>
        <v>1987.413</v>
      </c>
      <c r="D133" s="20">
        <f>IFERROR(__xludf.DUMMYFUNCTION("FILTER(Datos!$D$2:$D1003, Datos!$F$2:$F1003=D$1, Datos!$G$2:$G1003=D$2, Datos!$A$2:$A1003=$A133)"),2162.9)</f>
        <v>2162.9</v>
      </c>
      <c r="E133" s="20">
        <f>IFERROR(__xludf.DUMMYFUNCTION("FILTER(Datos!$E$2:$E1003, Datos!$F$2:$F1003=E$1, Datos!$G$2:$G1003=E$2, Datos!$A$2:$A1003=$A133)"),2266.562)</f>
        <v>2266.562</v>
      </c>
      <c r="F133" s="20">
        <f>IFERROR(__xludf.DUMMYFUNCTION("FILTER(Datos!$D$2:$D1003, Datos!$F$2:$F1003=F$1, Datos!$G$2:$G1003=F$2, Datos!$A$2:$A1003=$A133)"),2828.267)</f>
        <v>2828.267</v>
      </c>
      <c r="G133" s="20">
        <f>IFERROR(__xludf.DUMMYFUNCTION("FILTER(Datos!$E$2:$E1003, Datos!$F$2:$F1003=G$1, Datos!$G$2:$G1003=G$2, Datos!$A$2:$A1003=$A133)"),3443.656)</f>
        <v>3443.656</v>
      </c>
      <c r="H133" s="20">
        <f>IFERROR(__xludf.DUMMYFUNCTION("FILTER(Datos!$D$2:$D1003, Datos!$F$2:$F1003=H$1, Datos!$G$2:$G1003=H$2, Datos!$A$2:$A1003=$A133)"),3822.4)</f>
        <v>3822.4</v>
      </c>
      <c r="I133" s="21">
        <f>IFERROR(__xludf.DUMMYFUNCTION("FILTER(Datos!$E$2:$E1003, Datos!$F$2:$F1003=I$1, Datos!$G$2:$G1003=I$2, Datos!$A$2:$A1003=$A133)"),5812.289)</f>
        <v>5812.289</v>
      </c>
      <c r="J133" s="20">
        <f>IFERROR(__xludf.DUMMYFUNCTION("FILTER(Datos!$D$2:$D1003, Datos!$F$2:$F1003=J$1, Datos!$G$2:$G1003=J$2, Datos!$A$2:$A1003=$A133)"),1816.667)</f>
        <v>1816.667</v>
      </c>
      <c r="K133" s="20">
        <f>IFERROR(__xludf.DUMMYFUNCTION("FILTER(Datos!$E$2:$E1003, Datos!$F$2:$F1003=K$1, Datos!$G$2:$G1003=K$2, Datos!$A$2:$A1003=$A133)"),2274.276)</f>
        <v>2274.276</v>
      </c>
      <c r="L133" s="20">
        <f>IFERROR(__xludf.DUMMYFUNCTION("FILTER(Datos!$D$2:$D1003, Datos!$F$2:$F1003=L$1, Datos!$G$2:$G1003=L$2, Datos!$A$2:$A1003=$A133)"),2119.0)</f>
        <v>2119</v>
      </c>
      <c r="M133" s="20">
        <f>IFERROR(__xludf.DUMMYFUNCTION("FILTER(Datos!$E$2:$E1003, Datos!$F$2:$F1003=M$1, Datos!$G$2:$G1003=M$2, Datos!$A$2:$A1003=$A133)"),2781.972)</f>
        <v>2781.972</v>
      </c>
      <c r="N133" s="20">
        <f>IFERROR(__xludf.DUMMYFUNCTION("FILTER(Datos!$D$2:$D1003, Datos!$F$2:$F1003=N$1, Datos!$G$2:$G1003=N$2, Datos!$A$2:$A1003=$A133)"),2543.8)</f>
        <v>2543.8</v>
      </c>
      <c r="O133" s="20">
        <f>IFERROR(__xludf.DUMMYFUNCTION("FILTER(Datos!$E$2:$E1003, Datos!$F$2:$F1003=O$1, Datos!$G$2:$G1003=O$2, Datos!$A$2:$A1003=$A133)"),3642.954)</f>
        <v>3642.954</v>
      </c>
      <c r="P133" s="20">
        <f>IFERROR(__xludf.DUMMYFUNCTION("FILTER(Datos!$D$2:$D1003, Datos!$F$2:$F1003=P$1, Datos!$G$2:$G1003=P$2, Datos!$A$2:$A1003=$A133)"),3140.367)</f>
        <v>3140.367</v>
      </c>
      <c r="Q133" s="21">
        <f>IFERROR(__xludf.DUMMYFUNCTION("FILTER(Datos!$E$2:$E1003, Datos!$F$2:$F1003=Q$1, Datos!$G$2:$G1003=Q$2, Datos!$A$2:$A1003=$A133)"),4881.871)</f>
        <v>4881.871</v>
      </c>
    </row>
    <row r="134">
      <c r="A134" s="18">
        <f t="shared" si="2"/>
        <v>129</v>
      </c>
      <c r="B134" s="19">
        <f>IFERROR(__xludf.DUMMYFUNCTION("FILTER(Datos!$D$2:$D1003, Datos!$F$2:$F1003=B$1, Datos!$G$2:$G1003=B$2, Datos!$A$2:$A1003=$A134)"),1908.533)</f>
        <v>1908.533</v>
      </c>
      <c r="C134" s="20">
        <f>IFERROR(__xludf.DUMMYFUNCTION("FILTER(Datos!$E$2:$E1003, Datos!$F$2:$F1003=C$1, Datos!$G$2:$G1003=C$2, Datos!$A$2:$A1003=$A134)"),1989.354)</f>
        <v>1989.354</v>
      </c>
      <c r="D134" s="20">
        <f>IFERROR(__xludf.DUMMYFUNCTION("FILTER(Datos!$D$2:$D1003, Datos!$F$2:$F1003=D$1, Datos!$G$2:$G1003=D$2, Datos!$A$2:$A1003=$A134)"),2162.9)</f>
        <v>2162.9</v>
      </c>
      <c r="E134" s="20">
        <f>IFERROR(__xludf.DUMMYFUNCTION("FILTER(Datos!$E$2:$E1003, Datos!$F$2:$F1003=E$1, Datos!$G$2:$G1003=E$2, Datos!$A$2:$A1003=$A134)"),2266.516)</f>
        <v>2266.516</v>
      </c>
      <c r="F134" s="20">
        <f>IFERROR(__xludf.DUMMYFUNCTION("FILTER(Datos!$D$2:$D1003, Datos!$F$2:$F1003=F$1, Datos!$G$2:$G1003=F$2, Datos!$A$2:$A1003=$A134)"),2822.633)</f>
        <v>2822.633</v>
      </c>
      <c r="G134" s="20">
        <f>IFERROR(__xludf.DUMMYFUNCTION("FILTER(Datos!$E$2:$E1003, Datos!$F$2:$F1003=G$1, Datos!$G$2:$G1003=G$2, Datos!$A$2:$A1003=$A134)"),3425.233)</f>
        <v>3425.233</v>
      </c>
      <c r="H134" s="20">
        <f>IFERROR(__xludf.DUMMYFUNCTION("FILTER(Datos!$D$2:$D1003, Datos!$F$2:$F1003=H$1, Datos!$G$2:$G1003=H$2, Datos!$A$2:$A1003=$A134)"),3816.3)</f>
        <v>3816.3</v>
      </c>
      <c r="I134" s="21">
        <f>IFERROR(__xludf.DUMMYFUNCTION("FILTER(Datos!$E$2:$E1003, Datos!$F$2:$F1003=I$1, Datos!$G$2:$G1003=I$2, Datos!$A$2:$A1003=$A134)"),5791.371)</f>
        <v>5791.371</v>
      </c>
      <c r="J134" s="20">
        <f>IFERROR(__xludf.DUMMYFUNCTION("FILTER(Datos!$D$2:$D1003, Datos!$F$2:$F1003=J$1, Datos!$G$2:$G1003=J$2, Datos!$A$2:$A1003=$A134)"),1816.667)</f>
        <v>1816.667</v>
      </c>
      <c r="K134" s="20">
        <f>IFERROR(__xludf.DUMMYFUNCTION("FILTER(Datos!$E$2:$E1003, Datos!$F$2:$F1003=K$1, Datos!$G$2:$G1003=K$2, Datos!$A$2:$A1003=$A134)"),2286.953)</f>
        <v>2286.953</v>
      </c>
      <c r="L134" s="20">
        <f>IFERROR(__xludf.DUMMYFUNCTION("FILTER(Datos!$D$2:$D1003, Datos!$F$2:$F1003=L$1, Datos!$G$2:$G1003=L$2, Datos!$A$2:$A1003=$A134)"),2117.567)</f>
        <v>2117.567</v>
      </c>
      <c r="M134" s="20">
        <f>IFERROR(__xludf.DUMMYFUNCTION("FILTER(Datos!$E$2:$E1003, Datos!$F$2:$F1003=M$1, Datos!$G$2:$G1003=M$2, Datos!$A$2:$A1003=$A134)"),2776.456)</f>
        <v>2776.456</v>
      </c>
      <c r="N134" s="20">
        <f>IFERROR(__xludf.DUMMYFUNCTION("FILTER(Datos!$D$2:$D1003, Datos!$F$2:$F1003=N$1, Datos!$G$2:$G1003=N$2, Datos!$A$2:$A1003=$A134)"),2543.8)</f>
        <v>2543.8</v>
      </c>
      <c r="O134" s="20">
        <f>IFERROR(__xludf.DUMMYFUNCTION("FILTER(Datos!$E$2:$E1003, Datos!$F$2:$F1003=O$1, Datos!$G$2:$G1003=O$2, Datos!$A$2:$A1003=$A134)"),3643.838)</f>
        <v>3643.838</v>
      </c>
      <c r="P134" s="20">
        <f>IFERROR(__xludf.DUMMYFUNCTION("FILTER(Datos!$D$2:$D1003, Datos!$F$2:$F1003=P$1, Datos!$G$2:$G1003=P$2, Datos!$A$2:$A1003=$A134)"),3138.533)</f>
        <v>3138.533</v>
      </c>
      <c r="Q134" s="21">
        <f>IFERROR(__xludf.DUMMYFUNCTION("FILTER(Datos!$E$2:$E1003, Datos!$F$2:$F1003=Q$1, Datos!$G$2:$G1003=Q$2, Datos!$A$2:$A1003=$A134)"),4891.97)</f>
        <v>4891.97</v>
      </c>
    </row>
    <row r="135">
      <c r="A135" s="18">
        <f t="shared" si="2"/>
        <v>130</v>
      </c>
      <c r="B135" s="19">
        <f>IFERROR(__xludf.DUMMYFUNCTION("FILTER(Datos!$D$2:$D1003, Datos!$F$2:$F1003=B$1, Datos!$G$2:$G1003=B$2, Datos!$A$2:$A1003=$A135)"),1908.533)</f>
        <v>1908.533</v>
      </c>
      <c r="C135" s="20">
        <f>IFERROR(__xludf.DUMMYFUNCTION("FILTER(Datos!$E$2:$E1003, Datos!$F$2:$F1003=C$1, Datos!$G$2:$G1003=C$2, Datos!$A$2:$A1003=$A135)"),1990.122)</f>
        <v>1990.122</v>
      </c>
      <c r="D135" s="20">
        <f>IFERROR(__xludf.DUMMYFUNCTION("FILTER(Datos!$D$2:$D1003, Datos!$F$2:$F1003=D$1, Datos!$G$2:$G1003=D$2, Datos!$A$2:$A1003=$A135)"),2162.9)</f>
        <v>2162.9</v>
      </c>
      <c r="E135" s="20">
        <f>IFERROR(__xludf.DUMMYFUNCTION("FILTER(Datos!$E$2:$E1003, Datos!$F$2:$F1003=E$1, Datos!$G$2:$G1003=E$2, Datos!$A$2:$A1003=$A135)"),2269.823)</f>
        <v>2269.823</v>
      </c>
      <c r="F135" s="20">
        <f>IFERROR(__xludf.DUMMYFUNCTION("FILTER(Datos!$D$2:$D1003, Datos!$F$2:$F1003=F$1, Datos!$G$2:$G1003=F$2, Datos!$A$2:$A1003=$A135)"),2822.633)</f>
        <v>2822.633</v>
      </c>
      <c r="G135" s="20">
        <f>IFERROR(__xludf.DUMMYFUNCTION("FILTER(Datos!$E$2:$E1003, Datos!$F$2:$F1003=G$1, Datos!$G$2:$G1003=G$2, Datos!$A$2:$A1003=$A135)"),3411.145)</f>
        <v>3411.145</v>
      </c>
      <c r="H135" s="20">
        <f>IFERROR(__xludf.DUMMYFUNCTION("FILTER(Datos!$D$2:$D1003, Datos!$F$2:$F1003=H$1, Datos!$G$2:$G1003=H$2, Datos!$A$2:$A1003=$A135)"),3806.667)</f>
        <v>3806.667</v>
      </c>
      <c r="I135" s="21">
        <f>IFERROR(__xludf.DUMMYFUNCTION("FILTER(Datos!$E$2:$E1003, Datos!$F$2:$F1003=I$1, Datos!$G$2:$G1003=I$2, Datos!$A$2:$A1003=$A135)"),5753.578)</f>
        <v>5753.578</v>
      </c>
      <c r="J135" s="20">
        <f>IFERROR(__xludf.DUMMYFUNCTION("FILTER(Datos!$D$2:$D1003, Datos!$F$2:$F1003=J$1, Datos!$G$2:$G1003=J$2, Datos!$A$2:$A1003=$A135)"),1816.667)</f>
        <v>1816.667</v>
      </c>
      <c r="K135" s="20">
        <f>IFERROR(__xludf.DUMMYFUNCTION("FILTER(Datos!$E$2:$E1003, Datos!$F$2:$F1003=K$1, Datos!$G$2:$G1003=K$2, Datos!$A$2:$A1003=$A135)"),2281.35)</f>
        <v>2281.35</v>
      </c>
      <c r="L135" s="20">
        <f>IFERROR(__xludf.DUMMYFUNCTION("FILTER(Datos!$D$2:$D1003, Datos!$F$2:$F1003=L$1, Datos!$G$2:$G1003=L$2, Datos!$A$2:$A1003=$A135)"),2117.567)</f>
        <v>2117.567</v>
      </c>
      <c r="M135" s="20">
        <f>IFERROR(__xludf.DUMMYFUNCTION("FILTER(Datos!$E$2:$E1003, Datos!$F$2:$F1003=M$1, Datos!$G$2:$G1003=M$2, Datos!$A$2:$A1003=$A135)"),2779.036)</f>
        <v>2779.036</v>
      </c>
      <c r="N135" s="20">
        <f>IFERROR(__xludf.DUMMYFUNCTION("FILTER(Datos!$D$2:$D1003, Datos!$F$2:$F1003=N$1, Datos!$G$2:$G1003=N$2, Datos!$A$2:$A1003=$A135)"),2543.8)</f>
        <v>2543.8</v>
      </c>
      <c r="O135" s="20">
        <f>IFERROR(__xludf.DUMMYFUNCTION("FILTER(Datos!$E$2:$E1003, Datos!$F$2:$F1003=O$1, Datos!$G$2:$G1003=O$2, Datos!$A$2:$A1003=$A135)"),3629.241)</f>
        <v>3629.241</v>
      </c>
      <c r="P135" s="20">
        <f>IFERROR(__xludf.DUMMYFUNCTION("FILTER(Datos!$D$2:$D1003, Datos!$F$2:$F1003=P$1, Datos!$G$2:$G1003=P$2, Datos!$A$2:$A1003=$A135)"),3132.8)</f>
        <v>3132.8</v>
      </c>
      <c r="Q135" s="21">
        <f>IFERROR(__xludf.DUMMYFUNCTION("FILTER(Datos!$E$2:$E1003, Datos!$F$2:$F1003=Q$1, Datos!$G$2:$G1003=Q$2, Datos!$A$2:$A1003=$A135)"),4856.978)</f>
        <v>4856.978</v>
      </c>
    </row>
    <row r="136">
      <c r="A136" s="18">
        <f t="shared" si="2"/>
        <v>131</v>
      </c>
      <c r="B136" s="19">
        <f>IFERROR(__xludf.DUMMYFUNCTION("FILTER(Datos!$D$2:$D1003, Datos!$F$2:$F1003=B$1, Datos!$G$2:$G1003=B$2, Datos!$A$2:$A1003=$A136)"),1908.533)</f>
        <v>1908.533</v>
      </c>
      <c r="C136" s="20">
        <f>IFERROR(__xludf.DUMMYFUNCTION("FILTER(Datos!$E$2:$E1003, Datos!$F$2:$F1003=C$1, Datos!$G$2:$G1003=C$2, Datos!$A$2:$A1003=$A136)"),1987.22)</f>
        <v>1987.22</v>
      </c>
      <c r="D136" s="20">
        <f>IFERROR(__xludf.DUMMYFUNCTION("FILTER(Datos!$D$2:$D1003, Datos!$F$2:$F1003=D$1, Datos!$G$2:$G1003=D$2, Datos!$A$2:$A1003=$A136)"),2162.9)</f>
        <v>2162.9</v>
      </c>
      <c r="E136" s="20">
        <f>IFERROR(__xludf.DUMMYFUNCTION("FILTER(Datos!$E$2:$E1003, Datos!$F$2:$F1003=E$1, Datos!$G$2:$G1003=E$2, Datos!$A$2:$A1003=$A136)"),2268.295)</f>
        <v>2268.295</v>
      </c>
      <c r="F136" s="20">
        <f>IFERROR(__xludf.DUMMYFUNCTION("FILTER(Datos!$D$2:$D1003, Datos!$F$2:$F1003=F$1, Datos!$G$2:$G1003=F$2, Datos!$A$2:$A1003=$A136)"),2806.067)</f>
        <v>2806.067</v>
      </c>
      <c r="G136" s="20">
        <f>IFERROR(__xludf.DUMMYFUNCTION("FILTER(Datos!$E$2:$E1003, Datos!$F$2:$F1003=G$1, Datos!$G$2:$G1003=G$2, Datos!$A$2:$A1003=$A136)"),3395.105)</f>
        <v>3395.105</v>
      </c>
      <c r="H136" s="20">
        <f>IFERROR(__xludf.DUMMYFUNCTION("FILTER(Datos!$D$2:$D1003, Datos!$F$2:$F1003=H$1, Datos!$G$2:$G1003=H$2, Datos!$A$2:$A1003=$A136)"),3795.9)</f>
        <v>3795.9</v>
      </c>
      <c r="I136" s="21">
        <f>IFERROR(__xludf.DUMMYFUNCTION("FILTER(Datos!$E$2:$E1003, Datos!$F$2:$F1003=I$1, Datos!$G$2:$G1003=I$2, Datos!$A$2:$A1003=$A136)"),5734.154)</f>
        <v>5734.154</v>
      </c>
      <c r="J136" s="20">
        <f>IFERROR(__xludf.DUMMYFUNCTION("FILTER(Datos!$D$2:$D1003, Datos!$F$2:$F1003=J$1, Datos!$G$2:$G1003=J$2, Datos!$A$2:$A1003=$A136)"),1816.667)</f>
        <v>1816.667</v>
      </c>
      <c r="K136" s="20">
        <f>IFERROR(__xludf.DUMMYFUNCTION("FILTER(Datos!$E$2:$E1003, Datos!$F$2:$F1003=K$1, Datos!$G$2:$G1003=K$2, Datos!$A$2:$A1003=$A136)"),2291.674)</f>
        <v>2291.674</v>
      </c>
      <c r="L136" s="20">
        <f>IFERROR(__xludf.DUMMYFUNCTION("FILTER(Datos!$D$2:$D1003, Datos!$F$2:$F1003=L$1, Datos!$G$2:$G1003=L$2, Datos!$A$2:$A1003=$A136)"),2116.333)</f>
        <v>2116.333</v>
      </c>
      <c r="M136" s="20">
        <f>IFERROR(__xludf.DUMMYFUNCTION("FILTER(Datos!$E$2:$E1003, Datos!$F$2:$F1003=M$1, Datos!$G$2:$G1003=M$2, Datos!$A$2:$A1003=$A136)"),2771.928)</f>
        <v>2771.928</v>
      </c>
      <c r="N136" s="20">
        <f>IFERROR(__xludf.DUMMYFUNCTION("FILTER(Datos!$D$2:$D1003, Datos!$F$2:$F1003=N$1, Datos!$G$2:$G1003=N$2, Datos!$A$2:$A1003=$A136)"),2543.8)</f>
        <v>2543.8</v>
      </c>
      <c r="O136" s="20">
        <f>IFERROR(__xludf.DUMMYFUNCTION("FILTER(Datos!$E$2:$E1003, Datos!$F$2:$F1003=O$1, Datos!$G$2:$G1003=O$2, Datos!$A$2:$A1003=$A136)"),3622.947)</f>
        <v>3622.947</v>
      </c>
      <c r="P136" s="20">
        <f>IFERROR(__xludf.DUMMYFUNCTION("FILTER(Datos!$D$2:$D1003, Datos!$F$2:$F1003=P$1, Datos!$G$2:$G1003=P$2, Datos!$A$2:$A1003=$A136)"),3125.6)</f>
        <v>3125.6</v>
      </c>
      <c r="Q136" s="21">
        <f>IFERROR(__xludf.DUMMYFUNCTION("FILTER(Datos!$E$2:$E1003, Datos!$F$2:$F1003=Q$1, Datos!$G$2:$G1003=Q$2, Datos!$A$2:$A1003=$A136)"),4822.87)</f>
        <v>4822.87</v>
      </c>
    </row>
    <row r="137">
      <c r="A137" s="18">
        <f t="shared" si="2"/>
        <v>132</v>
      </c>
      <c r="B137" s="19">
        <f>IFERROR(__xludf.DUMMYFUNCTION("FILTER(Datos!$D$2:$D1003, Datos!$F$2:$F1003=B$1, Datos!$G$2:$G1003=B$2, Datos!$A$2:$A1003=$A137)"),1908.533)</f>
        <v>1908.533</v>
      </c>
      <c r="C137" s="20">
        <f>IFERROR(__xludf.DUMMYFUNCTION("FILTER(Datos!$E$2:$E1003, Datos!$F$2:$F1003=C$1, Datos!$G$2:$G1003=C$2, Datos!$A$2:$A1003=$A137)"),1990.578)</f>
        <v>1990.578</v>
      </c>
      <c r="D137" s="20">
        <f>IFERROR(__xludf.DUMMYFUNCTION("FILTER(Datos!$D$2:$D1003, Datos!$F$2:$F1003=D$1, Datos!$G$2:$G1003=D$2, Datos!$A$2:$A1003=$A137)"),2162.9)</f>
        <v>2162.9</v>
      </c>
      <c r="E137" s="20">
        <f>IFERROR(__xludf.DUMMYFUNCTION("FILTER(Datos!$E$2:$E1003, Datos!$F$2:$F1003=E$1, Datos!$G$2:$G1003=E$2, Datos!$A$2:$A1003=$A137)"),2266.101)</f>
        <v>2266.101</v>
      </c>
      <c r="F137" s="20">
        <f>IFERROR(__xludf.DUMMYFUNCTION("FILTER(Datos!$D$2:$D1003, Datos!$F$2:$F1003=F$1, Datos!$G$2:$G1003=F$2, Datos!$A$2:$A1003=$A137)"),2806.067)</f>
        <v>2806.067</v>
      </c>
      <c r="G137" s="20">
        <f>IFERROR(__xludf.DUMMYFUNCTION("FILTER(Datos!$E$2:$E1003, Datos!$F$2:$F1003=G$1, Datos!$G$2:$G1003=G$2, Datos!$A$2:$A1003=$A137)"),3375.919)</f>
        <v>3375.919</v>
      </c>
      <c r="H137" s="20">
        <f>IFERROR(__xludf.DUMMYFUNCTION("FILTER(Datos!$D$2:$D1003, Datos!$F$2:$F1003=H$1, Datos!$G$2:$G1003=H$2, Datos!$A$2:$A1003=$A137)"),3782.533)</f>
        <v>3782.533</v>
      </c>
      <c r="I137" s="21">
        <f>IFERROR(__xludf.DUMMYFUNCTION("FILTER(Datos!$E$2:$E1003, Datos!$F$2:$F1003=I$1, Datos!$G$2:$G1003=I$2, Datos!$A$2:$A1003=$A137)"),5696.657)</f>
        <v>5696.657</v>
      </c>
      <c r="J137" s="20">
        <f>IFERROR(__xludf.DUMMYFUNCTION("FILTER(Datos!$D$2:$D1003, Datos!$F$2:$F1003=J$1, Datos!$G$2:$G1003=J$2, Datos!$A$2:$A1003=$A137)"),1816.667)</f>
        <v>1816.667</v>
      </c>
      <c r="K137" s="20">
        <f>IFERROR(__xludf.DUMMYFUNCTION("FILTER(Datos!$E$2:$E1003, Datos!$F$2:$F1003=K$1, Datos!$G$2:$G1003=K$2, Datos!$A$2:$A1003=$A137)"),2292.232)</f>
        <v>2292.232</v>
      </c>
      <c r="L137" s="20">
        <f>IFERROR(__xludf.DUMMYFUNCTION("FILTER(Datos!$D$2:$D1003, Datos!$F$2:$F1003=L$1, Datos!$G$2:$G1003=L$2, Datos!$A$2:$A1003=$A137)"),2116.333)</f>
        <v>2116.333</v>
      </c>
      <c r="M137" s="20">
        <f>IFERROR(__xludf.DUMMYFUNCTION("FILTER(Datos!$E$2:$E1003, Datos!$F$2:$F1003=M$1, Datos!$G$2:$G1003=M$2, Datos!$A$2:$A1003=$A137)"),2772.785)</f>
        <v>2772.785</v>
      </c>
      <c r="N137" s="20">
        <f>IFERROR(__xludf.DUMMYFUNCTION("FILTER(Datos!$D$2:$D1003, Datos!$F$2:$F1003=N$1, Datos!$G$2:$G1003=N$2, Datos!$A$2:$A1003=$A137)"),2543.733)</f>
        <v>2543.733</v>
      </c>
      <c r="O137" s="20">
        <f>IFERROR(__xludf.DUMMYFUNCTION("FILTER(Datos!$E$2:$E1003, Datos!$F$2:$F1003=O$1, Datos!$G$2:$G1003=O$2, Datos!$A$2:$A1003=$A137)"),3605.74)</f>
        <v>3605.74</v>
      </c>
      <c r="P137" s="20">
        <f>IFERROR(__xludf.DUMMYFUNCTION("FILTER(Datos!$D$2:$D1003, Datos!$F$2:$F1003=P$1, Datos!$G$2:$G1003=P$2, Datos!$A$2:$A1003=$A137)"),3115.867)</f>
        <v>3115.867</v>
      </c>
      <c r="Q137" s="21">
        <f>IFERROR(__xludf.DUMMYFUNCTION("FILTER(Datos!$E$2:$E1003, Datos!$F$2:$F1003=Q$1, Datos!$G$2:$G1003=Q$2, Datos!$A$2:$A1003=$A137)"),4802.011)</f>
        <v>4802.011</v>
      </c>
    </row>
    <row r="138">
      <c r="A138" s="18">
        <f t="shared" si="2"/>
        <v>133</v>
      </c>
      <c r="B138" s="19">
        <f>IFERROR(__xludf.DUMMYFUNCTION("FILTER(Datos!$D$2:$D1003, Datos!$F$2:$F1003=B$1, Datos!$G$2:$G1003=B$2, Datos!$A$2:$A1003=$A138)"),1908.533)</f>
        <v>1908.533</v>
      </c>
      <c r="C138" s="20">
        <f>IFERROR(__xludf.DUMMYFUNCTION("FILTER(Datos!$E$2:$E1003, Datos!$F$2:$F1003=C$1, Datos!$G$2:$G1003=C$2, Datos!$A$2:$A1003=$A138)"),1988.553)</f>
        <v>1988.553</v>
      </c>
      <c r="D138" s="20">
        <f>IFERROR(__xludf.DUMMYFUNCTION("FILTER(Datos!$D$2:$D1003, Datos!$F$2:$F1003=D$1, Datos!$G$2:$G1003=D$2, Datos!$A$2:$A1003=$A138)"),2162.9)</f>
        <v>2162.9</v>
      </c>
      <c r="E138" s="20">
        <f>IFERROR(__xludf.DUMMYFUNCTION("FILTER(Datos!$E$2:$E1003, Datos!$F$2:$F1003=E$1, Datos!$G$2:$G1003=E$2, Datos!$A$2:$A1003=$A138)"),2266.834)</f>
        <v>2266.834</v>
      </c>
      <c r="F138" s="20">
        <f>IFERROR(__xludf.DUMMYFUNCTION("FILTER(Datos!$D$2:$D1003, Datos!$F$2:$F1003=F$1, Datos!$G$2:$G1003=F$2, Datos!$A$2:$A1003=$A138)"),2797.467)</f>
        <v>2797.467</v>
      </c>
      <c r="G138" s="20">
        <f>IFERROR(__xludf.DUMMYFUNCTION("FILTER(Datos!$E$2:$E1003, Datos!$F$2:$F1003=G$1, Datos!$G$2:$G1003=G$2, Datos!$A$2:$A1003=$A138)"),3346.165)</f>
        <v>3346.165</v>
      </c>
      <c r="H138" s="20">
        <f>IFERROR(__xludf.DUMMYFUNCTION("FILTER(Datos!$D$2:$D1003, Datos!$F$2:$F1003=H$1, Datos!$G$2:$G1003=H$2, Datos!$A$2:$A1003=$A138)"),3766.333)</f>
        <v>3766.333</v>
      </c>
      <c r="I138" s="21">
        <f>IFERROR(__xludf.DUMMYFUNCTION("FILTER(Datos!$E$2:$E1003, Datos!$F$2:$F1003=I$1, Datos!$G$2:$G1003=I$2, Datos!$A$2:$A1003=$A138)"),5677.961)</f>
        <v>5677.961</v>
      </c>
      <c r="J138" s="20">
        <f>IFERROR(__xludf.DUMMYFUNCTION("FILTER(Datos!$D$2:$D1003, Datos!$F$2:$F1003=J$1, Datos!$G$2:$G1003=J$2, Datos!$A$2:$A1003=$A138)"),1816.667)</f>
        <v>1816.667</v>
      </c>
      <c r="K138" s="20">
        <f>IFERROR(__xludf.DUMMYFUNCTION("FILTER(Datos!$E$2:$E1003, Datos!$F$2:$F1003=K$1, Datos!$G$2:$G1003=K$2, Datos!$A$2:$A1003=$A138)"),2288.462)</f>
        <v>2288.462</v>
      </c>
      <c r="L138" s="20">
        <f>IFERROR(__xludf.DUMMYFUNCTION("FILTER(Datos!$D$2:$D1003, Datos!$F$2:$F1003=L$1, Datos!$G$2:$G1003=L$2, Datos!$A$2:$A1003=$A138)"),2114.467)</f>
        <v>2114.467</v>
      </c>
      <c r="M138" s="20">
        <f>IFERROR(__xludf.DUMMYFUNCTION("FILTER(Datos!$E$2:$E1003, Datos!$F$2:$F1003=M$1, Datos!$G$2:$G1003=M$2, Datos!$A$2:$A1003=$A138)"),2770.507)</f>
        <v>2770.507</v>
      </c>
      <c r="N138" s="20">
        <f>IFERROR(__xludf.DUMMYFUNCTION("FILTER(Datos!$D$2:$D1003, Datos!$F$2:$F1003=N$1, Datos!$G$2:$G1003=N$2, Datos!$A$2:$A1003=$A138)"),2541.833)</f>
        <v>2541.833</v>
      </c>
      <c r="O138" s="20">
        <f>IFERROR(__xludf.DUMMYFUNCTION("FILTER(Datos!$E$2:$E1003, Datos!$F$2:$F1003=O$1, Datos!$G$2:$G1003=O$2, Datos!$A$2:$A1003=$A138)"),3591.411)</f>
        <v>3591.411</v>
      </c>
      <c r="P138" s="20">
        <f>IFERROR(__xludf.DUMMYFUNCTION("FILTER(Datos!$D$2:$D1003, Datos!$F$2:$F1003=P$1, Datos!$G$2:$G1003=P$2, Datos!$A$2:$A1003=$A138)"),3108.4)</f>
        <v>3108.4</v>
      </c>
      <c r="Q138" s="21">
        <f>IFERROR(__xludf.DUMMYFUNCTION("FILTER(Datos!$E$2:$E1003, Datos!$F$2:$F1003=Q$1, Datos!$G$2:$G1003=Q$2, Datos!$A$2:$A1003=$A138)"),4780.3)</f>
        <v>4780.3</v>
      </c>
    </row>
    <row r="139">
      <c r="A139" s="18">
        <f t="shared" si="2"/>
        <v>134</v>
      </c>
      <c r="B139" s="19">
        <f>IFERROR(__xludf.DUMMYFUNCTION("FILTER(Datos!$D$2:$D1003, Datos!$F$2:$F1003=B$1, Datos!$G$2:$G1003=B$2, Datos!$A$2:$A1003=$A139)"),1908.533)</f>
        <v>1908.533</v>
      </c>
      <c r="C139" s="20">
        <f>IFERROR(__xludf.DUMMYFUNCTION("FILTER(Datos!$E$2:$E1003, Datos!$F$2:$F1003=C$1, Datos!$G$2:$G1003=C$2, Datos!$A$2:$A1003=$A139)"),1988.687)</f>
        <v>1988.687</v>
      </c>
      <c r="D139" s="20">
        <f>IFERROR(__xludf.DUMMYFUNCTION("FILTER(Datos!$D$2:$D1003, Datos!$F$2:$F1003=D$1, Datos!$G$2:$G1003=D$2, Datos!$A$2:$A1003=$A139)"),2162.9)</f>
        <v>2162.9</v>
      </c>
      <c r="E139" s="20">
        <f>IFERROR(__xludf.DUMMYFUNCTION("FILTER(Datos!$E$2:$E1003, Datos!$F$2:$F1003=E$1, Datos!$G$2:$G1003=E$2, Datos!$A$2:$A1003=$A139)"),2268.327)</f>
        <v>2268.327</v>
      </c>
      <c r="F139" s="20">
        <f>IFERROR(__xludf.DUMMYFUNCTION("FILTER(Datos!$D$2:$D1003, Datos!$F$2:$F1003=F$1, Datos!$G$2:$G1003=F$2, Datos!$A$2:$A1003=$A139)"),2791.833)</f>
        <v>2791.833</v>
      </c>
      <c r="G139" s="20">
        <f>IFERROR(__xludf.DUMMYFUNCTION("FILTER(Datos!$E$2:$E1003, Datos!$F$2:$F1003=G$1, Datos!$G$2:$G1003=G$2, Datos!$A$2:$A1003=$A139)"),3333.553)</f>
        <v>3333.553</v>
      </c>
      <c r="H139" s="20">
        <f>IFERROR(__xludf.DUMMYFUNCTION("FILTER(Datos!$D$2:$D1003, Datos!$F$2:$F1003=H$1, Datos!$G$2:$G1003=H$2, Datos!$A$2:$A1003=$A139)"),3729.733)</f>
        <v>3729.733</v>
      </c>
      <c r="I139" s="21">
        <f>IFERROR(__xludf.DUMMYFUNCTION("FILTER(Datos!$E$2:$E1003, Datos!$F$2:$F1003=I$1, Datos!$G$2:$G1003=I$2, Datos!$A$2:$A1003=$A139)"),5639.331)</f>
        <v>5639.331</v>
      </c>
      <c r="J139" s="20">
        <f>IFERROR(__xludf.DUMMYFUNCTION("FILTER(Datos!$D$2:$D1003, Datos!$F$2:$F1003=J$1, Datos!$G$2:$G1003=J$2, Datos!$A$2:$A1003=$A139)"),1814.533)</f>
        <v>1814.533</v>
      </c>
      <c r="K139" s="20">
        <f>IFERROR(__xludf.DUMMYFUNCTION("FILTER(Datos!$E$2:$E1003, Datos!$F$2:$F1003=K$1, Datos!$G$2:$G1003=K$2, Datos!$A$2:$A1003=$A139)"),2285.705)</f>
        <v>2285.705</v>
      </c>
      <c r="L139" s="20">
        <f>IFERROR(__xludf.DUMMYFUNCTION("FILTER(Datos!$D$2:$D1003, Datos!$F$2:$F1003=L$1, Datos!$G$2:$G1003=L$2, Datos!$A$2:$A1003=$A139)"),2114.467)</f>
        <v>2114.467</v>
      </c>
      <c r="M139" s="20">
        <f>IFERROR(__xludf.DUMMYFUNCTION("FILTER(Datos!$E$2:$E1003, Datos!$F$2:$F1003=M$1, Datos!$G$2:$G1003=M$2, Datos!$A$2:$A1003=$A139)"),2775.791)</f>
        <v>2775.791</v>
      </c>
      <c r="N139" s="20">
        <f>IFERROR(__xludf.DUMMYFUNCTION("FILTER(Datos!$D$2:$D1003, Datos!$F$2:$F1003=N$1, Datos!$G$2:$G1003=N$2, Datos!$A$2:$A1003=$A139)"),2541.833)</f>
        <v>2541.833</v>
      </c>
      <c r="O139" s="20">
        <f>IFERROR(__xludf.DUMMYFUNCTION("FILTER(Datos!$E$2:$E1003, Datos!$F$2:$F1003=O$1, Datos!$G$2:$G1003=O$2, Datos!$A$2:$A1003=$A139)"),3597.554)</f>
        <v>3597.554</v>
      </c>
      <c r="P139" s="20">
        <f>IFERROR(__xludf.DUMMYFUNCTION("FILTER(Datos!$D$2:$D1003, Datos!$F$2:$F1003=P$1, Datos!$G$2:$G1003=P$2, Datos!$A$2:$A1003=$A139)"),3100.267)</f>
        <v>3100.267</v>
      </c>
      <c r="Q139" s="21">
        <f>IFERROR(__xludf.DUMMYFUNCTION("FILTER(Datos!$E$2:$E1003, Datos!$F$2:$F1003=Q$1, Datos!$G$2:$G1003=Q$2, Datos!$A$2:$A1003=$A139)"),4770.272)</f>
        <v>4770.272</v>
      </c>
    </row>
    <row r="140">
      <c r="A140" s="18">
        <f t="shared" si="2"/>
        <v>135</v>
      </c>
      <c r="B140" s="19">
        <f>IFERROR(__xludf.DUMMYFUNCTION("FILTER(Datos!$D$2:$D1003, Datos!$F$2:$F1003=B$1, Datos!$G$2:$G1003=B$2, Datos!$A$2:$A1003=$A140)"),1908.533)</f>
        <v>1908.533</v>
      </c>
      <c r="C140" s="20">
        <f>IFERROR(__xludf.DUMMYFUNCTION("FILTER(Datos!$E$2:$E1003, Datos!$F$2:$F1003=C$1, Datos!$G$2:$G1003=C$2, Datos!$A$2:$A1003=$A140)"),1991.479)</f>
        <v>1991.479</v>
      </c>
      <c r="D140" s="20">
        <f>IFERROR(__xludf.DUMMYFUNCTION("FILTER(Datos!$D$2:$D1003, Datos!$F$2:$F1003=D$1, Datos!$G$2:$G1003=D$2, Datos!$A$2:$A1003=$A140)"),2162.9)</f>
        <v>2162.9</v>
      </c>
      <c r="E140" s="20">
        <f>IFERROR(__xludf.DUMMYFUNCTION("FILTER(Datos!$E$2:$E1003, Datos!$F$2:$F1003=E$1, Datos!$G$2:$G1003=E$2, Datos!$A$2:$A1003=$A140)"),2266.962)</f>
        <v>2266.962</v>
      </c>
      <c r="F140" s="20">
        <f>IFERROR(__xludf.DUMMYFUNCTION("FILTER(Datos!$D$2:$D1003, Datos!$F$2:$F1003=F$1, Datos!$G$2:$G1003=F$2, Datos!$A$2:$A1003=$A140)"),2791.833)</f>
        <v>2791.833</v>
      </c>
      <c r="G140" s="20">
        <f>IFERROR(__xludf.DUMMYFUNCTION("FILTER(Datos!$E$2:$E1003, Datos!$F$2:$F1003=G$1, Datos!$G$2:$G1003=G$2, Datos!$A$2:$A1003=$A140)"),3317.401)</f>
        <v>3317.401</v>
      </c>
      <c r="H140" s="20">
        <f>IFERROR(__xludf.DUMMYFUNCTION("FILTER(Datos!$D$2:$D1003, Datos!$F$2:$F1003=H$1, Datos!$G$2:$G1003=H$2, Datos!$A$2:$A1003=$A140)"),3719.9)</f>
        <v>3719.9</v>
      </c>
      <c r="I140" s="21">
        <f>IFERROR(__xludf.DUMMYFUNCTION("FILTER(Datos!$E$2:$E1003, Datos!$F$2:$F1003=I$1, Datos!$G$2:$G1003=I$2, Datos!$A$2:$A1003=$A140)"),5597.003)</f>
        <v>5597.003</v>
      </c>
      <c r="J140" s="20">
        <f>IFERROR(__xludf.DUMMYFUNCTION("FILTER(Datos!$D$2:$D1003, Datos!$F$2:$F1003=J$1, Datos!$G$2:$G1003=J$2, Datos!$A$2:$A1003=$A140)"),1814.533)</f>
        <v>1814.533</v>
      </c>
      <c r="K140" s="20">
        <f>IFERROR(__xludf.DUMMYFUNCTION("FILTER(Datos!$E$2:$E1003, Datos!$F$2:$F1003=K$1, Datos!$G$2:$G1003=K$2, Datos!$A$2:$A1003=$A140)"),2294.191)</f>
        <v>2294.191</v>
      </c>
      <c r="L140" s="20">
        <f>IFERROR(__xludf.DUMMYFUNCTION("FILTER(Datos!$D$2:$D1003, Datos!$F$2:$F1003=L$1, Datos!$G$2:$G1003=L$2, Datos!$A$2:$A1003=$A140)"),2114.467)</f>
        <v>2114.467</v>
      </c>
      <c r="M140" s="20">
        <f>IFERROR(__xludf.DUMMYFUNCTION("FILTER(Datos!$E$2:$E1003, Datos!$F$2:$F1003=M$1, Datos!$G$2:$G1003=M$2, Datos!$A$2:$A1003=$A140)"),2785.074)</f>
        <v>2785.074</v>
      </c>
      <c r="N140" s="20">
        <f>IFERROR(__xludf.DUMMYFUNCTION("FILTER(Datos!$D$2:$D1003, Datos!$F$2:$F1003=N$1, Datos!$G$2:$G1003=N$2, Datos!$A$2:$A1003=$A140)"),2541.833)</f>
        <v>2541.833</v>
      </c>
      <c r="O140" s="20">
        <f>IFERROR(__xludf.DUMMYFUNCTION("FILTER(Datos!$E$2:$E1003, Datos!$F$2:$F1003=O$1, Datos!$G$2:$G1003=O$2, Datos!$A$2:$A1003=$A140)"),3591.631)</f>
        <v>3591.631</v>
      </c>
      <c r="P140" s="20">
        <f>IFERROR(__xludf.DUMMYFUNCTION("FILTER(Datos!$D$2:$D1003, Datos!$F$2:$F1003=P$1, Datos!$G$2:$G1003=P$2, Datos!$A$2:$A1003=$A140)"),3096.933)</f>
        <v>3096.933</v>
      </c>
      <c r="Q140" s="21">
        <f>IFERROR(__xludf.DUMMYFUNCTION("FILTER(Datos!$E$2:$E1003, Datos!$F$2:$F1003=Q$1, Datos!$G$2:$G1003=Q$2, Datos!$A$2:$A1003=$A140)"),4764.431)</f>
        <v>4764.431</v>
      </c>
    </row>
    <row r="141">
      <c r="A141" s="18">
        <f t="shared" si="2"/>
        <v>136</v>
      </c>
      <c r="B141" s="19">
        <f>IFERROR(__xludf.DUMMYFUNCTION("FILTER(Datos!$D$2:$D1003, Datos!$F$2:$F1003=B$1, Datos!$G$2:$G1003=B$2, Datos!$A$2:$A1003=$A141)"),1908.533)</f>
        <v>1908.533</v>
      </c>
      <c r="C141" s="20">
        <f>IFERROR(__xludf.DUMMYFUNCTION("FILTER(Datos!$E$2:$E1003, Datos!$F$2:$F1003=C$1, Datos!$G$2:$G1003=C$2, Datos!$A$2:$A1003=$A141)"),1986.841)</f>
        <v>1986.841</v>
      </c>
      <c r="D141" s="20">
        <f>IFERROR(__xludf.DUMMYFUNCTION("FILTER(Datos!$D$2:$D1003, Datos!$F$2:$F1003=D$1, Datos!$G$2:$G1003=D$2, Datos!$A$2:$A1003=$A141)"),2162.9)</f>
        <v>2162.9</v>
      </c>
      <c r="E141" s="20">
        <f>IFERROR(__xludf.DUMMYFUNCTION("FILTER(Datos!$E$2:$E1003, Datos!$F$2:$F1003=E$1, Datos!$G$2:$G1003=E$2, Datos!$A$2:$A1003=$A141)"),2266.953)</f>
        <v>2266.953</v>
      </c>
      <c r="F141" s="20">
        <f>IFERROR(__xludf.DUMMYFUNCTION("FILTER(Datos!$D$2:$D1003, Datos!$F$2:$F1003=F$1, Datos!$G$2:$G1003=F$2, Datos!$A$2:$A1003=$A141)"),2782.133)</f>
        <v>2782.133</v>
      </c>
      <c r="G141" s="20">
        <f>IFERROR(__xludf.DUMMYFUNCTION("FILTER(Datos!$E$2:$E1003, Datos!$F$2:$F1003=G$1, Datos!$G$2:$G1003=G$2, Datos!$A$2:$A1003=$A141)"),3294.599)</f>
        <v>3294.599</v>
      </c>
      <c r="H141" s="20">
        <f>IFERROR(__xludf.DUMMYFUNCTION("FILTER(Datos!$D$2:$D1003, Datos!$F$2:$F1003=H$1, Datos!$G$2:$G1003=H$2, Datos!$A$2:$A1003=$A141)"),3710.967)</f>
        <v>3710.967</v>
      </c>
      <c r="I141" s="21">
        <f>IFERROR(__xludf.DUMMYFUNCTION("FILTER(Datos!$E$2:$E1003, Datos!$F$2:$F1003=I$1, Datos!$G$2:$G1003=I$2, Datos!$A$2:$A1003=$A141)"),5555.324)</f>
        <v>5555.324</v>
      </c>
      <c r="J141" s="20">
        <f>IFERROR(__xludf.DUMMYFUNCTION("FILTER(Datos!$D$2:$D1003, Datos!$F$2:$F1003=J$1, Datos!$G$2:$G1003=J$2, Datos!$A$2:$A1003=$A141)"),1814.533)</f>
        <v>1814.533</v>
      </c>
      <c r="K141" s="20">
        <f>IFERROR(__xludf.DUMMYFUNCTION("FILTER(Datos!$E$2:$E1003, Datos!$F$2:$F1003=K$1, Datos!$G$2:$G1003=K$2, Datos!$A$2:$A1003=$A141)"),2299.89)</f>
        <v>2299.89</v>
      </c>
      <c r="L141" s="20">
        <f>IFERROR(__xludf.DUMMYFUNCTION("FILTER(Datos!$D$2:$D1003, Datos!$F$2:$F1003=L$1, Datos!$G$2:$G1003=L$2, Datos!$A$2:$A1003=$A141)"),2113.1)</f>
        <v>2113.1</v>
      </c>
      <c r="M141" s="20">
        <f>IFERROR(__xludf.DUMMYFUNCTION("FILTER(Datos!$E$2:$E1003, Datos!$F$2:$F1003=M$1, Datos!$G$2:$G1003=M$2, Datos!$A$2:$A1003=$A141)"),2772.767)</f>
        <v>2772.767</v>
      </c>
      <c r="N141" s="20">
        <f>IFERROR(__xludf.DUMMYFUNCTION("FILTER(Datos!$D$2:$D1003, Datos!$F$2:$F1003=N$1, Datos!$G$2:$G1003=N$2, Datos!$A$2:$A1003=$A141)"),2536.267)</f>
        <v>2536.267</v>
      </c>
      <c r="O141" s="20">
        <f>IFERROR(__xludf.DUMMYFUNCTION("FILTER(Datos!$E$2:$E1003, Datos!$F$2:$F1003=O$1, Datos!$G$2:$G1003=O$2, Datos!$A$2:$A1003=$A141)"),3584.141)</f>
        <v>3584.141</v>
      </c>
      <c r="P141" s="20">
        <f>IFERROR(__xludf.DUMMYFUNCTION("FILTER(Datos!$D$2:$D1003, Datos!$F$2:$F1003=P$1, Datos!$G$2:$G1003=P$2, Datos!$A$2:$A1003=$A141)"),3092.833)</f>
        <v>3092.833</v>
      </c>
      <c r="Q141" s="21">
        <f>IFERROR(__xludf.DUMMYFUNCTION("FILTER(Datos!$E$2:$E1003, Datos!$F$2:$F1003=Q$1, Datos!$G$2:$G1003=Q$2, Datos!$A$2:$A1003=$A141)"),4763.276)</f>
        <v>4763.276</v>
      </c>
    </row>
    <row r="142">
      <c r="A142" s="18">
        <f t="shared" si="2"/>
        <v>137</v>
      </c>
      <c r="B142" s="19">
        <f>IFERROR(__xludf.DUMMYFUNCTION("FILTER(Datos!$D$2:$D1003, Datos!$F$2:$F1003=B$1, Datos!$G$2:$G1003=B$2, Datos!$A$2:$A1003=$A142)"),1908.533)</f>
        <v>1908.533</v>
      </c>
      <c r="C142" s="20">
        <f>IFERROR(__xludf.DUMMYFUNCTION("FILTER(Datos!$E$2:$E1003, Datos!$F$2:$F1003=C$1, Datos!$G$2:$G1003=C$2, Datos!$A$2:$A1003=$A142)"),1989.522)</f>
        <v>1989.522</v>
      </c>
      <c r="D142" s="20">
        <f>IFERROR(__xludf.DUMMYFUNCTION("FILTER(Datos!$D$2:$D1003, Datos!$F$2:$F1003=D$1, Datos!$G$2:$G1003=D$2, Datos!$A$2:$A1003=$A142)"),2162.9)</f>
        <v>2162.9</v>
      </c>
      <c r="E142" s="20">
        <f>IFERROR(__xludf.DUMMYFUNCTION("FILTER(Datos!$E$2:$E1003, Datos!$F$2:$F1003=E$1, Datos!$G$2:$G1003=E$2, Datos!$A$2:$A1003=$A142)"),2263.723)</f>
        <v>2263.723</v>
      </c>
      <c r="F142" s="20">
        <f>IFERROR(__xludf.DUMMYFUNCTION("FILTER(Datos!$D$2:$D1003, Datos!$F$2:$F1003=F$1, Datos!$G$2:$G1003=F$2, Datos!$A$2:$A1003=$A142)"),2775.7)</f>
        <v>2775.7</v>
      </c>
      <c r="G142" s="20">
        <f>IFERROR(__xludf.DUMMYFUNCTION("FILTER(Datos!$E$2:$E1003, Datos!$F$2:$F1003=G$1, Datos!$G$2:$G1003=G$2, Datos!$A$2:$A1003=$A142)"),3274.862)</f>
        <v>3274.862</v>
      </c>
      <c r="H142" s="20">
        <f>IFERROR(__xludf.DUMMYFUNCTION("FILTER(Datos!$D$2:$D1003, Datos!$F$2:$F1003=H$1, Datos!$G$2:$G1003=H$2, Datos!$A$2:$A1003=$A142)"),3706.767)</f>
        <v>3706.767</v>
      </c>
      <c r="I142" s="21">
        <f>IFERROR(__xludf.DUMMYFUNCTION("FILTER(Datos!$E$2:$E1003, Datos!$F$2:$F1003=I$1, Datos!$G$2:$G1003=I$2, Datos!$A$2:$A1003=$A142)"),5528.688)</f>
        <v>5528.688</v>
      </c>
      <c r="J142" s="20">
        <f>IFERROR(__xludf.DUMMYFUNCTION("FILTER(Datos!$D$2:$D1003, Datos!$F$2:$F1003=J$1, Datos!$G$2:$G1003=J$2, Datos!$A$2:$A1003=$A142)"),1814.533)</f>
        <v>1814.533</v>
      </c>
      <c r="K142" s="20">
        <f>IFERROR(__xludf.DUMMYFUNCTION("FILTER(Datos!$E$2:$E1003, Datos!$F$2:$F1003=K$1, Datos!$G$2:$G1003=K$2, Datos!$A$2:$A1003=$A142)"),2289.972)</f>
        <v>2289.972</v>
      </c>
      <c r="L142" s="20">
        <f>IFERROR(__xludf.DUMMYFUNCTION("FILTER(Datos!$D$2:$D1003, Datos!$F$2:$F1003=L$1, Datos!$G$2:$G1003=L$2, Datos!$A$2:$A1003=$A142)"),2113.1)</f>
        <v>2113.1</v>
      </c>
      <c r="M142" s="20">
        <f>IFERROR(__xludf.DUMMYFUNCTION("FILTER(Datos!$E$2:$E1003, Datos!$F$2:$F1003=M$1, Datos!$G$2:$G1003=M$2, Datos!$A$2:$A1003=$A142)"),2769.717)</f>
        <v>2769.717</v>
      </c>
      <c r="N142" s="20">
        <f>IFERROR(__xludf.DUMMYFUNCTION("FILTER(Datos!$D$2:$D1003, Datos!$F$2:$F1003=N$1, Datos!$G$2:$G1003=N$2, Datos!$A$2:$A1003=$A142)"),2535.2)</f>
        <v>2535.2</v>
      </c>
      <c r="O142" s="20">
        <f>IFERROR(__xludf.DUMMYFUNCTION("FILTER(Datos!$E$2:$E1003, Datos!$F$2:$F1003=O$1, Datos!$G$2:$G1003=O$2, Datos!$A$2:$A1003=$A142)"),3591.848)</f>
        <v>3591.848</v>
      </c>
      <c r="P142" s="20">
        <f>IFERROR(__xludf.DUMMYFUNCTION("FILTER(Datos!$D$2:$D1003, Datos!$F$2:$F1003=P$1, Datos!$G$2:$G1003=P$2, Datos!$A$2:$A1003=$A142)"),3090.733)</f>
        <v>3090.733</v>
      </c>
      <c r="Q142" s="21">
        <f>IFERROR(__xludf.DUMMYFUNCTION("FILTER(Datos!$E$2:$E1003, Datos!$F$2:$F1003=Q$1, Datos!$G$2:$G1003=Q$2, Datos!$A$2:$A1003=$A142)"),4767.494)</f>
        <v>4767.494</v>
      </c>
    </row>
    <row r="143">
      <c r="A143" s="18">
        <f t="shared" si="2"/>
        <v>138</v>
      </c>
      <c r="B143" s="19">
        <f>IFERROR(__xludf.DUMMYFUNCTION("FILTER(Datos!$D$2:$D1003, Datos!$F$2:$F1003=B$1, Datos!$G$2:$G1003=B$2, Datos!$A$2:$A1003=$A143)"),1908.533)</f>
        <v>1908.533</v>
      </c>
      <c r="C143" s="20">
        <f>IFERROR(__xludf.DUMMYFUNCTION("FILTER(Datos!$E$2:$E1003, Datos!$F$2:$F1003=C$1, Datos!$G$2:$G1003=C$2, Datos!$A$2:$A1003=$A143)"),1986.813)</f>
        <v>1986.813</v>
      </c>
      <c r="D143" s="20">
        <f>IFERROR(__xludf.DUMMYFUNCTION("FILTER(Datos!$D$2:$D1003, Datos!$F$2:$F1003=D$1, Datos!$G$2:$G1003=D$2, Datos!$A$2:$A1003=$A143)"),2162.9)</f>
        <v>2162.9</v>
      </c>
      <c r="E143" s="20">
        <f>IFERROR(__xludf.DUMMYFUNCTION("FILTER(Datos!$E$2:$E1003, Datos!$F$2:$F1003=E$1, Datos!$G$2:$G1003=E$2, Datos!$A$2:$A1003=$A143)"),2262.646)</f>
        <v>2262.646</v>
      </c>
      <c r="F143" s="20">
        <f>IFERROR(__xludf.DUMMYFUNCTION("FILTER(Datos!$D$2:$D1003, Datos!$F$2:$F1003=F$1, Datos!$G$2:$G1003=F$2, Datos!$A$2:$A1003=$A143)"),2770.5)</f>
        <v>2770.5</v>
      </c>
      <c r="G143" s="20">
        <f>IFERROR(__xludf.DUMMYFUNCTION("FILTER(Datos!$E$2:$E1003, Datos!$F$2:$F1003=G$1, Datos!$G$2:$G1003=G$2, Datos!$A$2:$A1003=$A143)"),3259.754)</f>
        <v>3259.754</v>
      </c>
      <c r="H143" s="20">
        <f>IFERROR(__xludf.DUMMYFUNCTION("FILTER(Datos!$D$2:$D1003, Datos!$F$2:$F1003=H$1, Datos!$G$2:$G1003=H$2, Datos!$A$2:$A1003=$A143)"),3706.767)</f>
        <v>3706.767</v>
      </c>
      <c r="I143" s="21">
        <f>IFERROR(__xludf.DUMMYFUNCTION("FILTER(Datos!$E$2:$E1003, Datos!$F$2:$F1003=I$1, Datos!$G$2:$G1003=I$2, Datos!$A$2:$A1003=$A143)"),5512.855)</f>
        <v>5512.855</v>
      </c>
      <c r="J143" s="20">
        <f>IFERROR(__xludf.DUMMYFUNCTION("FILTER(Datos!$D$2:$D1003, Datos!$F$2:$F1003=J$1, Datos!$G$2:$G1003=J$2, Datos!$A$2:$A1003=$A143)"),1814.533)</f>
        <v>1814.533</v>
      </c>
      <c r="K143" s="20">
        <f>IFERROR(__xludf.DUMMYFUNCTION("FILTER(Datos!$E$2:$E1003, Datos!$F$2:$F1003=K$1, Datos!$G$2:$G1003=K$2, Datos!$A$2:$A1003=$A143)"),2292.191)</f>
        <v>2292.191</v>
      </c>
      <c r="L143" s="20">
        <f>IFERROR(__xludf.DUMMYFUNCTION("FILTER(Datos!$D$2:$D1003, Datos!$F$2:$F1003=L$1, Datos!$G$2:$G1003=L$2, Datos!$A$2:$A1003=$A143)"),2113.1)</f>
        <v>2113.1</v>
      </c>
      <c r="M143" s="20">
        <f>IFERROR(__xludf.DUMMYFUNCTION("FILTER(Datos!$E$2:$E1003, Datos!$F$2:$F1003=M$1, Datos!$G$2:$G1003=M$2, Datos!$A$2:$A1003=$A143)"),2774.438)</f>
        <v>2774.438</v>
      </c>
      <c r="N143" s="20">
        <f>IFERROR(__xludf.DUMMYFUNCTION("FILTER(Datos!$D$2:$D1003, Datos!$F$2:$F1003=N$1, Datos!$G$2:$G1003=N$2, Datos!$A$2:$A1003=$A143)"),2535.2)</f>
        <v>2535.2</v>
      </c>
      <c r="O143" s="20">
        <f>IFERROR(__xludf.DUMMYFUNCTION("FILTER(Datos!$E$2:$E1003, Datos!$F$2:$F1003=O$1, Datos!$G$2:$G1003=O$2, Datos!$A$2:$A1003=$A143)"),3606.377)</f>
        <v>3606.377</v>
      </c>
      <c r="P143" s="20">
        <f>IFERROR(__xludf.DUMMYFUNCTION("FILTER(Datos!$D$2:$D1003, Datos!$F$2:$F1003=P$1, Datos!$G$2:$G1003=P$2, Datos!$A$2:$A1003=$A143)"),3090.733)</f>
        <v>3090.733</v>
      </c>
      <c r="Q143" s="21">
        <f>IFERROR(__xludf.DUMMYFUNCTION("FILTER(Datos!$E$2:$E1003, Datos!$F$2:$F1003=Q$1, Datos!$G$2:$G1003=Q$2, Datos!$A$2:$A1003=$A143)"),4773.087)</f>
        <v>4773.087</v>
      </c>
    </row>
    <row r="144">
      <c r="A144" s="18">
        <f t="shared" si="2"/>
        <v>139</v>
      </c>
      <c r="B144" s="19">
        <f>IFERROR(__xludf.DUMMYFUNCTION("FILTER(Datos!$D$2:$D1003, Datos!$F$2:$F1003=B$1, Datos!$G$2:$G1003=B$2, Datos!$A$2:$A1003=$A144)"),1908.533)</f>
        <v>1908.533</v>
      </c>
      <c r="C144" s="20">
        <f>IFERROR(__xludf.DUMMYFUNCTION("FILTER(Datos!$E$2:$E1003, Datos!$F$2:$F1003=C$1, Datos!$G$2:$G1003=C$2, Datos!$A$2:$A1003=$A144)"),1989.073)</f>
        <v>1989.073</v>
      </c>
      <c r="D144" s="20">
        <f>IFERROR(__xludf.DUMMYFUNCTION("FILTER(Datos!$D$2:$D1003, Datos!$F$2:$F1003=D$1, Datos!$G$2:$G1003=D$2, Datos!$A$2:$A1003=$A144)"),2162.9)</f>
        <v>2162.9</v>
      </c>
      <c r="E144" s="20">
        <f>IFERROR(__xludf.DUMMYFUNCTION("FILTER(Datos!$E$2:$E1003, Datos!$F$2:$F1003=E$1, Datos!$G$2:$G1003=E$2, Datos!$A$2:$A1003=$A144)"),2264.267)</f>
        <v>2264.267</v>
      </c>
      <c r="F144" s="20">
        <f>IFERROR(__xludf.DUMMYFUNCTION("FILTER(Datos!$D$2:$D1003, Datos!$F$2:$F1003=F$1, Datos!$G$2:$G1003=F$2, Datos!$A$2:$A1003=$A144)"),2766.0)</f>
        <v>2766</v>
      </c>
      <c r="G144" s="20">
        <f>IFERROR(__xludf.DUMMYFUNCTION("FILTER(Datos!$E$2:$E1003, Datos!$F$2:$F1003=G$1, Datos!$G$2:$G1003=G$2, Datos!$A$2:$A1003=$A144)"),3233.172)</f>
        <v>3233.172</v>
      </c>
      <c r="H144" s="20">
        <f>IFERROR(__xludf.DUMMYFUNCTION("FILTER(Datos!$D$2:$D1003, Datos!$F$2:$F1003=H$1, Datos!$G$2:$G1003=H$2, Datos!$A$2:$A1003=$A144)"),3697.167)</f>
        <v>3697.167</v>
      </c>
      <c r="I144" s="21">
        <f>IFERROR(__xludf.DUMMYFUNCTION("FILTER(Datos!$E$2:$E1003, Datos!$F$2:$F1003=I$1, Datos!$G$2:$G1003=I$2, Datos!$A$2:$A1003=$A144)"),5494.136)</f>
        <v>5494.136</v>
      </c>
      <c r="J144" s="20">
        <f>IFERROR(__xludf.DUMMYFUNCTION("FILTER(Datos!$D$2:$D1003, Datos!$F$2:$F1003=J$1, Datos!$G$2:$G1003=J$2, Datos!$A$2:$A1003=$A144)"),1814.533)</f>
        <v>1814.533</v>
      </c>
      <c r="K144" s="20">
        <f>IFERROR(__xludf.DUMMYFUNCTION("FILTER(Datos!$E$2:$E1003, Datos!$F$2:$F1003=K$1, Datos!$G$2:$G1003=K$2, Datos!$A$2:$A1003=$A144)"),2289.767)</f>
        <v>2289.767</v>
      </c>
      <c r="L144" s="20">
        <f>IFERROR(__xludf.DUMMYFUNCTION("FILTER(Datos!$D$2:$D1003, Datos!$F$2:$F1003=L$1, Datos!$G$2:$G1003=L$2, Datos!$A$2:$A1003=$A144)"),2113.1)</f>
        <v>2113.1</v>
      </c>
      <c r="M144" s="20">
        <f>IFERROR(__xludf.DUMMYFUNCTION("FILTER(Datos!$E$2:$E1003, Datos!$F$2:$F1003=M$1, Datos!$G$2:$G1003=M$2, Datos!$A$2:$A1003=$A144)"),2771.971)</f>
        <v>2771.971</v>
      </c>
      <c r="N144" s="20">
        <f>IFERROR(__xludf.DUMMYFUNCTION("FILTER(Datos!$D$2:$D1003, Datos!$F$2:$F1003=N$1, Datos!$G$2:$G1003=N$2, Datos!$A$2:$A1003=$A144)"),2535.2)</f>
        <v>2535.2</v>
      </c>
      <c r="O144" s="20">
        <f>IFERROR(__xludf.DUMMYFUNCTION("FILTER(Datos!$E$2:$E1003, Datos!$F$2:$F1003=O$1, Datos!$G$2:$G1003=O$2, Datos!$A$2:$A1003=$A144)"),3631.948)</f>
        <v>3631.948</v>
      </c>
      <c r="P144" s="20">
        <f>IFERROR(__xludf.DUMMYFUNCTION("FILTER(Datos!$D$2:$D1003, Datos!$F$2:$F1003=P$1, Datos!$G$2:$G1003=P$2, Datos!$A$2:$A1003=$A144)"),3087.567)</f>
        <v>3087.567</v>
      </c>
      <c r="Q144" s="21">
        <f>IFERROR(__xludf.DUMMYFUNCTION("FILTER(Datos!$E$2:$E1003, Datos!$F$2:$F1003=Q$1, Datos!$G$2:$G1003=Q$2, Datos!$A$2:$A1003=$A144)"),4747.056)</f>
        <v>4747.056</v>
      </c>
    </row>
    <row r="145">
      <c r="A145" s="18">
        <f t="shared" si="2"/>
        <v>140</v>
      </c>
      <c r="B145" s="19">
        <f>IFERROR(__xludf.DUMMYFUNCTION("FILTER(Datos!$D$2:$D1003, Datos!$F$2:$F1003=B$1, Datos!$G$2:$G1003=B$2, Datos!$A$2:$A1003=$A145)"),1908.533)</f>
        <v>1908.533</v>
      </c>
      <c r="C145" s="20">
        <f>IFERROR(__xludf.DUMMYFUNCTION("FILTER(Datos!$E$2:$E1003, Datos!$F$2:$F1003=C$1, Datos!$G$2:$G1003=C$2, Datos!$A$2:$A1003=$A145)"),1988.923)</f>
        <v>1988.923</v>
      </c>
      <c r="D145" s="20">
        <f>IFERROR(__xludf.DUMMYFUNCTION("FILTER(Datos!$D$2:$D1003, Datos!$F$2:$F1003=D$1, Datos!$G$2:$G1003=D$2, Datos!$A$2:$A1003=$A145)"),2162.9)</f>
        <v>2162.9</v>
      </c>
      <c r="E145" s="20">
        <f>IFERROR(__xludf.DUMMYFUNCTION("FILTER(Datos!$E$2:$E1003, Datos!$F$2:$F1003=E$1, Datos!$G$2:$G1003=E$2, Datos!$A$2:$A1003=$A145)"),2262.564)</f>
        <v>2262.564</v>
      </c>
      <c r="F145" s="20">
        <f>IFERROR(__xludf.DUMMYFUNCTION("FILTER(Datos!$D$2:$D1003, Datos!$F$2:$F1003=F$1, Datos!$G$2:$G1003=F$2, Datos!$A$2:$A1003=$A145)"),2754.167)</f>
        <v>2754.167</v>
      </c>
      <c r="G145" s="20">
        <f>IFERROR(__xludf.DUMMYFUNCTION("FILTER(Datos!$E$2:$E1003, Datos!$F$2:$F1003=G$1, Datos!$G$2:$G1003=G$2, Datos!$A$2:$A1003=$A145)"),3210.07)</f>
        <v>3210.07</v>
      </c>
      <c r="H145" s="20">
        <f>IFERROR(__xludf.DUMMYFUNCTION("FILTER(Datos!$D$2:$D1003, Datos!$F$2:$F1003=H$1, Datos!$G$2:$G1003=H$2, Datos!$A$2:$A1003=$A145)"),3680.5)</f>
        <v>3680.5</v>
      </c>
      <c r="I145" s="21">
        <f>IFERROR(__xludf.DUMMYFUNCTION("FILTER(Datos!$E$2:$E1003, Datos!$F$2:$F1003=I$1, Datos!$G$2:$G1003=I$2, Datos!$A$2:$A1003=$A145)"),5450.461)</f>
        <v>5450.461</v>
      </c>
      <c r="J145" s="20">
        <f>IFERROR(__xludf.DUMMYFUNCTION("FILTER(Datos!$D$2:$D1003, Datos!$F$2:$F1003=J$1, Datos!$G$2:$G1003=J$2, Datos!$A$2:$A1003=$A145)"),1814.533)</f>
        <v>1814.533</v>
      </c>
      <c r="K145" s="20">
        <f>IFERROR(__xludf.DUMMYFUNCTION("FILTER(Datos!$E$2:$E1003, Datos!$F$2:$F1003=K$1, Datos!$G$2:$G1003=K$2, Datos!$A$2:$A1003=$A145)"),2291.368)</f>
        <v>2291.368</v>
      </c>
      <c r="L145" s="20">
        <f>IFERROR(__xludf.DUMMYFUNCTION("FILTER(Datos!$D$2:$D1003, Datos!$F$2:$F1003=L$1, Datos!$G$2:$G1003=L$2, Datos!$A$2:$A1003=$A145)"),2113.1)</f>
        <v>2113.1</v>
      </c>
      <c r="M145" s="20">
        <f>IFERROR(__xludf.DUMMYFUNCTION("FILTER(Datos!$E$2:$E1003, Datos!$F$2:$F1003=M$1, Datos!$G$2:$G1003=M$2, Datos!$A$2:$A1003=$A145)"),2766.546)</f>
        <v>2766.546</v>
      </c>
      <c r="N145" s="20">
        <f>IFERROR(__xludf.DUMMYFUNCTION("FILTER(Datos!$D$2:$D1003, Datos!$F$2:$F1003=N$1, Datos!$G$2:$G1003=N$2, Datos!$A$2:$A1003=$A145)"),2535.2)</f>
        <v>2535.2</v>
      </c>
      <c r="O145" s="20">
        <f>IFERROR(__xludf.DUMMYFUNCTION("FILTER(Datos!$E$2:$E1003, Datos!$F$2:$F1003=O$1, Datos!$G$2:$G1003=O$2, Datos!$A$2:$A1003=$A145)"),3625.08)</f>
        <v>3625.08</v>
      </c>
      <c r="P145" s="20">
        <f>IFERROR(__xludf.DUMMYFUNCTION("FILTER(Datos!$D$2:$D1003, Datos!$F$2:$F1003=P$1, Datos!$G$2:$G1003=P$2, Datos!$A$2:$A1003=$A145)"),3084.667)</f>
        <v>3084.667</v>
      </c>
      <c r="Q145" s="21">
        <f>IFERROR(__xludf.DUMMYFUNCTION("FILTER(Datos!$E$2:$E1003, Datos!$F$2:$F1003=Q$1, Datos!$G$2:$G1003=Q$2, Datos!$A$2:$A1003=$A145)"),4766.56)</f>
        <v>4766.56</v>
      </c>
    </row>
    <row r="146">
      <c r="A146" s="18">
        <f t="shared" si="2"/>
        <v>141</v>
      </c>
      <c r="B146" s="19">
        <f>IFERROR(__xludf.DUMMYFUNCTION("FILTER(Datos!$D$2:$D1003, Datos!$F$2:$F1003=B$1, Datos!$G$2:$G1003=B$2, Datos!$A$2:$A1003=$A146)"),1908.533)</f>
        <v>1908.533</v>
      </c>
      <c r="C146" s="20">
        <f>IFERROR(__xludf.DUMMYFUNCTION("FILTER(Datos!$E$2:$E1003, Datos!$F$2:$F1003=C$1, Datos!$G$2:$G1003=C$2, Datos!$A$2:$A1003=$A146)"),1992.18)</f>
        <v>1992.18</v>
      </c>
      <c r="D146" s="20">
        <f>IFERROR(__xludf.DUMMYFUNCTION("FILTER(Datos!$D$2:$D1003, Datos!$F$2:$F1003=D$1, Datos!$G$2:$G1003=D$2, Datos!$A$2:$A1003=$A146)"),2162.9)</f>
        <v>2162.9</v>
      </c>
      <c r="E146" s="20">
        <f>IFERROR(__xludf.DUMMYFUNCTION("FILTER(Datos!$E$2:$E1003, Datos!$F$2:$F1003=E$1, Datos!$G$2:$G1003=E$2, Datos!$A$2:$A1003=$A146)"),2263.372)</f>
        <v>2263.372</v>
      </c>
      <c r="F146" s="20">
        <f>IFERROR(__xludf.DUMMYFUNCTION("FILTER(Datos!$D$2:$D1003, Datos!$F$2:$F1003=F$1, Datos!$G$2:$G1003=F$2, Datos!$A$2:$A1003=$A146)"),2751.5)</f>
        <v>2751.5</v>
      </c>
      <c r="G146" s="20">
        <f>IFERROR(__xludf.DUMMYFUNCTION("FILTER(Datos!$E$2:$E1003, Datos!$F$2:$F1003=G$1, Datos!$G$2:$G1003=G$2, Datos!$A$2:$A1003=$A146)"),3186.27)</f>
        <v>3186.27</v>
      </c>
      <c r="H146" s="20">
        <f>IFERROR(__xludf.DUMMYFUNCTION("FILTER(Datos!$D$2:$D1003, Datos!$F$2:$F1003=H$1, Datos!$G$2:$G1003=H$2, Datos!$A$2:$A1003=$A146)"),3660.467)</f>
        <v>3660.467</v>
      </c>
      <c r="I146" s="21">
        <f>IFERROR(__xludf.DUMMYFUNCTION("FILTER(Datos!$E$2:$E1003, Datos!$F$2:$F1003=I$1, Datos!$G$2:$G1003=I$2, Datos!$A$2:$A1003=$A146)"),5433.073)</f>
        <v>5433.073</v>
      </c>
      <c r="J146" s="20">
        <f>IFERROR(__xludf.DUMMYFUNCTION("FILTER(Datos!$D$2:$D1003, Datos!$F$2:$F1003=J$1, Datos!$G$2:$G1003=J$2, Datos!$A$2:$A1003=$A146)"),1814.533)</f>
        <v>1814.533</v>
      </c>
      <c r="K146" s="20">
        <f>IFERROR(__xludf.DUMMYFUNCTION("FILTER(Datos!$E$2:$E1003, Datos!$F$2:$F1003=K$1, Datos!$G$2:$G1003=K$2, Datos!$A$2:$A1003=$A146)"),2288.389)</f>
        <v>2288.389</v>
      </c>
      <c r="L146" s="20">
        <f>IFERROR(__xludf.DUMMYFUNCTION("FILTER(Datos!$D$2:$D1003, Datos!$F$2:$F1003=L$1, Datos!$G$2:$G1003=L$2, Datos!$A$2:$A1003=$A146)"),2113.1)</f>
        <v>2113.1</v>
      </c>
      <c r="M146" s="20">
        <f>IFERROR(__xludf.DUMMYFUNCTION("FILTER(Datos!$E$2:$E1003, Datos!$F$2:$F1003=M$1, Datos!$G$2:$G1003=M$2, Datos!$A$2:$A1003=$A146)"),2763.638)</f>
        <v>2763.638</v>
      </c>
      <c r="N146" s="20">
        <f>IFERROR(__xludf.DUMMYFUNCTION("FILTER(Datos!$D$2:$D1003, Datos!$F$2:$F1003=N$1, Datos!$G$2:$G1003=N$2, Datos!$A$2:$A1003=$A146)"),2529.033)</f>
        <v>2529.033</v>
      </c>
      <c r="O146" s="20">
        <f>IFERROR(__xludf.DUMMYFUNCTION("FILTER(Datos!$E$2:$E1003, Datos!$F$2:$F1003=O$1, Datos!$G$2:$G1003=O$2, Datos!$A$2:$A1003=$A146)"),3627.042)</f>
        <v>3627.042</v>
      </c>
      <c r="P146" s="20">
        <f>IFERROR(__xludf.DUMMYFUNCTION("FILTER(Datos!$D$2:$D1003, Datos!$F$2:$F1003=P$1, Datos!$G$2:$G1003=P$2, Datos!$A$2:$A1003=$A146)"),3077.667)</f>
        <v>3077.667</v>
      </c>
      <c r="Q146" s="21">
        <f>IFERROR(__xludf.DUMMYFUNCTION("FILTER(Datos!$E$2:$E1003, Datos!$F$2:$F1003=Q$1, Datos!$G$2:$G1003=Q$2, Datos!$A$2:$A1003=$A146)"),4757.809)</f>
        <v>4757.809</v>
      </c>
    </row>
    <row r="147">
      <c r="A147" s="18">
        <f t="shared" si="2"/>
        <v>142</v>
      </c>
      <c r="B147" s="19">
        <f>IFERROR(__xludf.DUMMYFUNCTION("FILTER(Datos!$D$2:$D1003, Datos!$F$2:$F1003=B$1, Datos!$G$2:$G1003=B$2, Datos!$A$2:$A1003=$A147)"),1908.533)</f>
        <v>1908.533</v>
      </c>
      <c r="C147" s="20">
        <f>IFERROR(__xludf.DUMMYFUNCTION("FILTER(Datos!$E$2:$E1003, Datos!$F$2:$F1003=C$1, Datos!$G$2:$G1003=C$2, Datos!$A$2:$A1003=$A147)"),1992.234)</f>
        <v>1992.234</v>
      </c>
      <c r="D147" s="20">
        <f>IFERROR(__xludf.DUMMYFUNCTION("FILTER(Datos!$D$2:$D1003, Datos!$F$2:$F1003=D$1, Datos!$G$2:$G1003=D$2, Datos!$A$2:$A1003=$A147)"),2162.9)</f>
        <v>2162.9</v>
      </c>
      <c r="E147" s="20">
        <f>IFERROR(__xludf.DUMMYFUNCTION("FILTER(Datos!$E$2:$E1003, Datos!$F$2:$F1003=E$1, Datos!$G$2:$G1003=E$2, Datos!$A$2:$A1003=$A147)"),2263.703)</f>
        <v>2263.703</v>
      </c>
      <c r="F147" s="20">
        <f>IFERROR(__xludf.DUMMYFUNCTION("FILTER(Datos!$D$2:$D1003, Datos!$F$2:$F1003=F$1, Datos!$G$2:$G1003=F$2, Datos!$A$2:$A1003=$A147)"),2751.5)</f>
        <v>2751.5</v>
      </c>
      <c r="G147" s="20">
        <f>IFERROR(__xludf.DUMMYFUNCTION("FILTER(Datos!$E$2:$E1003, Datos!$F$2:$F1003=G$1, Datos!$G$2:$G1003=G$2, Datos!$A$2:$A1003=$A147)"),3171.831)</f>
        <v>3171.831</v>
      </c>
      <c r="H147" s="20">
        <f>IFERROR(__xludf.DUMMYFUNCTION("FILTER(Datos!$D$2:$D1003, Datos!$F$2:$F1003=H$1, Datos!$G$2:$G1003=H$2, Datos!$A$2:$A1003=$A147)"),3657.367)</f>
        <v>3657.367</v>
      </c>
      <c r="I147" s="21">
        <f>IFERROR(__xludf.DUMMYFUNCTION("FILTER(Datos!$E$2:$E1003, Datos!$F$2:$F1003=I$1, Datos!$G$2:$G1003=I$2, Datos!$A$2:$A1003=$A147)"),5392.537)</f>
        <v>5392.537</v>
      </c>
      <c r="J147" s="20">
        <f>IFERROR(__xludf.DUMMYFUNCTION("FILTER(Datos!$D$2:$D1003, Datos!$F$2:$F1003=J$1, Datos!$G$2:$G1003=J$2, Datos!$A$2:$A1003=$A147)"),1814.533)</f>
        <v>1814.533</v>
      </c>
      <c r="K147" s="20">
        <f>IFERROR(__xludf.DUMMYFUNCTION("FILTER(Datos!$E$2:$E1003, Datos!$F$2:$F1003=K$1, Datos!$G$2:$G1003=K$2, Datos!$A$2:$A1003=$A147)"),2281.356)</f>
        <v>2281.356</v>
      </c>
      <c r="L147" s="20">
        <f>IFERROR(__xludf.DUMMYFUNCTION("FILTER(Datos!$D$2:$D1003, Datos!$F$2:$F1003=L$1, Datos!$G$2:$G1003=L$2, Datos!$A$2:$A1003=$A147)"),2113.1)</f>
        <v>2113.1</v>
      </c>
      <c r="M147" s="20">
        <f>IFERROR(__xludf.DUMMYFUNCTION("FILTER(Datos!$E$2:$E1003, Datos!$F$2:$F1003=M$1, Datos!$G$2:$G1003=M$2, Datos!$A$2:$A1003=$A147)"),2774.883)</f>
        <v>2774.883</v>
      </c>
      <c r="N147" s="20">
        <f>IFERROR(__xludf.DUMMYFUNCTION("FILTER(Datos!$D$2:$D1003, Datos!$F$2:$F1003=N$1, Datos!$G$2:$G1003=N$2, Datos!$A$2:$A1003=$A147)"),2529.033)</f>
        <v>2529.033</v>
      </c>
      <c r="O147" s="20">
        <f>IFERROR(__xludf.DUMMYFUNCTION("FILTER(Datos!$E$2:$E1003, Datos!$F$2:$F1003=O$1, Datos!$G$2:$G1003=O$2, Datos!$A$2:$A1003=$A147)"),3625.956)</f>
        <v>3625.956</v>
      </c>
      <c r="P147" s="20">
        <f>IFERROR(__xludf.DUMMYFUNCTION("FILTER(Datos!$D$2:$D1003, Datos!$F$2:$F1003=P$1, Datos!$G$2:$G1003=P$2, Datos!$A$2:$A1003=$A147)"),3075.7)</f>
        <v>3075.7</v>
      </c>
      <c r="Q147" s="21">
        <f>IFERROR(__xludf.DUMMYFUNCTION("FILTER(Datos!$E$2:$E1003, Datos!$F$2:$F1003=Q$1, Datos!$G$2:$G1003=Q$2, Datos!$A$2:$A1003=$A147)"),4756.835)</f>
        <v>4756.835</v>
      </c>
    </row>
    <row r="148">
      <c r="A148" s="18">
        <f t="shared" si="2"/>
        <v>143</v>
      </c>
      <c r="B148" s="19">
        <f>IFERROR(__xludf.DUMMYFUNCTION("FILTER(Datos!$D$2:$D1003, Datos!$F$2:$F1003=B$1, Datos!$G$2:$G1003=B$2, Datos!$A$2:$A1003=$A148)"),1908.533)</f>
        <v>1908.533</v>
      </c>
      <c r="C148" s="20">
        <f>IFERROR(__xludf.DUMMYFUNCTION("FILTER(Datos!$E$2:$E1003, Datos!$F$2:$F1003=C$1, Datos!$G$2:$G1003=C$2, Datos!$A$2:$A1003=$A148)"),1991.925)</f>
        <v>1991.925</v>
      </c>
      <c r="D148" s="20">
        <f>IFERROR(__xludf.DUMMYFUNCTION("FILTER(Datos!$D$2:$D1003, Datos!$F$2:$F1003=D$1, Datos!$G$2:$G1003=D$2, Datos!$A$2:$A1003=$A148)"),2162.9)</f>
        <v>2162.9</v>
      </c>
      <c r="E148" s="20">
        <f>IFERROR(__xludf.DUMMYFUNCTION("FILTER(Datos!$E$2:$E1003, Datos!$F$2:$F1003=E$1, Datos!$G$2:$G1003=E$2, Datos!$A$2:$A1003=$A148)"),2259.512)</f>
        <v>2259.512</v>
      </c>
      <c r="F148" s="20">
        <f>IFERROR(__xludf.DUMMYFUNCTION("FILTER(Datos!$D$2:$D1003, Datos!$F$2:$F1003=F$1, Datos!$G$2:$G1003=F$2, Datos!$A$2:$A1003=$A148)"),2751.5)</f>
        <v>2751.5</v>
      </c>
      <c r="G148" s="20">
        <f>IFERROR(__xludf.DUMMYFUNCTION("FILTER(Datos!$E$2:$E1003, Datos!$F$2:$F1003=G$1, Datos!$G$2:$G1003=G$2, Datos!$A$2:$A1003=$A148)"),3151.415)</f>
        <v>3151.415</v>
      </c>
      <c r="H148" s="20">
        <f>IFERROR(__xludf.DUMMYFUNCTION("FILTER(Datos!$D$2:$D1003, Datos!$F$2:$F1003=H$1, Datos!$G$2:$G1003=H$2, Datos!$A$2:$A1003=$A148)"),3651.4)</f>
        <v>3651.4</v>
      </c>
      <c r="I148" s="21">
        <f>IFERROR(__xludf.DUMMYFUNCTION("FILTER(Datos!$E$2:$E1003, Datos!$F$2:$F1003=I$1, Datos!$G$2:$G1003=I$2, Datos!$A$2:$A1003=$A148)"),5370.725)</f>
        <v>5370.725</v>
      </c>
      <c r="J148" s="20">
        <f>IFERROR(__xludf.DUMMYFUNCTION("FILTER(Datos!$D$2:$D1003, Datos!$F$2:$F1003=J$1, Datos!$G$2:$G1003=J$2, Datos!$A$2:$A1003=$A148)"),1814.533)</f>
        <v>1814.533</v>
      </c>
      <c r="K148" s="20">
        <f>IFERROR(__xludf.DUMMYFUNCTION("FILTER(Datos!$E$2:$E1003, Datos!$F$2:$F1003=K$1, Datos!$G$2:$G1003=K$2, Datos!$A$2:$A1003=$A148)"),2281.611)</f>
        <v>2281.611</v>
      </c>
      <c r="L148" s="20">
        <f>IFERROR(__xludf.DUMMYFUNCTION("FILTER(Datos!$D$2:$D1003, Datos!$F$2:$F1003=L$1, Datos!$G$2:$G1003=L$2, Datos!$A$2:$A1003=$A148)"),2111.367)</f>
        <v>2111.367</v>
      </c>
      <c r="M148" s="20">
        <f>IFERROR(__xludf.DUMMYFUNCTION("FILTER(Datos!$E$2:$E1003, Datos!$F$2:$F1003=M$1, Datos!$G$2:$G1003=M$2, Datos!$A$2:$A1003=$A148)"),2773.614)</f>
        <v>2773.614</v>
      </c>
      <c r="N148" s="20">
        <f>IFERROR(__xludf.DUMMYFUNCTION("FILTER(Datos!$D$2:$D1003, Datos!$F$2:$F1003=N$1, Datos!$G$2:$G1003=N$2, Datos!$A$2:$A1003=$A148)"),2525.233)</f>
        <v>2525.233</v>
      </c>
      <c r="O148" s="20">
        <f>IFERROR(__xludf.DUMMYFUNCTION("FILTER(Datos!$E$2:$E1003, Datos!$F$2:$F1003=O$1, Datos!$G$2:$G1003=O$2, Datos!$A$2:$A1003=$A148)"),3612.033)</f>
        <v>3612.033</v>
      </c>
      <c r="P148" s="20">
        <f>IFERROR(__xludf.DUMMYFUNCTION("FILTER(Datos!$D$2:$D1003, Datos!$F$2:$F1003=P$1, Datos!$G$2:$G1003=P$2, Datos!$A$2:$A1003=$A148)"),3075.7)</f>
        <v>3075.7</v>
      </c>
      <c r="Q148" s="21">
        <f>IFERROR(__xludf.DUMMYFUNCTION("FILTER(Datos!$E$2:$E1003, Datos!$F$2:$F1003=Q$1, Datos!$G$2:$G1003=Q$2, Datos!$A$2:$A1003=$A148)"),4750.544)</f>
        <v>4750.544</v>
      </c>
    </row>
    <row r="149">
      <c r="A149" s="18">
        <f t="shared" si="2"/>
        <v>144</v>
      </c>
      <c r="B149" s="19">
        <f>IFERROR(__xludf.DUMMYFUNCTION("FILTER(Datos!$D$2:$D1003, Datos!$F$2:$F1003=B$1, Datos!$G$2:$G1003=B$2, Datos!$A$2:$A1003=$A149)"),1908.533)</f>
        <v>1908.533</v>
      </c>
      <c r="C149" s="20">
        <f>IFERROR(__xludf.DUMMYFUNCTION("FILTER(Datos!$E$2:$E1003, Datos!$F$2:$F1003=C$1, Datos!$G$2:$G1003=C$2, Datos!$A$2:$A1003=$A149)"),1989.984)</f>
        <v>1989.984</v>
      </c>
      <c r="D149" s="20">
        <f>IFERROR(__xludf.DUMMYFUNCTION("FILTER(Datos!$D$2:$D1003, Datos!$F$2:$F1003=D$1, Datos!$G$2:$G1003=D$2, Datos!$A$2:$A1003=$A149)"),2162.9)</f>
        <v>2162.9</v>
      </c>
      <c r="E149" s="20">
        <f>IFERROR(__xludf.DUMMYFUNCTION("FILTER(Datos!$E$2:$E1003, Datos!$F$2:$F1003=E$1, Datos!$G$2:$G1003=E$2, Datos!$A$2:$A1003=$A149)"),2257.811)</f>
        <v>2257.811</v>
      </c>
      <c r="F149" s="20">
        <f>IFERROR(__xludf.DUMMYFUNCTION("FILTER(Datos!$D$2:$D1003, Datos!$F$2:$F1003=F$1, Datos!$G$2:$G1003=F$2, Datos!$A$2:$A1003=$A149)"),2750.667)</f>
        <v>2750.667</v>
      </c>
      <c r="G149" s="20">
        <f>IFERROR(__xludf.DUMMYFUNCTION("FILTER(Datos!$E$2:$E1003, Datos!$F$2:$F1003=G$1, Datos!$G$2:$G1003=G$2, Datos!$A$2:$A1003=$A149)"),3139.986)</f>
        <v>3139.986</v>
      </c>
      <c r="H149" s="20">
        <f>IFERROR(__xludf.DUMMYFUNCTION("FILTER(Datos!$D$2:$D1003, Datos!$F$2:$F1003=H$1, Datos!$G$2:$G1003=H$2, Datos!$A$2:$A1003=$A149)"),3630.8)</f>
        <v>3630.8</v>
      </c>
      <c r="I149" s="21">
        <f>IFERROR(__xludf.DUMMYFUNCTION("FILTER(Datos!$E$2:$E1003, Datos!$F$2:$F1003=I$1, Datos!$G$2:$G1003=I$2, Datos!$A$2:$A1003=$A149)"),5336.778)</f>
        <v>5336.778</v>
      </c>
      <c r="J149" s="20">
        <f>IFERROR(__xludf.DUMMYFUNCTION("FILTER(Datos!$D$2:$D1003, Datos!$F$2:$F1003=J$1, Datos!$G$2:$G1003=J$2, Datos!$A$2:$A1003=$A149)"),1814.533)</f>
        <v>1814.533</v>
      </c>
      <c r="K149" s="20">
        <f>IFERROR(__xludf.DUMMYFUNCTION("FILTER(Datos!$E$2:$E1003, Datos!$F$2:$F1003=K$1, Datos!$G$2:$G1003=K$2, Datos!$A$2:$A1003=$A149)"),2278.37)</f>
        <v>2278.37</v>
      </c>
      <c r="L149" s="20">
        <f>IFERROR(__xludf.DUMMYFUNCTION("FILTER(Datos!$D$2:$D1003, Datos!$F$2:$F1003=L$1, Datos!$G$2:$G1003=L$2, Datos!$A$2:$A1003=$A149)"),2111.367)</f>
        <v>2111.367</v>
      </c>
      <c r="M149" s="20">
        <f>IFERROR(__xludf.DUMMYFUNCTION("FILTER(Datos!$E$2:$E1003, Datos!$F$2:$F1003=M$1, Datos!$G$2:$G1003=M$2, Datos!$A$2:$A1003=$A149)"),2769.67)</f>
        <v>2769.67</v>
      </c>
      <c r="N149" s="20">
        <f>IFERROR(__xludf.DUMMYFUNCTION("FILTER(Datos!$D$2:$D1003, Datos!$F$2:$F1003=N$1, Datos!$G$2:$G1003=N$2, Datos!$A$2:$A1003=$A149)"),2525.233)</f>
        <v>2525.233</v>
      </c>
      <c r="O149" s="20">
        <f>IFERROR(__xludf.DUMMYFUNCTION("FILTER(Datos!$E$2:$E1003, Datos!$F$2:$F1003=O$1, Datos!$G$2:$G1003=O$2, Datos!$A$2:$A1003=$A149)"),3621.235)</f>
        <v>3621.235</v>
      </c>
      <c r="P149" s="20">
        <f>IFERROR(__xludf.DUMMYFUNCTION("FILTER(Datos!$D$2:$D1003, Datos!$F$2:$F1003=P$1, Datos!$G$2:$G1003=P$2, Datos!$A$2:$A1003=$A149)"),3066.433)</f>
        <v>3066.433</v>
      </c>
      <c r="Q149" s="21">
        <f>IFERROR(__xludf.DUMMYFUNCTION("FILTER(Datos!$E$2:$E1003, Datos!$F$2:$F1003=Q$1, Datos!$G$2:$G1003=Q$2, Datos!$A$2:$A1003=$A149)"),4724.216)</f>
        <v>4724.216</v>
      </c>
    </row>
    <row r="150">
      <c r="A150" s="18">
        <f t="shared" si="2"/>
        <v>145</v>
      </c>
      <c r="B150" s="19">
        <f>IFERROR(__xludf.DUMMYFUNCTION("FILTER(Datos!$D$2:$D1003, Datos!$F$2:$F1003=B$1, Datos!$G$2:$G1003=B$2, Datos!$A$2:$A1003=$A150)"),1908.533)</f>
        <v>1908.533</v>
      </c>
      <c r="C150" s="20">
        <f>IFERROR(__xludf.DUMMYFUNCTION("FILTER(Datos!$E$2:$E1003, Datos!$F$2:$F1003=C$1, Datos!$G$2:$G1003=C$2, Datos!$A$2:$A1003=$A150)"),1987.438)</f>
        <v>1987.438</v>
      </c>
      <c r="D150" s="20">
        <f>IFERROR(__xludf.DUMMYFUNCTION("FILTER(Datos!$D$2:$D1003, Datos!$F$2:$F1003=D$1, Datos!$G$2:$G1003=D$2, Datos!$A$2:$A1003=$A150)"),2162.9)</f>
        <v>2162.9</v>
      </c>
      <c r="E150" s="20">
        <f>IFERROR(__xludf.DUMMYFUNCTION("FILTER(Datos!$E$2:$E1003, Datos!$F$2:$F1003=E$1, Datos!$G$2:$G1003=E$2, Datos!$A$2:$A1003=$A150)"),2261.051)</f>
        <v>2261.051</v>
      </c>
      <c r="F150" s="20">
        <f>IFERROR(__xludf.DUMMYFUNCTION("FILTER(Datos!$D$2:$D1003, Datos!$F$2:$F1003=F$1, Datos!$G$2:$G1003=F$2, Datos!$A$2:$A1003=$A150)"),2741.567)</f>
        <v>2741.567</v>
      </c>
      <c r="G150" s="20">
        <f>IFERROR(__xludf.DUMMYFUNCTION("FILTER(Datos!$E$2:$E1003, Datos!$F$2:$F1003=G$1, Datos!$G$2:$G1003=G$2, Datos!$A$2:$A1003=$A150)"),3117.584)</f>
        <v>3117.584</v>
      </c>
      <c r="H150" s="20">
        <f>IFERROR(__xludf.DUMMYFUNCTION("FILTER(Datos!$D$2:$D1003, Datos!$F$2:$F1003=H$1, Datos!$G$2:$G1003=H$2, Datos!$A$2:$A1003=$A150)"),3610.9)</f>
        <v>3610.9</v>
      </c>
      <c r="I150" s="21">
        <f>IFERROR(__xludf.DUMMYFUNCTION("FILTER(Datos!$E$2:$E1003, Datos!$F$2:$F1003=I$1, Datos!$G$2:$G1003=I$2, Datos!$A$2:$A1003=$A150)"),5317.052)</f>
        <v>5317.052</v>
      </c>
      <c r="J150" s="20">
        <f>IFERROR(__xludf.DUMMYFUNCTION("FILTER(Datos!$D$2:$D1003, Datos!$F$2:$F1003=J$1, Datos!$G$2:$G1003=J$2, Datos!$A$2:$A1003=$A150)"),1814.533)</f>
        <v>1814.533</v>
      </c>
      <c r="K150" s="20">
        <f>IFERROR(__xludf.DUMMYFUNCTION("FILTER(Datos!$E$2:$E1003, Datos!$F$2:$F1003=K$1, Datos!$G$2:$G1003=K$2, Datos!$A$2:$A1003=$A150)"),2275.808)</f>
        <v>2275.808</v>
      </c>
      <c r="L150" s="20">
        <f>IFERROR(__xludf.DUMMYFUNCTION("FILTER(Datos!$D$2:$D1003, Datos!$F$2:$F1003=L$1, Datos!$G$2:$G1003=L$2, Datos!$A$2:$A1003=$A150)"),2111.367)</f>
        <v>2111.367</v>
      </c>
      <c r="M150" s="20">
        <f>IFERROR(__xludf.DUMMYFUNCTION("FILTER(Datos!$E$2:$E1003, Datos!$F$2:$F1003=M$1, Datos!$G$2:$G1003=M$2, Datos!$A$2:$A1003=$A150)"),2769.152)</f>
        <v>2769.152</v>
      </c>
      <c r="N150" s="20">
        <f>IFERROR(__xludf.DUMMYFUNCTION("FILTER(Datos!$D$2:$D1003, Datos!$F$2:$F1003=N$1, Datos!$G$2:$G1003=N$2, Datos!$A$2:$A1003=$A150)"),2523.467)</f>
        <v>2523.467</v>
      </c>
      <c r="O150" s="20">
        <f>IFERROR(__xludf.DUMMYFUNCTION("FILTER(Datos!$E$2:$E1003, Datos!$F$2:$F1003=O$1, Datos!$G$2:$G1003=O$2, Datos!$A$2:$A1003=$A150)"),3609.634)</f>
        <v>3609.634</v>
      </c>
      <c r="P150" s="20">
        <f>IFERROR(__xludf.DUMMYFUNCTION("FILTER(Datos!$D$2:$D1003, Datos!$F$2:$F1003=P$1, Datos!$G$2:$G1003=P$2, Datos!$A$2:$A1003=$A150)"),3057.867)</f>
        <v>3057.867</v>
      </c>
      <c r="Q150" s="21">
        <f>IFERROR(__xludf.DUMMYFUNCTION("FILTER(Datos!$E$2:$E1003, Datos!$F$2:$F1003=Q$1, Datos!$G$2:$G1003=Q$2, Datos!$A$2:$A1003=$A150)"),4698.57)</f>
        <v>4698.57</v>
      </c>
    </row>
    <row r="151">
      <c r="A151" s="18">
        <f t="shared" si="2"/>
        <v>146</v>
      </c>
      <c r="B151" s="19">
        <f>IFERROR(__xludf.DUMMYFUNCTION("FILTER(Datos!$D$2:$D1003, Datos!$F$2:$F1003=B$1, Datos!$G$2:$G1003=B$2, Datos!$A$2:$A1003=$A151)"),1908.533)</f>
        <v>1908.533</v>
      </c>
      <c r="C151" s="20">
        <f>IFERROR(__xludf.DUMMYFUNCTION("FILTER(Datos!$E$2:$E1003, Datos!$F$2:$F1003=C$1, Datos!$G$2:$G1003=C$2, Datos!$A$2:$A1003=$A151)"),1989.973)</f>
        <v>1989.973</v>
      </c>
      <c r="D151" s="20">
        <f>IFERROR(__xludf.DUMMYFUNCTION("FILTER(Datos!$D$2:$D1003, Datos!$F$2:$F1003=D$1, Datos!$G$2:$G1003=D$2, Datos!$A$2:$A1003=$A151)"),2162.9)</f>
        <v>2162.9</v>
      </c>
      <c r="E151" s="20">
        <f>IFERROR(__xludf.DUMMYFUNCTION("FILTER(Datos!$E$2:$E1003, Datos!$F$2:$F1003=E$1, Datos!$G$2:$G1003=E$2, Datos!$A$2:$A1003=$A151)"),2259.47)</f>
        <v>2259.47</v>
      </c>
      <c r="F151" s="20">
        <f>IFERROR(__xludf.DUMMYFUNCTION("FILTER(Datos!$D$2:$D1003, Datos!$F$2:$F1003=F$1, Datos!$G$2:$G1003=F$2, Datos!$A$2:$A1003=$A151)"),2737.7)</f>
        <v>2737.7</v>
      </c>
      <c r="G151" s="20">
        <f>IFERROR(__xludf.DUMMYFUNCTION("FILTER(Datos!$E$2:$E1003, Datos!$F$2:$F1003=G$1, Datos!$G$2:$G1003=G$2, Datos!$A$2:$A1003=$A151)"),3101.738)</f>
        <v>3101.738</v>
      </c>
      <c r="H151" s="20">
        <f>IFERROR(__xludf.DUMMYFUNCTION("FILTER(Datos!$D$2:$D1003, Datos!$F$2:$F1003=H$1, Datos!$G$2:$G1003=H$2, Datos!$A$2:$A1003=$A151)"),3575.167)</f>
        <v>3575.167</v>
      </c>
      <c r="I151" s="21">
        <f>IFERROR(__xludf.DUMMYFUNCTION("FILTER(Datos!$E$2:$E1003, Datos!$F$2:$F1003=I$1, Datos!$G$2:$G1003=I$2, Datos!$A$2:$A1003=$A151)"),5287.067)</f>
        <v>5287.067</v>
      </c>
      <c r="J151" s="20">
        <f>IFERROR(__xludf.DUMMYFUNCTION("FILTER(Datos!$D$2:$D1003, Datos!$F$2:$F1003=J$1, Datos!$G$2:$G1003=J$2, Datos!$A$2:$A1003=$A151)"),1814.533)</f>
        <v>1814.533</v>
      </c>
      <c r="K151" s="20">
        <f>IFERROR(__xludf.DUMMYFUNCTION("FILTER(Datos!$E$2:$E1003, Datos!$F$2:$F1003=K$1, Datos!$G$2:$G1003=K$2, Datos!$A$2:$A1003=$A151)"),2281.464)</f>
        <v>2281.464</v>
      </c>
      <c r="L151" s="20">
        <f>IFERROR(__xludf.DUMMYFUNCTION("FILTER(Datos!$D$2:$D1003, Datos!$F$2:$F1003=L$1, Datos!$G$2:$G1003=L$2, Datos!$A$2:$A1003=$A151)"),2111.367)</f>
        <v>2111.367</v>
      </c>
      <c r="M151" s="20">
        <f>IFERROR(__xludf.DUMMYFUNCTION("FILTER(Datos!$E$2:$E1003, Datos!$F$2:$F1003=M$1, Datos!$G$2:$G1003=M$2, Datos!$A$2:$A1003=$A151)"),2765.933)</f>
        <v>2765.933</v>
      </c>
      <c r="N151" s="20">
        <f>IFERROR(__xludf.DUMMYFUNCTION("FILTER(Datos!$D$2:$D1003, Datos!$F$2:$F1003=N$1, Datos!$G$2:$G1003=N$2, Datos!$A$2:$A1003=$A151)"),2523.467)</f>
        <v>2523.467</v>
      </c>
      <c r="O151" s="20">
        <f>IFERROR(__xludf.DUMMYFUNCTION("FILTER(Datos!$E$2:$E1003, Datos!$F$2:$F1003=O$1, Datos!$G$2:$G1003=O$2, Datos!$A$2:$A1003=$A151)"),3603.513)</f>
        <v>3603.513</v>
      </c>
      <c r="P151" s="20">
        <f>IFERROR(__xludf.DUMMYFUNCTION("FILTER(Datos!$D$2:$D1003, Datos!$F$2:$F1003=P$1, Datos!$G$2:$G1003=P$2, Datos!$A$2:$A1003=$A151)"),3056.833)</f>
        <v>3056.833</v>
      </c>
      <c r="Q151" s="21">
        <f>IFERROR(__xludf.DUMMYFUNCTION("FILTER(Datos!$E$2:$E1003, Datos!$F$2:$F1003=Q$1, Datos!$G$2:$G1003=Q$2, Datos!$A$2:$A1003=$A151)"),4690.743)</f>
        <v>4690.743</v>
      </c>
    </row>
    <row r="152">
      <c r="A152" s="18">
        <f t="shared" si="2"/>
        <v>147</v>
      </c>
      <c r="B152" s="19">
        <f>IFERROR(__xludf.DUMMYFUNCTION("FILTER(Datos!$D$2:$D1003, Datos!$F$2:$F1003=B$1, Datos!$G$2:$G1003=B$2, Datos!$A$2:$A1003=$A152)"),1908.533)</f>
        <v>1908.533</v>
      </c>
      <c r="C152" s="20">
        <f>IFERROR(__xludf.DUMMYFUNCTION("FILTER(Datos!$E$2:$E1003, Datos!$F$2:$F1003=C$1, Datos!$G$2:$G1003=C$2, Datos!$A$2:$A1003=$A152)"),1991.949)</f>
        <v>1991.949</v>
      </c>
      <c r="D152" s="20">
        <f>IFERROR(__xludf.DUMMYFUNCTION("FILTER(Datos!$D$2:$D1003, Datos!$F$2:$F1003=D$1, Datos!$G$2:$G1003=D$2, Datos!$A$2:$A1003=$A152)"),2162.9)</f>
        <v>2162.9</v>
      </c>
      <c r="E152" s="20">
        <f>IFERROR(__xludf.DUMMYFUNCTION("FILTER(Datos!$E$2:$E1003, Datos!$F$2:$F1003=E$1, Datos!$G$2:$G1003=E$2, Datos!$A$2:$A1003=$A152)"),2258.043)</f>
        <v>2258.043</v>
      </c>
      <c r="F152" s="20">
        <f>IFERROR(__xludf.DUMMYFUNCTION("FILTER(Datos!$D$2:$D1003, Datos!$F$2:$F1003=F$1, Datos!$G$2:$G1003=F$2, Datos!$A$2:$A1003=$A152)"),2737.233)</f>
        <v>2737.233</v>
      </c>
      <c r="G152" s="20">
        <f>IFERROR(__xludf.DUMMYFUNCTION("FILTER(Datos!$E$2:$E1003, Datos!$F$2:$F1003=G$1, Datos!$G$2:$G1003=G$2, Datos!$A$2:$A1003=$A152)"),3086.225)</f>
        <v>3086.225</v>
      </c>
      <c r="H152" s="20">
        <f>IFERROR(__xludf.DUMMYFUNCTION("FILTER(Datos!$D$2:$D1003, Datos!$F$2:$F1003=H$1, Datos!$G$2:$G1003=H$2, Datos!$A$2:$A1003=$A152)"),3571.833)</f>
        <v>3571.833</v>
      </c>
      <c r="I152" s="21">
        <f>IFERROR(__xludf.DUMMYFUNCTION("FILTER(Datos!$E$2:$E1003, Datos!$F$2:$F1003=I$1, Datos!$G$2:$G1003=I$2, Datos!$A$2:$A1003=$A152)"),5272.704)</f>
        <v>5272.704</v>
      </c>
      <c r="J152" s="20">
        <f>IFERROR(__xludf.DUMMYFUNCTION("FILTER(Datos!$D$2:$D1003, Datos!$F$2:$F1003=J$1, Datos!$G$2:$G1003=J$2, Datos!$A$2:$A1003=$A152)"),1814.533)</f>
        <v>1814.533</v>
      </c>
      <c r="K152" s="20">
        <f>IFERROR(__xludf.DUMMYFUNCTION("FILTER(Datos!$E$2:$E1003, Datos!$F$2:$F1003=K$1, Datos!$G$2:$G1003=K$2, Datos!$A$2:$A1003=$A152)"),2276.222)</f>
        <v>2276.222</v>
      </c>
      <c r="L152" s="20">
        <f>IFERROR(__xludf.DUMMYFUNCTION("FILTER(Datos!$D$2:$D1003, Datos!$F$2:$F1003=L$1, Datos!$G$2:$G1003=L$2, Datos!$A$2:$A1003=$A152)"),2111.367)</f>
        <v>2111.367</v>
      </c>
      <c r="M152" s="20">
        <f>IFERROR(__xludf.DUMMYFUNCTION("FILTER(Datos!$E$2:$E1003, Datos!$F$2:$F1003=M$1, Datos!$G$2:$G1003=M$2, Datos!$A$2:$A1003=$A152)"),2779.825)</f>
        <v>2779.825</v>
      </c>
      <c r="N152" s="20">
        <f>IFERROR(__xludf.DUMMYFUNCTION("FILTER(Datos!$D$2:$D1003, Datos!$F$2:$F1003=N$1, Datos!$G$2:$G1003=N$2, Datos!$A$2:$A1003=$A152)"),2523.467)</f>
        <v>2523.467</v>
      </c>
      <c r="O152" s="20">
        <f>IFERROR(__xludf.DUMMYFUNCTION("FILTER(Datos!$E$2:$E1003, Datos!$F$2:$F1003=O$1, Datos!$G$2:$G1003=O$2, Datos!$A$2:$A1003=$A152)"),3578.944)</f>
        <v>3578.944</v>
      </c>
      <c r="P152" s="20">
        <f>IFERROR(__xludf.DUMMYFUNCTION("FILTER(Datos!$D$2:$D1003, Datos!$F$2:$F1003=P$1, Datos!$G$2:$G1003=P$2, Datos!$A$2:$A1003=$A152)"),3051.4)</f>
        <v>3051.4</v>
      </c>
      <c r="Q152" s="21">
        <f>IFERROR(__xludf.DUMMYFUNCTION("FILTER(Datos!$E$2:$E1003, Datos!$F$2:$F1003=Q$1, Datos!$G$2:$G1003=Q$2, Datos!$A$2:$A1003=$A152)"),4681.184)</f>
        <v>4681.184</v>
      </c>
    </row>
    <row r="153">
      <c r="A153" s="18">
        <f t="shared" si="2"/>
        <v>148</v>
      </c>
      <c r="B153" s="19">
        <f>IFERROR(__xludf.DUMMYFUNCTION("FILTER(Datos!$D$2:$D1003, Datos!$F$2:$F1003=B$1, Datos!$G$2:$G1003=B$2, Datos!$A$2:$A1003=$A153)"),1908.533)</f>
        <v>1908.533</v>
      </c>
      <c r="C153" s="20">
        <f>IFERROR(__xludf.DUMMYFUNCTION("FILTER(Datos!$E$2:$E1003, Datos!$F$2:$F1003=C$1, Datos!$G$2:$G1003=C$2, Datos!$A$2:$A1003=$A153)"),1988.564)</f>
        <v>1988.564</v>
      </c>
      <c r="D153" s="20">
        <f>IFERROR(__xludf.DUMMYFUNCTION("FILTER(Datos!$D$2:$D1003, Datos!$F$2:$F1003=D$1, Datos!$G$2:$G1003=D$2, Datos!$A$2:$A1003=$A153)"),2162.9)</f>
        <v>2162.9</v>
      </c>
      <c r="E153" s="20">
        <f>IFERROR(__xludf.DUMMYFUNCTION("FILTER(Datos!$E$2:$E1003, Datos!$F$2:$F1003=E$1, Datos!$G$2:$G1003=E$2, Datos!$A$2:$A1003=$A153)"),2261.032)</f>
        <v>2261.032</v>
      </c>
      <c r="F153" s="20">
        <f>IFERROR(__xludf.DUMMYFUNCTION("FILTER(Datos!$D$2:$D1003, Datos!$F$2:$F1003=F$1, Datos!$G$2:$G1003=F$2, Datos!$A$2:$A1003=$A153)"),2727.467)</f>
        <v>2727.467</v>
      </c>
      <c r="G153" s="20">
        <f>IFERROR(__xludf.DUMMYFUNCTION("FILTER(Datos!$E$2:$E1003, Datos!$F$2:$F1003=G$1, Datos!$G$2:$G1003=G$2, Datos!$A$2:$A1003=$A153)"),3089.475)</f>
        <v>3089.475</v>
      </c>
      <c r="H153" s="20">
        <f>IFERROR(__xludf.DUMMYFUNCTION("FILTER(Datos!$D$2:$D1003, Datos!$F$2:$F1003=H$1, Datos!$G$2:$G1003=H$2, Datos!$A$2:$A1003=$A153)"),3571.833)</f>
        <v>3571.833</v>
      </c>
      <c r="I153" s="21">
        <f>IFERROR(__xludf.DUMMYFUNCTION("FILTER(Datos!$E$2:$E1003, Datos!$F$2:$F1003=I$1, Datos!$G$2:$G1003=I$2, Datos!$A$2:$A1003=$A153)"),5253.246)</f>
        <v>5253.246</v>
      </c>
      <c r="J153" s="20">
        <f>IFERROR(__xludf.DUMMYFUNCTION("FILTER(Datos!$D$2:$D1003, Datos!$F$2:$F1003=J$1, Datos!$G$2:$G1003=J$2, Datos!$A$2:$A1003=$A153)"),1814.533)</f>
        <v>1814.533</v>
      </c>
      <c r="K153" s="20">
        <f>IFERROR(__xludf.DUMMYFUNCTION("FILTER(Datos!$E$2:$E1003, Datos!$F$2:$F1003=K$1, Datos!$G$2:$G1003=K$2, Datos!$A$2:$A1003=$A153)"),2279.133)</f>
        <v>2279.133</v>
      </c>
      <c r="L153" s="20">
        <f>IFERROR(__xludf.DUMMYFUNCTION("FILTER(Datos!$D$2:$D1003, Datos!$F$2:$F1003=L$1, Datos!$G$2:$G1003=L$2, Datos!$A$2:$A1003=$A153)"),2111.367)</f>
        <v>2111.367</v>
      </c>
      <c r="M153" s="20">
        <f>IFERROR(__xludf.DUMMYFUNCTION("FILTER(Datos!$E$2:$E1003, Datos!$F$2:$F1003=M$1, Datos!$G$2:$G1003=M$2, Datos!$A$2:$A1003=$A153)"),2779.296)</f>
        <v>2779.296</v>
      </c>
      <c r="N153" s="20">
        <f>IFERROR(__xludf.DUMMYFUNCTION("FILTER(Datos!$D$2:$D1003, Datos!$F$2:$F1003=N$1, Datos!$G$2:$G1003=N$2, Datos!$A$2:$A1003=$A153)"),2523.467)</f>
        <v>2523.467</v>
      </c>
      <c r="O153" s="20">
        <f>IFERROR(__xludf.DUMMYFUNCTION("FILTER(Datos!$E$2:$E1003, Datos!$F$2:$F1003=O$1, Datos!$G$2:$G1003=O$2, Datos!$A$2:$A1003=$A153)"),3570.42)</f>
        <v>3570.42</v>
      </c>
      <c r="P153" s="20">
        <f>IFERROR(__xludf.DUMMYFUNCTION("FILTER(Datos!$D$2:$D1003, Datos!$F$2:$F1003=P$1, Datos!$G$2:$G1003=P$2, Datos!$A$2:$A1003=$A153)"),3045.967)</f>
        <v>3045.967</v>
      </c>
      <c r="Q153" s="21">
        <f>IFERROR(__xludf.DUMMYFUNCTION("FILTER(Datos!$E$2:$E1003, Datos!$F$2:$F1003=Q$1, Datos!$G$2:$G1003=Q$2, Datos!$A$2:$A1003=$A153)"),4667.128)</f>
        <v>4667.128</v>
      </c>
    </row>
    <row r="154">
      <c r="A154" s="18">
        <f t="shared" si="2"/>
        <v>149</v>
      </c>
      <c r="B154" s="19">
        <f>IFERROR(__xludf.DUMMYFUNCTION("FILTER(Datos!$D$2:$D1003, Datos!$F$2:$F1003=B$1, Datos!$G$2:$G1003=B$2, Datos!$A$2:$A1003=$A154)"),1908.533)</f>
        <v>1908.533</v>
      </c>
      <c r="C154" s="20">
        <f>IFERROR(__xludf.DUMMYFUNCTION("FILTER(Datos!$E$2:$E1003, Datos!$F$2:$F1003=C$1, Datos!$G$2:$G1003=C$2, Datos!$A$2:$A1003=$A154)"),1989.507)</f>
        <v>1989.507</v>
      </c>
      <c r="D154" s="20">
        <f>IFERROR(__xludf.DUMMYFUNCTION("FILTER(Datos!$D$2:$D1003, Datos!$F$2:$F1003=D$1, Datos!$G$2:$G1003=D$2, Datos!$A$2:$A1003=$A154)"),2162.9)</f>
        <v>2162.9</v>
      </c>
      <c r="E154" s="20">
        <f>IFERROR(__xludf.DUMMYFUNCTION("FILTER(Datos!$E$2:$E1003, Datos!$F$2:$F1003=E$1, Datos!$G$2:$G1003=E$2, Datos!$A$2:$A1003=$A154)"),2262.132)</f>
        <v>2262.132</v>
      </c>
      <c r="F154" s="20">
        <f>IFERROR(__xludf.DUMMYFUNCTION("FILTER(Datos!$D$2:$D1003, Datos!$F$2:$F1003=F$1, Datos!$G$2:$G1003=F$2, Datos!$A$2:$A1003=$A154)"),2720.267)</f>
        <v>2720.267</v>
      </c>
      <c r="G154" s="20">
        <f>IFERROR(__xludf.DUMMYFUNCTION("FILTER(Datos!$E$2:$E1003, Datos!$F$2:$F1003=G$1, Datos!$G$2:$G1003=G$2, Datos!$A$2:$A1003=$A154)"),3092.487)</f>
        <v>3092.487</v>
      </c>
      <c r="H154" s="20">
        <f>IFERROR(__xludf.DUMMYFUNCTION("FILTER(Datos!$D$2:$D1003, Datos!$F$2:$F1003=H$1, Datos!$G$2:$G1003=H$2, Datos!$A$2:$A1003=$A154)"),3567.133)</f>
        <v>3567.133</v>
      </c>
      <c r="I154" s="21">
        <f>IFERROR(__xludf.DUMMYFUNCTION("FILTER(Datos!$E$2:$E1003, Datos!$F$2:$F1003=I$1, Datos!$G$2:$G1003=I$2, Datos!$A$2:$A1003=$A154)"),5247.457)</f>
        <v>5247.457</v>
      </c>
      <c r="J154" s="20">
        <f>IFERROR(__xludf.DUMMYFUNCTION("FILTER(Datos!$D$2:$D1003, Datos!$F$2:$F1003=J$1, Datos!$G$2:$G1003=J$2, Datos!$A$2:$A1003=$A154)"),1814.533)</f>
        <v>1814.533</v>
      </c>
      <c r="K154" s="20">
        <f>IFERROR(__xludf.DUMMYFUNCTION("FILTER(Datos!$E$2:$E1003, Datos!$F$2:$F1003=K$1, Datos!$G$2:$G1003=K$2, Datos!$A$2:$A1003=$A154)"),2287.26)</f>
        <v>2287.26</v>
      </c>
      <c r="L154" s="20">
        <f>IFERROR(__xludf.DUMMYFUNCTION("FILTER(Datos!$D$2:$D1003, Datos!$F$2:$F1003=L$1, Datos!$G$2:$G1003=L$2, Datos!$A$2:$A1003=$A154)"),2111.367)</f>
        <v>2111.367</v>
      </c>
      <c r="M154" s="20">
        <f>IFERROR(__xludf.DUMMYFUNCTION("FILTER(Datos!$E$2:$E1003, Datos!$F$2:$F1003=M$1, Datos!$G$2:$G1003=M$2, Datos!$A$2:$A1003=$A154)"),2766.752)</f>
        <v>2766.752</v>
      </c>
      <c r="N154" s="20">
        <f>IFERROR(__xludf.DUMMYFUNCTION("FILTER(Datos!$D$2:$D1003, Datos!$F$2:$F1003=N$1, Datos!$G$2:$G1003=N$2, Datos!$A$2:$A1003=$A154)"),2523.467)</f>
        <v>2523.467</v>
      </c>
      <c r="O154" s="20">
        <f>IFERROR(__xludf.DUMMYFUNCTION("FILTER(Datos!$E$2:$E1003, Datos!$F$2:$F1003=O$1, Datos!$G$2:$G1003=O$2, Datos!$A$2:$A1003=$A154)"),3567.625)</f>
        <v>3567.625</v>
      </c>
      <c r="P154" s="20">
        <f>IFERROR(__xludf.DUMMYFUNCTION("FILTER(Datos!$D$2:$D1003, Datos!$F$2:$F1003=P$1, Datos!$G$2:$G1003=P$2, Datos!$A$2:$A1003=$A154)"),3042.1)</f>
        <v>3042.1</v>
      </c>
      <c r="Q154" s="21">
        <f>IFERROR(__xludf.DUMMYFUNCTION("FILTER(Datos!$E$2:$E1003, Datos!$F$2:$F1003=Q$1, Datos!$G$2:$G1003=Q$2, Datos!$A$2:$A1003=$A154)"),4670.323)</f>
        <v>4670.323</v>
      </c>
    </row>
    <row r="155">
      <c r="A155" s="18">
        <f t="shared" si="2"/>
        <v>150</v>
      </c>
      <c r="B155" s="19">
        <f>IFERROR(__xludf.DUMMYFUNCTION("FILTER(Datos!$D$2:$D1003, Datos!$F$2:$F1003=B$1, Datos!$G$2:$G1003=B$2, Datos!$A$2:$A1003=$A155)"),1908.533)</f>
        <v>1908.533</v>
      </c>
      <c r="C155" s="20">
        <f>IFERROR(__xludf.DUMMYFUNCTION("FILTER(Datos!$E$2:$E1003, Datos!$F$2:$F1003=C$1, Datos!$G$2:$G1003=C$2, Datos!$A$2:$A1003=$A155)"),1986.341)</f>
        <v>1986.341</v>
      </c>
      <c r="D155" s="20">
        <f>IFERROR(__xludf.DUMMYFUNCTION("FILTER(Datos!$D$2:$D1003, Datos!$F$2:$F1003=D$1, Datos!$G$2:$G1003=D$2, Datos!$A$2:$A1003=$A155)"),2162.9)</f>
        <v>2162.9</v>
      </c>
      <c r="E155" s="20">
        <f>IFERROR(__xludf.DUMMYFUNCTION("FILTER(Datos!$E$2:$E1003, Datos!$F$2:$F1003=E$1, Datos!$G$2:$G1003=E$2, Datos!$A$2:$A1003=$A155)"),2262.811)</f>
        <v>2262.811</v>
      </c>
      <c r="F155" s="20">
        <f>IFERROR(__xludf.DUMMYFUNCTION("FILTER(Datos!$D$2:$D1003, Datos!$F$2:$F1003=F$1, Datos!$G$2:$G1003=F$2, Datos!$A$2:$A1003=$A155)"),2716.967)</f>
        <v>2716.967</v>
      </c>
      <c r="G155" s="20">
        <f>IFERROR(__xludf.DUMMYFUNCTION("FILTER(Datos!$E$2:$E1003, Datos!$F$2:$F1003=G$1, Datos!$G$2:$G1003=G$2, Datos!$A$2:$A1003=$A155)"),3080.889)</f>
        <v>3080.889</v>
      </c>
      <c r="H155" s="20">
        <f>IFERROR(__xludf.DUMMYFUNCTION("FILTER(Datos!$D$2:$D1003, Datos!$F$2:$F1003=H$1, Datos!$G$2:$G1003=H$2, Datos!$A$2:$A1003=$A155)"),3561.5)</f>
        <v>3561.5</v>
      </c>
      <c r="I155" s="21">
        <f>IFERROR(__xludf.DUMMYFUNCTION("FILTER(Datos!$E$2:$E1003, Datos!$F$2:$F1003=I$1, Datos!$G$2:$G1003=I$2, Datos!$A$2:$A1003=$A155)"),5217.149)</f>
        <v>5217.149</v>
      </c>
      <c r="J155" s="20">
        <f>IFERROR(__xludf.DUMMYFUNCTION("FILTER(Datos!$D$2:$D1003, Datos!$F$2:$F1003=J$1, Datos!$G$2:$G1003=J$2, Datos!$A$2:$A1003=$A155)"),1814.533)</f>
        <v>1814.533</v>
      </c>
      <c r="K155" s="20">
        <f>IFERROR(__xludf.DUMMYFUNCTION("FILTER(Datos!$E$2:$E1003, Datos!$F$2:$F1003=K$1, Datos!$G$2:$G1003=K$2, Datos!$A$2:$A1003=$A155)"),2283.488)</f>
        <v>2283.488</v>
      </c>
      <c r="L155" s="20">
        <f>IFERROR(__xludf.DUMMYFUNCTION("FILTER(Datos!$D$2:$D1003, Datos!$F$2:$F1003=L$1, Datos!$G$2:$G1003=L$2, Datos!$A$2:$A1003=$A155)"),2110.7)</f>
        <v>2110.7</v>
      </c>
      <c r="M155" s="20">
        <f>IFERROR(__xludf.DUMMYFUNCTION("FILTER(Datos!$E$2:$E1003, Datos!$F$2:$F1003=M$1, Datos!$G$2:$G1003=M$2, Datos!$A$2:$A1003=$A155)"),2768.246)</f>
        <v>2768.246</v>
      </c>
      <c r="N155" s="20">
        <f>IFERROR(__xludf.DUMMYFUNCTION("FILTER(Datos!$D$2:$D1003, Datos!$F$2:$F1003=N$1, Datos!$G$2:$G1003=N$2, Datos!$A$2:$A1003=$A155)"),2518.633)</f>
        <v>2518.633</v>
      </c>
      <c r="O155" s="20">
        <f>IFERROR(__xludf.DUMMYFUNCTION("FILTER(Datos!$E$2:$E1003, Datos!$F$2:$F1003=O$1, Datos!$G$2:$G1003=O$2, Datos!$A$2:$A1003=$A155)"),3564.815)</f>
        <v>3564.815</v>
      </c>
      <c r="P155" s="20">
        <f>IFERROR(__xludf.DUMMYFUNCTION("FILTER(Datos!$D$2:$D1003, Datos!$F$2:$F1003=P$1, Datos!$G$2:$G1003=P$2, Datos!$A$2:$A1003=$A155)"),3039.167)</f>
        <v>3039.167</v>
      </c>
      <c r="Q155" s="21">
        <f>IFERROR(__xludf.DUMMYFUNCTION("FILTER(Datos!$E$2:$E1003, Datos!$F$2:$F1003=Q$1, Datos!$G$2:$G1003=Q$2, Datos!$A$2:$A1003=$A155)"),4670.059)</f>
        <v>4670.059</v>
      </c>
    </row>
    <row r="156">
      <c r="A156" s="18">
        <f t="shared" si="2"/>
        <v>151</v>
      </c>
      <c r="B156" s="19">
        <f>IFERROR(__xludf.DUMMYFUNCTION("FILTER(Datos!$D$2:$D1003, Datos!$F$2:$F1003=B$1, Datos!$G$2:$G1003=B$2, Datos!$A$2:$A1003=$A156)"),1908.533)</f>
        <v>1908.533</v>
      </c>
      <c r="C156" s="20">
        <f>IFERROR(__xludf.DUMMYFUNCTION("FILTER(Datos!$E$2:$E1003, Datos!$F$2:$F1003=C$1, Datos!$G$2:$G1003=C$2, Datos!$A$2:$A1003=$A156)"),1986.802)</f>
        <v>1986.802</v>
      </c>
      <c r="D156" s="20">
        <f>IFERROR(__xludf.DUMMYFUNCTION("FILTER(Datos!$D$2:$D1003, Datos!$F$2:$F1003=D$1, Datos!$G$2:$G1003=D$2, Datos!$A$2:$A1003=$A156)"),2162.9)</f>
        <v>2162.9</v>
      </c>
      <c r="E156" s="20">
        <f>IFERROR(__xludf.DUMMYFUNCTION("FILTER(Datos!$E$2:$E1003, Datos!$F$2:$F1003=E$1, Datos!$G$2:$G1003=E$2, Datos!$A$2:$A1003=$A156)"),2263.214)</f>
        <v>2263.214</v>
      </c>
      <c r="F156" s="20">
        <f>IFERROR(__xludf.DUMMYFUNCTION("FILTER(Datos!$D$2:$D1003, Datos!$F$2:$F1003=F$1, Datos!$G$2:$G1003=F$2, Datos!$A$2:$A1003=$A156)"),2716.967)</f>
        <v>2716.967</v>
      </c>
      <c r="G156" s="20">
        <f>IFERROR(__xludf.DUMMYFUNCTION("FILTER(Datos!$E$2:$E1003, Datos!$F$2:$F1003=G$1, Datos!$G$2:$G1003=G$2, Datos!$A$2:$A1003=$A156)"),3078.463)</f>
        <v>3078.463</v>
      </c>
      <c r="H156" s="20">
        <f>IFERROR(__xludf.DUMMYFUNCTION("FILTER(Datos!$D$2:$D1003, Datos!$F$2:$F1003=H$1, Datos!$G$2:$G1003=H$2, Datos!$A$2:$A1003=$A156)"),3538.567)</f>
        <v>3538.567</v>
      </c>
      <c r="I156" s="21">
        <f>IFERROR(__xludf.DUMMYFUNCTION("FILTER(Datos!$E$2:$E1003, Datos!$F$2:$F1003=I$1, Datos!$G$2:$G1003=I$2, Datos!$A$2:$A1003=$A156)"),5194.173)</f>
        <v>5194.173</v>
      </c>
      <c r="J156" s="20">
        <f>IFERROR(__xludf.DUMMYFUNCTION("FILTER(Datos!$D$2:$D1003, Datos!$F$2:$F1003=J$1, Datos!$G$2:$G1003=J$2, Datos!$A$2:$A1003=$A156)"),1814.533)</f>
        <v>1814.533</v>
      </c>
      <c r="K156" s="20">
        <f>IFERROR(__xludf.DUMMYFUNCTION("FILTER(Datos!$E$2:$E1003, Datos!$F$2:$F1003=K$1, Datos!$G$2:$G1003=K$2, Datos!$A$2:$A1003=$A156)"),2279.002)</f>
        <v>2279.002</v>
      </c>
      <c r="L156" s="20">
        <f>IFERROR(__xludf.DUMMYFUNCTION("FILTER(Datos!$D$2:$D1003, Datos!$F$2:$F1003=L$1, Datos!$G$2:$G1003=L$2, Datos!$A$2:$A1003=$A156)"),2110.033)</f>
        <v>2110.033</v>
      </c>
      <c r="M156" s="20">
        <f>IFERROR(__xludf.DUMMYFUNCTION("FILTER(Datos!$E$2:$E1003, Datos!$F$2:$F1003=M$1, Datos!$G$2:$G1003=M$2, Datos!$A$2:$A1003=$A156)"),2762.322)</f>
        <v>2762.322</v>
      </c>
      <c r="N156" s="20">
        <f>IFERROR(__xludf.DUMMYFUNCTION("FILTER(Datos!$D$2:$D1003, Datos!$F$2:$F1003=N$1, Datos!$G$2:$G1003=N$2, Datos!$A$2:$A1003=$A156)"),2518.633)</f>
        <v>2518.633</v>
      </c>
      <c r="O156" s="20">
        <f>IFERROR(__xludf.DUMMYFUNCTION("FILTER(Datos!$E$2:$E1003, Datos!$F$2:$F1003=O$1, Datos!$G$2:$G1003=O$2, Datos!$A$2:$A1003=$A156)"),3560.098)</f>
        <v>3560.098</v>
      </c>
      <c r="P156" s="20">
        <f>IFERROR(__xludf.DUMMYFUNCTION("FILTER(Datos!$D$2:$D1003, Datos!$F$2:$F1003=P$1, Datos!$G$2:$G1003=P$2, Datos!$A$2:$A1003=$A156)"),3034.5)</f>
        <v>3034.5</v>
      </c>
      <c r="Q156" s="21">
        <f>IFERROR(__xludf.DUMMYFUNCTION("FILTER(Datos!$E$2:$E1003, Datos!$F$2:$F1003=Q$1, Datos!$G$2:$G1003=Q$2, Datos!$A$2:$A1003=$A156)"),4666.441)</f>
        <v>4666.441</v>
      </c>
    </row>
    <row r="157">
      <c r="A157" s="18">
        <f t="shared" si="2"/>
        <v>152</v>
      </c>
      <c r="B157" s="19">
        <f>IFERROR(__xludf.DUMMYFUNCTION("FILTER(Datos!$D$2:$D1003, Datos!$F$2:$F1003=B$1, Datos!$G$2:$G1003=B$2, Datos!$A$2:$A1003=$A157)"),1908.533)</f>
        <v>1908.533</v>
      </c>
      <c r="C157" s="20">
        <f>IFERROR(__xludf.DUMMYFUNCTION("FILTER(Datos!$E$2:$E1003, Datos!$F$2:$F1003=C$1, Datos!$G$2:$G1003=C$2, Datos!$A$2:$A1003=$A157)"),1987.625)</f>
        <v>1987.625</v>
      </c>
      <c r="D157" s="20">
        <f>IFERROR(__xludf.DUMMYFUNCTION("FILTER(Datos!$D$2:$D1003, Datos!$F$2:$F1003=D$1, Datos!$G$2:$G1003=D$2, Datos!$A$2:$A1003=$A157)"),2162.9)</f>
        <v>2162.9</v>
      </c>
      <c r="E157" s="20">
        <f>IFERROR(__xludf.DUMMYFUNCTION("FILTER(Datos!$E$2:$E1003, Datos!$F$2:$F1003=E$1, Datos!$G$2:$G1003=E$2, Datos!$A$2:$A1003=$A157)"),2263.4)</f>
        <v>2263.4</v>
      </c>
      <c r="F157" s="20">
        <f>IFERROR(__xludf.DUMMYFUNCTION("FILTER(Datos!$D$2:$D1003, Datos!$F$2:$F1003=F$1, Datos!$G$2:$G1003=F$2, Datos!$A$2:$A1003=$A157)"),2715.0)</f>
        <v>2715</v>
      </c>
      <c r="G157" s="20">
        <f>IFERROR(__xludf.DUMMYFUNCTION("FILTER(Datos!$E$2:$E1003, Datos!$F$2:$F1003=G$1, Datos!$G$2:$G1003=G$2, Datos!$A$2:$A1003=$A157)"),3068.005)</f>
        <v>3068.005</v>
      </c>
      <c r="H157" s="20">
        <f>IFERROR(__xludf.DUMMYFUNCTION("FILTER(Datos!$D$2:$D1003, Datos!$F$2:$F1003=H$1, Datos!$G$2:$G1003=H$2, Datos!$A$2:$A1003=$A157)"),3531.7)</f>
        <v>3531.7</v>
      </c>
      <c r="I157" s="21">
        <f>IFERROR(__xludf.DUMMYFUNCTION("FILTER(Datos!$E$2:$E1003, Datos!$F$2:$F1003=I$1, Datos!$G$2:$G1003=I$2, Datos!$A$2:$A1003=$A157)"),5166.457)</f>
        <v>5166.457</v>
      </c>
      <c r="J157" s="20">
        <f>IFERROR(__xludf.DUMMYFUNCTION("FILTER(Datos!$D$2:$D1003, Datos!$F$2:$F1003=J$1, Datos!$G$2:$G1003=J$2, Datos!$A$2:$A1003=$A157)"),1814.533)</f>
        <v>1814.533</v>
      </c>
      <c r="K157" s="20">
        <f>IFERROR(__xludf.DUMMYFUNCTION("FILTER(Datos!$E$2:$E1003, Datos!$F$2:$F1003=K$1, Datos!$G$2:$G1003=K$2, Datos!$A$2:$A1003=$A157)"),2276.293)</f>
        <v>2276.293</v>
      </c>
      <c r="L157" s="20">
        <f>IFERROR(__xludf.DUMMYFUNCTION("FILTER(Datos!$D$2:$D1003, Datos!$F$2:$F1003=L$1, Datos!$G$2:$G1003=L$2, Datos!$A$2:$A1003=$A157)"),2110.033)</f>
        <v>2110.033</v>
      </c>
      <c r="M157" s="20">
        <f>IFERROR(__xludf.DUMMYFUNCTION("FILTER(Datos!$E$2:$E1003, Datos!$F$2:$F1003=M$1, Datos!$G$2:$G1003=M$2, Datos!$A$2:$A1003=$A157)"),2770.663)</f>
        <v>2770.663</v>
      </c>
      <c r="N157" s="20">
        <f>IFERROR(__xludf.DUMMYFUNCTION("FILTER(Datos!$D$2:$D1003, Datos!$F$2:$F1003=N$1, Datos!$G$2:$G1003=N$2, Datos!$A$2:$A1003=$A157)"),2518.133)</f>
        <v>2518.133</v>
      </c>
      <c r="O157" s="20">
        <f>IFERROR(__xludf.DUMMYFUNCTION("FILTER(Datos!$E$2:$E1003, Datos!$F$2:$F1003=O$1, Datos!$G$2:$G1003=O$2, Datos!$A$2:$A1003=$A157)"),3544.896)</f>
        <v>3544.896</v>
      </c>
      <c r="P157" s="20">
        <f>IFERROR(__xludf.DUMMYFUNCTION("FILTER(Datos!$D$2:$D1003, Datos!$F$2:$F1003=P$1, Datos!$G$2:$G1003=P$2, Datos!$A$2:$A1003=$A157)"),3032.867)</f>
        <v>3032.867</v>
      </c>
      <c r="Q157" s="21">
        <f>IFERROR(__xludf.DUMMYFUNCTION("FILTER(Datos!$E$2:$E1003, Datos!$F$2:$F1003=Q$1, Datos!$G$2:$G1003=Q$2, Datos!$A$2:$A1003=$A157)"),4679.25)</f>
        <v>4679.25</v>
      </c>
    </row>
    <row r="158">
      <c r="A158" s="18">
        <f t="shared" si="2"/>
        <v>153</v>
      </c>
      <c r="B158" s="19">
        <f>IFERROR(__xludf.DUMMYFUNCTION("FILTER(Datos!$D$2:$D1003, Datos!$F$2:$F1003=B$1, Datos!$G$2:$G1003=B$2, Datos!$A$2:$A1003=$A158)"),1908.533)</f>
        <v>1908.533</v>
      </c>
      <c r="C158" s="20">
        <f>IFERROR(__xludf.DUMMYFUNCTION("FILTER(Datos!$E$2:$E1003, Datos!$F$2:$F1003=C$1, Datos!$G$2:$G1003=C$2, Datos!$A$2:$A1003=$A158)"),1990.332)</f>
        <v>1990.332</v>
      </c>
      <c r="D158" s="20">
        <f>IFERROR(__xludf.DUMMYFUNCTION("FILTER(Datos!$D$2:$D1003, Datos!$F$2:$F1003=D$1, Datos!$G$2:$G1003=D$2, Datos!$A$2:$A1003=$A158)"),2162.9)</f>
        <v>2162.9</v>
      </c>
      <c r="E158" s="20">
        <f>IFERROR(__xludf.DUMMYFUNCTION("FILTER(Datos!$E$2:$E1003, Datos!$F$2:$F1003=E$1, Datos!$G$2:$G1003=E$2, Datos!$A$2:$A1003=$A158)"),2263.446)</f>
        <v>2263.446</v>
      </c>
      <c r="F158" s="20">
        <f>IFERROR(__xludf.DUMMYFUNCTION("FILTER(Datos!$D$2:$D1003, Datos!$F$2:$F1003=F$1, Datos!$G$2:$G1003=F$2, Datos!$A$2:$A1003=$A158)"),2712.567)</f>
        <v>2712.567</v>
      </c>
      <c r="G158" s="20">
        <f>IFERROR(__xludf.DUMMYFUNCTION("FILTER(Datos!$E$2:$E1003, Datos!$F$2:$F1003=G$1, Datos!$G$2:$G1003=G$2, Datos!$A$2:$A1003=$A158)"),3057.989)</f>
        <v>3057.989</v>
      </c>
      <c r="H158" s="20">
        <f>IFERROR(__xludf.DUMMYFUNCTION("FILTER(Datos!$D$2:$D1003, Datos!$F$2:$F1003=H$1, Datos!$G$2:$G1003=H$2, Datos!$A$2:$A1003=$A158)"),3528.8)</f>
        <v>3528.8</v>
      </c>
      <c r="I158" s="21">
        <f>IFERROR(__xludf.DUMMYFUNCTION("FILTER(Datos!$E$2:$E1003, Datos!$F$2:$F1003=I$1, Datos!$G$2:$G1003=I$2, Datos!$A$2:$A1003=$A158)"),5125.65)</f>
        <v>5125.65</v>
      </c>
      <c r="J158" s="20">
        <f>IFERROR(__xludf.DUMMYFUNCTION("FILTER(Datos!$D$2:$D1003, Datos!$F$2:$F1003=J$1, Datos!$G$2:$G1003=J$2, Datos!$A$2:$A1003=$A158)"),1814.533)</f>
        <v>1814.533</v>
      </c>
      <c r="K158" s="20">
        <f>IFERROR(__xludf.DUMMYFUNCTION("FILTER(Datos!$E$2:$E1003, Datos!$F$2:$F1003=K$1, Datos!$G$2:$G1003=K$2, Datos!$A$2:$A1003=$A158)"),2280.282)</f>
        <v>2280.282</v>
      </c>
      <c r="L158" s="20">
        <f>IFERROR(__xludf.DUMMYFUNCTION("FILTER(Datos!$D$2:$D1003, Datos!$F$2:$F1003=L$1, Datos!$G$2:$G1003=L$2, Datos!$A$2:$A1003=$A158)"),2110.033)</f>
        <v>2110.033</v>
      </c>
      <c r="M158" s="20">
        <f>IFERROR(__xludf.DUMMYFUNCTION("FILTER(Datos!$E$2:$E1003, Datos!$F$2:$F1003=M$1, Datos!$G$2:$G1003=M$2, Datos!$A$2:$A1003=$A158)"),2773.683)</f>
        <v>2773.683</v>
      </c>
      <c r="N158" s="20">
        <f>IFERROR(__xludf.DUMMYFUNCTION("FILTER(Datos!$D$2:$D1003, Datos!$F$2:$F1003=N$1, Datos!$G$2:$G1003=N$2, Datos!$A$2:$A1003=$A158)"),2518.133)</f>
        <v>2518.133</v>
      </c>
      <c r="O158" s="20">
        <f>IFERROR(__xludf.DUMMYFUNCTION("FILTER(Datos!$E$2:$E1003, Datos!$F$2:$F1003=O$1, Datos!$G$2:$G1003=O$2, Datos!$A$2:$A1003=$A158)"),3556.074)</f>
        <v>3556.074</v>
      </c>
      <c r="P158" s="20">
        <f>IFERROR(__xludf.DUMMYFUNCTION("FILTER(Datos!$D$2:$D1003, Datos!$F$2:$F1003=P$1, Datos!$G$2:$G1003=P$2, Datos!$A$2:$A1003=$A158)"),3030.167)</f>
        <v>3030.167</v>
      </c>
      <c r="Q158" s="21">
        <f>IFERROR(__xludf.DUMMYFUNCTION("FILTER(Datos!$E$2:$E1003, Datos!$F$2:$F1003=Q$1, Datos!$G$2:$G1003=Q$2, Datos!$A$2:$A1003=$A158)"),4686.929)</f>
        <v>4686.929</v>
      </c>
    </row>
    <row r="159">
      <c r="A159" s="18">
        <f t="shared" si="2"/>
        <v>154</v>
      </c>
      <c r="B159" s="19">
        <f>IFERROR(__xludf.DUMMYFUNCTION("FILTER(Datos!$D$2:$D1003, Datos!$F$2:$F1003=B$1, Datos!$G$2:$G1003=B$2, Datos!$A$2:$A1003=$A159)"),1908.533)</f>
        <v>1908.533</v>
      </c>
      <c r="C159" s="20">
        <f>IFERROR(__xludf.DUMMYFUNCTION("FILTER(Datos!$E$2:$E1003, Datos!$F$2:$F1003=C$1, Datos!$G$2:$G1003=C$2, Datos!$A$2:$A1003=$A159)"),1986.698)</f>
        <v>1986.698</v>
      </c>
      <c r="D159" s="20">
        <f>IFERROR(__xludf.DUMMYFUNCTION("FILTER(Datos!$D$2:$D1003, Datos!$F$2:$F1003=D$1, Datos!$G$2:$G1003=D$2, Datos!$A$2:$A1003=$A159)"),2162.9)</f>
        <v>2162.9</v>
      </c>
      <c r="E159" s="20">
        <f>IFERROR(__xludf.DUMMYFUNCTION("FILTER(Datos!$E$2:$E1003, Datos!$F$2:$F1003=E$1, Datos!$G$2:$G1003=E$2, Datos!$A$2:$A1003=$A159)"),2259.516)</f>
        <v>2259.516</v>
      </c>
      <c r="F159" s="20">
        <f>IFERROR(__xludf.DUMMYFUNCTION("FILTER(Datos!$D$2:$D1003, Datos!$F$2:$F1003=F$1, Datos!$G$2:$G1003=F$2, Datos!$A$2:$A1003=$A159)"),2711.3)</f>
        <v>2711.3</v>
      </c>
      <c r="G159" s="20">
        <f>IFERROR(__xludf.DUMMYFUNCTION("FILTER(Datos!$E$2:$E1003, Datos!$F$2:$F1003=G$1, Datos!$G$2:$G1003=G$2, Datos!$A$2:$A1003=$A159)"),3044.214)</f>
        <v>3044.214</v>
      </c>
      <c r="H159" s="20">
        <f>IFERROR(__xludf.DUMMYFUNCTION("FILTER(Datos!$D$2:$D1003, Datos!$F$2:$F1003=H$1, Datos!$G$2:$G1003=H$2, Datos!$A$2:$A1003=$A159)"),3521.333)</f>
        <v>3521.333</v>
      </c>
      <c r="I159" s="21">
        <f>IFERROR(__xludf.DUMMYFUNCTION("FILTER(Datos!$E$2:$E1003, Datos!$F$2:$F1003=I$1, Datos!$G$2:$G1003=I$2, Datos!$A$2:$A1003=$A159)"),5093.485)</f>
        <v>5093.485</v>
      </c>
      <c r="J159" s="20">
        <f>IFERROR(__xludf.DUMMYFUNCTION("FILTER(Datos!$D$2:$D1003, Datos!$F$2:$F1003=J$1, Datos!$G$2:$G1003=J$2, Datos!$A$2:$A1003=$A159)"),1814.533)</f>
        <v>1814.533</v>
      </c>
      <c r="K159" s="20">
        <f>IFERROR(__xludf.DUMMYFUNCTION("FILTER(Datos!$E$2:$E1003, Datos!$F$2:$F1003=K$1, Datos!$G$2:$G1003=K$2, Datos!$A$2:$A1003=$A159)"),2284.857)</f>
        <v>2284.857</v>
      </c>
      <c r="L159" s="20">
        <f>IFERROR(__xludf.DUMMYFUNCTION("FILTER(Datos!$D$2:$D1003, Datos!$F$2:$F1003=L$1, Datos!$G$2:$G1003=L$2, Datos!$A$2:$A1003=$A159)"),2110.033)</f>
        <v>2110.033</v>
      </c>
      <c r="M159" s="20">
        <f>IFERROR(__xludf.DUMMYFUNCTION("FILTER(Datos!$E$2:$E1003, Datos!$F$2:$F1003=M$1, Datos!$G$2:$G1003=M$2, Datos!$A$2:$A1003=$A159)"),2776.198)</f>
        <v>2776.198</v>
      </c>
      <c r="N159" s="20">
        <f>IFERROR(__xludf.DUMMYFUNCTION("FILTER(Datos!$D$2:$D1003, Datos!$F$2:$F1003=N$1, Datos!$G$2:$G1003=N$2, Datos!$A$2:$A1003=$A159)"),2518.133)</f>
        <v>2518.133</v>
      </c>
      <c r="O159" s="20">
        <f>IFERROR(__xludf.DUMMYFUNCTION("FILTER(Datos!$E$2:$E1003, Datos!$F$2:$F1003=O$1, Datos!$G$2:$G1003=O$2, Datos!$A$2:$A1003=$A159)"),3556.446)</f>
        <v>3556.446</v>
      </c>
      <c r="P159" s="20">
        <f>IFERROR(__xludf.DUMMYFUNCTION("FILTER(Datos!$D$2:$D1003, Datos!$F$2:$F1003=P$1, Datos!$G$2:$G1003=P$2, Datos!$A$2:$A1003=$A159)"),3029.867)</f>
        <v>3029.867</v>
      </c>
      <c r="Q159" s="21">
        <f>IFERROR(__xludf.DUMMYFUNCTION("FILTER(Datos!$E$2:$E1003, Datos!$F$2:$F1003=Q$1, Datos!$G$2:$G1003=Q$2, Datos!$A$2:$A1003=$A159)"),4668.901)</f>
        <v>4668.901</v>
      </c>
    </row>
    <row r="160">
      <c r="A160" s="18">
        <f t="shared" si="2"/>
        <v>155</v>
      </c>
      <c r="B160" s="19">
        <f>IFERROR(__xludf.DUMMYFUNCTION("FILTER(Datos!$D$2:$D1003, Datos!$F$2:$F1003=B$1, Datos!$G$2:$G1003=B$2, Datos!$A$2:$A1003=$A160)"),1908.533)</f>
        <v>1908.533</v>
      </c>
      <c r="C160" s="20">
        <f>IFERROR(__xludf.DUMMYFUNCTION("FILTER(Datos!$E$2:$E1003, Datos!$F$2:$F1003=C$1, Datos!$G$2:$G1003=C$2, Datos!$A$2:$A1003=$A160)"),1991.657)</f>
        <v>1991.657</v>
      </c>
      <c r="D160" s="20">
        <f>IFERROR(__xludf.DUMMYFUNCTION("FILTER(Datos!$D$2:$D1003, Datos!$F$2:$F1003=D$1, Datos!$G$2:$G1003=D$2, Datos!$A$2:$A1003=$A160)"),2162.9)</f>
        <v>2162.9</v>
      </c>
      <c r="E160" s="20">
        <f>IFERROR(__xludf.DUMMYFUNCTION("FILTER(Datos!$E$2:$E1003, Datos!$F$2:$F1003=E$1, Datos!$G$2:$G1003=E$2, Datos!$A$2:$A1003=$A160)"),2260.872)</f>
        <v>2260.872</v>
      </c>
      <c r="F160" s="20">
        <f>IFERROR(__xludf.DUMMYFUNCTION("FILTER(Datos!$D$2:$D1003, Datos!$F$2:$F1003=F$1, Datos!$G$2:$G1003=F$2, Datos!$A$2:$A1003=$A160)"),2707.467)</f>
        <v>2707.467</v>
      </c>
      <c r="G160" s="20">
        <f>IFERROR(__xludf.DUMMYFUNCTION("FILTER(Datos!$E$2:$E1003, Datos!$F$2:$F1003=G$1, Datos!$G$2:$G1003=G$2, Datos!$A$2:$A1003=$A160)"),3034.403)</f>
        <v>3034.403</v>
      </c>
      <c r="H160" s="20">
        <f>IFERROR(__xludf.DUMMYFUNCTION("FILTER(Datos!$D$2:$D1003, Datos!$F$2:$F1003=H$1, Datos!$G$2:$G1003=H$2, Datos!$A$2:$A1003=$A160)"),3491.433)</f>
        <v>3491.433</v>
      </c>
      <c r="I160" s="21">
        <f>IFERROR(__xludf.DUMMYFUNCTION("FILTER(Datos!$E$2:$E1003, Datos!$F$2:$F1003=I$1, Datos!$G$2:$G1003=I$2, Datos!$A$2:$A1003=$A160)"),5058.899)</f>
        <v>5058.899</v>
      </c>
      <c r="J160" s="20">
        <f>IFERROR(__xludf.DUMMYFUNCTION("FILTER(Datos!$D$2:$D1003, Datos!$F$2:$F1003=J$1, Datos!$G$2:$G1003=J$2, Datos!$A$2:$A1003=$A160)"),1814.533)</f>
        <v>1814.533</v>
      </c>
      <c r="K160" s="20">
        <f>IFERROR(__xludf.DUMMYFUNCTION("FILTER(Datos!$E$2:$E1003, Datos!$F$2:$F1003=K$1, Datos!$G$2:$G1003=K$2, Datos!$A$2:$A1003=$A160)"),2284.855)</f>
        <v>2284.855</v>
      </c>
      <c r="L160" s="20">
        <f>IFERROR(__xludf.DUMMYFUNCTION("FILTER(Datos!$D$2:$D1003, Datos!$F$2:$F1003=L$1, Datos!$G$2:$G1003=L$2, Datos!$A$2:$A1003=$A160)"),2110.033)</f>
        <v>2110.033</v>
      </c>
      <c r="M160" s="20">
        <f>IFERROR(__xludf.DUMMYFUNCTION("FILTER(Datos!$E$2:$E1003, Datos!$F$2:$F1003=M$1, Datos!$G$2:$G1003=M$2, Datos!$A$2:$A1003=$A160)"),2765.672)</f>
        <v>2765.672</v>
      </c>
      <c r="N160" s="20">
        <f>IFERROR(__xludf.DUMMYFUNCTION("FILTER(Datos!$D$2:$D1003, Datos!$F$2:$F1003=N$1, Datos!$G$2:$G1003=N$2, Datos!$A$2:$A1003=$A160)"),2518.133)</f>
        <v>2518.133</v>
      </c>
      <c r="O160" s="20">
        <f>IFERROR(__xludf.DUMMYFUNCTION("FILTER(Datos!$E$2:$E1003, Datos!$F$2:$F1003=O$1, Datos!$G$2:$G1003=O$2, Datos!$A$2:$A1003=$A160)"),3556.178)</f>
        <v>3556.178</v>
      </c>
      <c r="P160" s="20">
        <f>IFERROR(__xludf.DUMMYFUNCTION("FILTER(Datos!$D$2:$D1003, Datos!$F$2:$F1003=P$1, Datos!$G$2:$G1003=P$2, Datos!$A$2:$A1003=$A160)"),3029.867)</f>
        <v>3029.867</v>
      </c>
      <c r="Q160" s="21">
        <f>IFERROR(__xludf.DUMMYFUNCTION("FILTER(Datos!$E$2:$E1003, Datos!$F$2:$F1003=Q$1, Datos!$G$2:$G1003=Q$2, Datos!$A$2:$A1003=$A160)"),4654.974)</f>
        <v>4654.974</v>
      </c>
    </row>
    <row r="161">
      <c r="A161" s="18">
        <f t="shared" si="2"/>
        <v>156</v>
      </c>
      <c r="B161" s="19">
        <f>IFERROR(__xludf.DUMMYFUNCTION("FILTER(Datos!$D$2:$D1003, Datos!$F$2:$F1003=B$1, Datos!$G$2:$G1003=B$2, Datos!$A$2:$A1003=$A161)"),1908.533)</f>
        <v>1908.533</v>
      </c>
      <c r="C161" s="20">
        <f>IFERROR(__xludf.DUMMYFUNCTION("FILTER(Datos!$E$2:$E1003, Datos!$F$2:$F1003=C$1, Datos!$G$2:$G1003=C$2, Datos!$A$2:$A1003=$A161)"),1995.157)</f>
        <v>1995.157</v>
      </c>
      <c r="D161" s="20">
        <f>IFERROR(__xludf.DUMMYFUNCTION("FILTER(Datos!$D$2:$D1003, Datos!$F$2:$F1003=D$1, Datos!$G$2:$G1003=D$2, Datos!$A$2:$A1003=$A161)"),2162.9)</f>
        <v>2162.9</v>
      </c>
      <c r="E161" s="20">
        <f>IFERROR(__xludf.DUMMYFUNCTION("FILTER(Datos!$E$2:$E1003, Datos!$F$2:$F1003=E$1, Datos!$G$2:$G1003=E$2, Datos!$A$2:$A1003=$A161)"),2261.889)</f>
        <v>2261.889</v>
      </c>
      <c r="F161" s="20">
        <f>IFERROR(__xludf.DUMMYFUNCTION("FILTER(Datos!$D$2:$D1003, Datos!$F$2:$F1003=F$1, Datos!$G$2:$G1003=F$2, Datos!$A$2:$A1003=$A161)"),2706.9)</f>
        <v>2706.9</v>
      </c>
      <c r="G161" s="20">
        <f>IFERROR(__xludf.DUMMYFUNCTION("FILTER(Datos!$E$2:$E1003, Datos!$F$2:$F1003=G$1, Datos!$G$2:$G1003=G$2, Datos!$A$2:$A1003=$A161)"),3030.687)</f>
        <v>3030.687</v>
      </c>
      <c r="H161" s="20">
        <f>IFERROR(__xludf.DUMMYFUNCTION("FILTER(Datos!$D$2:$D1003, Datos!$F$2:$F1003=H$1, Datos!$G$2:$G1003=H$2, Datos!$A$2:$A1003=$A161)"),3486.467)</f>
        <v>3486.467</v>
      </c>
      <c r="I161" s="21">
        <f>IFERROR(__xludf.DUMMYFUNCTION("FILTER(Datos!$E$2:$E1003, Datos!$F$2:$F1003=I$1, Datos!$G$2:$G1003=I$2, Datos!$A$2:$A1003=$A161)"),5022.687)</f>
        <v>5022.687</v>
      </c>
      <c r="J161" s="20">
        <f>IFERROR(__xludf.DUMMYFUNCTION("FILTER(Datos!$D$2:$D1003, Datos!$F$2:$F1003=J$1, Datos!$G$2:$G1003=J$2, Datos!$A$2:$A1003=$A161)"),1814.533)</f>
        <v>1814.533</v>
      </c>
      <c r="K161" s="20">
        <f>IFERROR(__xludf.DUMMYFUNCTION("FILTER(Datos!$E$2:$E1003, Datos!$F$2:$F1003=K$1, Datos!$G$2:$G1003=K$2, Datos!$A$2:$A1003=$A161)"),2286.174)</f>
        <v>2286.174</v>
      </c>
      <c r="L161" s="20">
        <f>IFERROR(__xludf.DUMMYFUNCTION("FILTER(Datos!$D$2:$D1003, Datos!$F$2:$F1003=L$1, Datos!$G$2:$G1003=L$2, Datos!$A$2:$A1003=$A161)"),2110.033)</f>
        <v>2110.033</v>
      </c>
      <c r="M161" s="20">
        <f>IFERROR(__xludf.DUMMYFUNCTION("FILTER(Datos!$E$2:$E1003, Datos!$F$2:$F1003=M$1, Datos!$G$2:$G1003=M$2, Datos!$A$2:$A1003=$A161)"),2758.564)</f>
        <v>2758.564</v>
      </c>
      <c r="N161" s="20">
        <f>IFERROR(__xludf.DUMMYFUNCTION("FILTER(Datos!$D$2:$D1003, Datos!$F$2:$F1003=N$1, Datos!$G$2:$G1003=N$2, Datos!$A$2:$A1003=$A161)"),2518.133)</f>
        <v>2518.133</v>
      </c>
      <c r="O161" s="20">
        <f>IFERROR(__xludf.DUMMYFUNCTION("FILTER(Datos!$E$2:$E1003, Datos!$F$2:$F1003=O$1, Datos!$G$2:$G1003=O$2, Datos!$A$2:$A1003=$A161)"),3560.087)</f>
        <v>3560.087</v>
      </c>
      <c r="P161" s="20">
        <f>IFERROR(__xludf.DUMMYFUNCTION("FILTER(Datos!$D$2:$D1003, Datos!$F$2:$F1003=P$1, Datos!$G$2:$G1003=P$2, Datos!$A$2:$A1003=$A161)"),3026.833)</f>
        <v>3026.833</v>
      </c>
      <c r="Q161" s="21">
        <f>IFERROR(__xludf.DUMMYFUNCTION("FILTER(Datos!$E$2:$E1003, Datos!$F$2:$F1003=Q$1, Datos!$G$2:$G1003=Q$2, Datos!$A$2:$A1003=$A161)"),4633.274)</f>
        <v>4633.274</v>
      </c>
    </row>
    <row r="162">
      <c r="A162" s="18">
        <f t="shared" si="2"/>
        <v>157</v>
      </c>
      <c r="B162" s="19">
        <f>IFERROR(__xludf.DUMMYFUNCTION("FILTER(Datos!$D$2:$D1003, Datos!$F$2:$F1003=B$1, Datos!$G$2:$G1003=B$2, Datos!$A$2:$A1003=$A162)"),1908.533)</f>
        <v>1908.533</v>
      </c>
      <c r="C162" s="20">
        <f>IFERROR(__xludf.DUMMYFUNCTION("FILTER(Datos!$E$2:$E1003, Datos!$F$2:$F1003=C$1, Datos!$G$2:$G1003=C$2, Datos!$A$2:$A1003=$A162)"),1993.151)</f>
        <v>1993.151</v>
      </c>
      <c r="D162" s="20">
        <f>IFERROR(__xludf.DUMMYFUNCTION("FILTER(Datos!$D$2:$D1003, Datos!$F$2:$F1003=D$1, Datos!$G$2:$G1003=D$2, Datos!$A$2:$A1003=$A162)"),2162.9)</f>
        <v>2162.9</v>
      </c>
      <c r="E162" s="20">
        <f>IFERROR(__xludf.DUMMYFUNCTION("FILTER(Datos!$E$2:$E1003, Datos!$F$2:$F1003=E$1, Datos!$G$2:$G1003=E$2, Datos!$A$2:$A1003=$A162)"),2260.788)</f>
        <v>2260.788</v>
      </c>
      <c r="F162" s="20">
        <f>IFERROR(__xludf.DUMMYFUNCTION("FILTER(Datos!$D$2:$D1003, Datos!$F$2:$F1003=F$1, Datos!$G$2:$G1003=F$2, Datos!$A$2:$A1003=$A162)"),2699.233)</f>
        <v>2699.233</v>
      </c>
      <c r="G162" s="20">
        <f>IFERROR(__xludf.DUMMYFUNCTION("FILTER(Datos!$E$2:$E1003, Datos!$F$2:$F1003=G$1, Datos!$G$2:$G1003=G$2, Datos!$A$2:$A1003=$A162)"),3023.975)</f>
        <v>3023.975</v>
      </c>
      <c r="H162" s="20">
        <f>IFERROR(__xludf.DUMMYFUNCTION("FILTER(Datos!$D$2:$D1003, Datos!$F$2:$F1003=H$1, Datos!$G$2:$G1003=H$2, Datos!$A$2:$A1003=$A162)"),3480.633)</f>
        <v>3480.633</v>
      </c>
      <c r="I162" s="21">
        <f>IFERROR(__xludf.DUMMYFUNCTION("FILTER(Datos!$E$2:$E1003, Datos!$F$2:$F1003=I$1, Datos!$G$2:$G1003=I$2, Datos!$A$2:$A1003=$A162)"),4993.135)</f>
        <v>4993.135</v>
      </c>
      <c r="J162" s="20">
        <f>IFERROR(__xludf.DUMMYFUNCTION("FILTER(Datos!$D$2:$D1003, Datos!$F$2:$F1003=J$1, Datos!$G$2:$G1003=J$2, Datos!$A$2:$A1003=$A162)"),1814.533)</f>
        <v>1814.533</v>
      </c>
      <c r="K162" s="20">
        <f>IFERROR(__xludf.DUMMYFUNCTION("FILTER(Datos!$E$2:$E1003, Datos!$F$2:$F1003=K$1, Datos!$G$2:$G1003=K$2, Datos!$A$2:$A1003=$A162)"),2281.429)</f>
        <v>2281.429</v>
      </c>
      <c r="L162" s="20">
        <f>IFERROR(__xludf.DUMMYFUNCTION("FILTER(Datos!$D$2:$D1003, Datos!$F$2:$F1003=L$1, Datos!$G$2:$G1003=L$2, Datos!$A$2:$A1003=$A162)"),2110.033)</f>
        <v>2110.033</v>
      </c>
      <c r="M162" s="20">
        <f>IFERROR(__xludf.DUMMYFUNCTION("FILTER(Datos!$E$2:$E1003, Datos!$F$2:$F1003=M$1, Datos!$G$2:$G1003=M$2, Datos!$A$2:$A1003=$A162)"),2763.698)</f>
        <v>2763.698</v>
      </c>
      <c r="N162" s="20">
        <f>IFERROR(__xludf.DUMMYFUNCTION("FILTER(Datos!$D$2:$D1003, Datos!$F$2:$F1003=N$1, Datos!$G$2:$G1003=N$2, Datos!$A$2:$A1003=$A162)"),2518.133)</f>
        <v>2518.133</v>
      </c>
      <c r="O162" s="20">
        <f>IFERROR(__xludf.DUMMYFUNCTION("FILTER(Datos!$E$2:$E1003, Datos!$F$2:$F1003=O$1, Datos!$G$2:$G1003=O$2, Datos!$A$2:$A1003=$A162)"),3569.552)</f>
        <v>3569.552</v>
      </c>
      <c r="P162" s="20">
        <f>IFERROR(__xludf.DUMMYFUNCTION("FILTER(Datos!$D$2:$D1003, Datos!$F$2:$F1003=P$1, Datos!$G$2:$G1003=P$2, Datos!$A$2:$A1003=$A162)"),3025.167)</f>
        <v>3025.167</v>
      </c>
      <c r="Q162" s="21">
        <f>IFERROR(__xludf.DUMMYFUNCTION("FILTER(Datos!$E$2:$E1003, Datos!$F$2:$F1003=Q$1, Datos!$G$2:$G1003=Q$2, Datos!$A$2:$A1003=$A162)"),4640.642)</f>
        <v>4640.642</v>
      </c>
    </row>
    <row r="163">
      <c r="A163" s="18">
        <f t="shared" si="2"/>
        <v>158</v>
      </c>
      <c r="B163" s="19">
        <f>IFERROR(__xludf.DUMMYFUNCTION("FILTER(Datos!$D$2:$D1003, Datos!$F$2:$F1003=B$1, Datos!$G$2:$G1003=B$2, Datos!$A$2:$A1003=$A163)"),1908.533)</f>
        <v>1908.533</v>
      </c>
      <c r="C163" s="20">
        <f>IFERROR(__xludf.DUMMYFUNCTION("FILTER(Datos!$E$2:$E1003, Datos!$F$2:$F1003=C$1, Datos!$G$2:$G1003=C$2, Datos!$A$2:$A1003=$A163)"),1992.715)</f>
        <v>1992.715</v>
      </c>
      <c r="D163" s="20">
        <f>IFERROR(__xludf.DUMMYFUNCTION("FILTER(Datos!$D$2:$D1003, Datos!$F$2:$F1003=D$1, Datos!$G$2:$G1003=D$2, Datos!$A$2:$A1003=$A163)"),2162.9)</f>
        <v>2162.9</v>
      </c>
      <c r="E163" s="20">
        <f>IFERROR(__xludf.DUMMYFUNCTION("FILTER(Datos!$E$2:$E1003, Datos!$F$2:$F1003=E$1, Datos!$G$2:$G1003=E$2, Datos!$A$2:$A1003=$A163)"),2260.004)</f>
        <v>2260.004</v>
      </c>
      <c r="F163" s="20">
        <f>IFERROR(__xludf.DUMMYFUNCTION("FILTER(Datos!$D$2:$D1003, Datos!$F$2:$F1003=F$1, Datos!$G$2:$G1003=F$2, Datos!$A$2:$A1003=$A163)"),2693.867)</f>
        <v>2693.867</v>
      </c>
      <c r="G163" s="20">
        <f>IFERROR(__xludf.DUMMYFUNCTION("FILTER(Datos!$E$2:$E1003, Datos!$F$2:$F1003=G$1, Datos!$G$2:$G1003=G$2, Datos!$A$2:$A1003=$A163)"),3007.783)</f>
        <v>3007.783</v>
      </c>
      <c r="H163" s="20">
        <f>IFERROR(__xludf.DUMMYFUNCTION("FILTER(Datos!$D$2:$D1003, Datos!$F$2:$F1003=H$1, Datos!$G$2:$G1003=H$2, Datos!$A$2:$A1003=$A163)"),3464.4)</f>
        <v>3464.4</v>
      </c>
      <c r="I163" s="21">
        <f>IFERROR(__xludf.DUMMYFUNCTION("FILTER(Datos!$E$2:$E1003, Datos!$F$2:$F1003=I$1, Datos!$G$2:$G1003=I$2, Datos!$A$2:$A1003=$A163)"),4955.422)</f>
        <v>4955.422</v>
      </c>
      <c r="J163" s="20">
        <f>IFERROR(__xludf.DUMMYFUNCTION("FILTER(Datos!$D$2:$D1003, Datos!$F$2:$F1003=J$1, Datos!$G$2:$G1003=J$2, Datos!$A$2:$A1003=$A163)"),1814.533)</f>
        <v>1814.533</v>
      </c>
      <c r="K163" s="20">
        <f>IFERROR(__xludf.DUMMYFUNCTION("FILTER(Datos!$E$2:$E1003, Datos!$F$2:$F1003=K$1, Datos!$G$2:$G1003=K$2, Datos!$A$2:$A1003=$A163)"),2273.634)</f>
        <v>2273.634</v>
      </c>
      <c r="L163" s="20">
        <f>IFERROR(__xludf.DUMMYFUNCTION("FILTER(Datos!$D$2:$D1003, Datos!$F$2:$F1003=L$1, Datos!$G$2:$G1003=L$2, Datos!$A$2:$A1003=$A163)"),2110.033)</f>
        <v>2110.033</v>
      </c>
      <c r="M163" s="20">
        <f>IFERROR(__xludf.DUMMYFUNCTION("FILTER(Datos!$E$2:$E1003, Datos!$F$2:$F1003=M$1, Datos!$G$2:$G1003=M$2, Datos!$A$2:$A1003=$A163)"),2777.104)</f>
        <v>2777.104</v>
      </c>
      <c r="N163" s="20">
        <f>IFERROR(__xludf.DUMMYFUNCTION("FILTER(Datos!$D$2:$D1003, Datos!$F$2:$F1003=N$1, Datos!$G$2:$G1003=N$2, Datos!$A$2:$A1003=$A163)"),2518.133)</f>
        <v>2518.133</v>
      </c>
      <c r="O163" s="20">
        <f>IFERROR(__xludf.DUMMYFUNCTION("FILTER(Datos!$E$2:$E1003, Datos!$F$2:$F1003=O$1, Datos!$G$2:$G1003=O$2, Datos!$A$2:$A1003=$A163)"),3583.684)</f>
        <v>3583.684</v>
      </c>
      <c r="P163" s="20">
        <f>IFERROR(__xludf.DUMMYFUNCTION("FILTER(Datos!$D$2:$D1003, Datos!$F$2:$F1003=P$1, Datos!$G$2:$G1003=P$2, Datos!$A$2:$A1003=$A163)"),3025.167)</f>
        <v>3025.167</v>
      </c>
      <c r="Q163" s="21">
        <f>IFERROR(__xludf.DUMMYFUNCTION("FILTER(Datos!$E$2:$E1003, Datos!$F$2:$F1003=Q$1, Datos!$G$2:$G1003=Q$2, Datos!$A$2:$A1003=$A163)"),4660.232)</f>
        <v>4660.232</v>
      </c>
    </row>
    <row r="164">
      <c r="A164" s="18">
        <f t="shared" si="2"/>
        <v>159</v>
      </c>
      <c r="B164" s="19">
        <f>IFERROR(__xludf.DUMMYFUNCTION("FILTER(Datos!$D$2:$D1003, Datos!$F$2:$F1003=B$1, Datos!$G$2:$G1003=B$2, Datos!$A$2:$A1003=$A164)"),1908.533)</f>
        <v>1908.533</v>
      </c>
      <c r="C164" s="20">
        <f>IFERROR(__xludf.DUMMYFUNCTION("FILTER(Datos!$E$2:$E1003, Datos!$F$2:$F1003=C$1, Datos!$G$2:$G1003=C$2, Datos!$A$2:$A1003=$A164)"),1996.944)</f>
        <v>1996.944</v>
      </c>
      <c r="D164" s="20">
        <f>IFERROR(__xludf.DUMMYFUNCTION("FILTER(Datos!$D$2:$D1003, Datos!$F$2:$F1003=D$1, Datos!$G$2:$G1003=D$2, Datos!$A$2:$A1003=$A164)"),2162.9)</f>
        <v>2162.9</v>
      </c>
      <c r="E164" s="20">
        <f>IFERROR(__xludf.DUMMYFUNCTION("FILTER(Datos!$E$2:$E1003, Datos!$F$2:$F1003=E$1, Datos!$G$2:$G1003=E$2, Datos!$A$2:$A1003=$A164)"),2262.343)</f>
        <v>2262.343</v>
      </c>
      <c r="F164" s="20">
        <f>IFERROR(__xludf.DUMMYFUNCTION("FILTER(Datos!$D$2:$D1003, Datos!$F$2:$F1003=F$1, Datos!$G$2:$G1003=F$2, Datos!$A$2:$A1003=$A164)"),2693.867)</f>
        <v>2693.867</v>
      </c>
      <c r="G164" s="20">
        <f>IFERROR(__xludf.DUMMYFUNCTION("FILTER(Datos!$E$2:$E1003, Datos!$F$2:$F1003=G$1, Datos!$G$2:$G1003=G$2, Datos!$A$2:$A1003=$A164)"),2992.506)</f>
        <v>2992.506</v>
      </c>
      <c r="H164" s="20">
        <f>IFERROR(__xludf.DUMMYFUNCTION("FILTER(Datos!$D$2:$D1003, Datos!$F$2:$F1003=H$1, Datos!$G$2:$G1003=H$2, Datos!$A$2:$A1003=$A164)"),3448.967)</f>
        <v>3448.967</v>
      </c>
      <c r="I164" s="21">
        <f>IFERROR(__xludf.DUMMYFUNCTION("FILTER(Datos!$E$2:$E1003, Datos!$F$2:$F1003=I$1, Datos!$G$2:$G1003=I$2, Datos!$A$2:$A1003=$A164)"),4914.928)</f>
        <v>4914.928</v>
      </c>
      <c r="J164" s="20">
        <f>IFERROR(__xludf.DUMMYFUNCTION("FILTER(Datos!$D$2:$D1003, Datos!$F$2:$F1003=J$1, Datos!$G$2:$G1003=J$2, Datos!$A$2:$A1003=$A164)"),1814.533)</f>
        <v>1814.533</v>
      </c>
      <c r="K164" s="20">
        <f>IFERROR(__xludf.DUMMYFUNCTION("FILTER(Datos!$E$2:$E1003, Datos!$F$2:$F1003=K$1, Datos!$G$2:$G1003=K$2, Datos!$A$2:$A1003=$A164)"),2281.335)</f>
        <v>2281.335</v>
      </c>
      <c r="L164" s="20">
        <f>IFERROR(__xludf.DUMMYFUNCTION("FILTER(Datos!$D$2:$D1003, Datos!$F$2:$F1003=L$1, Datos!$G$2:$G1003=L$2, Datos!$A$2:$A1003=$A164)"),2110.033)</f>
        <v>2110.033</v>
      </c>
      <c r="M164" s="20">
        <f>IFERROR(__xludf.DUMMYFUNCTION("FILTER(Datos!$E$2:$E1003, Datos!$F$2:$F1003=M$1, Datos!$G$2:$G1003=M$2, Datos!$A$2:$A1003=$A164)"),2767.413)</f>
        <v>2767.413</v>
      </c>
      <c r="N164" s="20">
        <f>IFERROR(__xludf.DUMMYFUNCTION("FILTER(Datos!$D$2:$D1003, Datos!$F$2:$F1003=N$1, Datos!$G$2:$G1003=N$2, Datos!$A$2:$A1003=$A164)"),2518.133)</f>
        <v>2518.133</v>
      </c>
      <c r="O164" s="20">
        <f>IFERROR(__xludf.DUMMYFUNCTION("FILTER(Datos!$E$2:$E1003, Datos!$F$2:$F1003=O$1, Datos!$G$2:$G1003=O$2, Datos!$A$2:$A1003=$A164)"),3575.02)</f>
        <v>3575.02</v>
      </c>
      <c r="P164" s="20">
        <f>IFERROR(__xludf.DUMMYFUNCTION("FILTER(Datos!$D$2:$D1003, Datos!$F$2:$F1003=P$1, Datos!$G$2:$G1003=P$2, Datos!$A$2:$A1003=$A164)"),3021.5)</f>
        <v>3021.5</v>
      </c>
      <c r="Q164" s="21">
        <f>IFERROR(__xludf.DUMMYFUNCTION("FILTER(Datos!$E$2:$E1003, Datos!$F$2:$F1003=Q$1, Datos!$G$2:$G1003=Q$2, Datos!$A$2:$A1003=$A164)"),4663.62)</f>
        <v>4663.62</v>
      </c>
    </row>
    <row r="165">
      <c r="A165" s="18">
        <f t="shared" si="2"/>
        <v>160</v>
      </c>
      <c r="B165" s="19">
        <f>IFERROR(__xludf.DUMMYFUNCTION("FILTER(Datos!$D$2:$D1003, Datos!$F$2:$F1003=B$1, Datos!$G$2:$G1003=B$2, Datos!$A$2:$A1003=$A165)"),1908.267)</f>
        <v>1908.267</v>
      </c>
      <c r="C165" s="20">
        <f>IFERROR(__xludf.DUMMYFUNCTION("FILTER(Datos!$E$2:$E1003, Datos!$F$2:$F1003=C$1, Datos!$G$2:$G1003=C$2, Datos!$A$2:$A1003=$A165)"),1993.098)</f>
        <v>1993.098</v>
      </c>
      <c r="D165" s="20">
        <f>IFERROR(__xludf.DUMMYFUNCTION("FILTER(Datos!$D$2:$D1003, Datos!$F$2:$F1003=D$1, Datos!$G$2:$G1003=D$2, Datos!$A$2:$A1003=$A165)"),2162.9)</f>
        <v>2162.9</v>
      </c>
      <c r="E165" s="20">
        <f>IFERROR(__xludf.DUMMYFUNCTION("FILTER(Datos!$E$2:$E1003, Datos!$F$2:$F1003=E$1, Datos!$G$2:$G1003=E$2, Datos!$A$2:$A1003=$A165)"),2260.513)</f>
        <v>2260.513</v>
      </c>
      <c r="F165" s="20">
        <f>IFERROR(__xludf.DUMMYFUNCTION("FILTER(Datos!$D$2:$D1003, Datos!$F$2:$F1003=F$1, Datos!$G$2:$G1003=F$2, Datos!$A$2:$A1003=$A165)"),2689.367)</f>
        <v>2689.367</v>
      </c>
      <c r="G165" s="20">
        <f>IFERROR(__xludf.DUMMYFUNCTION("FILTER(Datos!$E$2:$E1003, Datos!$F$2:$F1003=G$1, Datos!$G$2:$G1003=G$2, Datos!$A$2:$A1003=$A165)"),2973.546)</f>
        <v>2973.546</v>
      </c>
      <c r="H165" s="20">
        <f>IFERROR(__xludf.DUMMYFUNCTION("FILTER(Datos!$D$2:$D1003, Datos!$F$2:$F1003=H$1, Datos!$G$2:$G1003=H$2, Datos!$A$2:$A1003=$A165)"),3439.1)</f>
        <v>3439.1</v>
      </c>
      <c r="I165" s="21">
        <f>IFERROR(__xludf.DUMMYFUNCTION("FILTER(Datos!$E$2:$E1003, Datos!$F$2:$F1003=I$1, Datos!$G$2:$G1003=I$2, Datos!$A$2:$A1003=$A165)"),4891.22)</f>
        <v>4891.22</v>
      </c>
      <c r="J165" s="20">
        <f>IFERROR(__xludf.DUMMYFUNCTION("FILTER(Datos!$D$2:$D1003, Datos!$F$2:$F1003=J$1, Datos!$G$2:$G1003=J$2, Datos!$A$2:$A1003=$A165)"),1814.533)</f>
        <v>1814.533</v>
      </c>
      <c r="K165" s="20">
        <f>IFERROR(__xludf.DUMMYFUNCTION("FILTER(Datos!$E$2:$E1003, Datos!$F$2:$F1003=K$1, Datos!$G$2:$G1003=K$2, Datos!$A$2:$A1003=$A165)"),2281.28)</f>
        <v>2281.28</v>
      </c>
      <c r="L165" s="20">
        <f>IFERROR(__xludf.DUMMYFUNCTION("FILTER(Datos!$D$2:$D1003, Datos!$F$2:$F1003=L$1, Datos!$G$2:$G1003=L$2, Datos!$A$2:$A1003=$A165)"),2110.033)</f>
        <v>2110.033</v>
      </c>
      <c r="M165" s="20">
        <f>IFERROR(__xludf.DUMMYFUNCTION("FILTER(Datos!$E$2:$E1003, Datos!$F$2:$F1003=M$1, Datos!$G$2:$G1003=M$2, Datos!$A$2:$A1003=$A165)"),2758.455)</f>
        <v>2758.455</v>
      </c>
      <c r="N165" s="20">
        <f>IFERROR(__xludf.DUMMYFUNCTION("FILTER(Datos!$D$2:$D1003, Datos!$F$2:$F1003=N$1, Datos!$G$2:$G1003=N$2, Datos!$A$2:$A1003=$A165)"),2517.2)</f>
        <v>2517.2</v>
      </c>
      <c r="O165" s="20">
        <f>IFERROR(__xludf.DUMMYFUNCTION("FILTER(Datos!$E$2:$E1003, Datos!$F$2:$F1003=O$1, Datos!$G$2:$G1003=O$2, Datos!$A$2:$A1003=$A165)"),3549.911)</f>
        <v>3549.911</v>
      </c>
      <c r="P165" s="20">
        <f>IFERROR(__xludf.DUMMYFUNCTION("FILTER(Datos!$D$2:$D1003, Datos!$F$2:$F1003=P$1, Datos!$G$2:$G1003=P$2, Datos!$A$2:$A1003=$A165)"),3017.267)</f>
        <v>3017.267</v>
      </c>
      <c r="Q165" s="21">
        <f>IFERROR(__xludf.DUMMYFUNCTION("FILTER(Datos!$E$2:$E1003, Datos!$F$2:$F1003=Q$1, Datos!$G$2:$G1003=Q$2, Datos!$A$2:$A1003=$A165)"),4679.524)</f>
        <v>4679.524</v>
      </c>
    </row>
    <row r="166">
      <c r="A166" s="18">
        <f t="shared" si="2"/>
        <v>161</v>
      </c>
      <c r="B166" s="19">
        <f>IFERROR(__xludf.DUMMYFUNCTION("FILTER(Datos!$D$2:$D1003, Datos!$F$2:$F1003=B$1, Datos!$G$2:$G1003=B$2, Datos!$A$2:$A1003=$A166)"),1906.633)</f>
        <v>1906.633</v>
      </c>
      <c r="C166" s="20">
        <f>IFERROR(__xludf.DUMMYFUNCTION("FILTER(Datos!$E$2:$E1003, Datos!$F$2:$F1003=C$1, Datos!$G$2:$G1003=C$2, Datos!$A$2:$A1003=$A166)"),1989.915)</f>
        <v>1989.915</v>
      </c>
      <c r="D166" s="20">
        <f>IFERROR(__xludf.DUMMYFUNCTION("FILTER(Datos!$D$2:$D1003, Datos!$F$2:$F1003=D$1, Datos!$G$2:$G1003=D$2, Datos!$A$2:$A1003=$A166)"),2162.9)</f>
        <v>2162.9</v>
      </c>
      <c r="E166" s="20">
        <f>IFERROR(__xludf.DUMMYFUNCTION("FILTER(Datos!$E$2:$E1003, Datos!$F$2:$F1003=E$1, Datos!$G$2:$G1003=E$2, Datos!$A$2:$A1003=$A166)"),2258.71)</f>
        <v>2258.71</v>
      </c>
      <c r="F166" s="20">
        <f>IFERROR(__xludf.DUMMYFUNCTION("FILTER(Datos!$D$2:$D1003, Datos!$F$2:$F1003=F$1, Datos!$G$2:$G1003=F$2, Datos!$A$2:$A1003=$A166)"),2689.367)</f>
        <v>2689.367</v>
      </c>
      <c r="G166" s="20">
        <f>IFERROR(__xludf.DUMMYFUNCTION("FILTER(Datos!$E$2:$E1003, Datos!$F$2:$F1003=G$1, Datos!$G$2:$G1003=G$2, Datos!$A$2:$A1003=$A166)"),2969.915)</f>
        <v>2969.915</v>
      </c>
      <c r="H166" s="20">
        <f>IFERROR(__xludf.DUMMYFUNCTION("FILTER(Datos!$D$2:$D1003, Datos!$F$2:$F1003=H$1, Datos!$G$2:$G1003=H$2, Datos!$A$2:$A1003=$A166)"),3435.8)</f>
        <v>3435.8</v>
      </c>
      <c r="I166" s="21">
        <f>IFERROR(__xludf.DUMMYFUNCTION("FILTER(Datos!$E$2:$E1003, Datos!$F$2:$F1003=I$1, Datos!$G$2:$G1003=I$2, Datos!$A$2:$A1003=$A166)"),4859.474)</f>
        <v>4859.474</v>
      </c>
      <c r="J166" s="20">
        <f>IFERROR(__xludf.DUMMYFUNCTION("FILTER(Datos!$D$2:$D1003, Datos!$F$2:$F1003=J$1, Datos!$G$2:$G1003=J$2, Datos!$A$2:$A1003=$A166)"),1814.533)</f>
        <v>1814.533</v>
      </c>
      <c r="K166" s="20">
        <f>IFERROR(__xludf.DUMMYFUNCTION("FILTER(Datos!$E$2:$E1003, Datos!$F$2:$F1003=K$1, Datos!$G$2:$G1003=K$2, Datos!$A$2:$A1003=$A166)"),2283.164)</f>
        <v>2283.164</v>
      </c>
      <c r="L166" s="20">
        <f>IFERROR(__xludf.DUMMYFUNCTION("FILTER(Datos!$D$2:$D1003, Datos!$F$2:$F1003=L$1, Datos!$G$2:$G1003=L$2, Datos!$A$2:$A1003=$A166)"),2110.033)</f>
        <v>2110.033</v>
      </c>
      <c r="M166" s="20">
        <f>IFERROR(__xludf.DUMMYFUNCTION("FILTER(Datos!$E$2:$E1003, Datos!$F$2:$F1003=M$1, Datos!$G$2:$G1003=M$2, Datos!$A$2:$A1003=$A166)"),2744.627)</f>
        <v>2744.627</v>
      </c>
      <c r="N166" s="20">
        <f>IFERROR(__xludf.DUMMYFUNCTION("FILTER(Datos!$D$2:$D1003, Datos!$F$2:$F1003=N$1, Datos!$G$2:$G1003=N$2, Datos!$A$2:$A1003=$A166)"),2517.2)</f>
        <v>2517.2</v>
      </c>
      <c r="O166" s="20">
        <f>IFERROR(__xludf.DUMMYFUNCTION("FILTER(Datos!$E$2:$E1003, Datos!$F$2:$F1003=O$1, Datos!$G$2:$G1003=O$2, Datos!$A$2:$A1003=$A166)"),3559.543)</f>
        <v>3559.543</v>
      </c>
      <c r="P166" s="20">
        <f>IFERROR(__xludf.DUMMYFUNCTION("FILTER(Datos!$D$2:$D1003, Datos!$F$2:$F1003=P$1, Datos!$G$2:$G1003=P$2, Datos!$A$2:$A1003=$A166)"),3016.533)</f>
        <v>3016.533</v>
      </c>
      <c r="Q166" s="21">
        <f>IFERROR(__xludf.DUMMYFUNCTION("FILTER(Datos!$E$2:$E1003, Datos!$F$2:$F1003=Q$1, Datos!$G$2:$G1003=Q$2, Datos!$A$2:$A1003=$A166)"),4657.715)</f>
        <v>4657.715</v>
      </c>
    </row>
    <row r="167">
      <c r="A167" s="18">
        <f t="shared" si="2"/>
        <v>162</v>
      </c>
      <c r="B167" s="19">
        <f>IFERROR(__xludf.DUMMYFUNCTION("FILTER(Datos!$D$2:$D1003, Datos!$F$2:$F1003=B$1, Datos!$G$2:$G1003=B$2, Datos!$A$2:$A1003=$A167)"),1906.633)</f>
        <v>1906.633</v>
      </c>
      <c r="C167" s="20">
        <f>IFERROR(__xludf.DUMMYFUNCTION("FILTER(Datos!$E$2:$E1003, Datos!$F$2:$F1003=C$1, Datos!$G$2:$G1003=C$2, Datos!$A$2:$A1003=$A167)"),1993.325)</f>
        <v>1993.325</v>
      </c>
      <c r="D167" s="20">
        <f>IFERROR(__xludf.DUMMYFUNCTION("FILTER(Datos!$D$2:$D1003, Datos!$F$2:$F1003=D$1, Datos!$G$2:$G1003=D$2, Datos!$A$2:$A1003=$A167)"),2162.9)</f>
        <v>2162.9</v>
      </c>
      <c r="E167" s="20">
        <f>IFERROR(__xludf.DUMMYFUNCTION("FILTER(Datos!$E$2:$E1003, Datos!$F$2:$F1003=E$1, Datos!$G$2:$G1003=E$2, Datos!$A$2:$A1003=$A167)"),2260.746)</f>
        <v>2260.746</v>
      </c>
      <c r="F167" s="20">
        <f>IFERROR(__xludf.DUMMYFUNCTION("FILTER(Datos!$D$2:$D1003, Datos!$F$2:$F1003=F$1, Datos!$G$2:$G1003=F$2, Datos!$A$2:$A1003=$A167)"),2689.133)</f>
        <v>2689.133</v>
      </c>
      <c r="G167" s="20">
        <f>IFERROR(__xludf.DUMMYFUNCTION("FILTER(Datos!$E$2:$E1003, Datos!$F$2:$F1003=G$1, Datos!$G$2:$G1003=G$2, Datos!$A$2:$A1003=$A167)"),2957.947)</f>
        <v>2957.947</v>
      </c>
      <c r="H167" s="20">
        <f>IFERROR(__xludf.DUMMYFUNCTION("FILTER(Datos!$D$2:$D1003, Datos!$F$2:$F1003=H$1, Datos!$G$2:$G1003=H$2, Datos!$A$2:$A1003=$A167)"),3427.467)</f>
        <v>3427.467</v>
      </c>
      <c r="I167" s="21">
        <f>IFERROR(__xludf.DUMMYFUNCTION("FILTER(Datos!$E$2:$E1003, Datos!$F$2:$F1003=I$1, Datos!$G$2:$G1003=I$2, Datos!$A$2:$A1003=$A167)"),4839.667)</f>
        <v>4839.667</v>
      </c>
      <c r="J167" s="20">
        <f>IFERROR(__xludf.DUMMYFUNCTION("FILTER(Datos!$D$2:$D1003, Datos!$F$2:$F1003=J$1, Datos!$G$2:$G1003=J$2, Datos!$A$2:$A1003=$A167)"),1814.533)</f>
        <v>1814.533</v>
      </c>
      <c r="K167" s="20">
        <f>IFERROR(__xludf.DUMMYFUNCTION("FILTER(Datos!$E$2:$E1003, Datos!$F$2:$F1003=K$1, Datos!$G$2:$G1003=K$2, Datos!$A$2:$A1003=$A167)"),2281.986)</f>
        <v>2281.986</v>
      </c>
      <c r="L167" s="20">
        <f>IFERROR(__xludf.DUMMYFUNCTION("FILTER(Datos!$D$2:$D1003, Datos!$F$2:$F1003=L$1, Datos!$G$2:$G1003=L$2, Datos!$A$2:$A1003=$A167)"),2110.033)</f>
        <v>2110.033</v>
      </c>
      <c r="M167" s="20">
        <f>IFERROR(__xludf.DUMMYFUNCTION("FILTER(Datos!$E$2:$E1003, Datos!$F$2:$F1003=M$1, Datos!$G$2:$G1003=M$2, Datos!$A$2:$A1003=$A167)"),2742.835)</f>
        <v>2742.835</v>
      </c>
      <c r="N167" s="20">
        <f>IFERROR(__xludf.DUMMYFUNCTION("FILTER(Datos!$D$2:$D1003, Datos!$F$2:$F1003=N$1, Datos!$G$2:$G1003=N$2, Datos!$A$2:$A1003=$A167)"),2517.2)</f>
        <v>2517.2</v>
      </c>
      <c r="O167" s="20">
        <f>IFERROR(__xludf.DUMMYFUNCTION("FILTER(Datos!$E$2:$E1003, Datos!$F$2:$F1003=O$1, Datos!$G$2:$G1003=O$2, Datos!$A$2:$A1003=$A167)"),3550.785)</f>
        <v>3550.785</v>
      </c>
      <c r="P167" s="20">
        <f>IFERROR(__xludf.DUMMYFUNCTION("FILTER(Datos!$D$2:$D1003, Datos!$F$2:$F1003=P$1, Datos!$G$2:$G1003=P$2, Datos!$A$2:$A1003=$A167)"),3016.533)</f>
        <v>3016.533</v>
      </c>
      <c r="Q167" s="21">
        <f>IFERROR(__xludf.DUMMYFUNCTION("FILTER(Datos!$E$2:$E1003, Datos!$F$2:$F1003=Q$1, Datos!$G$2:$G1003=Q$2, Datos!$A$2:$A1003=$A167)"),4624.986)</f>
        <v>4624.986</v>
      </c>
    </row>
    <row r="168">
      <c r="A168" s="18">
        <f t="shared" si="2"/>
        <v>163</v>
      </c>
      <c r="B168" s="19">
        <f>IFERROR(__xludf.DUMMYFUNCTION("FILTER(Datos!$D$2:$D1003, Datos!$F$2:$F1003=B$1, Datos!$G$2:$G1003=B$2, Datos!$A$2:$A1003=$A168)"),1906.633)</f>
        <v>1906.633</v>
      </c>
      <c r="C168" s="20">
        <f>IFERROR(__xludf.DUMMYFUNCTION("FILTER(Datos!$E$2:$E1003, Datos!$F$2:$F1003=C$1, Datos!$G$2:$G1003=C$2, Datos!$A$2:$A1003=$A168)"),1991.653)</f>
        <v>1991.653</v>
      </c>
      <c r="D168" s="20">
        <f>IFERROR(__xludf.DUMMYFUNCTION("FILTER(Datos!$D$2:$D1003, Datos!$F$2:$F1003=D$1, Datos!$G$2:$G1003=D$2, Datos!$A$2:$A1003=$A168)"),2162.9)</f>
        <v>2162.9</v>
      </c>
      <c r="E168" s="20">
        <f>IFERROR(__xludf.DUMMYFUNCTION("FILTER(Datos!$E$2:$E1003, Datos!$F$2:$F1003=E$1, Datos!$G$2:$G1003=E$2, Datos!$A$2:$A1003=$A168)"),2260.529)</f>
        <v>2260.529</v>
      </c>
      <c r="F168" s="20">
        <f>IFERROR(__xludf.DUMMYFUNCTION("FILTER(Datos!$D$2:$D1003, Datos!$F$2:$F1003=F$1, Datos!$G$2:$G1003=F$2, Datos!$A$2:$A1003=$A168)"),2689.133)</f>
        <v>2689.133</v>
      </c>
      <c r="G168" s="20">
        <f>IFERROR(__xludf.DUMMYFUNCTION("FILTER(Datos!$E$2:$E1003, Datos!$F$2:$F1003=G$1, Datos!$G$2:$G1003=G$2, Datos!$A$2:$A1003=$A168)"),2946.129)</f>
        <v>2946.129</v>
      </c>
      <c r="H168" s="20">
        <f>IFERROR(__xludf.DUMMYFUNCTION("FILTER(Datos!$D$2:$D1003, Datos!$F$2:$F1003=H$1, Datos!$G$2:$G1003=H$2, Datos!$A$2:$A1003=$A168)"),3408.867)</f>
        <v>3408.867</v>
      </c>
      <c r="I168" s="21">
        <f>IFERROR(__xludf.DUMMYFUNCTION("FILTER(Datos!$E$2:$E1003, Datos!$F$2:$F1003=I$1, Datos!$G$2:$G1003=I$2, Datos!$A$2:$A1003=$A168)"),4802.453)</f>
        <v>4802.453</v>
      </c>
      <c r="J168" s="20">
        <f>IFERROR(__xludf.DUMMYFUNCTION("FILTER(Datos!$D$2:$D1003, Datos!$F$2:$F1003=J$1, Datos!$G$2:$G1003=J$2, Datos!$A$2:$A1003=$A168)"),1814.533)</f>
        <v>1814.533</v>
      </c>
      <c r="K168" s="20">
        <f>IFERROR(__xludf.DUMMYFUNCTION("FILTER(Datos!$E$2:$E1003, Datos!$F$2:$F1003=K$1, Datos!$G$2:$G1003=K$2, Datos!$A$2:$A1003=$A168)"),2282.059)</f>
        <v>2282.059</v>
      </c>
      <c r="L168" s="20">
        <f>IFERROR(__xludf.DUMMYFUNCTION("FILTER(Datos!$D$2:$D1003, Datos!$F$2:$F1003=L$1, Datos!$G$2:$G1003=L$2, Datos!$A$2:$A1003=$A168)"),2110.033)</f>
        <v>2110.033</v>
      </c>
      <c r="M168" s="20">
        <f>IFERROR(__xludf.DUMMYFUNCTION("FILTER(Datos!$E$2:$E1003, Datos!$F$2:$F1003=M$1, Datos!$G$2:$G1003=M$2, Datos!$A$2:$A1003=$A168)"),2745.723)</f>
        <v>2745.723</v>
      </c>
      <c r="N168" s="20">
        <f>IFERROR(__xludf.DUMMYFUNCTION("FILTER(Datos!$D$2:$D1003, Datos!$F$2:$F1003=N$1, Datos!$G$2:$G1003=N$2, Datos!$A$2:$A1003=$A168)"),2517.2)</f>
        <v>2517.2</v>
      </c>
      <c r="O168" s="20">
        <f>IFERROR(__xludf.DUMMYFUNCTION("FILTER(Datos!$E$2:$E1003, Datos!$F$2:$F1003=O$1, Datos!$G$2:$G1003=O$2, Datos!$A$2:$A1003=$A168)"),3526.587)</f>
        <v>3526.587</v>
      </c>
      <c r="P168" s="20">
        <f>IFERROR(__xludf.DUMMYFUNCTION("FILTER(Datos!$D$2:$D1003, Datos!$F$2:$F1003=P$1, Datos!$G$2:$G1003=P$2, Datos!$A$2:$A1003=$A168)"),3012.033)</f>
        <v>3012.033</v>
      </c>
      <c r="Q168" s="21">
        <f>IFERROR(__xludf.DUMMYFUNCTION("FILTER(Datos!$E$2:$E1003, Datos!$F$2:$F1003=Q$1, Datos!$G$2:$G1003=Q$2, Datos!$A$2:$A1003=$A168)"),4621.34)</f>
        <v>4621.34</v>
      </c>
    </row>
    <row r="169">
      <c r="A169" s="18">
        <f t="shared" si="2"/>
        <v>164</v>
      </c>
      <c r="B169" s="19">
        <f>IFERROR(__xludf.DUMMYFUNCTION("FILTER(Datos!$D$2:$D1003, Datos!$F$2:$F1003=B$1, Datos!$G$2:$G1003=B$2, Datos!$A$2:$A1003=$A169)"),1906.633)</f>
        <v>1906.633</v>
      </c>
      <c r="C169" s="20">
        <f>IFERROR(__xludf.DUMMYFUNCTION("FILTER(Datos!$E$2:$E1003, Datos!$F$2:$F1003=C$1, Datos!$G$2:$G1003=C$2, Datos!$A$2:$A1003=$A169)"),1990.866)</f>
        <v>1990.866</v>
      </c>
      <c r="D169" s="20">
        <f>IFERROR(__xludf.DUMMYFUNCTION("FILTER(Datos!$D$2:$D1003, Datos!$F$2:$F1003=D$1, Datos!$G$2:$G1003=D$2, Datos!$A$2:$A1003=$A169)"),2162.9)</f>
        <v>2162.9</v>
      </c>
      <c r="E169" s="20">
        <f>IFERROR(__xludf.DUMMYFUNCTION("FILTER(Datos!$E$2:$E1003, Datos!$F$2:$F1003=E$1, Datos!$G$2:$G1003=E$2, Datos!$A$2:$A1003=$A169)"),2260.25)</f>
        <v>2260.25</v>
      </c>
      <c r="F169" s="20">
        <f>IFERROR(__xludf.DUMMYFUNCTION("FILTER(Datos!$D$2:$D1003, Datos!$F$2:$F1003=F$1, Datos!$G$2:$G1003=F$2, Datos!$A$2:$A1003=$A169)"),2689.133)</f>
        <v>2689.133</v>
      </c>
      <c r="G169" s="20">
        <f>IFERROR(__xludf.DUMMYFUNCTION("FILTER(Datos!$E$2:$E1003, Datos!$F$2:$F1003=G$1, Datos!$G$2:$G1003=G$2, Datos!$A$2:$A1003=$A169)"),2944.533)</f>
        <v>2944.533</v>
      </c>
      <c r="H169" s="20">
        <f>IFERROR(__xludf.DUMMYFUNCTION("FILTER(Datos!$D$2:$D1003, Datos!$F$2:$F1003=H$1, Datos!$G$2:$G1003=H$2, Datos!$A$2:$A1003=$A169)"),3385.367)</f>
        <v>3385.367</v>
      </c>
      <c r="I169" s="21">
        <f>IFERROR(__xludf.DUMMYFUNCTION("FILTER(Datos!$E$2:$E1003, Datos!$F$2:$F1003=I$1, Datos!$G$2:$G1003=I$2, Datos!$A$2:$A1003=$A169)"),4790.986)</f>
        <v>4790.986</v>
      </c>
      <c r="J169" s="20">
        <f>IFERROR(__xludf.DUMMYFUNCTION("FILTER(Datos!$D$2:$D1003, Datos!$F$2:$F1003=J$1, Datos!$G$2:$G1003=J$2, Datos!$A$2:$A1003=$A169)"),1814.533)</f>
        <v>1814.533</v>
      </c>
      <c r="K169" s="20">
        <f>IFERROR(__xludf.DUMMYFUNCTION("FILTER(Datos!$E$2:$E1003, Datos!$F$2:$F1003=K$1, Datos!$G$2:$G1003=K$2, Datos!$A$2:$A1003=$A169)"),2284.277)</f>
        <v>2284.277</v>
      </c>
      <c r="L169" s="20">
        <f>IFERROR(__xludf.DUMMYFUNCTION("FILTER(Datos!$D$2:$D1003, Datos!$F$2:$F1003=L$1, Datos!$G$2:$G1003=L$2, Datos!$A$2:$A1003=$A169)"),2110.033)</f>
        <v>2110.033</v>
      </c>
      <c r="M169" s="20">
        <f>IFERROR(__xludf.DUMMYFUNCTION("FILTER(Datos!$E$2:$E1003, Datos!$F$2:$F1003=M$1, Datos!$G$2:$G1003=M$2, Datos!$A$2:$A1003=$A169)"),2741.291)</f>
        <v>2741.291</v>
      </c>
      <c r="N169" s="20">
        <f>IFERROR(__xludf.DUMMYFUNCTION("FILTER(Datos!$D$2:$D1003, Datos!$F$2:$F1003=N$1, Datos!$G$2:$G1003=N$2, Datos!$A$2:$A1003=$A169)"),2517.2)</f>
        <v>2517.2</v>
      </c>
      <c r="O169" s="20">
        <f>IFERROR(__xludf.DUMMYFUNCTION("FILTER(Datos!$E$2:$E1003, Datos!$F$2:$F1003=O$1, Datos!$G$2:$G1003=O$2, Datos!$A$2:$A1003=$A169)"),3542.223)</f>
        <v>3542.223</v>
      </c>
      <c r="P169" s="20">
        <f>IFERROR(__xludf.DUMMYFUNCTION("FILTER(Datos!$D$2:$D1003, Datos!$F$2:$F1003=P$1, Datos!$G$2:$G1003=P$2, Datos!$A$2:$A1003=$A169)"),3012.033)</f>
        <v>3012.033</v>
      </c>
      <c r="Q169" s="21">
        <f>IFERROR(__xludf.DUMMYFUNCTION("FILTER(Datos!$E$2:$E1003, Datos!$F$2:$F1003=Q$1, Datos!$G$2:$G1003=Q$2, Datos!$A$2:$A1003=$A169)"),4586.776)</f>
        <v>4586.776</v>
      </c>
    </row>
    <row r="170">
      <c r="A170" s="18">
        <f t="shared" si="2"/>
        <v>165</v>
      </c>
      <c r="B170" s="19">
        <f>IFERROR(__xludf.DUMMYFUNCTION("FILTER(Datos!$D$2:$D1003, Datos!$F$2:$F1003=B$1, Datos!$G$2:$G1003=B$2, Datos!$A$2:$A1003=$A170)"),1906.633)</f>
        <v>1906.633</v>
      </c>
      <c r="C170" s="20">
        <f>IFERROR(__xludf.DUMMYFUNCTION("FILTER(Datos!$E$2:$E1003, Datos!$F$2:$F1003=C$1, Datos!$G$2:$G1003=C$2, Datos!$A$2:$A1003=$A170)"),1988.351)</f>
        <v>1988.351</v>
      </c>
      <c r="D170" s="20">
        <f>IFERROR(__xludf.DUMMYFUNCTION("FILTER(Datos!$D$2:$D1003, Datos!$F$2:$F1003=D$1, Datos!$G$2:$G1003=D$2, Datos!$A$2:$A1003=$A170)"),2162.9)</f>
        <v>2162.9</v>
      </c>
      <c r="E170" s="20">
        <f>IFERROR(__xludf.DUMMYFUNCTION("FILTER(Datos!$E$2:$E1003, Datos!$F$2:$F1003=E$1, Datos!$G$2:$G1003=E$2, Datos!$A$2:$A1003=$A170)"),2260.846)</f>
        <v>2260.846</v>
      </c>
      <c r="F170" s="20">
        <f>IFERROR(__xludf.DUMMYFUNCTION("FILTER(Datos!$D$2:$D1003, Datos!$F$2:$F1003=F$1, Datos!$G$2:$G1003=F$2, Datos!$A$2:$A1003=$A170)"),2689.133)</f>
        <v>2689.133</v>
      </c>
      <c r="G170" s="20">
        <f>IFERROR(__xludf.DUMMYFUNCTION("FILTER(Datos!$E$2:$E1003, Datos!$F$2:$F1003=G$1, Datos!$G$2:$G1003=G$2, Datos!$A$2:$A1003=$A170)"),2939.749)</f>
        <v>2939.749</v>
      </c>
      <c r="H170" s="20">
        <f>IFERROR(__xludf.DUMMYFUNCTION("FILTER(Datos!$D$2:$D1003, Datos!$F$2:$F1003=H$1, Datos!$G$2:$G1003=H$2, Datos!$A$2:$A1003=$A170)"),3373.6)</f>
        <v>3373.6</v>
      </c>
      <c r="I170" s="21">
        <f>IFERROR(__xludf.DUMMYFUNCTION("FILTER(Datos!$E$2:$E1003, Datos!$F$2:$F1003=I$1, Datos!$G$2:$G1003=I$2, Datos!$A$2:$A1003=$A170)"),4755.013)</f>
        <v>4755.013</v>
      </c>
      <c r="J170" s="20">
        <f>IFERROR(__xludf.DUMMYFUNCTION("FILTER(Datos!$D$2:$D1003, Datos!$F$2:$F1003=J$1, Datos!$G$2:$G1003=J$2, Datos!$A$2:$A1003=$A170)"),1814.533)</f>
        <v>1814.533</v>
      </c>
      <c r="K170" s="20">
        <f>IFERROR(__xludf.DUMMYFUNCTION("FILTER(Datos!$E$2:$E1003, Datos!$F$2:$F1003=K$1, Datos!$G$2:$G1003=K$2, Datos!$A$2:$A1003=$A170)"),2276.617)</f>
        <v>2276.617</v>
      </c>
      <c r="L170" s="20">
        <f>IFERROR(__xludf.DUMMYFUNCTION("FILTER(Datos!$D$2:$D1003, Datos!$F$2:$F1003=L$1, Datos!$G$2:$G1003=L$2, Datos!$A$2:$A1003=$A170)"),2110.033)</f>
        <v>2110.033</v>
      </c>
      <c r="M170" s="20">
        <f>IFERROR(__xludf.DUMMYFUNCTION("FILTER(Datos!$E$2:$E1003, Datos!$F$2:$F1003=M$1, Datos!$G$2:$G1003=M$2, Datos!$A$2:$A1003=$A170)"),2752.516)</f>
        <v>2752.516</v>
      </c>
      <c r="N170" s="20">
        <f>IFERROR(__xludf.DUMMYFUNCTION("FILTER(Datos!$D$2:$D1003, Datos!$F$2:$F1003=N$1, Datos!$G$2:$G1003=N$2, Datos!$A$2:$A1003=$A170)"),2517.2)</f>
        <v>2517.2</v>
      </c>
      <c r="O170" s="20">
        <f>IFERROR(__xludf.DUMMYFUNCTION("FILTER(Datos!$E$2:$E1003, Datos!$F$2:$F1003=O$1, Datos!$G$2:$G1003=O$2, Datos!$A$2:$A1003=$A170)"),3539.734)</f>
        <v>3539.734</v>
      </c>
      <c r="P170" s="20">
        <f>IFERROR(__xludf.DUMMYFUNCTION("FILTER(Datos!$D$2:$D1003, Datos!$F$2:$F1003=P$1, Datos!$G$2:$G1003=P$2, Datos!$A$2:$A1003=$A170)"),3012.033)</f>
        <v>3012.033</v>
      </c>
      <c r="Q170" s="21">
        <f>IFERROR(__xludf.DUMMYFUNCTION("FILTER(Datos!$E$2:$E1003, Datos!$F$2:$F1003=Q$1, Datos!$G$2:$G1003=Q$2, Datos!$A$2:$A1003=$A170)"),4573.535)</f>
        <v>4573.535</v>
      </c>
    </row>
    <row r="171">
      <c r="A171" s="18">
        <f t="shared" si="2"/>
        <v>166</v>
      </c>
      <c r="B171" s="19">
        <f>IFERROR(__xludf.DUMMYFUNCTION("FILTER(Datos!$D$2:$D1003, Datos!$F$2:$F1003=B$1, Datos!$G$2:$G1003=B$2, Datos!$A$2:$A1003=$A171)"),1906.633)</f>
        <v>1906.633</v>
      </c>
      <c r="C171" s="20">
        <f>IFERROR(__xludf.DUMMYFUNCTION("FILTER(Datos!$E$2:$E1003, Datos!$F$2:$F1003=C$1, Datos!$G$2:$G1003=C$2, Datos!$A$2:$A1003=$A171)"),1987.7)</f>
        <v>1987.7</v>
      </c>
      <c r="D171" s="20">
        <f>IFERROR(__xludf.DUMMYFUNCTION("FILTER(Datos!$D$2:$D1003, Datos!$F$2:$F1003=D$1, Datos!$G$2:$G1003=D$2, Datos!$A$2:$A1003=$A171)"),2162.9)</f>
        <v>2162.9</v>
      </c>
      <c r="E171" s="20">
        <f>IFERROR(__xludf.DUMMYFUNCTION("FILTER(Datos!$E$2:$E1003, Datos!$F$2:$F1003=E$1, Datos!$G$2:$G1003=E$2, Datos!$A$2:$A1003=$A171)"),2260.77)</f>
        <v>2260.77</v>
      </c>
      <c r="F171" s="20">
        <f>IFERROR(__xludf.DUMMYFUNCTION("FILTER(Datos!$D$2:$D1003, Datos!$F$2:$F1003=F$1, Datos!$G$2:$G1003=F$2, Datos!$A$2:$A1003=$A171)"),2689.133)</f>
        <v>2689.133</v>
      </c>
      <c r="G171" s="20">
        <f>IFERROR(__xludf.DUMMYFUNCTION("FILTER(Datos!$E$2:$E1003, Datos!$F$2:$F1003=G$1, Datos!$G$2:$G1003=G$2, Datos!$A$2:$A1003=$A171)"),2938.679)</f>
        <v>2938.679</v>
      </c>
      <c r="H171" s="20">
        <f>IFERROR(__xludf.DUMMYFUNCTION("FILTER(Datos!$D$2:$D1003, Datos!$F$2:$F1003=H$1, Datos!$G$2:$G1003=H$2, Datos!$A$2:$A1003=$A171)"),3370.667)</f>
        <v>3370.667</v>
      </c>
      <c r="I171" s="21">
        <f>IFERROR(__xludf.DUMMYFUNCTION("FILTER(Datos!$E$2:$E1003, Datos!$F$2:$F1003=I$1, Datos!$G$2:$G1003=I$2, Datos!$A$2:$A1003=$A171)"),4711.8)</f>
        <v>4711.8</v>
      </c>
      <c r="J171" s="20">
        <f>IFERROR(__xludf.DUMMYFUNCTION("FILTER(Datos!$D$2:$D1003, Datos!$F$2:$F1003=J$1, Datos!$G$2:$G1003=J$2, Datos!$A$2:$A1003=$A171)"),1814.533)</f>
        <v>1814.533</v>
      </c>
      <c r="K171" s="20">
        <f>IFERROR(__xludf.DUMMYFUNCTION("FILTER(Datos!$E$2:$E1003, Datos!$F$2:$F1003=K$1, Datos!$G$2:$G1003=K$2, Datos!$A$2:$A1003=$A171)"),2270.686)</f>
        <v>2270.686</v>
      </c>
      <c r="L171" s="20">
        <f>IFERROR(__xludf.DUMMYFUNCTION("FILTER(Datos!$D$2:$D1003, Datos!$F$2:$F1003=L$1, Datos!$G$2:$G1003=L$2, Datos!$A$2:$A1003=$A171)"),2110.033)</f>
        <v>2110.033</v>
      </c>
      <c r="M171" s="20">
        <f>IFERROR(__xludf.DUMMYFUNCTION("FILTER(Datos!$E$2:$E1003, Datos!$F$2:$F1003=M$1, Datos!$G$2:$G1003=M$2, Datos!$A$2:$A1003=$A171)"),2752.244)</f>
        <v>2752.244</v>
      </c>
      <c r="N171" s="20">
        <f>IFERROR(__xludf.DUMMYFUNCTION("FILTER(Datos!$D$2:$D1003, Datos!$F$2:$F1003=N$1, Datos!$G$2:$G1003=N$2, Datos!$A$2:$A1003=$A171)"),2514.933)</f>
        <v>2514.933</v>
      </c>
      <c r="O171" s="20">
        <f>IFERROR(__xludf.DUMMYFUNCTION("FILTER(Datos!$E$2:$E1003, Datos!$F$2:$F1003=O$1, Datos!$G$2:$G1003=O$2, Datos!$A$2:$A1003=$A171)"),3545.947)</f>
        <v>3545.947</v>
      </c>
      <c r="P171" s="20">
        <f>IFERROR(__xludf.DUMMYFUNCTION("FILTER(Datos!$D$2:$D1003, Datos!$F$2:$F1003=P$1, Datos!$G$2:$G1003=P$2, Datos!$A$2:$A1003=$A171)"),3008.167)</f>
        <v>3008.167</v>
      </c>
      <c r="Q171" s="21">
        <f>IFERROR(__xludf.DUMMYFUNCTION("FILTER(Datos!$E$2:$E1003, Datos!$F$2:$F1003=Q$1, Datos!$G$2:$G1003=Q$2, Datos!$A$2:$A1003=$A171)"),4564.558)</f>
        <v>4564.558</v>
      </c>
    </row>
    <row r="172">
      <c r="A172" s="18">
        <f t="shared" si="2"/>
        <v>167</v>
      </c>
      <c r="B172" s="19">
        <f>IFERROR(__xludf.DUMMYFUNCTION("FILTER(Datos!$D$2:$D1003, Datos!$F$2:$F1003=B$1, Datos!$G$2:$G1003=B$2, Datos!$A$2:$A1003=$A172)"),1906.633)</f>
        <v>1906.633</v>
      </c>
      <c r="C172" s="20">
        <f>IFERROR(__xludf.DUMMYFUNCTION("FILTER(Datos!$E$2:$E1003, Datos!$F$2:$F1003=C$1, Datos!$G$2:$G1003=C$2, Datos!$A$2:$A1003=$A172)"),1985.779)</f>
        <v>1985.779</v>
      </c>
      <c r="D172" s="20">
        <f>IFERROR(__xludf.DUMMYFUNCTION("FILTER(Datos!$D$2:$D1003, Datos!$F$2:$F1003=D$1, Datos!$G$2:$G1003=D$2, Datos!$A$2:$A1003=$A172)"),2162.9)</f>
        <v>2162.9</v>
      </c>
      <c r="E172" s="20">
        <f>IFERROR(__xludf.DUMMYFUNCTION("FILTER(Datos!$E$2:$E1003, Datos!$F$2:$F1003=E$1, Datos!$G$2:$G1003=E$2, Datos!$A$2:$A1003=$A172)"),2259.424)</f>
        <v>2259.424</v>
      </c>
      <c r="F172" s="20">
        <f>IFERROR(__xludf.DUMMYFUNCTION("FILTER(Datos!$D$2:$D1003, Datos!$F$2:$F1003=F$1, Datos!$G$2:$G1003=F$2, Datos!$A$2:$A1003=$A172)"),2689.133)</f>
        <v>2689.133</v>
      </c>
      <c r="G172" s="20">
        <f>IFERROR(__xludf.DUMMYFUNCTION("FILTER(Datos!$E$2:$E1003, Datos!$F$2:$F1003=G$1, Datos!$G$2:$G1003=G$2, Datos!$A$2:$A1003=$A172)"),2930.132)</f>
        <v>2930.132</v>
      </c>
      <c r="H172" s="20">
        <f>IFERROR(__xludf.DUMMYFUNCTION("FILTER(Datos!$D$2:$D1003, Datos!$F$2:$F1003=H$1, Datos!$G$2:$G1003=H$2, Datos!$A$2:$A1003=$A172)"),3364.367)</f>
        <v>3364.367</v>
      </c>
      <c r="I172" s="21">
        <f>IFERROR(__xludf.DUMMYFUNCTION("FILTER(Datos!$E$2:$E1003, Datos!$F$2:$F1003=I$1, Datos!$G$2:$G1003=I$2, Datos!$A$2:$A1003=$A172)"),4684.704)</f>
        <v>4684.704</v>
      </c>
      <c r="J172" s="20">
        <f>IFERROR(__xludf.DUMMYFUNCTION("FILTER(Datos!$D$2:$D1003, Datos!$F$2:$F1003=J$1, Datos!$G$2:$G1003=J$2, Datos!$A$2:$A1003=$A172)"),1814.533)</f>
        <v>1814.533</v>
      </c>
      <c r="K172" s="20">
        <f>IFERROR(__xludf.DUMMYFUNCTION("FILTER(Datos!$E$2:$E1003, Datos!$F$2:$F1003=K$1, Datos!$G$2:$G1003=K$2, Datos!$A$2:$A1003=$A172)"),2266.787)</f>
        <v>2266.787</v>
      </c>
      <c r="L172" s="20">
        <f>IFERROR(__xludf.DUMMYFUNCTION("FILTER(Datos!$D$2:$D1003, Datos!$F$2:$F1003=L$1, Datos!$G$2:$G1003=L$2, Datos!$A$2:$A1003=$A172)"),2110.033)</f>
        <v>2110.033</v>
      </c>
      <c r="M172" s="20">
        <f>IFERROR(__xludf.DUMMYFUNCTION("FILTER(Datos!$E$2:$E1003, Datos!$F$2:$F1003=M$1, Datos!$G$2:$G1003=M$2, Datos!$A$2:$A1003=$A172)"),2748.716)</f>
        <v>2748.716</v>
      </c>
      <c r="N172" s="20">
        <f>IFERROR(__xludf.DUMMYFUNCTION("FILTER(Datos!$D$2:$D1003, Datos!$F$2:$F1003=N$1, Datos!$G$2:$G1003=N$2, Datos!$A$2:$A1003=$A172)"),2514.933)</f>
        <v>2514.933</v>
      </c>
      <c r="O172" s="20">
        <f>IFERROR(__xludf.DUMMYFUNCTION("FILTER(Datos!$E$2:$E1003, Datos!$F$2:$F1003=O$1, Datos!$G$2:$G1003=O$2, Datos!$A$2:$A1003=$A172)"),3529.121)</f>
        <v>3529.121</v>
      </c>
      <c r="P172" s="20">
        <f>IFERROR(__xludf.DUMMYFUNCTION("FILTER(Datos!$D$2:$D1003, Datos!$F$2:$F1003=P$1, Datos!$G$2:$G1003=P$2, Datos!$A$2:$A1003=$A172)"),3005.2)</f>
        <v>3005.2</v>
      </c>
      <c r="Q172" s="21">
        <f>IFERROR(__xludf.DUMMYFUNCTION("FILTER(Datos!$E$2:$E1003, Datos!$F$2:$F1003=Q$1, Datos!$G$2:$G1003=Q$2, Datos!$A$2:$A1003=$A172)"),4559.745)</f>
        <v>4559.745</v>
      </c>
    </row>
    <row r="173">
      <c r="A173" s="18">
        <f t="shared" si="2"/>
        <v>168</v>
      </c>
      <c r="B173" s="19">
        <f>IFERROR(__xludf.DUMMYFUNCTION("FILTER(Datos!$D$2:$D1003, Datos!$F$2:$F1003=B$1, Datos!$G$2:$G1003=B$2, Datos!$A$2:$A1003=$A173)"),1906.633)</f>
        <v>1906.633</v>
      </c>
      <c r="C173" s="20">
        <f>IFERROR(__xludf.DUMMYFUNCTION("FILTER(Datos!$E$2:$E1003, Datos!$F$2:$F1003=C$1, Datos!$G$2:$G1003=C$2, Datos!$A$2:$A1003=$A173)"),1986.894)</f>
        <v>1986.894</v>
      </c>
      <c r="D173" s="20">
        <f>IFERROR(__xludf.DUMMYFUNCTION("FILTER(Datos!$D$2:$D1003, Datos!$F$2:$F1003=D$1, Datos!$G$2:$G1003=D$2, Datos!$A$2:$A1003=$A173)"),2162.9)</f>
        <v>2162.9</v>
      </c>
      <c r="E173" s="20">
        <f>IFERROR(__xludf.DUMMYFUNCTION("FILTER(Datos!$E$2:$E1003, Datos!$F$2:$F1003=E$1, Datos!$G$2:$G1003=E$2, Datos!$A$2:$A1003=$A173)"),2261.564)</f>
        <v>2261.564</v>
      </c>
      <c r="F173" s="20">
        <f>IFERROR(__xludf.DUMMYFUNCTION("FILTER(Datos!$D$2:$D1003, Datos!$F$2:$F1003=F$1, Datos!$G$2:$G1003=F$2, Datos!$A$2:$A1003=$A173)"),2689.133)</f>
        <v>2689.133</v>
      </c>
      <c r="G173" s="20">
        <f>IFERROR(__xludf.DUMMYFUNCTION("FILTER(Datos!$E$2:$E1003, Datos!$F$2:$F1003=G$1, Datos!$G$2:$G1003=G$2, Datos!$A$2:$A1003=$A173)"),2929.465)</f>
        <v>2929.465</v>
      </c>
      <c r="H173" s="20">
        <f>IFERROR(__xludf.DUMMYFUNCTION("FILTER(Datos!$D$2:$D1003, Datos!$F$2:$F1003=H$1, Datos!$G$2:$G1003=H$2, Datos!$A$2:$A1003=$A173)"),3358.6)</f>
        <v>3358.6</v>
      </c>
      <c r="I173" s="21">
        <f>IFERROR(__xludf.DUMMYFUNCTION("FILTER(Datos!$E$2:$E1003, Datos!$F$2:$F1003=I$1, Datos!$G$2:$G1003=I$2, Datos!$A$2:$A1003=$A173)"),4645.022)</f>
        <v>4645.022</v>
      </c>
      <c r="J173" s="20">
        <f>IFERROR(__xludf.DUMMYFUNCTION("FILTER(Datos!$D$2:$D1003, Datos!$F$2:$F1003=J$1, Datos!$G$2:$G1003=J$2, Datos!$A$2:$A1003=$A173)"),1814.533)</f>
        <v>1814.533</v>
      </c>
      <c r="K173" s="20">
        <f>IFERROR(__xludf.DUMMYFUNCTION("FILTER(Datos!$E$2:$E1003, Datos!$F$2:$F1003=K$1, Datos!$G$2:$G1003=K$2, Datos!$A$2:$A1003=$A173)"),2273.595)</f>
        <v>2273.595</v>
      </c>
      <c r="L173" s="20">
        <f>IFERROR(__xludf.DUMMYFUNCTION("FILTER(Datos!$D$2:$D1003, Datos!$F$2:$F1003=L$1, Datos!$G$2:$G1003=L$2, Datos!$A$2:$A1003=$A173)"),2110.033)</f>
        <v>2110.033</v>
      </c>
      <c r="M173" s="20">
        <f>IFERROR(__xludf.DUMMYFUNCTION("FILTER(Datos!$E$2:$E1003, Datos!$F$2:$F1003=M$1, Datos!$G$2:$G1003=M$2, Datos!$A$2:$A1003=$A173)"),2761.467)</f>
        <v>2761.467</v>
      </c>
      <c r="N173" s="20">
        <f>IFERROR(__xludf.DUMMYFUNCTION("FILTER(Datos!$D$2:$D1003, Datos!$F$2:$F1003=N$1, Datos!$G$2:$G1003=N$2, Datos!$A$2:$A1003=$A173)"),2514.933)</f>
        <v>2514.933</v>
      </c>
      <c r="O173" s="20">
        <f>IFERROR(__xludf.DUMMYFUNCTION("FILTER(Datos!$E$2:$E1003, Datos!$F$2:$F1003=O$1, Datos!$G$2:$G1003=O$2, Datos!$A$2:$A1003=$A173)"),3544.275)</f>
        <v>3544.275</v>
      </c>
      <c r="P173" s="20">
        <f>IFERROR(__xludf.DUMMYFUNCTION("FILTER(Datos!$D$2:$D1003, Datos!$F$2:$F1003=P$1, Datos!$G$2:$G1003=P$2, Datos!$A$2:$A1003=$A173)"),3002.933)</f>
        <v>3002.933</v>
      </c>
      <c r="Q173" s="21">
        <f>IFERROR(__xludf.DUMMYFUNCTION("FILTER(Datos!$E$2:$E1003, Datos!$F$2:$F1003=Q$1, Datos!$G$2:$G1003=Q$2, Datos!$A$2:$A1003=$A173)"),4559.504)</f>
        <v>4559.504</v>
      </c>
    </row>
    <row r="174">
      <c r="A174" s="18">
        <f t="shared" si="2"/>
        <v>169</v>
      </c>
      <c r="B174" s="19">
        <f>IFERROR(__xludf.DUMMYFUNCTION("FILTER(Datos!$D$2:$D1003, Datos!$F$2:$F1003=B$1, Datos!$G$2:$G1003=B$2, Datos!$A$2:$A1003=$A174)"),1906.633)</f>
        <v>1906.633</v>
      </c>
      <c r="C174" s="20">
        <f>IFERROR(__xludf.DUMMYFUNCTION("FILTER(Datos!$E$2:$E1003, Datos!$F$2:$F1003=C$1, Datos!$G$2:$G1003=C$2, Datos!$A$2:$A1003=$A174)"),1987.282)</f>
        <v>1987.282</v>
      </c>
      <c r="D174" s="20">
        <f>IFERROR(__xludf.DUMMYFUNCTION("FILTER(Datos!$D$2:$D1003, Datos!$F$2:$F1003=D$1, Datos!$G$2:$G1003=D$2, Datos!$A$2:$A1003=$A174)"),2162.9)</f>
        <v>2162.9</v>
      </c>
      <c r="E174" s="20">
        <f>IFERROR(__xludf.DUMMYFUNCTION("FILTER(Datos!$E$2:$E1003, Datos!$F$2:$F1003=E$1, Datos!$G$2:$G1003=E$2, Datos!$A$2:$A1003=$A174)"),2260.472)</f>
        <v>2260.472</v>
      </c>
      <c r="F174" s="20">
        <f>IFERROR(__xludf.DUMMYFUNCTION("FILTER(Datos!$D$2:$D1003, Datos!$F$2:$F1003=F$1, Datos!$G$2:$G1003=F$2, Datos!$A$2:$A1003=$A174)"),2689.133)</f>
        <v>2689.133</v>
      </c>
      <c r="G174" s="20">
        <f>IFERROR(__xludf.DUMMYFUNCTION("FILTER(Datos!$E$2:$E1003, Datos!$F$2:$F1003=G$1, Datos!$G$2:$G1003=G$2, Datos!$A$2:$A1003=$A174)"),2922.332)</f>
        <v>2922.332</v>
      </c>
      <c r="H174" s="20">
        <f>IFERROR(__xludf.DUMMYFUNCTION("FILTER(Datos!$D$2:$D1003, Datos!$F$2:$F1003=H$1, Datos!$G$2:$G1003=H$2, Datos!$A$2:$A1003=$A174)"),3347.4)</f>
        <v>3347.4</v>
      </c>
      <c r="I174" s="21">
        <f>IFERROR(__xludf.DUMMYFUNCTION("FILTER(Datos!$E$2:$E1003, Datos!$F$2:$F1003=I$1, Datos!$G$2:$G1003=I$2, Datos!$A$2:$A1003=$A174)"),4623.909)</f>
        <v>4623.909</v>
      </c>
      <c r="J174" s="20">
        <f>IFERROR(__xludf.DUMMYFUNCTION("FILTER(Datos!$D$2:$D1003, Datos!$F$2:$F1003=J$1, Datos!$G$2:$G1003=J$2, Datos!$A$2:$A1003=$A174)"),1814.533)</f>
        <v>1814.533</v>
      </c>
      <c r="K174" s="20">
        <f>IFERROR(__xludf.DUMMYFUNCTION("FILTER(Datos!$E$2:$E1003, Datos!$F$2:$F1003=K$1, Datos!$G$2:$G1003=K$2, Datos!$A$2:$A1003=$A174)"),2267.341)</f>
        <v>2267.341</v>
      </c>
      <c r="L174" s="20">
        <f>IFERROR(__xludf.DUMMYFUNCTION("FILTER(Datos!$D$2:$D1003, Datos!$F$2:$F1003=L$1, Datos!$G$2:$G1003=L$2, Datos!$A$2:$A1003=$A174)"),2110.033)</f>
        <v>2110.033</v>
      </c>
      <c r="M174" s="20">
        <f>IFERROR(__xludf.DUMMYFUNCTION("FILTER(Datos!$E$2:$E1003, Datos!$F$2:$F1003=M$1, Datos!$G$2:$G1003=M$2, Datos!$A$2:$A1003=$A174)"),2762.991)</f>
        <v>2762.991</v>
      </c>
      <c r="N174" s="20">
        <f>IFERROR(__xludf.DUMMYFUNCTION("FILTER(Datos!$D$2:$D1003, Datos!$F$2:$F1003=N$1, Datos!$G$2:$G1003=N$2, Datos!$A$2:$A1003=$A174)"),2514.933)</f>
        <v>2514.933</v>
      </c>
      <c r="O174" s="20">
        <f>IFERROR(__xludf.DUMMYFUNCTION("FILTER(Datos!$E$2:$E1003, Datos!$F$2:$F1003=O$1, Datos!$G$2:$G1003=O$2, Datos!$A$2:$A1003=$A174)"),3530.037)</f>
        <v>3530.037</v>
      </c>
      <c r="P174" s="20">
        <f>IFERROR(__xludf.DUMMYFUNCTION("FILTER(Datos!$D$2:$D1003, Datos!$F$2:$F1003=P$1, Datos!$G$2:$G1003=P$2, Datos!$A$2:$A1003=$A174)"),2999.7)</f>
        <v>2999.7</v>
      </c>
      <c r="Q174" s="21">
        <f>IFERROR(__xludf.DUMMYFUNCTION("FILTER(Datos!$E$2:$E1003, Datos!$F$2:$F1003=Q$1, Datos!$G$2:$G1003=Q$2, Datos!$A$2:$A1003=$A174)"),4550.587)</f>
        <v>4550.587</v>
      </c>
    </row>
    <row r="175">
      <c r="A175" s="18">
        <f t="shared" si="2"/>
        <v>170</v>
      </c>
      <c r="B175" s="19">
        <f>IFERROR(__xludf.DUMMYFUNCTION("FILTER(Datos!$D$2:$D1003, Datos!$F$2:$F1003=B$1, Datos!$G$2:$G1003=B$2, Datos!$A$2:$A1003=$A175)"),1906.633)</f>
        <v>1906.633</v>
      </c>
      <c r="C175" s="20">
        <f>IFERROR(__xludf.DUMMYFUNCTION("FILTER(Datos!$E$2:$E1003, Datos!$F$2:$F1003=C$1, Datos!$G$2:$G1003=C$2, Datos!$A$2:$A1003=$A175)"),1986.87)</f>
        <v>1986.87</v>
      </c>
      <c r="D175" s="20">
        <f>IFERROR(__xludf.DUMMYFUNCTION("FILTER(Datos!$D$2:$D1003, Datos!$F$2:$F1003=D$1, Datos!$G$2:$G1003=D$2, Datos!$A$2:$A1003=$A175)"),2162.9)</f>
        <v>2162.9</v>
      </c>
      <c r="E175" s="20">
        <f>IFERROR(__xludf.DUMMYFUNCTION("FILTER(Datos!$E$2:$E1003, Datos!$F$2:$F1003=E$1, Datos!$G$2:$G1003=E$2, Datos!$A$2:$A1003=$A175)"),2262.567)</f>
        <v>2262.567</v>
      </c>
      <c r="F175" s="20">
        <f>IFERROR(__xludf.DUMMYFUNCTION("FILTER(Datos!$D$2:$D1003, Datos!$F$2:$F1003=F$1, Datos!$G$2:$G1003=F$2, Datos!$A$2:$A1003=$A175)"),2689.133)</f>
        <v>2689.133</v>
      </c>
      <c r="G175" s="20">
        <f>IFERROR(__xludf.DUMMYFUNCTION("FILTER(Datos!$E$2:$E1003, Datos!$F$2:$F1003=G$1, Datos!$G$2:$G1003=G$2, Datos!$A$2:$A1003=$A175)"),2920.145)</f>
        <v>2920.145</v>
      </c>
      <c r="H175" s="20">
        <f>IFERROR(__xludf.DUMMYFUNCTION("FILTER(Datos!$D$2:$D1003, Datos!$F$2:$F1003=H$1, Datos!$G$2:$G1003=H$2, Datos!$A$2:$A1003=$A175)"),3339.467)</f>
        <v>3339.467</v>
      </c>
      <c r="I175" s="21">
        <f>IFERROR(__xludf.DUMMYFUNCTION("FILTER(Datos!$E$2:$E1003, Datos!$F$2:$F1003=I$1, Datos!$G$2:$G1003=I$2, Datos!$A$2:$A1003=$A175)"),4603.669)</f>
        <v>4603.669</v>
      </c>
      <c r="J175" s="20">
        <f>IFERROR(__xludf.DUMMYFUNCTION("FILTER(Datos!$D$2:$D1003, Datos!$F$2:$F1003=J$1, Datos!$G$2:$G1003=J$2, Datos!$A$2:$A1003=$A175)"),1814.533)</f>
        <v>1814.533</v>
      </c>
      <c r="K175" s="20">
        <f>IFERROR(__xludf.DUMMYFUNCTION("FILTER(Datos!$E$2:$E1003, Datos!$F$2:$F1003=K$1, Datos!$G$2:$G1003=K$2, Datos!$A$2:$A1003=$A175)"),2285.103)</f>
        <v>2285.103</v>
      </c>
      <c r="L175" s="20">
        <f>IFERROR(__xludf.DUMMYFUNCTION("FILTER(Datos!$D$2:$D1003, Datos!$F$2:$F1003=L$1, Datos!$G$2:$G1003=L$2, Datos!$A$2:$A1003=$A175)"),2110.033)</f>
        <v>2110.033</v>
      </c>
      <c r="M175" s="20">
        <f>IFERROR(__xludf.DUMMYFUNCTION("FILTER(Datos!$E$2:$E1003, Datos!$F$2:$F1003=M$1, Datos!$G$2:$G1003=M$2, Datos!$A$2:$A1003=$A175)"),2759.122)</f>
        <v>2759.122</v>
      </c>
      <c r="N175" s="20">
        <f>IFERROR(__xludf.DUMMYFUNCTION("FILTER(Datos!$D$2:$D1003, Datos!$F$2:$F1003=N$1, Datos!$G$2:$G1003=N$2, Datos!$A$2:$A1003=$A175)"),2514.933)</f>
        <v>2514.933</v>
      </c>
      <c r="O175" s="20">
        <f>IFERROR(__xludf.DUMMYFUNCTION("FILTER(Datos!$E$2:$E1003, Datos!$F$2:$F1003=O$1, Datos!$G$2:$G1003=O$2, Datos!$A$2:$A1003=$A175)"),3553.774)</f>
        <v>3553.774</v>
      </c>
      <c r="P175" s="20">
        <f>IFERROR(__xludf.DUMMYFUNCTION("FILTER(Datos!$D$2:$D1003, Datos!$F$2:$F1003=P$1, Datos!$G$2:$G1003=P$2, Datos!$A$2:$A1003=$A175)"),2998.133)</f>
        <v>2998.133</v>
      </c>
      <c r="Q175" s="21">
        <f>IFERROR(__xludf.DUMMYFUNCTION("FILTER(Datos!$E$2:$E1003, Datos!$F$2:$F1003=Q$1, Datos!$G$2:$G1003=Q$2, Datos!$A$2:$A1003=$A175)"),4564.528)</f>
        <v>4564.528</v>
      </c>
    </row>
    <row r="176">
      <c r="A176" s="18">
        <f t="shared" si="2"/>
        <v>171</v>
      </c>
      <c r="B176" s="19">
        <f>IFERROR(__xludf.DUMMYFUNCTION("FILTER(Datos!$D$2:$D1003, Datos!$F$2:$F1003=B$1, Datos!$G$2:$G1003=B$2, Datos!$A$2:$A1003=$A176)"),1906.633)</f>
        <v>1906.633</v>
      </c>
      <c r="C176" s="20">
        <f>IFERROR(__xludf.DUMMYFUNCTION("FILTER(Datos!$E$2:$E1003, Datos!$F$2:$F1003=C$1, Datos!$G$2:$G1003=C$2, Datos!$A$2:$A1003=$A176)"),1989.813)</f>
        <v>1989.813</v>
      </c>
      <c r="D176" s="20">
        <f>IFERROR(__xludf.DUMMYFUNCTION("FILTER(Datos!$D$2:$D1003, Datos!$F$2:$F1003=D$1, Datos!$G$2:$G1003=D$2, Datos!$A$2:$A1003=$A176)"),2162.9)</f>
        <v>2162.9</v>
      </c>
      <c r="E176" s="20">
        <f>IFERROR(__xludf.DUMMYFUNCTION("FILTER(Datos!$E$2:$E1003, Datos!$F$2:$F1003=E$1, Datos!$G$2:$G1003=E$2, Datos!$A$2:$A1003=$A176)"),2262.891)</f>
        <v>2262.891</v>
      </c>
      <c r="F176" s="20">
        <f>IFERROR(__xludf.DUMMYFUNCTION("FILTER(Datos!$D$2:$D1003, Datos!$F$2:$F1003=F$1, Datos!$G$2:$G1003=F$2, Datos!$A$2:$A1003=$A176)"),2689.133)</f>
        <v>2689.133</v>
      </c>
      <c r="G176" s="20">
        <f>IFERROR(__xludf.DUMMYFUNCTION("FILTER(Datos!$E$2:$E1003, Datos!$F$2:$F1003=G$1, Datos!$G$2:$G1003=G$2, Datos!$A$2:$A1003=$A176)"),2915.075)</f>
        <v>2915.075</v>
      </c>
      <c r="H176" s="20">
        <f>IFERROR(__xludf.DUMMYFUNCTION("FILTER(Datos!$D$2:$D1003, Datos!$F$2:$F1003=H$1, Datos!$G$2:$G1003=H$2, Datos!$A$2:$A1003=$A176)"),3335.467)</f>
        <v>3335.467</v>
      </c>
      <c r="I176" s="21">
        <f>IFERROR(__xludf.DUMMYFUNCTION("FILTER(Datos!$E$2:$E1003, Datos!$F$2:$F1003=I$1, Datos!$G$2:$G1003=I$2, Datos!$A$2:$A1003=$A176)"),4576.875)</f>
        <v>4576.875</v>
      </c>
      <c r="J176" s="20">
        <f>IFERROR(__xludf.DUMMYFUNCTION("FILTER(Datos!$D$2:$D1003, Datos!$F$2:$F1003=J$1, Datos!$G$2:$G1003=J$2, Datos!$A$2:$A1003=$A176)"),1814.233)</f>
        <v>1814.233</v>
      </c>
      <c r="K176" s="20">
        <f>IFERROR(__xludf.DUMMYFUNCTION("FILTER(Datos!$E$2:$E1003, Datos!$F$2:$F1003=K$1, Datos!$G$2:$G1003=K$2, Datos!$A$2:$A1003=$A176)"),2276.873)</f>
        <v>2276.873</v>
      </c>
      <c r="L176" s="20">
        <f>IFERROR(__xludf.DUMMYFUNCTION("FILTER(Datos!$D$2:$D1003, Datos!$F$2:$F1003=L$1, Datos!$G$2:$G1003=L$2, Datos!$A$2:$A1003=$A176)"),2108.3)</f>
        <v>2108.3</v>
      </c>
      <c r="M176" s="20">
        <f>IFERROR(__xludf.DUMMYFUNCTION("FILTER(Datos!$E$2:$E1003, Datos!$F$2:$F1003=M$1, Datos!$G$2:$G1003=M$2, Datos!$A$2:$A1003=$A176)"),2762.323)</f>
        <v>2762.323</v>
      </c>
      <c r="N176" s="20">
        <f>IFERROR(__xludf.DUMMYFUNCTION("FILTER(Datos!$D$2:$D1003, Datos!$F$2:$F1003=N$1, Datos!$G$2:$G1003=N$2, Datos!$A$2:$A1003=$A176)"),2514.933)</f>
        <v>2514.933</v>
      </c>
      <c r="O176" s="20">
        <f>IFERROR(__xludf.DUMMYFUNCTION("FILTER(Datos!$E$2:$E1003, Datos!$F$2:$F1003=O$1, Datos!$G$2:$G1003=O$2, Datos!$A$2:$A1003=$A176)"),3576.401)</f>
        <v>3576.401</v>
      </c>
      <c r="P176" s="20">
        <f>IFERROR(__xludf.DUMMYFUNCTION("FILTER(Datos!$D$2:$D1003, Datos!$F$2:$F1003=P$1, Datos!$G$2:$G1003=P$2, Datos!$A$2:$A1003=$A176)"),2996.233)</f>
        <v>2996.233</v>
      </c>
      <c r="Q176" s="21">
        <f>IFERROR(__xludf.DUMMYFUNCTION("FILTER(Datos!$E$2:$E1003, Datos!$F$2:$F1003=Q$1, Datos!$G$2:$G1003=Q$2, Datos!$A$2:$A1003=$A176)"),4574.47)</f>
        <v>4574.47</v>
      </c>
    </row>
    <row r="177">
      <c r="A177" s="18">
        <f t="shared" si="2"/>
        <v>172</v>
      </c>
      <c r="B177" s="19">
        <f>IFERROR(__xludf.DUMMYFUNCTION("FILTER(Datos!$D$2:$D1003, Datos!$F$2:$F1003=B$1, Datos!$G$2:$G1003=B$2, Datos!$A$2:$A1003=$A177)"),1906.633)</f>
        <v>1906.633</v>
      </c>
      <c r="C177" s="20">
        <f>IFERROR(__xludf.DUMMYFUNCTION("FILTER(Datos!$E$2:$E1003, Datos!$F$2:$F1003=C$1, Datos!$G$2:$G1003=C$2, Datos!$A$2:$A1003=$A177)"),1989.154)</f>
        <v>1989.154</v>
      </c>
      <c r="D177" s="20">
        <f>IFERROR(__xludf.DUMMYFUNCTION("FILTER(Datos!$D$2:$D1003, Datos!$F$2:$F1003=D$1, Datos!$G$2:$G1003=D$2, Datos!$A$2:$A1003=$A177)"),2162.9)</f>
        <v>2162.9</v>
      </c>
      <c r="E177" s="20">
        <f>IFERROR(__xludf.DUMMYFUNCTION("FILTER(Datos!$E$2:$E1003, Datos!$F$2:$F1003=E$1, Datos!$G$2:$G1003=E$2, Datos!$A$2:$A1003=$A177)"),2267.46)</f>
        <v>2267.46</v>
      </c>
      <c r="F177" s="20">
        <f>IFERROR(__xludf.DUMMYFUNCTION("FILTER(Datos!$D$2:$D1003, Datos!$F$2:$F1003=F$1, Datos!$G$2:$G1003=F$2, Datos!$A$2:$A1003=$A177)"),2689.133)</f>
        <v>2689.133</v>
      </c>
      <c r="G177" s="20">
        <f>IFERROR(__xludf.DUMMYFUNCTION("FILTER(Datos!$E$2:$E1003, Datos!$F$2:$F1003=G$1, Datos!$G$2:$G1003=G$2, Datos!$A$2:$A1003=$A177)"),2917.027)</f>
        <v>2917.027</v>
      </c>
      <c r="H177" s="20">
        <f>IFERROR(__xludf.DUMMYFUNCTION("FILTER(Datos!$D$2:$D1003, Datos!$F$2:$F1003=H$1, Datos!$G$2:$G1003=H$2, Datos!$A$2:$A1003=$A177)"),3325.0)</f>
        <v>3325</v>
      </c>
      <c r="I177" s="21">
        <f>IFERROR(__xludf.DUMMYFUNCTION("FILTER(Datos!$E$2:$E1003, Datos!$F$2:$F1003=I$1, Datos!$G$2:$G1003=I$2, Datos!$A$2:$A1003=$A177)"),4530.417)</f>
        <v>4530.417</v>
      </c>
      <c r="J177" s="20">
        <f>IFERROR(__xludf.DUMMYFUNCTION("FILTER(Datos!$D$2:$D1003, Datos!$F$2:$F1003=J$1, Datos!$G$2:$G1003=J$2, Datos!$A$2:$A1003=$A177)"),1814.233)</f>
        <v>1814.233</v>
      </c>
      <c r="K177" s="20">
        <f>IFERROR(__xludf.DUMMYFUNCTION("FILTER(Datos!$E$2:$E1003, Datos!$F$2:$F1003=K$1, Datos!$G$2:$G1003=K$2, Datos!$A$2:$A1003=$A177)"),2275.159)</f>
        <v>2275.159</v>
      </c>
      <c r="L177" s="20">
        <f>IFERROR(__xludf.DUMMYFUNCTION("FILTER(Datos!$D$2:$D1003, Datos!$F$2:$F1003=L$1, Datos!$G$2:$G1003=L$2, Datos!$A$2:$A1003=$A177)"),2108.3)</f>
        <v>2108.3</v>
      </c>
      <c r="M177" s="20">
        <f>IFERROR(__xludf.DUMMYFUNCTION("FILTER(Datos!$E$2:$E1003, Datos!$F$2:$F1003=M$1, Datos!$G$2:$G1003=M$2, Datos!$A$2:$A1003=$A177)"),2748.559)</f>
        <v>2748.559</v>
      </c>
      <c r="N177" s="20">
        <f>IFERROR(__xludf.DUMMYFUNCTION("FILTER(Datos!$D$2:$D1003, Datos!$F$2:$F1003=N$1, Datos!$G$2:$G1003=N$2, Datos!$A$2:$A1003=$A177)"),2514.933)</f>
        <v>2514.933</v>
      </c>
      <c r="O177" s="20">
        <f>IFERROR(__xludf.DUMMYFUNCTION("FILTER(Datos!$E$2:$E1003, Datos!$F$2:$F1003=O$1, Datos!$G$2:$G1003=O$2, Datos!$A$2:$A1003=$A177)"),3551.702)</f>
        <v>3551.702</v>
      </c>
      <c r="P177" s="20">
        <f>IFERROR(__xludf.DUMMYFUNCTION("FILTER(Datos!$D$2:$D1003, Datos!$F$2:$F1003=P$1, Datos!$G$2:$G1003=P$2, Datos!$A$2:$A1003=$A177)"),2996.1)</f>
        <v>2996.1</v>
      </c>
      <c r="Q177" s="21">
        <f>IFERROR(__xludf.DUMMYFUNCTION("FILTER(Datos!$E$2:$E1003, Datos!$F$2:$F1003=Q$1, Datos!$G$2:$G1003=Q$2, Datos!$A$2:$A1003=$A177)"),4564.288)</f>
        <v>4564.288</v>
      </c>
    </row>
    <row r="178">
      <c r="A178" s="18">
        <f t="shared" si="2"/>
        <v>173</v>
      </c>
      <c r="B178" s="19">
        <f>IFERROR(__xludf.DUMMYFUNCTION("FILTER(Datos!$D$2:$D1003, Datos!$F$2:$F1003=B$1, Datos!$G$2:$G1003=B$2, Datos!$A$2:$A1003=$A178)"),1906.633)</f>
        <v>1906.633</v>
      </c>
      <c r="C178" s="20">
        <f>IFERROR(__xludf.DUMMYFUNCTION("FILTER(Datos!$E$2:$E1003, Datos!$F$2:$F1003=C$1, Datos!$G$2:$G1003=C$2, Datos!$A$2:$A1003=$A178)"),1988.725)</f>
        <v>1988.725</v>
      </c>
      <c r="D178" s="20">
        <f>IFERROR(__xludf.DUMMYFUNCTION("FILTER(Datos!$D$2:$D1003, Datos!$F$2:$F1003=D$1, Datos!$G$2:$G1003=D$2, Datos!$A$2:$A1003=$A178)"),2162.9)</f>
        <v>2162.9</v>
      </c>
      <c r="E178" s="20">
        <f>IFERROR(__xludf.DUMMYFUNCTION("FILTER(Datos!$E$2:$E1003, Datos!$F$2:$F1003=E$1, Datos!$G$2:$G1003=E$2, Datos!$A$2:$A1003=$A178)"),2267.609)</f>
        <v>2267.609</v>
      </c>
      <c r="F178" s="20">
        <f>IFERROR(__xludf.DUMMYFUNCTION("FILTER(Datos!$D$2:$D1003, Datos!$F$2:$F1003=F$1, Datos!$G$2:$G1003=F$2, Datos!$A$2:$A1003=$A178)"),2685.0)</f>
        <v>2685</v>
      </c>
      <c r="G178" s="20">
        <f>IFERROR(__xludf.DUMMYFUNCTION("FILTER(Datos!$E$2:$E1003, Datos!$F$2:$F1003=G$1, Datos!$G$2:$G1003=G$2, Datos!$A$2:$A1003=$A178)"),2917.195)</f>
        <v>2917.195</v>
      </c>
      <c r="H178" s="20">
        <f>IFERROR(__xludf.DUMMYFUNCTION("FILTER(Datos!$D$2:$D1003, Datos!$F$2:$F1003=H$1, Datos!$G$2:$G1003=H$2, Datos!$A$2:$A1003=$A178)"),3315.933)</f>
        <v>3315.933</v>
      </c>
      <c r="I178" s="21">
        <f>IFERROR(__xludf.DUMMYFUNCTION("FILTER(Datos!$E$2:$E1003, Datos!$F$2:$F1003=I$1, Datos!$G$2:$G1003=I$2, Datos!$A$2:$A1003=$A178)"),4498.406)</f>
        <v>4498.406</v>
      </c>
      <c r="J178" s="20">
        <f>IFERROR(__xludf.DUMMYFUNCTION("FILTER(Datos!$D$2:$D1003, Datos!$F$2:$F1003=J$1, Datos!$G$2:$G1003=J$2, Datos!$A$2:$A1003=$A178)"),1814.233)</f>
        <v>1814.233</v>
      </c>
      <c r="K178" s="20">
        <f>IFERROR(__xludf.DUMMYFUNCTION("FILTER(Datos!$E$2:$E1003, Datos!$F$2:$F1003=K$1, Datos!$G$2:$G1003=K$2, Datos!$A$2:$A1003=$A178)"),2271.496)</f>
        <v>2271.496</v>
      </c>
      <c r="L178" s="20">
        <f>IFERROR(__xludf.DUMMYFUNCTION("FILTER(Datos!$D$2:$D1003, Datos!$F$2:$F1003=L$1, Datos!$G$2:$G1003=L$2, Datos!$A$2:$A1003=$A178)"),2108.3)</f>
        <v>2108.3</v>
      </c>
      <c r="M178" s="20">
        <f>IFERROR(__xludf.DUMMYFUNCTION("FILTER(Datos!$E$2:$E1003, Datos!$F$2:$F1003=M$1, Datos!$G$2:$G1003=M$2, Datos!$A$2:$A1003=$A178)"),2755.269)</f>
        <v>2755.269</v>
      </c>
      <c r="N178" s="20">
        <f>IFERROR(__xludf.DUMMYFUNCTION("FILTER(Datos!$D$2:$D1003, Datos!$F$2:$F1003=N$1, Datos!$G$2:$G1003=N$2, Datos!$A$2:$A1003=$A178)"),2514.933)</f>
        <v>2514.933</v>
      </c>
      <c r="O178" s="20">
        <f>IFERROR(__xludf.DUMMYFUNCTION("FILTER(Datos!$E$2:$E1003, Datos!$F$2:$F1003=O$1, Datos!$G$2:$G1003=O$2, Datos!$A$2:$A1003=$A178)"),3571.538)</f>
        <v>3571.538</v>
      </c>
      <c r="P178" s="20">
        <f>IFERROR(__xludf.DUMMYFUNCTION("FILTER(Datos!$D$2:$D1003, Datos!$F$2:$F1003=P$1, Datos!$G$2:$G1003=P$2, Datos!$A$2:$A1003=$A178)"),2995.533)</f>
        <v>2995.533</v>
      </c>
      <c r="Q178" s="21">
        <f>IFERROR(__xludf.DUMMYFUNCTION("FILTER(Datos!$E$2:$E1003, Datos!$F$2:$F1003=Q$1, Datos!$G$2:$G1003=Q$2, Datos!$A$2:$A1003=$A178)"),4567.562)</f>
        <v>4567.562</v>
      </c>
    </row>
    <row r="179">
      <c r="A179" s="18">
        <f t="shared" si="2"/>
        <v>174</v>
      </c>
      <c r="B179" s="19">
        <f>IFERROR(__xludf.DUMMYFUNCTION("FILTER(Datos!$D$2:$D1003, Datos!$F$2:$F1003=B$1, Datos!$G$2:$G1003=B$2, Datos!$A$2:$A1003=$A179)"),1906.633)</f>
        <v>1906.633</v>
      </c>
      <c r="C179" s="20">
        <f>IFERROR(__xludf.DUMMYFUNCTION("FILTER(Datos!$E$2:$E1003, Datos!$F$2:$F1003=C$1, Datos!$G$2:$G1003=C$2, Datos!$A$2:$A1003=$A179)"),1987.656)</f>
        <v>1987.656</v>
      </c>
      <c r="D179" s="20">
        <f>IFERROR(__xludf.DUMMYFUNCTION("FILTER(Datos!$D$2:$D1003, Datos!$F$2:$F1003=D$1, Datos!$G$2:$G1003=D$2, Datos!$A$2:$A1003=$A179)"),2162.9)</f>
        <v>2162.9</v>
      </c>
      <c r="E179" s="20">
        <f>IFERROR(__xludf.DUMMYFUNCTION("FILTER(Datos!$E$2:$E1003, Datos!$F$2:$F1003=E$1, Datos!$G$2:$G1003=E$2, Datos!$A$2:$A1003=$A179)"),2265.363)</f>
        <v>2265.363</v>
      </c>
      <c r="F179" s="20">
        <f>IFERROR(__xludf.DUMMYFUNCTION("FILTER(Datos!$D$2:$D1003, Datos!$F$2:$F1003=F$1, Datos!$G$2:$G1003=F$2, Datos!$A$2:$A1003=$A179)"),2685.0)</f>
        <v>2685</v>
      </c>
      <c r="G179" s="20">
        <f>IFERROR(__xludf.DUMMYFUNCTION("FILTER(Datos!$E$2:$E1003, Datos!$F$2:$F1003=G$1, Datos!$G$2:$G1003=G$2, Datos!$A$2:$A1003=$A179)"),2914.3)</f>
        <v>2914.3</v>
      </c>
      <c r="H179" s="20">
        <f>IFERROR(__xludf.DUMMYFUNCTION("FILTER(Datos!$D$2:$D1003, Datos!$F$2:$F1003=H$1, Datos!$G$2:$G1003=H$2, Datos!$A$2:$A1003=$A179)"),3296.267)</f>
        <v>3296.267</v>
      </c>
      <c r="I179" s="21">
        <f>IFERROR(__xludf.DUMMYFUNCTION("FILTER(Datos!$E$2:$E1003, Datos!$F$2:$F1003=I$1, Datos!$G$2:$G1003=I$2, Datos!$A$2:$A1003=$A179)"),4479.527)</f>
        <v>4479.527</v>
      </c>
      <c r="J179" s="20">
        <f>IFERROR(__xludf.DUMMYFUNCTION("FILTER(Datos!$D$2:$D1003, Datos!$F$2:$F1003=J$1, Datos!$G$2:$G1003=J$2, Datos!$A$2:$A1003=$A179)"),1814.233)</f>
        <v>1814.233</v>
      </c>
      <c r="K179" s="20">
        <f>IFERROR(__xludf.DUMMYFUNCTION("FILTER(Datos!$E$2:$E1003, Datos!$F$2:$F1003=K$1, Datos!$G$2:$G1003=K$2, Datos!$A$2:$A1003=$A179)"),2279.082)</f>
        <v>2279.082</v>
      </c>
      <c r="L179" s="20">
        <f>IFERROR(__xludf.DUMMYFUNCTION("FILTER(Datos!$D$2:$D1003, Datos!$F$2:$F1003=L$1, Datos!$G$2:$G1003=L$2, Datos!$A$2:$A1003=$A179)"),2108.3)</f>
        <v>2108.3</v>
      </c>
      <c r="M179" s="20">
        <f>IFERROR(__xludf.DUMMYFUNCTION("FILTER(Datos!$E$2:$E1003, Datos!$F$2:$F1003=M$1, Datos!$G$2:$G1003=M$2, Datos!$A$2:$A1003=$A179)"),2760.343)</f>
        <v>2760.343</v>
      </c>
      <c r="N179" s="20">
        <f>IFERROR(__xludf.DUMMYFUNCTION("FILTER(Datos!$D$2:$D1003, Datos!$F$2:$F1003=N$1, Datos!$G$2:$G1003=N$2, Datos!$A$2:$A1003=$A179)"),2514.933)</f>
        <v>2514.933</v>
      </c>
      <c r="O179" s="20">
        <f>IFERROR(__xludf.DUMMYFUNCTION("FILTER(Datos!$E$2:$E1003, Datos!$F$2:$F1003=O$1, Datos!$G$2:$G1003=O$2, Datos!$A$2:$A1003=$A179)"),3571.337)</f>
        <v>3571.337</v>
      </c>
      <c r="P179" s="20">
        <f>IFERROR(__xludf.DUMMYFUNCTION("FILTER(Datos!$D$2:$D1003, Datos!$F$2:$F1003=P$1, Datos!$G$2:$G1003=P$2, Datos!$A$2:$A1003=$A179)"),2993.8)</f>
        <v>2993.8</v>
      </c>
      <c r="Q179" s="21">
        <f>IFERROR(__xludf.DUMMYFUNCTION("FILTER(Datos!$E$2:$E1003, Datos!$F$2:$F1003=Q$1, Datos!$G$2:$G1003=Q$2, Datos!$A$2:$A1003=$A179)"),4557.495)</f>
        <v>4557.495</v>
      </c>
    </row>
    <row r="180">
      <c r="A180" s="18">
        <f t="shared" si="2"/>
        <v>175</v>
      </c>
      <c r="B180" s="19">
        <f>IFERROR(__xludf.DUMMYFUNCTION("FILTER(Datos!$D$2:$D1003, Datos!$F$2:$F1003=B$1, Datos!$G$2:$G1003=B$2, Datos!$A$2:$A1003=$A180)"),1906.633)</f>
        <v>1906.633</v>
      </c>
      <c r="C180" s="20">
        <f>IFERROR(__xludf.DUMMYFUNCTION("FILTER(Datos!$E$2:$E1003, Datos!$F$2:$F1003=C$1, Datos!$G$2:$G1003=C$2, Datos!$A$2:$A1003=$A180)"),1991.714)</f>
        <v>1991.714</v>
      </c>
      <c r="D180" s="20">
        <f>IFERROR(__xludf.DUMMYFUNCTION("FILTER(Datos!$D$2:$D1003, Datos!$F$2:$F1003=D$1, Datos!$G$2:$G1003=D$2, Datos!$A$2:$A1003=$A180)"),2162.9)</f>
        <v>2162.9</v>
      </c>
      <c r="E180" s="20">
        <f>IFERROR(__xludf.DUMMYFUNCTION("FILTER(Datos!$E$2:$E1003, Datos!$F$2:$F1003=E$1, Datos!$G$2:$G1003=E$2, Datos!$A$2:$A1003=$A180)"),2264.005)</f>
        <v>2264.005</v>
      </c>
      <c r="F180" s="20">
        <f>IFERROR(__xludf.DUMMYFUNCTION("FILTER(Datos!$D$2:$D1003, Datos!$F$2:$F1003=F$1, Datos!$G$2:$G1003=F$2, Datos!$A$2:$A1003=$A180)"),2685.0)</f>
        <v>2685</v>
      </c>
      <c r="G180" s="20">
        <f>IFERROR(__xludf.DUMMYFUNCTION("FILTER(Datos!$E$2:$E1003, Datos!$F$2:$F1003=G$1, Datos!$G$2:$G1003=G$2, Datos!$A$2:$A1003=$A180)"),2913.614)</f>
        <v>2913.614</v>
      </c>
      <c r="H180" s="20">
        <f>IFERROR(__xludf.DUMMYFUNCTION("FILTER(Datos!$D$2:$D1003, Datos!$F$2:$F1003=H$1, Datos!$G$2:$G1003=H$2, Datos!$A$2:$A1003=$A180)"),3286.0)</f>
        <v>3286</v>
      </c>
      <c r="I180" s="21">
        <f>IFERROR(__xludf.DUMMYFUNCTION("FILTER(Datos!$E$2:$E1003, Datos!$F$2:$F1003=I$1, Datos!$G$2:$G1003=I$2, Datos!$A$2:$A1003=$A180)"),4455.281)</f>
        <v>4455.281</v>
      </c>
      <c r="J180" s="20">
        <f>IFERROR(__xludf.DUMMYFUNCTION("FILTER(Datos!$D$2:$D1003, Datos!$F$2:$F1003=J$1, Datos!$G$2:$G1003=J$2, Datos!$A$2:$A1003=$A180)"),1814.233)</f>
        <v>1814.233</v>
      </c>
      <c r="K180" s="20">
        <f>IFERROR(__xludf.DUMMYFUNCTION("FILTER(Datos!$E$2:$E1003, Datos!$F$2:$F1003=K$1, Datos!$G$2:$G1003=K$2, Datos!$A$2:$A1003=$A180)"),2275.456)</f>
        <v>2275.456</v>
      </c>
      <c r="L180" s="20">
        <f>IFERROR(__xludf.DUMMYFUNCTION("FILTER(Datos!$D$2:$D1003, Datos!$F$2:$F1003=L$1, Datos!$G$2:$G1003=L$2, Datos!$A$2:$A1003=$A180)"),2108.3)</f>
        <v>2108.3</v>
      </c>
      <c r="M180" s="20">
        <f>IFERROR(__xludf.DUMMYFUNCTION("FILTER(Datos!$E$2:$E1003, Datos!$F$2:$F1003=M$1, Datos!$G$2:$G1003=M$2, Datos!$A$2:$A1003=$A180)"),2758.496)</f>
        <v>2758.496</v>
      </c>
      <c r="N180" s="20">
        <f>IFERROR(__xludf.DUMMYFUNCTION("FILTER(Datos!$D$2:$D1003, Datos!$F$2:$F1003=N$1, Datos!$G$2:$G1003=N$2, Datos!$A$2:$A1003=$A180)"),2514.933)</f>
        <v>2514.933</v>
      </c>
      <c r="O180" s="20">
        <f>IFERROR(__xludf.DUMMYFUNCTION("FILTER(Datos!$E$2:$E1003, Datos!$F$2:$F1003=O$1, Datos!$G$2:$G1003=O$2, Datos!$A$2:$A1003=$A180)"),3556.842)</f>
        <v>3556.842</v>
      </c>
      <c r="P180" s="20">
        <f>IFERROR(__xludf.DUMMYFUNCTION("FILTER(Datos!$D$2:$D1003, Datos!$F$2:$F1003=P$1, Datos!$G$2:$G1003=P$2, Datos!$A$2:$A1003=$A180)"),2992.9)</f>
        <v>2992.9</v>
      </c>
      <c r="Q180" s="21">
        <f>IFERROR(__xludf.DUMMYFUNCTION("FILTER(Datos!$E$2:$E1003, Datos!$F$2:$F1003=Q$1, Datos!$G$2:$G1003=Q$2, Datos!$A$2:$A1003=$A180)"),4557.796)</f>
        <v>4557.796</v>
      </c>
    </row>
    <row r="181">
      <c r="A181" s="18">
        <f t="shared" si="2"/>
        <v>176</v>
      </c>
      <c r="B181" s="19">
        <f>IFERROR(__xludf.DUMMYFUNCTION("FILTER(Datos!$D$2:$D1003, Datos!$F$2:$F1003=B$1, Datos!$G$2:$G1003=B$2, Datos!$A$2:$A1003=$A181)"),1906.633)</f>
        <v>1906.633</v>
      </c>
      <c r="C181" s="20">
        <f>IFERROR(__xludf.DUMMYFUNCTION("FILTER(Datos!$E$2:$E1003, Datos!$F$2:$F1003=C$1, Datos!$G$2:$G1003=C$2, Datos!$A$2:$A1003=$A181)"),1993.364)</f>
        <v>1993.364</v>
      </c>
      <c r="D181" s="20">
        <f>IFERROR(__xludf.DUMMYFUNCTION("FILTER(Datos!$D$2:$D1003, Datos!$F$2:$F1003=D$1, Datos!$G$2:$G1003=D$2, Datos!$A$2:$A1003=$A181)"),2162.9)</f>
        <v>2162.9</v>
      </c>
      <c r="E181" s="20">
        <f>IFERROR(__xludf.DUMMYFUNCTION("FILTER(Datos!$E$2:$E1003, Datos!$F$2:$F1003=E$1, Datos!$G$2:$G1003=E$2, Datos!$A$2:$A1003=$A181)"),2262.487)</f>
        <v>2262.487</v>
      </c>
      <c r="F181" s="20">
        <f>IFERROR(__xludf.DUMMYFUNCTION("FILTER(Datos!$D$2:$D1003, Datos!$F$2:$F1003=F$1, Datos!$G$2:$G1003=F$2, Datos!$A$2:$A1003=$A181)"),2685.0)</f>
        <v>2685</v>
      </c>
      <c r="G181" s="20">
        <f>IFERROR(__xludf.DUMMYFUNCTION("FILTER(Datos!$E$2:$E1003, Datos!$F$2:$F1003=G$1, Datos!$G$2:$G1003=G$2, Datos!$A$2:$A1003=$A181)"),2916.149)</f>
        <v>2916.149</v>
      </c>
      <c r="H181" s="20">
        <f>IFERROR(__xludf.DUMMYFUNCTION("FILTER(Datos!$D$2:$D1003, Datos!$F$2:$F1003=H$1, Datos!$G$2:$G1003=H$2, Datos!$A$2:$A1003=$A181)"),3280.6)</f>
        <v>3280.6</v>
      </c>
      <c r="I181" s="21">
        <f>IFERROR(__xludf.DUMMYFUNCTION("FILTER(Datos!$E$2:$E1003, Datos!$F$2:$F1003=I$1, Datos!$G$2:$G1003=I$2, Datos!$A$2:$A1003=$A181)"),4422.825)</f>
        <v>4422.825</v>
      </c>
      <c r="J181" s="20">
        <f>IFERROR(__xludf.DUMMYFUNCTION("FILTER(Datos!$D$2:$D1003, Datos!$F$2:$F1003=J$1, Datos!$G$2:$G1003=J$2, Datos!$A$2:$A1003=$A181)"),1814.233)</f>
        <v>1814.233</v>
      </c>
      <c r="K181" s="20">
        <f>IFERROR(__xludf.DUMMYFUNCTION("FILTER(Datos!$E$2:$E1003, Datos!$F$2:$F1003=K$1, Datos!$G$2:$G1003=K$2, Datos!$A$2:$A1003=$A181)"),2280.129)</f>
        <v>2280.129</v>
      </c>
      <c r="L181" s="20">
        <f>IFERROR(__xludf.DUMMYFUNCTION("FILTER(Datos!$D$2:$D1003, Datos!$F$2:$F1003=L$1, Datos!$G$2:$G1003=L$2, Datos!$A$2:$A1003=$A181)"),2108.3)</f>
        <v>2108.3</v>
      </c>
      <c r="M181" s="20">
        <f>IFERROR(__xludf.DUMMYFUNCTION("FILTER(Datos!$E$2:$E1003, Datos!$F$2:$F1003=M$1, Datos!$G$2:$G1003=M$2, Datos!$A$2:$A1003=$A181)"),2749.165)</f>
        <v>2749.165</v>
      </c>
      <c r="N181" s="20">
        <f>IFERROR(__xludf.DUMMYFUNCTION("FILTER(Datos!$D$2:$D1003, Datos!$F$2:$F1003=N$1, Datos!$G$2:$G1003=N$2, Datos!$A$2:$A1003=$A181)"),2514.933)</f>
        <v>2514.933</v>
      </c>
      <c r="O181" s="20">
        <f>IFERROR(__xludf.DUMMYFUNCTION("FILTER(Datos!$E$2:$E1003, Datos!$F$2:$F1003=O$1, Datos!$G$2:$G1003=O$2, Datos!$A$2:$A1003=$A181)"),3559.453)</f>
        <v>3559.453</v>
      </c>
      <c r="P181" s="20">
        <f>IFERROR(__xludf.DUMMYFUNCTION("FILTER(Datos!$D$2:$D1003, Datos!$F$2:$F1003=P$1, Datos!$G$2:$G1003=P$2, Datos!$A$2:$A1003=$A181)"),2992.1)</f>
        <v>2992.1</v>
      </c>
      <c r="Q181" s="21">
        <f>IFERROR(__xludf.DUMMYFUNCTION("FILTER(Datos!$E$2:$E1003, Datos!$F$2:$F1003=Q$1, Datos!$G$2:$G1003=Q$2, Datos!$A$2:$A1003=$A181)"),4572.266)</f>
        <v>4572.266</v>
      </c>
    </row>
    <row r="182">
      <c r="A182" s="18">
        <f t="shared" si="2"/>
        <v>177</v>
      </c>
      <c r="B182" s="19">
        <f>IFERROR(__xludf.DUMMYFUNCTION("FILTER(Datos!$D$2:$D1003, Datos!$F$2:$F1003=B$1, Datos!$G$2:$G1003=B$2, Datos!$A$2:$A1003=$A182)"),1906.633)</f>
        <v>1906.633</v>
      </c>
      <c r="C182" s="20">
        <f>IFERROR(__xludf.DUMMYFUNCTION("FILTER(Datos!$E$2:$E1003, Datos!$F$2:$F1003=C$1, Datos!$G$2:$G1003=C$2, Datos!$A$2:$A1003=$A182)"),1991.969)</f>
        <v>1991.969</v>
      </c>
      <c r="D182" s="20">
        <f>IFERROR(__xludf.DUMMYFUNCTION("FILTER(Datos!$D$2:$D1003, Datos!$F$2:$F1003=D$1, Datos!$G$2:$G1003=D$2, Datos!$A$2:$A1003=$A182)"),2162.9)</f>
        <v>2162.9</v>
      </c>
      <c r="E182" s="20">
        <f>IFERROR(__xludf.DUMMYFUNCTION("FILTER(Datos!$E$2:$E1003, Datos!$F$2:$F1003=E$1, Datos!$G$2:$G1003=E$2, Datos!$A$2:$A1003=$A182)"),2260.878)</f>
        <v>2260.878</v>
      </c>
      <c r="F182" s="20">
        <f>IFERROR(__xludf.DUMMYFUNCTION("FILTER(Datos!$D$2:$D1003, Datos!$F$2:$F1003=F$1, Datos!$G$2:$G1003=F$2, Datos!$A$2:$A1003=$A182)"),2685.0)</f>
        <v>2685</v>
      </c>
      <c r="G182" s="20">
        <f>IFERROR(__xludf.DUMMYFUNCTION("FILTER(Datos!$E$2:$E1003, Datos!$F$2:$F1003=G$1, Datos!$G$2:$G1003=G$2, Datos!$A$2:$A1003=$A182)"),2909.105)</f>
        <v>2909.105</v>
      </c>
      <c r="H182" s="20">
        <f>IFERROR(__xludf.DUMMYFUNCTION("FILTER(Datos!$D$2:$D1003, Datos!$F$2:$F1003=H$1, Datos!$G$2:$G1003=H$2, Datos!$A$2:$A1003=$A182)"),3261.033)</f>
        <v>3261.033</v>
      </c>
      <c r="I182" s="21">
        <f>IFERROR(__xludf.DUMMYFUNCTION("FILTER(Datos!$E$2:$E1003, Datos!$F$2:$F1003=I$1, Datos!$G$2:$G1003=I$2, Datos!$A$2:$A1003=$A182)"),4383.578)</f>
        <v>4383.578</v>
      </c>
      <c r="J182" s="20">
        <f>IFERROR(__xludf.DUMMYFUNCTION("FILTER(Datos!$D$2:$D1003, Datos!$F$2:$F1003=J$1, Datos!$G$2:$G1003=J$2, Datos!$A$2:$A1003=$A182)"),1814.233)</f>
        <v>1814.233</v>
      </c>
      <c r="K182" s="20">
        <f>IFERROR(__xludf.DUMMYFUNCTION("FILTER(Datos!$E$2:$E1003, Datos!$F$2:$F1003=K$1, Datos!$G$2:$G1003=K$2, Datos!$A$2:$A1003=$A182)"),2280.998)</f>
        <v>2280.998</v>
      </c>
      <c r="L182" s="20">
        <f>IFERROR(__xludf.DUMMYFUNCTION("FILTER(Datos!$D$2:$D1003, Datos!$F$2:$F1003=L$1, Datos!$G$2:$G1003=L$2, Datos!$A$2:$A1003=$A182)"),2108.3)</f>
        <v>2108.3</v>
      </c>
      <c r="M182" s="20">
        <f>IFERROR(__xludf.DUMMYFUNCTION("FILTER(Datos!$E$2:$E1003, Datos!$F$2:$F1003=M$1, Datos!$G$2:$G1003=M$2, Datos!$A$2:$A1003=$A182)"),2754.133)</f>
        <v>2754.133</v>
      </c>
      <c r="N182" s="20">
        <f>IFERROR(__xludf.DUMMYFUNCTION("FILTER(Datos!$D$2:$D1003, Datos!$F$2:$F1003=N$1, Datos!$G$2:$G1003=N$2, Datos!$A$2:$A1003=$A182)"),2514.933)</f>
        <v>2514.933</v>
      </c>
      <c r="O182" s="20">
        <f>IFERROR(__xludf.DUMMYFUNCTION("FILTER(Datos!$E$2:$E1003, Datos!$F$2:$F1003=O$1, Datos!$G$2:$G1003=O$2, Datos!$A$2:$A1003=$A182)"),3558.526)</f>
        <v>3558.526</v>
      </c>
      <c r="P182" s="20">
        <f>IFERROR(__xludf.DUMMYFUNCTION("FILTER(Datos!$D$2:$D1003, Datos!$F$2:$F1003=P$1, Datos!$G$2:$G1003=P$2, Datos!$A$2:$A1003=$A182)"),2992.1)</f>
        <v>2992.1</v>
      </c>
      <c r="Q182" s="21">
        <f>IFERROR(__xludf.DUMMYFUNCTION("FILTER(Datos!$E$2:$E1003, Datos!$F$2:$F1003=Q$1, Datos!$G$2:$G1003=Q$2, Datos!$A$2:$A1003=$A182)"),4578.935)</f>
        <v>4578.935</v>
      </c>
    </row>
    <row r="183">
      <c r="A183" s="18">
        <f t="shared" si="2"/>
        <v>178</v>
      </c>
      <c r="B183" s="19">
        <f>IFERROR(__xludf.DUMMYFUNCTION("FILTER(Datos!$D$2:$D1003, Datos!$F$2:$F1003=B$1, Datos!$G$2:$G1003=B$2, Datos!$A$2:$A1003=$A183)"),1906.633)</f>
        <v>1906.633</v>
      </c>
      <c r="C183" s="20">
        <f>IFERROR(__xludf.DUMMYFUNCTION("FILTER(Datos!$E$2:$E1003, Datos!$F$2:$F1003=C$1, Datos!$G$2:$G1003=C$2, Datos!$A$2:$A1003=$A183)"),1988.586)</f>
        <v>1988.586</v>
      </c>
      <c r="D183" s="20">
        <f>IFERROR(__xludf.DUMMYFUNCTION("FILTER(Datos!$D$2:$D1003, Datos!$F$2:$F1003=D$1, Datos!$G$2:$G1003=D$2, Datos!$A$2:$A1003=$A183)"),2162.9)</f>
        <v>2162.9</v>
      </c>
      <c r="E183" s="20">
        <f>IFERROR(__xludf.DUMMYFUNCTION("FILTER(Datos!$E$2:$E1003, Datos!$F$2:$F1003=E$1, Datos!$G$2:$G1003=E$2, Datos!$A$2:$A1003=$A183)"),2261.555)</f>
        <v>2261.555</v>
      </c>
      <c r="F183" s="20">
        <f>IFERROR(__xludf.DUMMYFUNCTION("FILTER(Datos!$D$2:$D1003, Datos!$F$2:$F1003=F$1, Datos!$G$2:$G1003=F$2, Datos!$A$2:$A1003=$A183)"),2678.1)</f>
        <v>2678.1</v>
      </c>
      <c r="G183" s="20">
        <f>IFERROR(__xludf.DUMMYFUNCTION("FILTER(Datos!$E$2:$E1003, Datos!$F$2:$F1003=G$1, Datos!$G$2:$G1003=G$2, Datos!$A$2:$A1003=$A183)"),2912.102)</f>
        <v>2912.102</v>
      </c>
      <c r="H183" s="20">
        <f>IFERROR(__xludf.DUMMYFUNCTION("FILTER(Datos!$D$2:$D1003, Datos!$F$2:$F1003=H$1, Datos!$G$2:$G1003=H$2, Datos!$A$2:$A1003=$A183)"),3253.433)</f>
        <v>3253.433</v>
      </c>
      <c r="I183" s="21">
        <f>IFERROR(__xludf.DUMMYFUNCTION("FILTER(Datos!$E$2:$E1003, Datos!$F$2:$F1003=I$1, Datos!$G$2:$G1003=I$2, Datos!$A$2:$A1003=$A183)"),4355.954)</f>
        <v>4355.954</v>
      </c>
      <c r="J183" s="20">
        <f>IFERROR(__xludf.DUMMYFUNCTION("FILTER(Datos!$D$2:$D1003, Datos!$F$2:$F1003=J$1, Datos!$G$2:$G1003=J$2, Datos!$A$2:$A1003=$A183)"),1814.233)</f>
        <v>1814.233</v>
      </c>
      <c r="K183" s="20">
        <f>IFERROR(__xludf.DUMMYFUNCTION("FILTER(Datos!$E$2:$E1003, Datos!$F$2:$F1003=K$1, Datos!$G$2:$G1003=K$2, Datos!$A$2:$A1003=$A183)"),2291.466)</f>
        <v>2291.466</v>
      </c>
      <c r="L183" s="20">
        <f>IFERROR(__xludf.DUMMYFUNCTION("FILTER(Datos!$D$2:$D1003, Datos!$F$2:$F1003=L$1, Datos!$G$2:$G1003=L$2, Datos!$A$2:$A1003=$A183)"),2108.3)</f>
        <v>2108.3</v>
      </c>
      <c r="M183" s="20">
        <f>IFERROR(__xludf.DUMMYFUNCTION("FILTER(Datos!$E$2:$E1003, Datos!$F$2:$F1003=M$1, Datos!$G$2:$G1003=M$2, Datos!$A$2:$A1003=$A183)"),2757.102)</f>
        <v>2757.102</v>
      </c>
      <c r="N183" s="20">
        <f>IFERROR(__xludf.DUMMYFUNCTION("FILTER(Datos!$D$2:$D1003, Datos!$F$2:$F1003=N$1, Datos!$G$2:$G1003=N$2, Datos!$A$2:$A1003=$A183)"),2514.933)</f>
        <v>2514.933</v>
      </c>
      <c r="O183" s="20">
        <f>IFERROR(__xludf.DUMMYFUNCTION("FILTER(Datos!$E$2:$E1003, Datos!$F$2:$F1003=O$1, Datos!$G$2:$G1003=O$2, Datos!$A$2:$A1003=$A183)"),3555.68)</f>
        <v>3555.68</v>
      </c>
      <c r="P183" s="20">
        <f>IFERROR(__xludf.DUMMYFUNCTION("FILTER(Datos!$D$2:$D1003, Datos!$F$2:$F1003=P$1, Datos!$G$2:$G1003=P$2, Datos!$A$2:$A1003=$A183)"),2991.633)</f>
        <v>2991.633</v>
      </c>
      <c r="Q183" s="21">
        <f>IFERROR(__xludf.DUMMYFUNCTION("FILTER(Datos!$E$2:$E1003, Datos!$F$2:$F1003=Q$1, Datos!$G$2:$G1003=Q$2, Datos!$A$2:$A1003=$A183)"),4568.72)</f>
        <v>4568.72</v>
      </c>
    </row>
    <row r="184">
      <c r="A184" s="18">
        <f t="shared" si="2"/>
        <v>179</v>
      </c>
      <c r="B184" s="19">
        <f>IFERROR(__xludf.DUMMYFUNCTION("FILTER(Datos!$D$2:$D1003, Datos!$F$2:$F1003=B$1, Datos!$G$2:$G1003=B$2, Datos!$A$2:$A1003=$A184)"),1906.633)</f>
        <v>1906.633</v>
      </c>
      <c r="C184" s="20">
        <f>IFERROR(__xludf.DUMMYFUNCTION("FILTER(Datos!$E$2:$E1003, Datos!$F$2:$F1003=C$1, Datos!$G$2:$G1003=C$2, Datos!$A$2:$A1003=$A184)"),1991.719)</f>
        <v>1991.719</v>
      </c>
      <c r="D184" s="20">
        <f>IFERROR(__xludf.DUMMYFUNCTION("FILTER(Datos!$D$2:$D1003, Datos!$F$2:$F1003=D$1, Datos!$G$2:$G1003=D$2, Datos!$A$2:$A1003=$A184)"),2162.9)</f>
        <v>2162.9</v>
      </c>
      <c r="E184" s="20">
        <f>IFERROR(__xludf.DUMMYFUNCTION("FILTER(Datos!$E$2:$E1003, Datos!$F$2:$F1003=E$1, Datos!$G$2:$G1003=E$2, Datos!$A$2:$A1003=$A184)"),2263.255)</f>
        <v>2263.255</v>
      </c>
      <c r="F184" s="20">
        <f>IFERROR(__xludf.DUMMYFUNCTION("FILTER(Datos!$D$2:$D1003, Datos!$F$2:$F1003=F$1, Datos!$G$2:$G1003=F$2, Datos!$A$2:$A1003=$A184)"),2678.1)</f>
        <v>2678.1</v>
      </c>
      <c r="G184" s="20">
        <f>IFERROR(__xludf.DUMMYFUNCTION("FILTER(Datos!$E$2:$E1003, Datos!$F$2:$F1003=G$1, Datos!$G$2:$G1003=G$2, Datos!$A$2:$A1003=$A184)"),2915.177)</f>
        <v>2915.177</v>
      </c>
      <c r="H184" s="20">
        <f>IFERROR(__xludf.DUMMYFUNCTION("FILTER(Datos!$D$2:$D1003, Datos!$F$2:$F1003=H$1, Datos!$G$2:$G1003=H$2, Datos!$A$2:$A1003=$A184)"),3243.6)</f>
        <v>3243.6</v>
      </c>
      <c r="I184" s="21">
        <f>IFERROR(__xludf.DUMMYFUNCTION("FILTER(Datos!$E$2:$E1003, Datos!$F$2:$F1003=I$1, Datos!$G$2:$G1003=I$2, Datos!$A$2:$A1003=$A184)"),4321.392)</f>
        <v>4321.392</v>
      </c>
      <c r="J184" s="20">
        <f>IFERROR(__xludf.DUMMYFUNCTION("FILTER(Datos!$D$2:$D1003, Datos!$F$2:$F1003=J$1, Datos!$G$2:$G1003=J$2, Datos!$A$2:$A1003=$A184)"),1814.233)</f>
        <v>1814.233</v>
      </c>
      <c r="K184" s="20">
        <f>IFERROR(__xludf.DUMMYFUNCTION("FILTER(Datos!$E$2:$E1003, Datos!$F$2:$F1003=K$1, Datos!$G$2:$G1003=K$2, Datos!$A$2:$A1003=$A184)"),2291.55)</f>
        <v>2291.55</v>
      </c>
      <c r="L184" s="20">
        <f>IFERROR(__xludf.DUMMYFUNCTION("FILTER(Datos!$D$2:$D1003, Datos!$F$2:$F1003=L$1, Datos!$G$2:$G1003=L$2, Datos!$A$2:$A1003=$A184)"),2108.3)</f>
        <v>2108.3</v>
      </c>
      <c r="M184" s="20">
        <f>IFERROR(__xludf.DUMMYFUNCTION("FILTER(Datos!$E$2:$E1003, Datos!$F$2:$F1003=M$1, Datos!$G$2:$G1003=M$2, Datos!$A$2:$A1003=$A184)"),2753.614)</f>
        <v>2753.614</v>
      </c>
      <c r="N184" s="20">
        <f>IFERROR(__xludf.DUMMYFUNCTION("FILTER(Datos!$D$2:$D1003, Datos!$F$2:$F1003=N$1, Datos!$G$2:$G1003=N$2, Datos!$A$2:$A1003=$A184)"),2514.933)</f>
        <v>2514.933</v>
      </c>
      <c r="O184" s="20">
        <f>IFERROR(__xludf.DUMMYFUNCTION("FILTER(Datos!$E$2:$E1003, Datos!$F$2:$F1003=O$1, Datos!$G$2:$G1003=O$2, Datos!$A$2:$A1003=$A184)"),3530.745)</f>
        <v>3530.745</v>
      </c>
      <c r="P184" s="20">
        <f>IFERROR(__xludf.DUMMYFUNCTION("FILTER(Datos!$D$2:$D1003, Datos!$F$2:$F1003=P$1, Datos!$G$2:$G1003=P$2, Datos!$A$2:$A1003=$A184)"),2989.333)</f>
        <v>2989.333</v>
      </c>
      <c r="Q184" s="21">
        <f>IFERROR(__xludf.DUMMYFUNCTION("FILTER(Datos!$E$2:$E1003, Datos!$F$2:$F1003=Q$1, Datos!$G$2:$G1003=Q$2, Datos!$A$2:$A1003=$A184)"),4557.363)</f>
        <v>4557.363</v>
      </c>
    </row>
    <row r="185">
      <c r="A185" s="18">
        <f t="shared" si="2"/>
        <v>180</v>
      </c>
      <c r="B185" s="19">
        <f>IFERROR(__xludf.DUMMYFUNCTION("FILTER(Datos!$D$2:$D1003, Datos!$F$2:$F1003=B$1, Datos!$G$2:$G1003=B$2, Datos!$A$2:$A1003=$A185)"),1906.633)</f>
        <v>1906.633</v>
      </c>
      <c r="C185" s="20">
        <f>IFERROR(__xludf.DUMMYFUNCTION("FILTER(Datos!$E$2:$E1003, Datos!$F$2:$F1003=C$1, Datos!$G$2:$G1003=C$2, Datos!$A$2:$A1003=$A185)"),1989.798)</f>
        <v>1989.798</v>
      </c>
      <c r="D185" s="20">
        <f>IFERROR(__xludf.DUMMYFUNCTION("FILTER(Datos!$D$2:$D1003, Datos!$F$2:$F1003=D$1, Datos!$G$2:$G1003=D$2, Datos!$A$2:$A1003=$A185)"),2162.9)</f>
        <v>2162.9</v>
      </c>
      <c r="E185" s="20">
        <f>IFERROR(__xludf.DUMMYFUNCTION("FILTER(Datos!$E$2:$E1003, Datos!$F$2:$F1003=E$1, Datos!$G$2:$G1003=E$2, Datos!$A$2:$A1003=$A185)"),2260.727)</f>
        <v>2260.727</v>
      </c>
      <c r="F185" s="20">
        <f>IFERROR(__xludf.DUMMYFUNCTION("FILTER(Datos!$D$2:$D1003, Datos!$F$2:$F1003=F$1, Datos!$G$2:$G1003=F$2, Datos!$A$2:$A1003=$A185)"),2678.1)</f>
        <v>2678.1</v>
      </c>
      <c r="G185" s="20">
        <f>IFERROR(__xludf.DUMMYFUNCTION("FILTER(Datos!$E$2:$E1003, Datos!$F$2:$F1003=G$1, Datos!$G$2:$G1003=G$2, Datos!$A$2:$A1003=$A185)"),2911.36)</f>
        <v>2911.36</v>
      </c>
      <c r="H185" s="20">
        <f>IFERROR(__xludf.DUMMYFUNCTION("FILTER(Datos!$D$2:$D1003, Datos!$F$2:$F1003=H$1, Datos!$G$2:$G1003=H$2, Datos!$A$2:$A1003=$A185)"),3232.033)</f>
        <v>3232.033</v>
      </c>
      <c r="I185" s="21">
        <f>IFERROR(__xludf.DUMMYFUNCTION("FILTER(Datos!$E$2:$E1003, Datos!$F$2:$F1003=I$1, Datos!$G$2:$G1003=I$2, Datos!$A$2:$A1003=$A185)"),4297.601)</f>
        <v>4297.601</v>
      </c>
      <c r="J185" s="20">
        <f>IFERROR(__xludf.DUMMYFUNCTION("FILTER(Datos!$D$2:$D1003, Datos!$F$2:$F1003=J$1, Datos!$G$2:$G1003=J$2, Datos!$A$2:$A1003=$A185)"),1814.233)</f>
        <v>1814.233</v>
      </c>
      <c r="K185" s="20">
        <f>IFERROR(__xludf.DUMMYFUNCTION("FILTER(Datos!$E$2:$E1003, Datos!$F$2:$F1003=K$1, Datos!$G$2:$G1003=K$2, Datos!$A$2:$A1003=$A185)"),2290.415)</f>
        <v>2290.415</v>
      </c>
      <c r="L185" s="20">
        <f>IFERROR(__xludf.DUMMYFUNCTION("FILTER(Datos!$D$2:$D1003, Datos!$F$2:$F1003=L$1, Datos!$G$2:$G1003=L$2, Datos!$A$2:$A1003=$A185)"),2108.3)</f>
        <v>2108.3</v>
      </c>
      <c r="M185" s="20">
        <f>IFERROR(__xludf.DUMMYFUNCTION("FILTER(Datos!$E$2:$E1003, Datos!$F$2:$F1003=M$1, Datos!$G$2:$G1003=M$2, Datos!$A$2:$A1003=$A185)"),2746.903)</f>
        <v>2746.903</v>
      </c>
      <c r="N185" s="20">
        <f>IFERROR(__xludf.DUMMYFUNCTION("FILTER(Datos!$D$2:$D1003, Datos!$F$2:$F1003=N$1, Datos!$G$2:$G1003=N$2, Datos!$A$2:$A1003=$A185)"),2514.933)</f>
        <v>2514.933</v>
      </c>
      <c r="O185" s="20">
        <f>IFERROR(__xludf.DUMMYFUNCTION("FILTER(Datos!$E$2:$E1003, Datos!$F$2:$F1003=O$1, Datos!$G$2:$G1003=O$2, Datos!$A$2:$A1003=$A185)"),3525.94)</f>
        <v>3525.94</v>
      </c>
      <c r="P185" s="20">
        <f>IFERROR(__xludf.DUMMYFUNCTION("FILTER(Datos!$D$2:$D1003, Datos!$F$2:$F1003=P$1, Datos!$G$2:$G1003=P$2, Datos!$A$2:$A1003=$A185)"),2989.333)</f>
        <v>2989.333</v>
      </c>
      <c r="Q185" s="21">
        <f>IFERROR(__xludf.DUMMYFUNCTION("FILTER(Datos!$E$2:$E1003, Datos!$F$2:$F1003=Q$1, Datos!$G$2:$G1003=Q$2, Datos!$A$2:$A1003=$A185)"),4527.143)</f>
        <v>4527.143</v>
      </c>
    </row>
    <row r="186">
      <c r="A186" s="18">
        <f t="shared" si="2"/>
        <v>181</v>
      </c>
      <c r="B186" s="19">
        <f>IFERROR(__xludf.DUMMYFUNCTION("FILTER(Datos!$D$2:$D1003, Datos!$F$2:$F1003=B$1, Datos!$G$2:$G1003=B$2, Datos!$A$2:$A1003=$A186)"),1906.633)</f>
        <v>1906.633</v>
      </c>
      <c r="C186" s="20">
        <f>IFERROR(__xludf.DUMMYFUNCTION("FILTER(Datos!$E$2:$E1003, Datos!$F$2:$F1003=C$1, Datos!$G$2:$G1003=C$2, Datos!$A$2:$A1003=$A186)"),1990.318)</f>
        <v>1990.318</v>
      </c>
      <c r="D186" s="20">
        <f>IFERROR(__xludf.DUMMYFUNCTION("FILTER(Datos!$D$2:$D1003, Datos!$F$2:$F1003=D$1, Datos!$G$2:$G1003=D$2, Datos!$A$2:$A1003=$A186)"),2162.9)</f>
        <v>2162.9</v>
      </c>
      <c r="E186" s="20">
        <f>IFERROR(__xludf.DUMMYFUNCTION("FILTER(Datos!$E$2:$E1003, Datos!$F$2:$F1003=E$1, Datos!$G$2:$G1003=E$2, Datos!$A$2:$A1003=$A186)"),2262.806)</f>
        <v>2262.806</v>
      </c>
      <c r="F186" s="20">
        <f>IFERROR(__xludf.DUMMYFUNCTION("FILTER(Datos!$D$2:$D1003, Datos!$F$2:$F1003=F$1, Datos!$G$2:$G1003=F$2, Datos!$A$2:$A1003=$A186)"),2678.1)</f>
        <v>2678.1</v>
      </c>
      <c r="G186" s="20">
        <f>IFERROR(__xludf.DUMMYFUNCTION("FILTER(Datos!$E$2:$E1003, Datos!$F$2:$F1003=G$1, Datos!$G$2:$G1003=G$2, Datos!$A$2:$A1003=$A186)"),2899.842)</f>
        <v>2899.842</v>
      </c>
      <c r="H186" s="20">
        <f>IFERROR(__xludf.DUMMYFUNCTION("FILTER(Datos!$D$2:$D1003, Datos!$F$2:$F1003=H$1, Datos!$G$2:$G1003=H$2, Datos!$A$2:$A1003=$A186)"),3221.767)</f>
        <v>3221.767</v>
      </c>
      <c r="I186" s="21">
        <f>IFERROR(__xludf.DUMMYFUNCTION("FILTER(Datos!$E$2:$E1003, Datos!$F$2:$F1003=I$1, Datos!$G$2:$G1003=I$2, Datos!$A$2:$A1003=$A186)"),4278.604)</f>
        <v>4278.604</v>
      </c>
      <c r="J186" s="20">
        <f>IFERROR(__xludf.DUMMYFUNCTION("FILTER(Datos!$D$2:$D1003, Datos!$F$2:$F1003=J$1, Datos!$G$2:$G1003=J$2, Datos!$A$2:$A1003=$A186)"),1814.233)</f>
        <v>1814.233</v>
      </c>
      <c r="K186" s="20">
        <f>IFERROR(__xludf.DUMMYFUNCTION("FILTER(Datos!$E$2:$E1003, Datos!$F$2:$F1003=K$1, Datos!$G$2:$G1003=K$2, Datos!$A$2:$A1003=$A186)"),2282.688)</f>
        <v>2282.688</v>
      </c>
      <c r="L186" s="20">
        <f>IFERROR(__xludf.DUMMYFUNCTION("FILTER(Datos!$D$2:$D1003, Datos!$F$2:$F1003=L$1, Datos!$G$2:$G1003=L$2, Datos!$A$2:$A1003=$A186)"),2108.3)</f>
        <v>2108.3</v>
      </c>
      <c r="M186" s="20">
        <f>IFERROR(__xludf.DUMMYFUNCTION("FILTER(Datos!$E$2:$E1003, Datos!$F$2:$F1003=M$1, Datos!$G$2:$G1003=M$2, Datos!$A$2:$A1003=$A186)"),2743.498)</f>
        <v>2743.498</v>
      </c>
      <c r="N186" s="20">
        <f>IFERROR(__xludf.DUMMYFUNCTION("FILTER(Datos!$D$2:$D1003, Datos!$F$2:$F1003=N$1, Datos!$G$2:$G1003=N$2, Datos!$A$2:$A1003=$A186)"),2513.967)</f>
        <v>2513.967</v>
      </c>
      <c r="O186" s="20">
        <f>IFERROR(__xludf.DUMMYFUNCTION("FILTER(Datos!$E$2:$E1003, Datos!$F$2:$F1003=O$1, Datos!$G$2:$G1003=O$2, Datos!$A$2:$A1003=$A186)"),3536.475)</f>
        <v>3536.475</v>
      </c>
      <c r="P186" s="20">
        <f>IFERROR(__xludf.DUMMYFUNCTION("FILTER(Datos!$D$2:$D1003, Datos!$F$2:$F1003=P$1, Datos!$G$2:$G1003=P$2, Datos!$A$2:$A1003=$A186)"),2989.333)</f>
        <v>2989.333</v>
      </c>
      <c r="Q186" s="21">
        <f>IFERROR(__xludf.DUMMYFUNCTION("FILTER(Datos!$E$2:$E1003, Datos!$F$2:$F1003=Q$1, Datos!$G$2:$G1003=Q$2, Datos!$A$2:$A1003=$A186)"),4536.271)</f>
        <v>4536.271</v>
      </c>
    </row>
    <row r="187">
      <c r="A187" s="18">
        <f t="shared" si="2"/>
        <v>182</v>
      </c>
      <c r="B187" s="19">
        <f>IFERROR(__xludf.DUMMYFUNCTION("FILTER(Datos!$D$2:$D1003, Datos!$F$2:$F1003=B$1, Datos!$G$2:$G1003=B$2, Datos!$A$2:$A1003=$A187)"),1906.633)</f>
        <v>1906.633</v>
      </c>
      <c r="C187" s="20">
        <f>IFERROR(__xludf.DUMMYFUNCTION("FILTER(Datos!$E$2:$E1003, Datos!$F$2:$F1003=C$1, Datos!$G$2:$G1003=C$2, Datos!$A$2:$A1003=$A187)"),1989.319)</f>
        <v>1989.319</v>
      </c>
      <c r="D187" s="20">
        <f>IFERROR(__xludf.DUMMYFUNCTION("FILTER(Datos!$D$2:$D1003, Datos!$F$2:$F1003=D$1, Datos!$G$2:$G1003=D$2, Datos!$A$2:$A1003=$A187)"),2162.9)</f>
        <v>2162.9</v>
      </c>
      <c r="E187" s="20">
        <f>IFERROR(__xludf.DUMMYFUNCTION("FILTER(Datos!$E$2:$E1003, Datos!$F$2:$F1003=E$1, Datos!$G$2:$G1003=E$2, Datos!$A$2:$A1003=$A187)"),2263.246)</f>
        <v>2263.246</v>
      </c>
      <c r="F187" s="20">
        <f>IFERROR(__xludf.DUMMYFUNCTION("FILTER(Datos!$D$2:$D1003, Datos!$F$2:$F1003=F$1, Datos!$G$2:$G1003=F$2, Datos!$A$2:$A1003=$A187)"),2677.367)</f>
        <v>2677.367</v>
      </c>
      <c r="G187" s="20">
        <f>IFERROR(__xludf.DUMMYFUNCTION("FILTER(Datos!$E$2:$E1003, Datos!$F$2:$F1003=G$1, Datos!$G$2:$G1003=G$2, Datos!$A$2:$A1003=$A187)"),2900.134)</f>
        <v>2900.134</v>
      </c>
      <c r="H187" s="20">
        <f>IFERROR(__xludf.DUMMYFUNCTION("FILTER(Datos!$D$2:$D1003, Datos!$F$2:$F1003=H$1, Datos!$G$2:$G1003=H$2, Datos!$A$2:$A1003=$A187)"),3213.733)</f>
        <v>3213.733</v>
      </c>
      <c r="I187" s="21">
        <f>IFERROR(__xludf.DUMMYFUNCTION("FILTER(Datos!$E$2:$E1003, Datos!$F$2:$F1003=I$1, Datos!$G$2:$G1003=I$2, Datos!$A$2:$A1003=$A187)"),4250.604)</f>
        <v>4250.604</v>
      </c>
      <c r="J187" s="20">
        <f>IFERROR(__xludf.DUMMYFUNCTION("FILTER(Datos!$D$2:$D1003, Datos!$F$2:$F1003=J$1, Datos!$G$2:$G1003=J$2, Datos!$A$2:$A1003=$A187)"),1814.233)</f>
        <v>1814.233</v>
      </c>
      <c r="K187" s="20">
        <f>IFERROR(__xludf.DUMMYFUNCTION("FILTER(Datos!$E$2:$E1003, Datos!$F$2:$F1003=K$1, Datos!$G$2:$G1003=K$2, Datos!$A$2:$A1003=$A187)"),2295.949)</f>
        <v>2295.949</v>
      </c>
      <c r="L187" s="20">
        <f>IFERROR(__xludf.DUMMYFUNCTION("FILTER(Datos!$D$2:$D1003, Datos!$F$2:$F1003=L$1, Datos!$G$2:$G1003=L$2, Datos!$A$2:$A1003=$A187)"),2108.3)</f>
        <v>2108.3</v>
      </c>
      <c r="M187" s="20">
        <f>IFERROR(__xludf.DUMMYFUNCTION("FILTER(Datos!$E$2:$E1003, Datos!$F$2:$F1003=M$1, Datos!$G$2:$G1003=M$2, Datos!$A$2:$A1003=$A187)"),2739.948)</f>
        <v>2739.948</v>
      </c>
      <c r="N187" s="20">
        <f>IFERROR(__xludf.DUMMYFUNCTION("FILTER(Datos!$D$2:$D1003, Datos!$F$2:$F1003=N$1, Datos!$G$2:$G1003=N$2, Datos!$A$2:$A1003=$A187)"),2513.967)</f>
        <v>2513.967</v>
      </c>
      <c r="O187" s="20">
        <f>IFERROR(__xludf.DUMMYFUNCTION("FILTER(Datos!$E$2:$E1003, Datos!$F$2:$F1003=O$1, Datos!$G$2:$G1003=O$2, Datos!$A$2:$A1003=$A187)"),3536.866)</f>
        <v>3536.866</v>
      </c>
      <c r="P187" s="20">
        <f>IFERROR(__xludf.DUMMYFUNCTION("FILTER(Datos!$D$2:$D1003, Datos!$F$2:$F1003=P$1, Datos!$G$2:$G1003=P$2, Datos!$A$2:$A1003=$A187)"),2984.933)</f>
        <v>2984.933</v>
      </c>
      <c r="Q187" s="21">
        <f>IFERROR(__xludf.DUMMYFUNCTION("FILTER(Datos!$E$2:$E1003, Datos!$F$2:$F1003=Q$1, Datos!$G$2:$G1003=Q$2, Datos!$A$2:$A1003=$A187)"),4511.878)</f>
        <v>4511.878</v>
      </c>
    </row>
    <row r="188">
      <c r="A188" s="18">
        <f t="shared" si="2"/>
        <v>183</v>
      </c>
      <c r="B188" s="19">
        <f>IFERROR(__xludf.DUMMYFUNCTION("FILTER(Datos!$D$2:$D1003, Datos!$F$2:$F1003=B$1, Datos!$G$2:$G1003=B$2, Datos!$A$2:$A1003=$A188)"),1906.633)</f>
        <v>1906.633</v>
      </c>
      <c r="C188" s="20">
        <f>IFERROR(__xludf.DUMMYFUNCTION("FILTER(Datos!$E$2:$E1003, Datos!$F$2:$F1003=C$1, Datos!$G$2:$G1003=C$2, Datos!$A$2:$A1003=$A188)"),1988.345)</f>
        <v>1988.345</v>
      </c>
      <c r="D188" s="20">
        <f>IFERROR(__xludf.DUMMYFUNCTION("FILTER(Datos!$D$2:$D1003, Datos!$F$2:$F1003=D$1, Datos!$G$2:$G1003=D$2, Datos!$A$2:$A1003=$A188)"),2162.9)</f>
        <v>2162.9</v>
      </c>
      <c r="E188" s="20">
        <f>IFERROR(__xludf.DUMMYFUNCTION("FILTER(Datos!$E$2:$E1003, Datos!$F$2:$F1003=E$1, Datos!$G$2:$G1003=E$2, Datos!$A$2:$A1003=$A188)"),2262.345)</f>
        <v>2262.345</v>
      </c>
      <c r="F188" s="20">
        <f>IFERROR(__xludf.DUMMYFUNCTION("FILTER(Datos!$D$2:$D1003, Datos!$F$2:$F1003=F$1, Datos!$G$2:$G1003=F$2, Datos!$A$2:$A1003=$A188)"),2677.367)</f>
        <v>2677.367</v>
      </c>
      <c r="G188" s="20">
        <f>IFERROR(__xludf.DUMMYFUNCTION("FILTER(Datos!$E$2:$E1003, Datos!$F$2:$F1003=G$1, Datos!$G$2:$G1003=G$2, Datos!$A$2:$A1003=$A188)"),2895.554)</f>
        <v>2895.554</v>
      </c>
      <c r="H188" s="20">
        <f>IFERROR(__xludf.DUMMYFUNCTION("FILTER(Datos!$D$2:$D1003, Datos!$F$2:$F1003=H$1, Datos!$G$2:$G1003=H$2, Datos!$A$2:$A1003=$A188)"),3210.2)</f>
        <v>3210.2</v>
      </c>
      <c r="I188" s="21">
        <f>IFERROR(__xludf.DUMMYFUNCTION("FILTER(Datos!$E$2:$E1003, Datos!$F$2:$F1003=I$1, Datos!$G$2:$G1003=I$2, Datos!$A$2:$A1003=$A188)"),4230.759)</f>
        <v>4230.759</v>
      </c>
      <c r="J188" s="20">
        <f>IFERROR(__xludf.DUMMYFUNCTION("FILTER(Datos!$D$2:$D1003, Datos!$F$2:$F1003=J$1, Datos!$G$2:$G1003=J$2, Datos!$A$2:$A1003=$A188)"),1814.233)</f>
        <v>1814.233</v>
      </c>
      <c r="K188" s="20">
        <f>IFERROR(__xludf.DUMMYFUNCTION("FILTER(Datos!$E$2:$E1003, Datos!$F$2:$F1003=K$1, Datos!$G$2:$G1003=K$2, Datos!$A$2:$A1003=$A188)"),2287.995)</f>
        <v>2287.995</v>
      </c>
      <c r="L188" s="20">
        <f>IFERROR(__xludf.DUMMYFUNCTION("FILTER(Datos!$D$2:$D1003, Datos!$F$2:$F1003=L$1, Datos!$G$2:$G1003=L$2, Datos!$A$2:$A1003=$A188)"),2108.3)</f>
        <v>2108.3</v>
      </c>
      <c r="M188" s="20">
        <f>IFERROR(__xludf.DUMMYFUNCTION("FILTER(Datos!$E$2:$E1003, Datos!$F$2:$F1003=M$1, Datos!$G$2:$G1003=M$2, Datos!$A$2:$A1003=$A188)"),2755.232)</f>
        <v>2755.232</v>
      </c>
      <c r="N188" s="20">
        <f>IFERROR(__xludf.DUMMYFUNCTION("FILTER(Datos!$D$2:$D1003, Datos!$F$2:$F1003=N$1, Datos!$G$2:$G1003=N$2, Datos!$A$2:$A1003=$A188)"),2513.967)</f>
        <v>2513.967</v>
      </c>
      <c r="O188" s="20">
        <f>IFERROR(__xludf.DUMMYFUNCTION("FILTER(Datos!$E$2:$E1003, Datos!$F$2:$F1003=O$1, Datos!$G$2:$G1003=O$2, Datos!$A$2:$A1003=$A188)"),3542.816)</f>
        <v>3542.816</v>
      </c>
      <c r="P188" s="20">
        <f>IFERROR(__xludf.DUMMYFUNCTION("FILTER(Datos!$D$2:$D1003, Datos!$F$2:$F1003=P$1, Datos!$G$2:$G1003=P$2, Datos!$A$2:$A1003=$A188)"),2981.1)</f>
        <v>2981.1</v>
      </c>
      <c r="Q188" s="21">
        <f>IFERROR(__xludf.DUMMYFUNCTION("FILTER(Datos!$E$2:$E1003, Datos!$F$2:$F1003=Q$1, Datos!$G$2:$G1003=Q$2, Datos!$A$2:$A1003=$A188)"),4509.402)</f>
        <v>4509.402</v>
      </c>
    </row>
    <row r="189">
      <c r="A189" s="18">
        <f t="shared" si="2"/>
        <v>184</v>
      </c>
      <c r="B189" s="19">
        <f>IFERROR(__xludf.DUMMYFUNCTION("FILTER(Datos!$D$2:$D1003, Datos!$F$2:$F1003=B$1, Datos!$G$2:$G1003=B$2, Datos!$A$2:$A1003=$A189)"),1906.633)</f>
        <v>1906.633</v>
      </c>
      <c r="C189" s="20">
        <f>IFERROR(__xludf.DUMMYFUNCTION("FILTER(Datos!$E$2:$E1003, Datos!$F$2:$F1003=C$1, Datos!$G$2:$G1003=C$2, Datos!$A$2:$A1003=$A189)"),1991.115)</f>
        <v>1991.115</v>
      </c>
      <c r="D189" s="20">
        <f>IFERROR(__xludf.DUMMYFUNCTION("FILTER(Datos!$D$2:$D1003, Datos!$F$2:$F1003=D$1, Datos!$G$2:$G1003=D$2, Datos!$A$2:$A1003=$A189)"),2162.9)</f>
        <v>2162.9</v>
      </c>
      <c r="E189" s="20">
        <f>IFERROR(__xludf.DUMMYFUNCTION("FILTER(Datos!$E$2:$E1003, Datos!$F$2:$F1003=E$1, Datos!$G$2:$G1003=E$2, Datos!$A$2:$A1003=$A189)"),2262.315)</f>
        <v>2262.315</v>
      </c>
      <c r="F189" s="20">
        <f>IFERROR(__xludf.DUMMYFUNCTION("FILTER(Datos!$D$2:$D1003, Datos!$F$2:$F1003=F$1, Datos!$G$2:$G1003=F$2, Datos!$A$2:$A1003=$A189)"),2677.367)</f>
        <v>2677.367</v>
      </c>
      <c r="G189" s="20">
        <f>IFERROR(__xludf.DUMMYFUNCTION("FILTER(Datos!$E$2:$E1003, Datos!$F$2:$F1003=G$1, Datos!$G$2:$G1003=G$2, Datos!$A$2:$A1003=$A189)"),2901.462)</f>
        <v>2901.462</v>
      </c>
      <c r="H189" s="20">
        <f>IFERROR(__xludf.DUMMYFUNCTION("FILTER(Datos!$D$2:$D1003, Datos!$F$2:$F1003=H$1, Datos!$G$2:$G1003=H$2, Datos!$A$2:$A1003=$A189)"),3199.9)</f>
        <v>3199.9</v>
      </c>
      <c r="I189" s="21">
        <f>IFERROR(__xludf.DUMMYFUNCTION("FILTER(Datos!$E$2:$E1003, Datos!$F$2:$F1003=I$1, Datos!$G$2:$G1003=I$2, Datos!$A$2:$A1003=$A189)"),4214.755)</f>
        <v>4214.755</v>
      </c>
      <c r="J189" s="20">
        <f>IFERROR(__xludf.DUMMYFUNCTION("FILTER(Datos!$D$2:$D1003, Datos!$F$2:$F1003=J$1, Datos!$G$2:$G1003=J$2, Datos!$A$2:$A1003=$A189)"),1814.233)</f>
        <v>1814.233</v>
      </c>
      <c r="K189" s="20">
        <f>IFERROR(__xludf.DUMMYFUNCTION("FILTER(Datos!$E$2:$E1003, Datos!$F$2:$F1003=K$1, Datos!$G$2:$G1003=K$2, Datos!$A$2:$A1003=$A189)"),2294.974)</f>
        <v>2294.974</v>
      </c>
      <c r="L189" s="20">
        <f>IFERROR(__xludf.DUMMYFUNCTION("FILTER(Datos!$D$2:$D1003, Datos!$F$2:$F1003=L$1, Datos!$G$2:$G1003=L$2, Datos!$A$2:$A1003=$A189)"),2108.3)</f>
        <v>2108.3</v>
      </c>
      <c r="M189" s="20">
        <f>IFERROR(__xludf.DUMMYFUNCTION("FILTER(Datos!$E$2:$E1003, Datos!$F$2:$F1003=M$1, Datos!$G$2:$G1003=M$2, Datos!$A$2:$A1003=$A189)"),2766.827)</f>
        <v>2766.827</v>
      </c>
      <c r="N189" s="20">
        <f>IFERROR(__xludf.DUMMYFUNCTION("FILTER(Datos!$D$2:$D1003, Datos!$F$2:$F1003=N$1, Datos!$G$2:$G1003=N$2, Datos!$A$2:$A1003=$A189)"),2513.967)</f>
        <v>2513.967</v>
      </c>
      <c r="O189" s="20">
        <f>IFERROR(__xludf.DUMMYFUNCTION("FILTER(Datos!$E$2:$E1003, Datos!$F$2:$F1003=O$1, Datos!$G$2:$G1003=O$2, Datos!$A$2:$A1003=$A189)"),3538.841)</f>
        <v>3538.841</v>
      </c>
      <c r="P189" s="20">
        <f>IFERROR(__xludf.DUMMYFUNCTION("FILTER(Datos!$D$2:$D1003, Datos!$F$2:$F1003=P$1, Datos!$G$2:$G1003=P$2, Datos!$A$2:$A1003=$A189)"),2981.1)</f>
        <v>2981.1</v>
      </c>
      <c r="Q189" s="21">
        <f>IFERROR(__xludf.DUMMYFUNCTION("FILTER(Datos!$E$2:$E1003, Datos!$F$2:$F1003=Q$1, Datos!$G$2:$G1003=Q$2, Datos!$A$2:$A1003=$A189)"),4503.203)</f>
        <v>4503.203</v>
      </c>
    </row>
    <row r="190">
      <c r="A190" s="18">
        <f t="shared" si="2"/>
        <v>185</v>
      </c>
      <c r="B190" s="19">
        <f>IFERROR(__xludf.DUMMYFUNCTION("FILTER(Datos!$D$2:$D1003, Datos!$F$2:$F1003=B$1, Datos!$G$2:$G1003=B$2, Datos!$A$2:$A1003=$A190)"),1906.633)</f>
        <v>1906.633</v>
      </c>
      <c r="C190" s="20">
        <f>IFERROR(__xludf.DUMMYFUNCTION("FILTER(Datos!$E$2:$E1003, Datos!$F$2:$F1003=C$1, Datos!$G$2:$G1003=C$2, Datos!$A$2:$A1003=$A190)"),1992.099)</f>
        <v>1992.099</v>
      </c>
      <c r="D190" s="20">
        <f>IFERROR(__xludf.DUMMYFUNCTION("FILTER(Datos!$D$2:$D1003, Datos!$F$2:$F1003=D$1, Datos!$G$2:$G1003=D$2, Datos!$A$2:$A1003=$A190)"),2162.9)</f>
        <v>2162.9</v>
      </c>
      <c r="E190" s="20">
        <f>IFERROR(__xludf.DUMMYFUNCTION("FILTER(Datos!$E$2:$E1003, Datos!$F$2:$F1003=E$1, Datos!$G$2:$G1003=E$2, Datos!$A$2:$A1003=$A190)"),2264.555)</f>
        <v>2264.555</v>
      </c>
      <c r="F190" s="20">
        <f>IFERROR(__xludf.DUMMYFUNCTION("FILTER(Datos!$D$2:$D1003, Datos!$F$2:$F1003=F$1, Datos!$G$2:$G1003=F$2, Datos!$A$2:$A1003=$A190)"),2677.367)</f>
        <v>2677.367</v>
      </c>
      <c r="G190" s="20">
        <f>IFERROR(__xludf.DUMMYFUNCTION("FILTER(Datos!$E$2:$E1003, Datos!$F$2:$F1003=G$1, Datos!$G$2:$G1003=G$2, Datos!$A$2:$A1003=$A190)"),2899.96)</f>
        <v>2899.96</v>
      </c>
      <c r="H190" s="20">
        <f>IFERROR(__xludf.DUMMYFUNCTION("FILTER(Datos!$D$2:$D1003, Datos!$F$2:$F1003=H$1, Datos!$G$2:$G1003=H$2, Datos!$A$2:$A1003=$A190)"),3193.9)</f>
        <v>3193.9</v>
      </c>
      <c r="I190" s="21">
        <f>IFERROR(__xludf.DUMMYFUNCTION("FILTER(Datos!$E$2:$E1003, Datos!$F$2:$F1003=I$1, Datos!$G$2:$G1003=I$2, Datos!$A$2:$A1003=$A190)"),4176.299)</f>
        <v>4176.299</v>
      </c>
      <c r="J190" s="20">
        <f>IFERROR(__xludf.DUMMYFUNCTION("FILTER(Datos!$D$2:$D1003, Datos!$F$2:$F1003=J$1, Datos!$G$2:$G1003=J$2, Datos!$A$2:$A1003=$A190)"),1814.233)</f>
        <v>1814.233</v>
      </c>
      <c r="K190" s="20">
        <f>IFERROR(__xludf.DUMMYFUNCTION("FILTER(Datos!$E$2:$E1003, Datos!$F$2:$F1003=K$1, Datos!$G$2:$G1003=K$2, Datos!$A$2:$A1003=$A190)"),2290.61)</f>
        <v>2290.61</v>
      </c>
      <c r="L190" s="20">
        <f>IFERROR(__xludf.DUMMYFUNCTION("FILTER(Datos!$D$2:$D1003, Datos!$F$2:$F1003=L$1, Datos!$G$2:$G1003=L$2, Datos!$A$2:$A1003=$A190)"),2108.3)</f>
        <v>2108.3</v>
      </c>
      <c r="M190" s="20">
        <f>IFERROR(__xludf.DUMMYFUNCTION("FILTER(Datos!$E$2:$E1003, Datos!$F$2:$F1003=M$1, Datos!$G$2:$G1003=M$2, Datos!$A$2:$A1003=$A190)"),2755.641)</f>
        <v>2755.641</v>
      </c>
      <c r="N190" s="20">
        <f>IFERROR(__xludf.DUMMYFUNCTION("FILTER(Datos!$D$2:$D1003, Datos!$F$2:$F1003=N$1, Datos!$G$2:$G1003=N$2, Datos!$A$2:$A1003=$A190)"),2513.967)</f>
        <v>2513.967</v>
      </c>
      <c r="O190" s="20">
        <f>IFERROR(__xludf.DUMMYFUNCTION("FILTER(Datos!$E$2:$E1003, Datos!$F$2:$F1003=O$1, Datos!$G$2:$G1003=O$2, Datos!$A$2:$A1003=$A190)"),3529.015)</f>
        <v>3529.015</v>
      </c>
      <c r="P190" s="20">
        <f>IFERROR(__xludf.DUMMYFUNCTION("FILTER(Datos!$D$2:$D1003, Datos!$F$2:$F1003=P$1, Datos!$G$2:$G1003=P$2, Datos!$A$2:$A1003=$A190)"),2980.767)</f>
        <v>2980.767</v>
      </c>
      <c r="Q190" s="21">
        <f>IFERROR(__xludf.DUMMYFUNCTION("FILTER(Datos!$E$2:$E1003, Datos!$F$2:$F1003=Q$1, Datos!$G$2:$G1003=Q$2, Datos!$A$2:$A1003=$A190)"),4479.879)</f>
        <v>4479.879</v>
      </c>
    </row>
    <row r="191">
      <c r="A191" s="18">
        <f t="shared" si="2"/>
        <v>186</v>
      </c>
      <c r="B191" s="19">
        <f>IFERROR(__xludf.DUMMYFUNCTION("FILTER(Datos!$D$2:$D1003, Datos!$F$2:$F1003=B$1, Datos!$G$2:$G1003=B$2, Datos!$A$2:$A1003=$A191)"),1906.633)</f>
        <v>1906.633</v>
      </c>
      <c r="C191" s="20">
        <f>IFERROR(__xludf.DUMMYFUNCTION("FILTER(Datos!$E$2:$E1003, Datos!$F$2:$F1003=C$1, Datos!$G$2:$G1003=C$2, Datos!$A$2:$A1003=$A191)"),1991.053)</f>
        <v>1991.053</v>
      </c>
      <c r="D191" s="20">
        <f>IFERROR(__xludf.DUMMYFUNCTION("FILTER(Datos!$D$2:$D1003, Datos!$F$2:$F1003=D$1, Datos!$G$2:$G1003=D$2, Datos!$A$2:$A1003=$A191)"),2162.9)</f>
        <v>2162.9</v>
      </c>
      <c r="E191" s="20">
        <f>IFERROR(__xludf.DUMMYFUNCTION("FILTER(Datos!$E$2:$E1003, Datos!$F$2:$F1003=E$1, Datos!$G$2:$G1003=E$2, Datos!$A$2:$A1003=$A191)"),2263.221)</f>
        <v>2263.221</v>
      </c>
      <c r="F191" s="20">
        <f>IFERROR(__xludf.DUMMYFUNCTION("FILTER(Datos!$D$2:$D1003, Datos!$F$2:$F1003=F$1, Datos!$G$2:$G1003=F$2, Datos!$A$2:$A1003=$A191)"),2675.1)</f>
        <v>2675.1</v>
      </c>
      <c r="G191" s="20">
        <f>IFERROR(__xludf.DUMMYFUNCTION("FILTER(Datos!$E$2:$E1003, Datos!$F$2:$F1003=G$1, Datos!$G$2:$G1003=G$2, Datos!$A$2:$A1003=$A191)"),2890.572)</f>
        <v>2890.572</v>
      </c>
      <c r="H191" s="20">
        <f>IFERROR(__xludf.DUMMYFUNCTION("FILTER(Datos!$D$2:$D1003, Datos!$F$2:$F1003=H$1, Datos!$G$2:$G1003=H$2, Datos!$A$2:$A1003=$A191)"),3192.167)</f>
        <v>3192.167</v>
      </c>
      <c r="I191" s="21">
        <f>IFERROR(__xludf.DUMMYFUNCTION("FILTER(Datos!$E$2:$E1003, Datos!$F$2:$F1003=I$1, Datos!$G$2:$G1003=I$2, Datos!$A$2:$A1003=$A191)"),4152.752)</f>
        <v>4152.752</v>
      </c>
      <c r="J191" s="20">
        <f>IFERROR(__xludf.DUMMYFUNCTION("FILTER(Datos!$D$2:$D1003, Datos!$F$2:$F1003=J$1, Datos!$G$2:$G1003=J$2, Datos!$A$2:$A1003=$A191)"),1814.233)</f>
        <v>1814.233</v>
      </c>
      <c r="K191" s="20">
        <f>IFERROR(__xludf.DUMMYFUNCTION("FILTER(Datos!$E$2:$E1003, Datos!$F$2:$F1003=K$1, Datos!$G$2:$G1003=K$2, Datos!$A$2:$A1003=$A191)"),2281.258)</f>
        <v>2281.258</v>
      </c>
      <c r="L191" s="20">
        <f>IFERROR(__xludf.DUMMYFUNCTION("FILTER(Datos!$D$2:$D1003, Datos!$F$2:$F1003=L$1, Datos!$G$2:$G1003=L$2, Datos!$A$2:$A1003=$A191)"),2108.3)</f>
        <v>2108.3</v>
      </c>
      <c r="M191" s="20">
        <f>IFERROR(__xludf.DUMMYFUNCTION("FILTER(Datos!$E$2:$E1003, Datos!$F$2:$F1003=M$1, Datos!$G$2:$G1003=M$2, Datos!$A$2:$A1003=$A191)"),2756.266)</f>
        <v>2756.266</v>
      </c>
      <c r="N191" s="20">
        <f>IFERROR(__xludf.DUMMYFUNCTION("FILTER(Datos!$D$2:$D1003, Datos!$F$2:$F1003=N$1, Datos!$G$2:$G1003=N$2, Datos!$A$2:$A1003=$A191)"),2513.967)</f>
        <v>2513.967</v>
      </c>
      <c r="O191" s="20">
        <f>IFERROR(__xludf.DUMMYFUNCTION("FILTER(Datos!$E$2:$E1003, Datos!$F$2:$F1003=O$1, Datos!$G$2:$G1003=O$2, Datos!$A$2:$A1003=$A191)"),3522.886)</f>
        <v>3522.886</v>
      </c>
      <c r="P191" s="20">
        <f>IFERROR(__xludf.DUMMYFUNCTION("FILTER(Datos!$D$2:$D1003, Datos!$F$2:$F1003=P$1, Datos!$G$2:$G1003=P$2, Datos!$A$2:$A1003=$A191)"),2980.7)</f>
        <v>2980.7</v>
      </c>
      <c r="Q191" s="21">
        <f>IFERROR(__xludf.DUMMYFUNCTION("FILTER(Datos!$E$2:$E1003, Datos!$F$2:$F1003=Q$1, Datos!$G$2:$G1003=Q$2, Datos!$A$2:$A1003=$A191)"),4482.204)</f>
        <v>4482.204</v>
      </c>
    </row>
    <row r="192">
      <c r="A192" s="18">
        <f t="shared" si="2"/>
        <v>187</v>
      </c>
      <c r="B192" s="19">
        <f>IFERROR(__xludf.DUMMYFUNCTION("FILTER(Datos!$D$2:$D1003, Datos!$F$2:$F1003=B$1, Datos!$G$2:$G1003=B$2, Datos!$A$2:$A1003=$A192)"),1906.633)</f>
        <v>1906.633</v>
      </c>
      <c r="C192" s="20">
        <f>IFERROR(__xludf.DUMMYFUNCTION("FILTER(Datos!$E$2:$E1003, Datos!$F$2:$F1003=C$1, Datos!$G$2:$G1003=C$2, Datos!$A$2:$A1003=$A192)"),1988.662)</f>
        <v>1988.662</v>
      </c>
      <c r="D192" s="20">
        <f>IFERROR(__xludf.DUMMYFUNCTION("FILTER(Datos!$D$2:$D1003, Datos!$F$2:$F1003=D$1, Datos!$G$2:$G1003=D$2, Datos!$A$2:$A1003=$A192)"),2162.9)</f>
        <v>2162.9</v>
      </c>
      <c r="E192" s="20">
        <f>IFERROR(__xludf.DUMMYFUNCTION("FILTER(Datos!$E$2:$E1003, Datos!$F$2:$F1003=E$1, Datos!$G$2:$G1003=E$2, Datos!$A$2:$A1003=$A192)"),2262.706)</f>
        <v>2262.706</v>
      </c>
      <c r="F192" s="20">
        <f>IFERROR(__xludf.DUMMYFUNCTION("FILTER(Datos!$D$2:$D1003, Datos!$F$2:$F1003=F$1, Datos!$G$2:$G1003=F$2, Datos!$A$2:$A1003=$A192)"),2675.1)</f>
        <v>2675.1</v>
      </c>
      <c r="G192" s="20">
        <f>IFERROR(__xludf.DUMMYFUNCTION("FILTER(Datos!$E$2:$E1003, Datos!$F$2:$F1003=G$1, Datos!$G$2:$G1003=G$2, Datos!$A$2:$A1003=$A192)"),2879.895)</f>
        <v>2879.895</v>
      </c>
      <c r="H192" s="20">
        <f>IFERROR(__xludf.DUMMYFUNCTION("FILTER(Datos!$D$2:$D1003, Datos!$F$2:$F1003=H$1, Datos!$G$2:$G1003=H$2, Datos!$A$2:$A1003=$A192)"),3181.833)</f>
        <v>3181.833</v>
      </c>
      <c r="I192" s="21">
        <f>IFERROR(__xludf.DUMMYFUNCTION("FILTER(Datos!$E$2:$E1003, Datos!$F$2:$F1003=I$1, Datos!$G$2:$G1003=I$2, Datos!$A$2:$A1003=$A192)"),4120.246)</f>
        <v>4120.246</v>
      </c>
      <c r="J192" s="20">
        <f>IFERROR(__xludf.DUMMYFUNCTION("FILTER(Datos!$D$2:$D1003, Datos!$F$2:$F1003=J$1, Datos!$G$2:$G1003=J$2, Datos!$A$2:$A1003=$A192)"),1814.233)</f>
        <v>1814.233</v>
      </c>
      <c r="K192" s="20">
        <f>IFERROR(__xludf.DUMMYFUNCTION("FILTER(Datos!$E$2:$E1003, Datos!$F$2:$F1003=K$1, Datos!$G$2:$G1003=K$2, Datos!$A$2:$A1003=$A192)"),2280.656)</f>
        <v>2280.656</v>
      </c>
      <c r="L192" s="20">
        <f>IFERROR(__xludf.DUMMYFUNCTION("FILTER(Datos!$D$2:$D1003, Datos!$F$2:$F1003=L$1, Datos!$G$2:$G1003=L$2, Datos!$A$2:$A1003=$A192)"),2108.3)</f>
        <v>2108.3</v>
      </c>
      <c r="M192" s="20">
        <f>IFERROR(__xludf.DUMMYFUNCTION("FILTER(Datos!$E$2:$E1003, Datos!$F$2:$F1003=M$1, Datos!$G$2:$G1003=M$2, Datos!$A$2:$A1003=$A192)"),2747.044)</f>
        <v>2747.044</v>
      </c>
      <c r="N192" s="20">
        <f>IFERROR(__xludf.DUMMYFUNCTION("FILTER(Datos!$D$2:$D1003, Datos!$F$2:$F1003=N$1, Datos!$G$2:$G1003=N$2, Datos!$A$2:$A1003=$A192)"),2513.967)</f>
        <v>2513.967</v>
      </c>
      <c r="O192" s="20">
        <f>IFERROR(__xludf.DUMMYFUNCTION("FILTER(Datos!$E$2:$E1003, Datos!$F$2:$F1003=O$1, Datos!$G$2:$G1003=O$2, Datos!$A$2:$A1003=$A192)"),3515.993)</f>
        <v>3515.993</v>
      </c>
      <c r="P192" s="20">
        <f>IFERROR(__xludf.DUMMYFUNCTION("FILTER(Datos!$D$2:$D1003, Datos!$F$2:$F1003=P$1, Datos!$G$2:$G1003=P$2, Datos!$A$2:$A1003=$A192)"),2978.4)</f>
        <v>2978.4</v>
      </c>
      <c r="Q192" s="21">
        <f>IFERROR(__xludf.DUMMYFUNCTION("FILTER(Datos!$E$2:$E1003, Datos!$F$2:$F1003=Q$1, Datos!$G$2:$G1003=Q$2, Datos!$A$2:$A1003=$A192)"),4506.111)</f>
        <v>4506.111</v>
      </c>
    </row>
    <row r="193">
      <c r="A193" s="18">
        <f t="shared" si="2"/>
        <v>188</v>
      </c>
      <c r="B193" s="19">
        <f>IFERROR(__xludf.DUMMYFUNCTION("FILTER(Datos!$D$2:$D1003, Datos!$F$2:$F1003=B$1, Datos!$G$2:$G1003=B$2, Datos!$A$2:$A1003=$A193)"),1906.633)</f>
        <v>1906.633</v>
      </c>
      <c r="C193" s="20">
        <f>IFERROR(__xludf.DUMMYFUNCTION("FILTER(Datos!$E$2:$E1003, Datos!$F$2:$F1003=C$1, Datos!$G$2:$G1003=C$2, Datos!$A$2:$A1003=$A193)"),1992.578)</f>
        <v>1992.578</v>
      </c>
      <c r="D193" s="20">
        <f>IFERROR(__xludf.DUMMYFUNCTION("FILTER(Datos!$D$2:$D1003, Datos!$F$2:$F1003=D$1, Datos!$G$2:$G1003=D$2, Datos!$A$2:$A1003=$A193)"),2162.9)</f>
        <v>2162.9</v>
      </c>
      <c r="E193" s="20">
        <f>IFERROR(__xludf.DUMMYFUNCTION("FILTER(Datos!$E$2:$E1003, Datos!$F$2:$F1003=E$1, Datos!$G$2:$G1003=E$2, Datos!$A$2:$A1003=$A193)"),2261.393)</f>
        <v>2261.393</v>
      </c>
      <c r="F193" s="20">
        <f>IFERROR(__xludf.DUMMYFUNCTION("FILTER(Datos!$D$2:$D1003, Datos!$F$2:$F1003=F$1, Datos!$G$2:$G1003=F$2, Datos!$A$2:$A1003=$A193)"),2675.1)</f>
        <v>2675.1</v>
      </c>
      <c r="G193" s="20">
        <f>IFERROR(__xludf.DUMMYFUNCTION("FILTER(Datos!$E$2:$E1003, Datos!$F$2:$F1003=G$1, Datos!$G$2:$G1003=G$2, Datos!$A$2:$A1003=$A193)"),2878.745)</f>
        <v>2878.745</v>
      </c>
      <c r="H193" s="20">
        <f>IFERROR(__xludf.DUMMYFUNCTION("FILTER(Datos!$D$2:$D1003, Datos!$F$2:$F1003=H$1, Datos!$G$2:$G1003=H$2, Datos!$A$2:$A1003=$A193)"),3172.667)</f>
        <v>3172.667</v>
      </c>
      <c r="I193" s="21">
        <f>IFERROR(__xludf.DUMMYFUNCTION("FILTER(Datos!$E$2:$E1003, Datos!$F$2:$F1003=I$1, Datos!$G$2:$G1003=I$2, Datos!$A$2:$A1003=$A193)"),4101.855)</f>
        <v>4101.855</v>
      </c>
      <c r="J193" s="20">
        <f>IFERROR(__xludf.DUMMYFUNCTION("FILTER(Datos!$D$2:$D1003, Datos!$F$2:$F1003=J$1, Datos!$G$2:$G1003=J$2, Datos!$A$2:$A1003=$A193)"),1814.233)</f>
        <v>1814.233</v>
      </c>
      <c r="K193" s="20">
        <f>IFERROR(__xludf.DUMMYFUNCTION("FILTER(Datos!$E$2:$E1003, Datos!$F$2:$F1003=K$1, Datos!$G$2:$G1003=K$2, Datos!$A$2:$A1003=$A193)"),2281.551)</f>
        <v>2281.551</v>
      </c>
      <c r="L193" s="20">
        <f>IFERROR(__xludf.DUMMYFUNCTION("FILTER(Datos!$D$2:$D1003, Datos!$F$2:$F1003=L$1, Datos!$G$2:$G1003=L$2, Datos!$A$2:$A1003=$A193)"),2108.3)</f>
        <v>2108.3</v>
      </c>
      <c r="M193" s="20">
        <f>IFERROR(__xludf.DUMMYFUNCTION("FILTER(Datos!$E$2:$E1003, Datos!$F$2:$F1003=M$1, Datos!$G$2:$G1003=M$2, Datos!$A$2:$A1003=$A193)"),2751.931)</f>
        <v>2751.931</v>
      </c>
      <c r="N193" s="20">
        <f>IFERROR(__xludf.DUMMYFUNCTION("FILTER(Datos!$D$2:$D1003, Datos!$F$2:$F1003=N$1, Datos!$G$2:$G1003=N$2, Datos!$A$2:$A1003=$A193)"),2513.967)</f>
        <v>2513.967</v>
      </c>
      <c r="O193" s="20">
        <f>IFERROR(__xludf.DUMMYFUNCTION("FILTER(Datos!$E$2:$E1003, Datos!$F$2:$F1003=O$1, Datos!$G$2:$G1003=O$2, Datos!$A$2:$A1003=$A193)"),3520.051)</f>
        <v>3520.051</v>
      </c>
      <c r="P193" s="20">
        <f>IFERROR(__xludf.DUMMYFUNCTION("FILTER(Datos!$D$2:$D1003, Datos!$F$2:$F1003=P$1, Datos!$G$2:$G1003=P$2, Datos!$A$2:$A1003=$A193)"),2978.367)</f>
        <v>2978.367</v>
      </c>
      <c r="Q193" s="21">
        <f>IFERROR(__xludf.DUMMYFUNCTION("FILTER(Datos!$E$2:$E1003, Datos!$F$2:$F1003=Q$1, Datos!$G$2:$G1003=Q$2, Datos!$A$2:$A1003=$A193)"),4515.251)</f>
        <v>4515.251</v>
      </c>
    </row>
    <row r="194">
      <c r="A194" s="18">
        <f t="shared" si="2"/>
        <v>189</v>
      </c>
      <c r="B194" s="19">
        <f>IFERROR(__xludf.DUMMYFUNCTION("FILTER(Datos!$D$2:$D1003, Datos!$F$2:$F1003=B$1, Datos!$G$2:$G1003=B$2, Datos!$A$2:$A1003=$A194)"),1906.633)</f>
        <v>1906.633</v>
      </c>
      <c r="C194" s="20">
        <f>IFERROR(__xludf.DUMMYFUNCTION("FILTER(Datos!$E$2:$E1003, Datos!$F$2:$F1003=C$1, Datos!$G$2:$G1003=C$2, Datos!$A$2:$A1003=$A194)"),1992.599)</f>
        <v>1992.599</v>
      </c>
      <c r="D194" s="20">
        <f>IFERROR(__xludf.DUMMYFUNCTION("FILTER(Datos!$D$2:$D1003, Datos!$F$2:$F1003=D$1, Datos!$G$2:$G1003=D$2, Datos!$A$2:$A1003=$A194)"),2162.9)</f>
        <v>2162.9</v>
      </c>
      <c r="E194" s="20">
        <f>IFERROR(__xludf.DUMMYFUNCTION("FILTER(Datos!$E$2:$E1003, Datos!$F$2:$F1003=E$1, Datos!$G$2:$G1003=E$2, Datos!$A$2:$A1003=$A194)"),2259.503)</f>
        <v>2259.503</v>
      </c>
      <c r="F194" s="20">
        <f>IFERROR(__xludf.DUMMYFUNCTION("FILTER(Datos!$D$2:$D1003, Datos!$F$2:$F1003=F$1, Datos!$G$2:$G1003=F$2, Datos!$A$2:$A1003=$A194)"),2675.1)</f>
        <v>2675.1</v>
      </c>
      <c r="G194" s="20">
        <f>IFERROR(__xludf.DUMMYFUNCTION("FILTER(Datos!$E$2:$E1003, Datos!$F$2:$F1003=G$1, Datos!$G$2:$G1003=G$2, Datos!$A$2:$A1003=$A194)"),2880.353)</f>
        <v>2880.353</v>
      </c>
      <c r="H194" s="20">
        <f>IFERROR(__xludf.DUMMYFUNCTION("FILTER(Datos!$D$2:$D1003, Datos!$F$2:$F1003=H$1, Datos!$G$2:$G1003=H$2, Datos!$A$2:$A1003=$A194)"),3167.8)</f>
        <v>3167.8</v>
      </c>
      <c r="I194" s="21">
        <f>IFERROR(__xludf.DUMMYFUNCTION("FILTER(Datos!$E$2:$E1003, Datos!$F$2:$F1003=I$1, Datos!$G$2:$G1003=I$2, Datos!$A$2:$A1003=$A194)"),4071.357)</f>
        <v>4071.357</v>
      </c>
      <c r="J194" s="20">
        <f>IFERROR(__xludf.DUMMYFUNCTION("FILTER(Datos!$D$2:$D1003, Datos!$F$2:$F1003=J$1, Datos!$G$2:$G1003=J$2, Datos!$A$2:$A1003=$A194)"),1814.233)</f>
        <v>1814.233</v>
      </c>
      <c r="K194" s="20">
        <f>IFERROR(__xludf.DUMMYFUNCTION("FILTER(Datos!$E$2:$E1003, Datos!$F$2:$F1003=K$1, Datos!$G$2:$G1003=K$2, Datos!$A$2:$A1003=$A194)"),2291.002)</f>
        <v>2291.002</v>
      </c>
      <c r="L194" s="20">
        <f>IFERROR(__xludf.DUMMYFUNCTION("FILTER(Datos!$D$2:$D1003, Datos!$F$2:$F1003=L$1, Datos!$G$2:$G1003=L$2, Datos!$A$2:$A1003=$A194)"),2108.3)</f>
        <v>2108.3</v>
      </c>
      <c r="M194" s="20">
        <f>IFERROR(__xludf.DUMMYFUNCTION("FILTER(Datos!$E$2:$E1003, Datos!$F$2:$F1003=M$1, Datos!$G$2:$G1003=M$2, Datos!$A$2:$A1003=$A194)"),2750.985)</f>
        <v>2750.985</v>
      </c>
      <c r="N194" s="20">
        <f>IFERROR(__xludf.DUMMYFUNCTION("FILTER(Datos!$D$2:$D1003, Datos!$F$2:$F1003=N$1, Datos!$G$2:$G1003=N$2, Datos!$A$2:$A1003=$A194)"),2513.967)</f>
        <v>2513.967</v>
      </c>
      <c r="O194" s="20">
        <f>IFERROR(__xludf.DUMMYFUNCTION("FILTER(Datos!$E$2:$E1003, Datos!$F$2:$F1003=O$1, Datos!$G$2:$G1003=O$2, Datos!$A$2:$A1003=$A194)"),3535.66)</f>
        <v>3535.66</v>
      </c>
      <c r="P194" s="20">
        <f>IFERROR(__xludf.DUMMYFUNCTION("FILTER(Datos!$D$2:$D1003, Datos!$F$2:$F1003=P$1, Datos!$G$2:$G1003=P$2, Datos!$A$2:$A1003=$A194)"),2971.9)</f>
        <v>2971.9</v>
      </c>
      <c r="Q194" s="21">
        <f>IFERROR(__xludf.DUMMYFUNCTION("FILTER(Datos!$E$2:$E1003, Datos!$F$2:$F1003=Q$1, Datos!$G$2:$G1003=Q$2, Datos!$A$2:$A1003=$A194)"),4508.497)</f>
        <v>4508.497</v>
      </c>
    </row>
    <row r="195">
      <c r="A195" s="18">
        <f t="shared" si="2"/>
        <v>190</v>
      </c>
      <c r="B195" s="19">
        <f>IFERROR(__xludf.DUMMYFUNCTION("FILTER(Datos!$D$2:$D1003, Datos!$F$2:$F1003=B$1, Datos!$G$2:$G1003=B$2, Datos!$A$2:$A1003=$A195)"),1906.633)</f>
        <v>1906.633</v>
      </c>
      <c r="C195" s="20">
        <f>IFERROR(__xludf.DUMMYFUNCTION("FILTER(Datos!$E$2:$E1003, Datos!$F$2:$F1003=C$1, Datos!$G$2:$G1003=C$2, Datos!$A$2:$A1003=$A195)"),1992.719)</f>
        <v>1992.719</v>
      </c>
      <c r="D195" s="20">
        <f>IFERROR(__xludf.DUMMYFUNCTION("FILTER(Datos!$D$2:$D1003, Datos!$F$2:$F1003=D$1, Datos!$G$2:$G1003=D$2, Datos!$A$2:$A1003=$A195)"),2162.9)</f>
        <v>2162.9</v>
      </c>
      <c r="E195" s="20">
        <f>IFERROR(__xludf.DUMMYFUNCTION("FILTER(Datos!$E$2:$E1003, Datos!$F$2:$F1003=E$1, Datos!$G$2:$G1003=E$2, Datos!$A$2:$A1003=$A195)"),2264.001)</f>
        <v>2264.001</v>
      </c>
      <c r="F195" s="20">
        <f>IFERROR(__xludf.DUMMYFUNCTION("FILTER(Datos!$D$2:$D1003, Datos!$F$2:$F1003=F$1, Datos!$G$2:$G1003=F$2, Datos!$A$2:$A1003=$A195)"),2659.5)</f>
        <v>2659.5</v>
      </c>
      <c r="G195" s="20">
        <f>IFERROR(__xludf.DUMMYFUNCTION("FILTER(Datos!$E$2:$E1003, Datos!$F$2:$F1003=G$1, Datos!$G$2:$G1003=G$2, Datos!$A$2:$A1003=$A195)"),2878.986)</f>
        <v>2878.986</v>
      </c>
      <c r="H195" s="20">
        <f>IFERROR(__xludf.DUMMYFUNCTION("FILTER(Datos!$D$2:$D1003, Datos!$F$2:$F1003=H$1, Datos!$G$2:$G1003=H$2, Datos!$A$2:$A1003=$A195)"),3164.9)</f>
        <v>3164.9</v>
      </c>
      <c r="I195" s="21">
        <f>IFERROR(__xludf.DUMMYFUNCTION("FILTER(Datos!$E$2:$E1003, Datos!$F$2:$F1003=I$1, Datos!$G$2:$G1003=I$2, Datos!$A$2:$A1003=$A195)"),4035.803)</f>
        <v>4035.803</v>
      </c>
      <c r="J195" s="20">
        <f>IFERROR(__xludf.DUMMYFUNCTION("FILTER(Datos!$D$2:$D1003, Datos!$F$2:$F1003=J$1, Datos!$G$2:$G1003=J$2, Datos!$A$2:$A1003=$A195)"),1814.233)</f>
        <v>1814.233</v>
      </c>
      <c r="K195" s="20">
        <f>IFERROR(__xludf.DUMMYFUNCTION("FILTER(Datos!$E$2:$E1003, Datos!$F$2:$F1003=K$1, Datos!$G$2:$G1003=K$2, Datos!$A$2:$A1003=$A195)"),2291.463)</f>
        <v>2291.463</v>
      </c>
      <c r="L195" s="20">
        <f>IFERROR(__xludf.DUMMYFUNCTION("FILTER(Datos!$D$2:$D1003, Datos!$F$2:$F1003=L$1, Datos!$G$2:$G1003=L$2, Datos!$A$2:$A1003=$A195)"),2108.3)</f>
        <v>2108.3</v>
      </c>
      <c r="M195" s="20">
        <f>IFERROR(__xludf.DUMMYFUNCTION("FILTER(Datos!$E$2:$E1003, Datos!$F$2:$F1003=M$1, Datos!$G$2:$G1003=M$2, Datos!$A$2:$A1003=$A195)"),2748.555)</f>
        <v>2748.555</v>
      </c>
      <c r="N195" s="20">
        <f>IFERROR(__xludf.DUMMYFUNCTION("FILTER(Datos!$D$2:$D1003, Datos!$F$2:$F1003=N$1, Datos!$G$2:$G1003=N$2, Datos!$A$2:$A1003=$A195)"),2513.7)</f>
        <v>2513.7</v>
      </c>
      <c r="O195" s="20">
        <f>IFERROR(__xludf.DUMMYFUNCTION("FILTER(Datos!$E$2:$E1003, Datos!$F$2:$F1003=O$1, Datos!$G$2:$G1003=O$2, Datos!$A$2:$A1003=$A195)"),3509.609)</f>
        <v>3509.609</v>
      </c>
      <c r="P195" s="20">
        <f>IFERROR(__xludf.DUMMYFUNCTION("FILTER(Datos!$D$2:$D1003, Datos!$F$2:$F1003=P$1, Datos!$G$2:$G1003=P$2, Datos!$A$2:$A1003=$A195)"),2971.9)</f>
        <v>2971.9</v>
      </c>
      <c r="Q195" s="21">
        <f>IFERROR(__xludf.DUMMYFUNCTION("FILTER(Datos!$E$2:$E1003, Datos!$F$2:$F1003=Q$1, Datos!$G$2:$G1003=Q$2, Datos!$A$2:$A1003=$A195)"),4509.171)</f>
        <v>4509.171</v>
      </c>
    </row>
    <row r="196">
      <c r="A196" s="18">
        <f t="shared" si="2"/>
        <v>191</v>
      </c>
      <c r="B196" s="19">
        <f>IFERROR(__xludf.DUMMYFUNCTION("FILTER(Datos!$D$2:$D1003, Datos!$F$2:$F1003=B$1, Datos!$G$2:$G1003=B$2, Datos!$A$2:$A1003=$A196)"),1906.633)</f>
        <v>1906.633</v>
      </c>
      <c r="C196" s="20">
        <f>IFERROR(__xludf.DUMMYFUNCTION("FILTER(Datos!$E$2:$E1003, Datos!$F$2:$F1003=C$1, Datos!$G$2:$G1003=C$2, Datos!$A$2:$A1003=$A196)"),1993.527)</f>
        <v>1993.527</v>
      </c>
      <c r="D196" s="20">
        <f>IFERROR(__xludf.DUMMYFUNCTION("FILTER(Datos!$D$2:$D1003, Datos!$F$2:$F1003=D$1, Datos!$G$2:$G1003=D$2, Datos!$A$2:$A1003=$A196)"),2162.9)</f>
        <v>2162.9</v>
      </c>
      <c r="E196" s="20">
        <f>IFERROR(__xludf.DUMMYFUNCTION("FILTER(Datos!$E$2:$E1003, Datos!$F$2:$F1003=E$1, Datos!$G$2:$G1003=E$2, Datos!$A$2:$A1003=$A196)"),2263.503)</f>
        <v>2263.503</v>
      </c>
      <c r="F196" s="20">
        <f>IFERROR(__xludf.DUMMYFUNCTION("FILTER(Datos!$D$2:$D1003, Datos!$F$2:$F1003=F$1, Datos!$G$2:$G1003=F$2, Datos!$A$2:$A1003=$A196)"),2659.5)</f>
        <v>2659.5</v>
      </c>
      <c r="G196" s="20">
        <f>IFERROR(__xludf.DUMMYFUNCTION("FILTER(Datos!$E$2:$E1003, Datos!$F$2:$F1003=G$1, Datos!$G$2:$G1003=G$2, Datos!$A$2:$A1003=$A196)"),2870.52)</f>
        <v>2870.52</v>
      </c>
      <c r="H196" s="20">
        <f>IFERROR(__xludf.DUMMYFUNCTION("FILTER(Datos!$D$2:$D1003, Datos!$F$2:$F1003=H$1, Datos!$G$2:$G1003=H$2, Datos!$A$2:$A1003=$A196)"),3159.833)</f>
        <v>3159.833</v>
      </c>
      <c r="I196" s="21">
        <f>IFERROR(__xludf.DUMMYFUNCTION("FILTER(Datos!$E$2:$E1003, Datos!$F$2:$F1003=I$1, Datos!$G$2:$G1003=I$2, Datos!$A$2:$A1003=$A196)"),4007.802)</f>
        <v>4007.802</v>
      </c>
      <c r="J196" s="20">
        <f>IFERROR(__xludf.DUMMYFUNCTION("FILTER(Datos!$D$2:$D1003, Datos!$F$2:$F1003=J$1, Datos!$G$2:$G1003=J$2, Datos!$A$2:$A1003=$A196)"),1814.233)</f>
        <v>1814.233</v>
      </c>
      <c r="K196" s="20">
        <f>IFERROR(__xludf.DUMMYFUNCTION("FILTER(Datos!$E$2:$E1003, Datos!$F$2:$F1003=K$1, Datos!$G$2:$G1003=K$2, Datos!$A$2:$A1003=$A196)"),2277.788)</f>
        <v>2277.788</v>
      </c>
      <c r="L196" s="20">
        <f>IFERROR(__xludf.DUMMYFUNCTION("FILTER(Datos!$D$2:$D1003, Datos!$F$2:$F1003=L$1, Datos!$G$2:$G1003=L$2, Datos!$A$2:$A1003=$A196)"),2108.3)</f>
        <v>2108.3</v>
      </c>
      <c r="M196" s="20">
        <f>IFERROR(__xludf.DUMMYFUNCTION("FILTER(Datos!$E$2:$E1003, Datos!$F$2:$F1003=M$1, Datos!$G$2:$G1003=M$2, Datos!$A$2:$A1003=$A196)"),2743.982)</f>
        <v>2743.982</v>
      </c>
      <c r="N196" s="20">
        <f>IFERROR(__xludf.DUMMYFUNCTION("FILTER(Datos!$D$2:$D1003, Datos!$F$2:$F1003=N$1, Datos!$G$2:$G1003=N$2, Datos!$A$2:$A1003=$A196)"),2512.633)</f>
        <v>2512.633</v>
      </c>
      <c r="O196" s="20">
        <f>IFERROR(__xludf.DUMMYFUNCTION("FILTER(Datos!$E$2:$E1003, Datos!$F$2:$F1003=O$1, Datos!$G$2:$G1003=O$2, Datos!$A$2:$A1003=$A196)"),3502.499)</f>
        <v>3502.499</v>
      </c>
      <c r="P196" s="20">
        <f>IFERROR(__xludf.DUMMYFUNCTION("FILTER(Datos!$D$2:$D1003, Datos!$F$2:$F1003=P$1, Datos!$G$2:$G1003=P$2, Datos!$A$2:$A1003=$A196)"),2971.067)</f>
        <v>2971.067</v>
      </c>
      <c r="Q196" s="21">
        <f>IFERROR(__xludf.DUMMYFUNCTION("FILTER(Datos!$E$2:$E1003, Datos!$F$2:$F1003=Q$1, Datos!$G$2:$G1003=Q$2, Datos!$A$2:$A1003=$A196)"),4505.848)</f>
        <v>4505.848</v>
      </c>
    </row>
    <row r="197">
      <c r="A197" s="18">
        <f t="shared" si="2"/>
        <v>192</v>
      </c>
      <c r="B197" s="19">
        <f>IFERROR(__xludf.DUMMYFUNCTION("FILTER(Datos!$D$2:$D1003, Datos!$F$2:$F1003=B$1, Datos!$G$2:$G1003=B$2, Datos!$A$2:$A1003=$A197)"),1906.633)</f>
        <v>1906.633</v>
      </c>
      <c r="C197" s="20">
        <f>IFERROR(__xludf.DUMMYFUNCTION("FILTER(Datos!$E$2:$E1003, Datos!$F$2:$F1003=C$1, Datos!$G$2:$G1003=C$2, Datos!$A$2:$A1003=$A197)"),1991.475)</f>
        <v>1991.475</v>
      </c>
      <c r="D197" s="20">
        <f>IFERROR(__xludf.DUMMYFUNCTION("FILTER(Datos!$D$2:$D1003, Datos!$F$2:$F1003=D$1, Datos!$G$2:$G1003=D$2, Datos!$A$2:$A1003=$A197)"),2162.9)</f>
        <v>2162.9</v>
      </c>
      <c r="E197" s="20">
        <f>IFERROR(__xludf.DUMMYFUNCTION("FILTER(Datos!$E$2:$E1003, Datos!$F$2:$F1003=E$1, Datos!$G$2:$G1003=E$2, Datos!$A$2:$A1003=$A197)"),2265.022)</f>
        <v>2265.022</v>
      </c>
      <c r="F197" s="20">
        <f>IFERROR(__xludf.DUMMYFUNCTION("FILTER(Datos!$D$2:$D1003, Datos!$F$2:$F1003=F$1, Datos!$G$2:$G1003=F$2, Datos!$A$2:$A1003=$A197)"),2659.5)</f>
        <v>2659.5</v>
      </c>
      <c r="G197" s="20">
        <f>IFERROR(__xludf.DUMMYFUNCTION("FILTER(Datos!$E$2:$E1003, Datos!$F$2:$F1003=G$1, Datos!$G$2:$G1003=G$2, Datos!$A$2:$A1003=$A197)"),2862.6)</f>
        <v>2862.6</v>
      </c>
      <c r="H197" s="20">
        <f>IFERROR(__xludf.DUMMYFUNCTION("FILTER(Datos!$D$2:$D1003, Datos!$F$2:$F1003=H$1, Datos!$G$2:$G1003=H$2, Datos!$A$2:$A1003=$A197)"),3156.633)</f>
        <v>3156.633</v>
      </c>
      <c r="I197" s="21">
        <f>IFERROR(__xludf.DUMMYFUNCTION("FILTER(Datos!$E$2:$E1003, Datos!$F$2:$F1003=I$1, Datos!$G$2:$G1003=I$2, Datos!$A$2:$A1003=$A197)"),3987.905)</f>
        <v>3987.905</v>
      </c>
      <c r="J197" s="20">
        <f>IFERROR(__xludf.DUMMYFUNCTION("FILTER(Datos!$D$2:$D1003, Datos!$F$2:$F1003=J$1, Datos!$G$2:$G1003=J$2, Datos!$A$2:$A1003=$A197)"),1814.233)</f>
        <v>1814.233</v>
      </c>
      <c r="K197" s="20">
        <f>IFERROR(__xludf.DUMMYFUNCTION("FILTER(Datos!$E$2:$E1003, Datos!$F$2:$F1003=K$1, Datos!$G$2:$G1003=K$2, Datos!$A$2:$A1003=$A197)"),2268.341)</f>
        <v>2268.341</v>
      </c>
      <c r="L197" s="20">
        <f>IFERROR(__xludf.DUMMYFUNCTION("FILTER(Datos!$D$2:$D1003, Datos!$F$2:$F1003=L$1, Datos!$G$2:$G1003=L$2, Datos!$A$2:$A1003=$A197)"),2108.3)</f>
        <v>2108.3</v>
      </c>
      <c r="M197" s="20">
        <f>IFERROR(__xludf.DUMMYFUNCTION("FILTER(Datos!$E$2:$E1003, Datos!$F$2:$F1003=M$1, Datos!$G$2:$G1003=M$2, Datos!$A$2:$A1003=$A197)"),2750.989)</f>
        <v>2750.989</v>
      </c>
      <c r="N197" s="20">
        <f>IFERROR(__xludf.DUMMYFUNCTION("FILTER(Datos!$D$2:$D1003, Datos!$F$2:$F1003=N$1, Datos!$G$2:$G1003=N$2, Datos!$A$2:$A1003=$A197)"),2512.633)</f>
        <v>2512.633</v>
      </c>
      <c r="O197" s="20">
        <f>IFERROR(__xludf.DUMMYFUNCTION("FILTER(Datos!$E$2:$E1003, Datos!$F$2:$F1003=O$1, Datos!$G$2:$G1003=O$2, Datos!$A$2:$A1003=$A197)"),3501.255)</f>
        <v>3501.255</v>
      </c>
      <c r="P197" s="20">
        <f>IFERROR(__xludf.DUMMYFUNCTION("FILTER(Datos!$D$2:$D1003, Datos!$F$2:$F1003=P$1, Datos!$G$2:$G1003=P$2, Datos!$A$2:$A1003=$A197)"),2970.5)</f>
        <v>2970.5</v>
      </c>
      <c r="Q197" s="21">
        <f>IFERROR(__xludf.DUMMYFUNCTION("FILTER(Datos!$E$2:$E1003, Datos!$F$2:$F1003=Q$1, Datos!$G$2:$G1003=Q$2, Datos!$A$2:$A1003=$A197)"),4495.47)</f>
        <v>4495.47</v>
      </c>
    </row>
    <row r="198">
      <c r="A198" s="18">
        <f t="shared" si="2"/>
        <v>193</v>
      </c>
      <c r="B198" s="19">
        <f>IFERROR(__xludf.DUMMYFUNCTION("FILTER(Datos!$D$2:$D1003, Datos!$F$2:$F1003=B$1, Datos!$G$2:$G1003=B$2, Datos!$A$2:$A1003=$A198)"),1906.633)</f>
        <v>1906.633</v>
      </c>
      <c r="C198" s="20">
        <f>IFERROR(__xludf.DUMMYFUNCTION("FILTER(Datos!$E$2:$E1003, Datos!$F$2:$F1003=C$1, Datos!$G$2:$G1003=C$2, Datos!$A$2:$A1003=$A198)"),1991.118)</f>
        <v>1991.118</v>
      </c>
      <c r="D198" s="20">
        <f>IFERROR(__xludf.DUMMYFUNCTION("FILTER(Datos!$D$2:$D1003, Datos!$F$2:$F1003=D$1, Datos!$G$2:$G1003=D$2, Datos!$A$2:$A1003=$A198)"),2162.9)</f>
        <v>2162.9</v>
      </c>
      <c r="E198" s="20">
        <f>IFERROR(__xludf.DUMMYFUNCTION("FILTER(Datos!$E$2:$E1003, Datos!$F$2:$F1003=E$1, Datos!$G$2:$G1003=E$2, Datos!$A$2:$A1003=$A198)"),2263.29)</f>
        <v>2263.29</v>
      </c>
      <c r="F198" s="20">
        <f>IFERROR(__xludf.DUMMYFUNCTION("FILTER(Datos!$D$2:$D1003, Datos!$F$2:$F1003=F$1, Datos!$G$2:$G1003=F$2, Datos!$A$2:$A1003=$A198)"),2659.5)</f>
        <v>2659.5</v>
      </c>
      <c r="G198" s="20">
        <f>IFERROR(__xludf.DUMMYFUNCTION("FILTER(Datos!$E$2:$E1003, Datos!$F$2:$F1003=G$1, Datos!$G$2:$G1003=G$2, Datos!$A$2:$A1003=$A198)"),2855.598)</f>
        <v>2855.598</v>
      </c>
      <c r="H198" s="20">
        <f>IFERROR(__xludf.DUMMYFUNCTION("FILTER(Datos!$D$2:$D1003, Datos!$F$2:$F1003=H$1, Datos!$G$2:$G1003=H$2, Datos!$A$2:$A1003=$A198)"),3150.467)</f>
        <v>3150.467</v>
      </c>
      <c r="I198" s="21">
        <f>IFERROR(__xludf.DUMMYFUNCTION("FILTER(Datos!$E$2:$E1003, Datos!$F$2:$F1003=I$1, Datos!$G$2:$G1003=I$2, Datos!$A$2:$A1003=$A198)"),3958.02)</f>
        <v>3958.02</v>
      </c>
      <c r="J198" s="20">
        <f>IFERROR(__xludf.DUMMYFUNCTION("FILTER(Datos!$D$2:$D1003, Datos!$F$2:$F1003=J$1, Datos!$G$2:$G1003=J$2, Datos!$A$2:$A1003=$A198)"),1814.233)</f>
        <v>1814.233</v>
      </c>
      <c r="K198" s="20">
        <f>IFERROR(__xludf.DUMMYFUNCTION("FILTER(Datos!$E$2:$E1003, Datos!$F$2:$F1003=K$1, Datos!$G$2:$G1003=K$2, Datos!$A$2:$A1003=$A198)"),2282.911)</f>
        <v>2282.911</v>
      </c>
      <c r="L198" s="20">
        <f>IFERROR(__xludf.DUMMYFUNCTION("FILTER(Datos!$D$2:$D1003, Datos!$F$2:$F1003=L$1, Datos!$G$2:$G1003=L$2, Datos!$A$2:$A1003=$A198)"),2108.3)</f>
        <v>2108.3</v>
      </c>
      <c r="M198" s="20">
        <f>IFERROR(__xludf.DUMMYFUNCTION("FILTER(Datos!$E$2:$E1003, Datos!$F$2:$F1003=M$1, Datos!$G$2:$G1003=M$2, Datos!$A$2:$A1003=$A198)"),2743.069)</f>
        <v>2743.069</v>
      </c>
      <c r="N198" s="20">
        <f>IFERROR(__xludf.DUMMYFUNCTION("FILTER(Datos!$D$2:$D1003, Datos!$F$2:$F1003=N$1, Datos!$G$2:$G1003=N$2, Datos!$A$2:$A1003=$A198)"),2512.633)</f>
        <v>2512.633</v>
      </c>
      <c r="O198" s="20">
        <f>IFERROR(__xludf.DUMMYFUNCTION("FILTER(Datos!$E$2:$E1003, Datos!$F$2:$F1003=O$1, Datos!$G$2:$G1003=O$2, Datos!$A$2:$A1003=$A198)"),3519.742)</f>
        <v>3519.742</v>
      </c>
      <c r="P198" s="20">
        <f>IFERROR(__xludf.DUMMYFUNCTION("FILTER(Datos!$D$2:$D1003, Datos!$F$2:$F1003=P$1, Datos!$G$2:$G1003=P$2, Datos!$A$2:$A1003=$A198)"),2969.7)</f>
        <v>2969.7</v>
      </c>
      <c r="Q198" s="21">
        <f>IFERROR(__xludf.DUMMYFUNCTION("FILTER(Datos!$E$2:$E1003, Datos!$F$2:$F1003=Q$1, Datos!$G$2:$G1003=Q$2, Datos!$A$2:$A1003=$A198)"),4492.863)</f>
        <v>4492.863</v>
      </c>
    </row>
    <row r="199">
      <c r="A199" s="18">
        <f t="shared" si="2"/>
        <v>194</v>
      </c>
      <c r="B199" s="19">
        <f>IFERROR(__xludf.DUMMYFUNCTION("FILTER(Datos!$D$2:$D1003, Datos!$F$2:$F1003=B$1, Datos!$G$2:$G1003=B$2, Datos!$A$2:$A1003=$A199)"),1906.633)</f>
        <v>1906.633</v>
      </c>
      <c r="C199" s="20">
        <f>IFERROR(__xludf.DUMMYFUNCTION("FILTER(Datos!$E$2:$E1003, Datos!$F$2:$F1003=C$1, Datos!$G$2:$G1003=C$2, Datos!$A$2:$A1003=$A199)"),1992.666)</f>
        <v>1992.666</v>
      </c>
      <c r="D199" s="20">
        <f>IFERROR(__xludf.DUMMYFUNCTION("FILTER(Datos!$D$2:$D1003, Datos!$F$2:$F1003=D$1, Datos!$G$2:$G1003=D$2, Datos!$A$2:$A1003=$A199)"),2162.9)</f>
        <v>2162.9</v>
      </c>
      <c r="E199" s="20">
        <f>IFERROR(__xludf.DUMMYFUNCTION("FILTER(Datos!$E$2:$E1003, Datos!$F$2:$F1003=E$1, Datos!$G$2:$G1003=E$2, Datos!$A$2:$A1003=$A199)"),2264.655)</f>
        <v>2264.655</v>
      </c>
      <c r="F199" s="20">
        <f>IFERROR(__xludf.DUMMYFUNCTION("FILTER(Datos!$D$2:$D1003, Datos!$F$2:$F1003=F$1, Datos!$G$2:$G1003=F$2, Datos!$A$2:$A1003=$A199)"),2659.5)</f>
        <v>2659.5</v>
      </c>
      <c r="G199" s="20">
        <f>IFERROR(__xludf.DUMMYFUNCTION("FILTER(Datos!$E$2:$E1003, Datos!$F$2:$F1003=G$1, Datos!$G$2:$G1003=G$2, Datos!$A$2:$A1003=$A199)"),2857.698)</f>
        <v>2857.698</v>
      </c>
      <c r="H199" s="20">
        <f>IFERROR(__xludf.DUMMYFUNCTION("FILTER(Datos!$D$2:$D1003, Datos!$F$2:$F1003=H$1, Datos!$G$2:$G1003=H$2, Datos!$A$2:$A1003=$A199)"),3150.433)</f>
        <v>3150.433</v>
      </c>
      <c r="I199" s="21">
        <f>IFERROR(__xludf.DUMMYFUNCTION("FILTER(Datos!$E$2:$E1003, Datos!$F$2:$F1003=I$1, Datos!$G$2:$G1003=I$2, Datos!$A$2:$A1003=$A199)"),3931.442)</f>
        <v>3931.442</v>
      </c>
      <c r="J199" s="20">
        <f>IFERROR(__xludf.DUMMYFUNCTION("FILTER(Datos!$D$2:$D1003, Datos!$F$2:$F1003=J$1, Datos!$G$2:$G1003=J$2, Datos!$A$2:$A1003=$A199)"),1814.233)</f>
        <v>1814.233</v>
      </c>
      <c r="K199" s="20">
        <f>IFERROR(__xludf.DUMMYFUNCTION("FILTER(Datos!$E$2:$E1003, Datos!$F$2:$F1003=K$1, Datos!$G$2:$G1003=K$2, Datos!$A$2:$A1003=$A199)"),2281.787)</f>
        <v>2281.787</v>
      </c>
      <c r="L199" s="20">
        <f>IFERROR(__xludf.DUMMYFUNCTION("FILTER(Datos!$D$2:$D1003, Datos!$F$2:$F1003=L$1, Datos!$G$2:$G1003=L$2, Datos!$A$2:$A1003=$A199)"),2108.3)</f>
        <v>2108.3</v>
      </c>
      <c r="M199" s="20">
        <f>IFERROR(__xludf.DUMMYFUNCTION("FILTER(Datos!$E$2:$E1003, Datos!$F$2:$F1003=M$1, Datos!$G$2:$G1003=M$2, Datos!$A$2:$A1003=$A199)"),2747.199)</f>
        <v>2747.199</v>
      </c>
      <c r="N199" s="20">
        <f>IFERROR(__xludf.DUMMYFUNCTION("FILTER(Datos!$D$2:$D1003, Datos!$F$2:$F1003=N$1, Datos!$G$2:$G1003=N$2, Datos!$A$2:$A1003=$A199)"),2512.633)</f>
        <v>2512.633</v>
      </c>
      <c r="O199" s="20">
        <f>IFERROR(__xludf.DUMMYFUNCTION("FILTER(Datos!$E$2:$E1003, Datos!$F$2:$F1003=O$1, Datos!$G$2:$G1003=O$2, Datos!$A$2:$A1003=$A199)"),3509.847)</f>
        <v>3509.847</v>
      </c>
      <c r="P199" s="20">
        <f>IFERROR(__xludf.DUMMYFUNCTION("FILTER(Datos!$D$2:$D1003, Datos!$F$2:$F1003=P$1, Datos!$G$2:$G1003=P$2, Datos!$A$2:$A1003=$A199)"),2961.833)</f>
        <v>2961.833</v>
      </c>
      <c r="Q199" s="21">
        <f>IFERROR(__xludf.DUMMYFUNCTION("FILTER(Datos!$E$2:$E1003, Datos!$F$2:$F1003=Q$1, Datos!$G$2:$G1003=Q$2, Datos!$A$2:$A1003=$A199)"),4491.387)</f>
        <v>4491.387</v>
      </c>
    </row>
    <row r="200">
      <c r="A200" s="18">
        <f t="shared" si="2"/>
        <v>195</v>
      </c>
      <c r="B200" s="19">
        <f>IFERROR(__xludf.DUMMYFUNCTION("FILTER(Datos!$D$2:$D1003, Datos!$F$2:$F1003=B$1, Datos!$G$2:$G1003=B$2, Datos!$A$2:$A1003=$A200)"),1906.633)</f>
        <v>1906.633</v>
      </c>
      <c r="C200" s="20">
        <f>IFERROR(__xludf.DUMMYFUNCTION("FILTER(Datos!$E$2:$E1003, Datos!$F$2:$F1003=C$1, Datos!$G$2:$G1003=C$2, Datos!$A$2:$A1003=$A200)"),1994.516)</f>
        <v>1994.516</v>
      </c>
      <c r="D200" s="20">
        <f>IFERROR(__xludf.DUMMYFUNCTION("FILTER(Datos!$D$2:$D1003, Datos!$F$2:$F1003=D$1, Datos!$G$2:$G1003=D$2, Datos!$A$2:$A1003=$A200)"),2162.9)</f>
        <v>2162.9</v>
      </c>
      <c r="E200" s="20">
        <f>IFERROR(__xludf.DUMMYFUNCTION("FILTER(Datos!$E$2:$E1003, Datos!$F$2:$F1003=E$1, Datos!$G$2:$G1003=E$2, Datos!$A$2:$A1003=$A200)"),2264.066)</f>
        <v>2264.066</v>
      </c>
      <c r="F200" s="20">
        <f>IFERROR(__xludf.DUMMYFUNCTION("FILTER(Datos!$D$2:$D1003, Datos!$F$2:$F1003=F$1, Datos!$G$2:$G1003=F$2, Datos!$A$2:$A1003=$A200)"),2659.5)</f>
        <v>2659.5</v>
      </c>
      <c r="G200" s="20">
        <f>IFERROR(__xludf.DUMMYFUNCTION("FILTER(Datos!$E$2:$E1003, Datos!$F$2:$F1003=G$1, Datos!$G$2:$G1003=G$2, Datos!$A$2:$A1003=$A200)"),2843.146)</f>
        <v>2843.146</v>
      </c>
      <c r="H200" s="20">
        <f>IFERROR(__xludf.DUMMYFUNCTION("FILTER(Datos!$D$2:$D1003, Datos!$F$2:$F1003=H$1, Datos!$G$2:$G1003=H$2, Datos!$A$2:$A1003=$A200)"),3148.067)</f>
        <v>3148.067</v>
      </c>
      <c r="I200" s="21">
        <f>IFERROR(__xludf.DUMMYFUNCTION("FILTER(Datos!$E$2:$E1003, Datos!$F$2:$F1003=I$1, Datos!$G$2:$G1003=I$2, Datos!$A$2:$A1003=$A200)"),3923.507)</f>
        <v>3923.507</v>
      </c>
      <c r="J200" s="20">
        <f>IFERROR(__xludf.DUMMYFUNCTION("FILTER(Datos!$D$2:$D1003, Datos!$F$2:$F1003=J$1, Datos!$G$2:$G1003=J$2, Datos!$A$2:$A1003=$A200)"),1814.233)</f>
        <v>1814.233</v>
      </c>
      <c r="K200" s="20">
        <f>IFERROR(__xludf.DUMMYFUNCTION("FILTER(Datos!$E$2:$E1003, Datos!$F$2:$F1003=K$1, Datos!$G$2:$G1003=K$2, Datos!$A$2:$A1003=$A200)"),2279.355)</f>
        <v>2279.355</v>
      </c>
      <c r="L200" s="20">
        <f>IFERROR(__xludf.DUMMYFUNCTION("FILTER(Datos!$D$2:$D1003, Datos!$F$2:$F1003=L$1, Datos!$G$2:$G1003=L$2, Datos!$A$2:$A1003=$A200)"),2108.3)</f>
        <v>2108.3</v>
      </c>
      <c r="M200" s="20">
        <f>IFERROR(__xludf.DUMMYFUNCTION("FILTER(Datos!$E$2:$E1003, Datos!$F$2:$F1003=M$1, Datos!$G$2:$G1003=M$2, Datos!$A$2:$A1003=$A200)"),2746.877)</f>
        <v>2746.877</v>
      </c>
      <c r="N200" s="20">
        <f>IFERROR(__xludf.DUMMYFUNCTION("FILTER(Datos!$D$2:$D1003, Datos!$F$2:$F1003=N$1, Datos!$G$2:$G1003=N$2, Datos!$A$2:$A1003=$A200)"),2512.633)</f>
        <v>2512.633</v>
      </c>
      <c r="O200" s="20">
        <f>IFERROR(__xludf.DUMMYFUNCTION("FILTER(Datos!$E$2:$E1003, Datos!$F$2:$F1003=O$1, Datos!$G$2:$G1003=O$2, Datos!$A$2:$A1003=$A200)"),3527.566)</f>
        <v>3527.566</v>
      </c>
      <c r="P200" s="20">
        <f>IFERROR(__xludf.DUMMYFUNCTION("FILTER(Datos!$D$2:$D1003, Datos!$F$2:$F1003=P$1, Datos!$G$2:$G1003=P$2, Datos!$A$2:$A1003=$A200)"),2961.767)</f>
        <v>2961.767</v>
      </c>
      <c r="Q200" s="21">
        <f>IFERROR(__xludf.DUMMYFUNCTION("FILTER(Datos!$E$2:$E1003, Datos!$F$2:$F1003=Q$1, Datos!$G$2:$G1003=Q$2, Datos!$A$2:$A1003=$A200)"),4492.064)</f>
        <v>4492.064</v>
      </c>
    </row>
    <row r="201">
      <c r="A201" s="18">
        <f t="shared" si="2"/>
        <v>196</v>
      </c>
      <c r="B201" s="19">
        <f>IFERROR(__xludf.DUMMYFUNCTION("FILTER(Datos!$D$2:$D1003, Datos!$F$2:$F1003=B$1, Datos!$G$2:$G1003=B$2, Datos!$A$2:$A1003=$A201)"),1906.633)</f>
        <v>1906.633</v>
      </c>
      <c r="C201" s="20">
        <f>IFERROR(__xludf.DUMMYFUNCTION("FILTER(Datos!$E$2:$E1003, Datos!$F$2:$F1003=C$1, Datos!$G$2:$G1003=C$2, Datos!$A$2:$A1003=$A201)"),1992.269)</f>
        <v>1992.269</v>
      </c>
      <c r="D201" s="20">
        <f>IFERROR(__xludf.DUMMYFUNCTION("FILTER(Datos!$D$2:$D1003, Datos!$F$2:$F1003=D$1, Datos!$G$2:$G1003=D$2, Datos!$A$2:$A1003=$A201)"),2162.9)</f>
        <v>2162.9</v>
      </c>
      <c r="E201" s="20">
        <f>IFERROR(__xludf.DUMMYFUNCTION("FILTER(Datos!$E$2:$E1003, Datos!$F$2:$F1003=E$1, Datos!$G$2:$G1003=E$2, Datos!$A$2:$A1003=$A201)"),2261.705)</f>
        <v>2261.705</v>
      </c>
      <c r="F201" s="20">
        <f>IFERROR(__xludf.DUMMYFUNCTION("FILTER(Datos!$D$2:$D1003, Datos!$F$2:$F1003=F$1, Datos!$G$2:$G1003=F$2, Datos!$A$2:$A1003=$A201)"),2659.267)</f>
        <v>2659.267</v>
      </c>
      <c r="G201" s="20">
        <f>IFERROR(__xludf.DUMMYFUNCTION("FILTER(Datos!$E$2:$E1003, Datos!$F$2:$F1003=G$1, Datos!$G$2:$G1003=G$2, Datos!$A$2:$A1003=$A201)"),2836.156)</f>
        <v>2836.156</v>
      </c>
      <c r="H201" s="20">
        <f>IFERROR(__xludf.DUMMYFUNCTION("FILTER(Datos!$D$2:$D1003, Datos!$F$2:$F1003=H$1, Datos!$G$2:$G1003=H$2, Datos!$A$2:$A1003=$A201)"),3146.167)</f>
        <v>3146.167</v>
      </c>
      <c r="I201" s="21">
        <f>IFERROR(__xludf.DUMMYFUNCTION("FILTER(Datos!$E$2:$E1003, Datos!$F$2:$F1003=I$1, Datos!$G$2:$G1003=I$2, Datos!$A$2:$A1003=$A201)"),3906.117)</f>
        <v>3906.117</v>
      </c>
      <c r="J201" s="20">
        <f>IFERROR(__xludf.DUMMYFUNCTION("FILTER(Datos!$D$2:$D1003, Datos!$F$2:$F1003=J$1, Datos!$G$2:$G1003=J$2, Datos!$A$2:$A1003=$A201)"),1814.233)</f>
        <v>1814.233</v>
      </c>
      <c r="K201" s="20">
        <f>IFERROR(__xludf.DUMMYFUNCTION("FILTER(Datos!$E$2:$E1003, Datos!$F$2:$F1003=K$1, Datos!$G$2:$G1003=K$2, Datos!$A$2:$A1003=$A201)"),2283.34)</f>
        <v>2283.34</v>
      </c>
      <c r="L201" s="20">
        <f>IFERROR(__xludf.DUMMYFUNCTION("FILTER(Datos!$D$2:$D1003, Datos!$F$2:$F1003=L$1, Datos!$G$2:$G1003=L$2, Datos!$A$2:$A1003=$A201)"),2108.3)</f>
        <v>2108.3</v>
      </c>
      <c r="M201" s="20">
        <f>IFERROR(__xludf.DUMMYFUNCTION("FILTER(Datos!$E$2:$E1003, Datos!$F$2:$F1003=M$1, Datos!$G$2:$G1003=M$2, Datos!$A$2:$A1003=$A201)"),2757.554)</f>
        <v>2757.554</v>
      </c>
      <c r="N201" s="20">
        <f>IFERROR(__xludf.DUMMYFUNCTION("FILTER(Datos!$D$2:$D1003, Datos!$F$2:$F1003=N$1, Datos!$G$2:$G1003=N$2, Datos!$A$2:$A1003=$A201)"),2512.567)</f>
        <v>2512.567</v>
      </c>
      <c r="O201" s="20">
        <f>IFERROR(__xludf.DUMMYFUNCTION("FILTER(Datos!$E$2:$E1003, Datos!$F$2:$F1003=O$1, Datos!$G$2:$G1003=O$2, Datos!$A$2:$A1003=$A201)"),3501.802)</f>
        <v>3501.802</v>
      </c>
      <c r="P201" s="20">
        <f>IFERROR(__xludf.DUMMYFUNCTION("FILTER(Datos!$D$2:$D1003, Datos!$F$2:$F1003=P$1, Datos!$G$2:$G1003=P$2, Datos!$A$2:$A1003=$A201)"),2961.6)</f>
        <v>2961.6</v>
      </c>
      <c r="Q201" s="21">
        <f>IFERROR(__xludf.DUMMYFUNCTION("FILTER(Datos!$E$2:$E1003, Datos!$F$2:$F1003=Q$1, Datos!$G$2:$G1003=Q$2, Datos!$A$2:$A1003=$A201)"),4473.882)</f>
        <v>4473.882</v>
      </c>
    </row>
    <row r="202">
      <c r="A202" s="18">
        <f t="shared" si="2"/>
        <v>197</v>
      </c>
      <c r="B202" s="19">
        <f>IFERROR(__xludf.DUMMYFUNCTION("FILTER(Datos!$D$2:$D1003, Datos!$F$2:$F1003=B$1, Datos!$G$2:$G1003=B$2, Datos!$A$2:$A1003=$A202)"),1906.633)</f>
        <v>1906.633</v>
      </c>
      <c r="C202" s="20">
        <f>IFERROR(__xludf.DUMMYFUNCTION("FILTER(Datos!$E$2:$E1003, Datos!$F$2:$F1003=C$1, Datos!$G$2:$G1003=C$2, Datos!$A$2:$A1003=$A202)"),1992.251)</f>
        <v>1992.251</v>
      </c>
      <c r="D202" s="20">
        <f>IFERROR(__xludf.DUMMYFUNCTION("FILTER(Datos!$D$2:$D1003, Datos!$F$2:$F1003=D$1, Datos!$G$2:$G1003=D$2, Datos!$A$2:$A1003=$A202)"),2162.9)</f>
        <v>2162.9</v>
      </c>
      <c r="E202" s="20">
        <f>IFERROR(__xludf.DUMMYFUNCTION("FILTER(Datos!$E$2:$E1003, Datos!$F$2:$F1003=E$1, Datos!$G$2:$G1003=E$2, Datos!$A$2:$A1003=$A202)"),2264.822)</f>
        <v>2264.822</v>
      </c>
      <c r="F202" s="20">
        <f>IFERROR(__xludf.DUMMYFUNCTION("FILTER(Datos!$D$2:$D1003, Datos!$F$2:$F1003=F$1, Datos!$G$2:$G1003=F$2, Datos!$A$2:$A1003=$A202)"),2659.233)</f>
        <v>2659.233</v>
      </c>
      <c r="G202" s="20">
        <f>IFERROR(__xludf.DUMMYFUNCTION("FILTER(Datos!$E$2:$E1003, Datos!$F$2:$F1003=G$1, Datos!$G$2:$G1003=G$2, Datos!$A$2:$A1003=$A202)"),2829.206)</f>
        <v>2829.206</v>
      </c>
      <c r="H202" s="20">
        <f>IFERROR(__xludf.DUMMYFUNCTION("FILTER(Datos!$D$2:$D1003, Datos!$F$2:$F1003=H$1, Datos!$G$2:$G1003=H$2, Datos!$A$2:$A1003=$A202)"),3138.833)</f>
        <v>3138.833</v>
      </c>
      <c r="I202" s="21">
        <f>IFERROR(__xludf.DUMMYFUNCTION("FILTER(Datos!$E$2:$E1003, Datos!$F$2:$F1003=I$1, Datos!$G$2:$G1003=I$2, Datos!$A$2:$A1003=$A202)"),3894.966)</f>
        <v>3894.966</v>
      </c>
      <c r="J202" s="20">
        <f>IFERROR(__xludf.DUMMYFUNCTION("FILTER(Datos!$D$2:$D1003, Datos!$F$2:$F1003=J$1, Datos!$G$2:$G1003=J$2, Datos!$A$2:$A1003=$A202)"),1814.233)</f>
        <v>1814.233</v>
      </c>
      <c r="K202" s="20">
        <f>IFERROR(__xludf.DUMMYFUNCTION("FILTER(Datos!$E$2:$E1003, Datos!$F$2:$F1003=K$1, Datos!$G$2:$G1003=K$2, Datos!$A$2:$A1003=$A202)"),2272.805)</f>
        <v>2272.805</v>
      </c>
      <c r="L202" s="20">
        <f>IFERROR(__xludf.DUMMYFUNCTION("FILTER(Datos!$D$2:$D1003, Datos!$F$2:$F1003=L$1, Datos!$G$2:$G1003=L$2, Datos!$A$2:$A1003=$A202)"),2108.3)</f>
        <v>2108.3</v>
      </c>
      <c r="M202" s="20">
        <f>IFERROR(__xludf.DUMMYFUNCTION("FILTER(Datos!$E$2:$E1003, Datos!$F$2:$F1003=M$1, Datos!$G$2:$G1003=M$2, Datos!$A$2:$A1003=$A202)"),2754.142)</f>
        <v>2754.142</v>
      </c>
      <c r="N202" s="20">
        <f>IFERROR(__xludf.DUMMYFUNCTION("FILTER(Datos!$D$2:$D1003, Datos!$F$2:$F1003=N$1, Datos!$G$2:$G1003=N$2, Datos!$A$2:$A1003=$A202)"),2512.567)</f>
        <v>2512.567</v>
      </c>
      <c r="O202" s="20">
        <f>IFERROR(__xludf.DUMMYFUNCTION("FILTER(Datos!$E$2:$E1003, Datos!$F$2:$F1003=O$1, Datos!$G$2:$G1003=O$2, Datos!$A$2:$A1003=$A202)"),3533.703)</f>
        <v>3533.703</v>
      </c>
      <c r="P202" s="20">
        <f>IFERROR(__xludf.DUMMYFUNCTION("FILTER(Datos!$D$2:$D1003, Datos!$F$2:$F1003=P$1, Datos!$G$2:$G1003=P$2, Datos!$A$2:$A1003=$A202)"),2958.267)</f>
        <v>2958.267</v>
      </c>
      <c r="Q202" s="21">
        <f>IFERROR(__xludf.DUMMYFUNCTION("FILTER(Datos!$E$2:$E1003, Datos!$F$2:$F1003=Q$1, Datos!$G$2:$G1003=Q$2, Datos!$A$2:$A1003=$A202)"),4456.439)</f>
        <v>4456.439</v>
      </c>
    </row>
    <row r="203">
      <c r="A203" s="18">
        <f t="shared" si="2"/>
        <v>198</v>
      </c>
      <c r="B203" s="19">
        <f>IFERROR(__xludf.DUMMYFUNCTION("FILTER(Datos!$D$2:$D1003, Datos!$F$2:$F1003=B$1, Datos!$G$2:$G1003=B$2, Datos!$A$2:$A1003=$A203)"),1906.633)</f>
        <v>1906.633</v>
      </c>
      <c r="C203" s="20">
        <f>IFERROR(__xludf.DUMMYFUNCTION("FILTER(Datos!$E$2:$E1003, Datos!$F$2:$F1003=C$1, Datos!$G$2:$G1003=C$2, Datos!$A$2:$A1003=$A203)"),1988.209)</f>
        <v>1988.209</v>
      </c>
      <c r="D203" s="20">
        <f>IFERROR(__xludf.DUMMYFUNCTION("FILTER(Datos!$D$2:$D1003, Datos!$F$2:$F1003=D$1, Datos!$G$2:$G1003=D$2, Datos!$A$2:$A1003=$A203)"),2162.9)</f>
        <v>2162.9</v>
      </c>
      <c r="E203" s="20">
        <f>IFERROR(__xludf.DUMMYFUNCTION("FILTER(Datos!$E$2:$E1003, Datos!$F$2:$F1003=E$1, Datos!$G$2:$G1003=E$2, Datos!$A$2:$A1003=$A203)"),2263.043)</f>
        <v>2263.043</v>
      </c>
      <c r="F203" s="20">
        <f>IFERROR(__xludf.DUMMYFUNCTION("FILTER(Datos!$D$2:$D1003, Datos!$F$2:$F1003=F$1, Datos!$G$2:$G1003=F$2, Datos!$A$2:$A1003=$A203)"),2659.233)</f>
        <v>2659.233</v>
      </c>
      <c r="G203" s="20">
        <f>IFERROR(__xludf.DUMMYFUNCTION("FILTER(Datos!$E$2:$E1003, Datos!$F$2:$F1003=G$1, Datos!$G$2:$G1003=G$2, Datos!$A$2:$A1003=$A203)"),2823.552)</f>
        <v>2823.552</v>
      </c>
      <c r="H203" s="20">
        <f>IFERROR(__xludf.DUMMYFUNCTION("FILTER(Datos!$D$2:$D1003, Datos!$F$2:$F1003=H$1, Datos!$G$2:$G1003=H$2, Datos!$A$2:$A1003=$A203)"),3137.2)</f>
        <v>3137.2</v>
      </c>
      <c r="I203" s="21">
        <f>IFERROR(__xludf.DUMMYFUNCTION("FILTER(Datos!$E$2:$E1003, Datos!$F$2:$F1003=I$1, Datos!$G$2:$G1003=I$2, Datos!$A$2:$A1003=$A203)"),3866.639)</f>
        <v>3866.639</v>
      </c>
      <c r="J203" s="20">
        <f>IFERROR(__xludf.DUMMYFUNCTION("FILTER(Datos!$D$2:$D1003, Datos!$F$2:$F1003=J$1, Datos!$G$2:$G1003=J$2, Datos!$A$2:$A1003=$A203)"),1814.233)</f>
        <v>1814.233</v>
      </c>
      <c r="K203" s="20">
        <f>IFERROR(__xludf.DUMMYFUNCTION("FILTER(Datos!$E$2:$E1003, Datos!$F$2:$F1003=K$1, Datos!$G$2:$G1003=K$2, Datos!$A$2:$A1003=$A203)"),2272.645)</f>
        <v>2272.645</v>
      </c>
      <c r="L203" s="20">
        <f>IFERROR(__xludf.DUMMYFUNCTION("FILTER(Datos!$D$2:$D1003, Datos!$F$2:$F1003=L$1, Datos!$G$2:$G1003=L$2, Datos!$A$2:$A1003=$A203)"),2108.3)</f>
        <v>2108.3</v>
      </c>
      <c r="M203" s="20">
        <f>IFERROR(__xludf.DUMMYFUNCTION("FILTER(Datos!$E$2:$E1003, Datos!$F$2:$F1003=M$1, Datos!$G$2:$G1003=M$2, Datos!$A$2:$A1003=$A203)"),2735.899)</f>
        <v>2735.899</v>
      </c>
      <c r="N203" s="20">
        <f>IFERROR(__xludf.DUMMYFUNCTION("FILTER(Datos!$D$2:$D1003, Datos!$F$2:$F1003=N$1, Datos!$G$2:$G1003=N$2, Datos!$A$2:$A1003=$A203)"),2512.567)</f>
        <v>2512.567</v>
      </c>
      <c r="O203" s="20">
        <f>IFERROR(__xludf.DUMMYFUNCTION("FILTER(Datos!$E$2:$E1003, Datos!$F$2:$F1003=O$1, Datos!$G$2:$G1003=O$2, Datos!$A$2:$A1003=$A203)"),3518.446)</f>
        <v>3518.446</v>
      </c>
      <c r="P203" s="20">
        <f>IFERROR(__xludf.DUMMYFUNCTION("FILTER(Datos!$D$2:$D1003, Datos!$F$2:$F1003=P$1, Datos!$G$2:$G1003=P$2, Datos!$A$2:$A1003=$A203)"),2957.033)</f>
        <v>2957.033</v>
      </c>
      <c r="Q203" s="21">
        <f>IFERROR(__xludf.DUMMYFUNCTION("FILTER(Datos!$E$2:$E1003, Datos!$F$2:$F1003=Q$1, Datos!$G$2:$G1003=Q$2, Datos!$A$2:$A1003=$A203)"),4451.771)</f>
        <v>4451.771</v>
      </c>
    </row>
    <row r="204">
      <c r="A204" s="22">
        <f t="shared" si="2"/>
        <v>199</v>
      </c>
      <c r="B204" s="23">
        <f>IFERROR(__xludf.DUMMYFUNCTION("FILTER(Datos!$D$2:$D1003, Datos!$F$2:$F1003=B$1, Datos!$G$2:$G1003=B$2, Datos!$A$2:$A1003=$A204)"),1906.633)</f>
        <v>1906.633</v>
      </c>
      <c r="C204" s="24">
        <f>IFERROR(__xludf.DUMMYFUNCTION("FILTER(Datos!$E$2:$E1003, Datos!$F$2:$F1003=C$1, Datos!$G$2:$G1003=C$2, Datos!$A$2:$A1003=$A204)"),1987.388)</f>
        <v>1987.388</v>
      </c>
      <c r="D204" s="24">
        <f>IFERROR(__xludf.DUMMYFUNCTION("FILTER(Datos!$D$2:$D1003, Datos!$F$2:$F1003=D$1, Datos!$G$2:$G1003=D$2, Datos!$A$2:$A1003=$A204)"),2162.9)</f>
        <v>2162.9</v>
      </c>
      <c r="E204" s="24">
        <f>IFERROR(__xludf.DUMMYFUNCTION("FILTER(Datos!$E$2:$E1003, Datos!$F$2:$F1003=E$1, Datos!$G$2:$G1003=E$2, Datos!$A$2:$A1003=$A204)"),2260.86)</f>
        <v>2260.86</v>
      </c>
      <c r="F204" s="24">
        <f>IFERROR(__xludf.DUMMYFUNCTION("FILTER(Datos!$D$2:$D1003, Datos!$F$2:$F1003=F$1, Datos!$G$2:$G1003=F$2, Datos!$A$2:$A1003=$A204)"),2659.233)</f>
        <v>2659.233</v>
      </c>
      <c r="G204" s="24">
        <f>IFERROR(__xludf.DUMMYFUNCTION("FILTER(Datos!$E$2:$E1003, Datos!$F$2:$F1003=G$1, Datos!$G$2:$G1003=G$2, Datos!$A$2:$A1003=$A204)"),2819.605)</f>
        <v>2819.605</v>
      </c>
      <c r="H204" s="24">
        <f>IFERROR(__xludf.DUMMYFUNCTION("FILTER(Datos!$D$2:$D1003, Datos!$F$2:$F1003=H$1, Datos!$G$2:$G1003=H$2, Datos!$A$2:$A1003=$A204)"),3136.233)</f>
        <v>3136.233</v>
      </c>
      <c r="I204" s="25">
        <f>IFERROR(__xludf.DUMMYFUNCTION("FILTER(Datos!$E$2:$E1003, Datos!$F$2:$F1003=I$1, Datos!$G$2:$G1003=I$2, Datos!$A$2:$A1003=$A204)"),3850.891)</f>
        <v>3850.891</v>
      </c>
      <c r="J204" s="24">
        <f>IFERROR(__xludf.DUMMYFUNCTION("FILTER(Datos!$D$2:$D1003, Datos!$F$2:$F1003=J$1, Datos!$G$2:$G1003=J$2, Datos!$A$2:$A1003=$A204)"),1814.233)</f>
        <v>1814.233</v>
      </c>
      <c r="K204" s="24">
        <f>IFERROR(__xludf.DUMMYFUNCTION("FILTER(Datos!$E$2:$E1003, Datos!$F$2:$F1003=K$1, Datos!$G$2:$G1003=K$2, Datos!$A$2:$A1003=$A204)"),2269.86)</f>
        <v>2269.86</v>
      </c>
      <c r="L204" s="24">
        <f>IFERROR(__xludf.DUMMYFUNCTION("FILTER(Datos!$D$2:$D1003, Datos!$F$2:$F1003=L$1, Datos!$G$2:$G1003=L$2, Datos!$A$2:$A1003=$A204)"),2108.3)</f>
        <v>2108.3</v>
      </c>
      <c r="M204" s="24">
        <f>IFERROR(__xludf.DUMMYFUNCTION("FILTER(Datos!$E$2:$E1003, Datos!$F$2:$F1003=M$1, Datos!$G$2:$G1003=M$2, Datos!$A$2:$A1003=$A204)"),2742.276)</f>
        <v>2742.276</v>
      </c>
      <c r="N204" s="24">
        <f>IFERROR(__xludf.DUMMYFUNCTION("FILTER(Datos!$D$2:$D1003, Datos!$F$2:$F1003=N$1, Datos!$G$2:$G1003=N$2, Datos!$A$2:$A1003=$A204)"),2511.867)</f>
        <v>2511.867</v>
      </c>
      <c r="O204" s="24">
        <f>IFERROR(__xludf.DUMMYFUNCTION("FILTER(Datos!$E$2:$E1003, Datos!$F$2:$F1003=O$1, Datos!$G$2:$G1003=O$2, Datos!$A$2:$A1003=$A204)"),3512.232)</f>
        <v>3512.232</v>
      </c>
      <c r="P204" s="24">
        <f>IFERROR(__xludf.DUMMYFUNCTION("FILTER(Datos!$D$2:$D1003, Datos!$F$2:$F1003=P$1, Datos!$G$2:$G1003=P$2, Datos!$A$2:$A1003=$A204)"),2957.033)</f>
        <v>2957.033</v>
      </c>
      <c r="Q204" s="25">
        <f>IFERROR(__xludf.DUMMYFUNCTION("FILTER(Datos!$E$2:$E1003, Datos!$F$2:$F1003=Q$1, Datos!$G$2:$G1003=Q$2, Datos!$A$2:$A1003=$A204)"),4441.165)</f>
        <v>4441.165</v>
      </c>
    </row>
    <row r="205">
      <c r="A205" s="20"/>
      <c r="B205" s="20"/>
      <c r="C205" s="20"/>
      <c r="D205" s="20"/>
      <c r="E205" s="20"/>
      <c r="F205" s="20"/>
      <c r="G205" s="20"/>
      <c r="H205" s="20"/>
      <c r="I205" s="20"/>
    </row>
    <row r="206">
      <c r="B206" s="20"/>
      <c r="C206" s="20"/>
      <c r="D206" s="20"/>
      <c r="E206" s="20"/>
      <c r="F206" s="20"/>
      <c r="G206" s="20"/>
      <c r="H206" s="20"/>
      <c r="I206" s="20"/>
    </row>
    <row r="207">
      <c r="B207" s="20"/>
      <c r="C207" s="20"/>
      <c r="D207" s="20"/>
      <c r="E207" s="20"/>
      <c r="F207" s="20"/>
      <c r="G207" s="20"/>
      <c r="H207" s="20"/>
      <c r="I207" s="20"/>
    </row>
    <row r="208">
      <c r="B208" s="20"/>
      <c r="C208" s="20"/>
      <c r="D208" s="20"/>
      <c r="E208" s="20"/>
      <c r="F208" s="20"/>
      <c r="G208" s="20"/>
      <c r="H208" s="20"/>
      <c r="I208" s="20"/>
    </row>
    <row r="209">
      <c r="B209" s="20"/>
      <c r="C209" s="20"/>
      <c r="D209" s="20"/>
      <c r="E209" s="20"/>
      <c r="F209" s="20"/>
      <c r="G209" s="20"/>
      <c r="H209" s="20"/>
      <c r="I209" s="20"/>
    </row>
    <row r="210">
      <c r="B210" s="20"/>
      <c r="C210" s="20"/>
      <c r="D210" s="20"/>
      <c r="E210" s="20"/>
      <c r="F210" s="20"/>
      <c r="G210" s="20"/>
      <c r="H210" s="20"/>
      <c r="I210" s="20"/>
    </row>
    <row r="211">
      <c r="B211" s="20"/>
      <c r="C211" s="20"/>
      <c r="D211" s="20"/>
      <c r="E211" s="20"/>
      <c r="F211" s="20"/>
      <c r="G211" s="20"/>
      <c r="H211" s="20"/>
      <c r="I211" s="20"/>
    </row>
    <row r="212">
      <c r="B212" s="20"/>
      <c r="C212" s="20"/>
      <c r="D212" s="20"/>
      <c r="E212" s="20"/>
      <c r="F212" s="20"/>
      <c r="G212" s="20"/>
      <c r="H212" s="20"/>
      <c r="I212" s="20"/>
    </row>
    <row r="213">
      <c r="B213" s="20"/>
      <c r="C213" s="20"/>
      <c r="D213" s="20"/>
      <c r="E213" s="20"/>
      <c r="F213" s="20"/>
      <c r="G213" s="20"/>
      <c r="H213" s="20"/>
      <c r="I213" s="20"/>
    </row>
    <row r="214">
      <c r="B214" s="20"/>
      <c r="C214" s="20"/>
      <c r="D214" s="20"/>
      <c r="E214" s="20"/>
      <c r="F214" s="20"/>
      <c r="G214" s="20"/>
      <c r="H214" s="20"/>
      <c r="I214" s="20"/>
    </row>
    <row r="215">
      <c r="B215" s="20"/>
      <c r="C215" s="20"/>
      <c r="D215" s="20"/>
      <c r="E215" s="20"/>
      <c r="F215" s="20"/>
      <c r="G215" s="20"/>
      <c r="H215" s="20"/>
      <c r="I215" s="20"/>
    </row>
    <row r="216">
      <c r="B216" s="20"/>
      <c r="C216" s="20"/>
      <c r="D216" s="20"/>
      <c r="E216" s="20"/>
      <c r="F216" s="20"/>
      <c r="G216" s="20"/>
      <c r="H216" s="20"/>
      <c r="I216" s="20"/>
    </row>
    <row r="217">
      <c r="B217" s="20"/>
      <c r="C217" s="20"/>
      <c r="D217" s="20"/>
      <c r="E217" s="20"/>
      <c r="F217" s="20"/>
      <c r="G217" s="20"/>
      <c r="H217" s="20"/>
      <c r="I217" s="20"/>
    </row>
    <row r="218">
      <c r="B218" s="20"/>
      <c r="C218" s="20"/>
      <c r="D218" s="20"/>
      <c r="E218" s="20"/>
      <c r="F218" s="20"/>
      <c r="G218" s="20"/>
      <c r="H218" s="20"/>
      <c r="I218" s="20"/>
    </row>
    <row r="219">
      <c r="B219" s="20"/>
      <c r="C219" s="20"/>
      <c r="D219" s="20"/>
      <c r="E219" s="20"/>
      <c r="F219" s="20"/>
      <c r="G219" s="20"/>
      <c r="H219" s="20"/>
      <c r="I219" s="20"/>
    </row>
    <row r="220">
      <c r="B220" s="20"/>
      <c r="C220" s="20"/>
      <c r="D220" s="20"/>
      <c r="E220" s="20"/>
      <c r="F220" s="20"/>
      <c r="G220" s="20"/>
      <c r="H220" s="20"/>
      <c r="I220" s="20"/>
    </row>
    <row r="221">
      <c r="B221" s="20"/>
      <c r="C221" s="20"/>
      <c r="D221" s="20"/>
      <c r="E221" s="20"/>
      <c r="F221" s="20"/>
      <c r="G221" s="20"/>
      <c r="H221" s="20"/>
      <c r="I221" s="20"/>
    </row>
    <row r="222">
      <c r="B222" s="20"/>
      <c r="C222" s="20"/>
      <c r="D222" s="20"/>
      <c r="E222" s="20"/>
      <c r="F222" s="20"/>
      <c r="G222" s="20"/>
      <c r="H222" s="20"/>
      <c r="I222" s="20"/>
    </row>
    <row r="223">
      <c r="B223" s="20"/>
      <c r="C223" s="20"/>
      <c r="D223" s="20"/>
      <c r="E223" s="20"/>
      <c r="F223" s="20"/>
      <c r="G223" s="20"/>
      <c r="H223" s="20"/>
      <c r="I223" s="20"/>
    </row>
    <row r="224">
      <c r="B224" s="20"/>
      <c r="C224" s="20"/>
      <c r="D224" s="20"/>
      <c r="E224" s="20"/>
      <c r="F224" s="20"/>
      <c r="G224" s="20"/>
      <c r="H224" s="20"/>
      <c r="I224" s="20"/>
    </row>
    <row r="225">
      <c r="B225" s="20"/>
      <c r="C225" s="20"/>
      <c r="D225" s="20"/>
      <c r="E225" s="20"/>
      <c r="F225" s="20"/>
      <c r="G225" s="20"/>
      <c r="H225" s="20"/>
      <c r="I225" s="20"/>
    </row>
    <row r="226">
      <c r="B226" s="20"/>
      <c r="C226" s="20"/>
      <c r="D226" s="20"/>
      <c r="E226" s="20"/>
      <c r="F226" s="20"/>
      <c r="G226" s="20"/>
      <c r="H226" s="20"/>
      <c r="I226" s="20"/>
    </row>
    <row r="227">
      <c r="B227" s="20"/>
      <c r="C227" s="20"/>
      <c r="D227" s="20"/>
      <c r="E227" s="20"/>
      <c r="F227" s="20"/>
      <c r="G227" s="20"/>
      <c r="H227" s="20"/>
      <c r="I227" s="20"/>
    </row>
    <row r="228">
      <c r="B228" s="20"/>
      <c r="C228" s="20"/>
      <c r="D228" s="20"/>
      <c r="E228" s="20"/>
      <c r="F228" s="20"/>
      <c r="G228" s="20"/>
      <c r="H228" s="20"/>
      <c r="I228" s="20"/>
    </row>
    <row r="229">
      <c r="B229" s="20"/>
      <c r="C229" s="20"/>
      <c r="D229" s="20"/>
      <c r="E229" s="20"/>
      <c r="F229" s="20"/>
      <c r="G229" s="20"/>
      <c r="H229" s="20"/>
      <c r="I229" s="20"/>
    </row>
    <row r="230">
      <c r="B230" s="20"/>
      <c r="C230" s="20"/>
      <c r="D230" s="20"/>
      <c r="E230" s="20"/>
      <c r="F230" s="20"/>
      <c r="G230" s="20"/>
      <c r="H230" s="20"/>
      <c r="I230" s="20"/>
    </row>
    <row r="231">
      <c r="B231" s="20"/>
      <c r="C231" s="20"/>
      <c r="D231" s="20"/>
      <c r="E231" s="20"/>
      <c r="F231" s="20"/>
      <c r="G231" s="20"/>
      <c r="H231" s="20"/>
      <c r="I231" s="20"/>
    </row>
    <row r="232">
      <c r="B232" s="20"/>
      <c r="C232" s="20"/>
      <c r="D232" s="20"/>
      <c r="E232" s="20"/>
      <c r="F232" s="20"/>
      <c r="G232" s="20"/>
      <c r="H232" s="20"/>
      <c r="I232" s="20"/>
    </row>
    <row r="233">
      <c r="B233" s="20"/>
      <c r="C233" s="20"/>
      <c r="D233" s="20"/>
      <c r="E233" s="20"/>
      <c r="F233" s="20"/>
      <c r="G233" s="20"/>
      <c r="H233" s="20"/>
      <c r="I233" s="20"/>
    </row>
    <row r="234">
      <c r="B234" s="20"/>
      <c r="C234" s="20"/>
      <c r="D234" s="20"/>
      <c r="E234" s="20"/>
      <c r="F234" s="20"/>
      <c r="G234" s="20"/>
      <c r="H234" s="20"/>
      <c r="I234" s="20"/>
    </row>
    <row r="235">
      <c r="B235" s="20"/>
      <c r="C235" s="20"/>
      <c r="D235" s="20"/>
      <c r="E235" s="20"/>
      <c r="F235" s="20"/>
      <c r="G235" s="20"/>
      <c r="H235" s="20"/>
      <c r="I235" s="20"/>
    </row>
    <row r="236">
      <c r="B236" s="20"/>
      <c r="C236" s="20"/>
      <c r="D236" s="20"/>
      <c r="E236" s="20"/>
      <c r="F236" s="20"/>
      <c r="G236" s="20"/>
      <c r="H236" s="20"/>
      <c r="I236" s="20"/>
    </row>
    <row r="237">
      <c r="B237" s="20"/>
      <c r="C237" s="20"/>
      <c r="D237" s="20"/>
      <c r="E237" s="20"/>
      <c r="F237" s="20"/>
      <c r="G237" s="20"/>
      <c r="H237" s="20"/>
      <c r="I237" s="20"/>
    </row>
    <row r="238">
      <c r="B238" s="20"/>
      <c r="C238" s="20"/>
      <c r="D238" s="20"/>
      <c r="E238" s="20"/>
      <c r="F238" s="20"/>
      <c r="G238" s="20"/>
      <c r="H238" s="20"/>
      <c r="I238" s="20"/>
    </row>
    <row r="239">
      <c r="B239" s="20"/>
      <c r="C239" s="20"/>
      <c r="D239" s="20"/>
      <c r="E239" s="20"/>
      <c r="F239" s="20"/>
      <c r="G239" s="20"/>
      <c r="H239" s="20"/>
      <c r="I239" s="20"/>
    </row>
    <row r="240">
      <c r="B240" s="20"/>
      <c r="C240" s="20"/>
      <c r="D240" s="20"/>
      <c r="E240" s="20"/>
      <c r="F240" s="20"/>
      <c r="G240" s="20"/>
      <c r="H240" s="20"/>
      <c r="I240" s="20"/>
    </row>
    <row r="241">
      <c r="B241" s="20"/>
      <c r="C241" s="20"/>
      <c r="D241" s="20"/>
      <c r="E241" s="20"/>
      <c r="F241" s="20"/>
      <c r="G241" s="20"/>
      <c r="H241" s="20"/>
      <c r="I241" s="20"/>
    </row>
    <row r="242">
      <c r="B242" s="20"/>
      <c r="C242" s="20"/>
      <c r="D242" s="20"/>
      <c r="E242" s="20"/>
      <c r="F242" s="20"/>
      <c r="G242" s="20"/>
      <c r="H242" s="20"/>
      <c r="I242" s="20"/>
    </row>
    <row r="243">
      <c r="B243" s="20"/>
      <c r="C243" s="20"/>
      <c r="D243" s="20"/>
      <c r="E243" s="20"/>
      <c r="F243" s="20"/>
      <c r="G243" s="20"/>
      <c r="H243" s="20"/>
      <c r="I243" s="20"/>
    </row>
    <row r="244">
      <c r="B244" s="20"/>
      <c r="C244" s="20"/>
      <c r="D244" s="20"/>
      <c r="E244" s="20"/>
      <c r="F244" s="20"/>
      <c r="G244" s="20"/>
      <c r="H244" s="20"/>
      <c r="I244" s="20"/>
    </row>
    <row r="245">
      <c r="B245" s="20"/>
      <c r="C245" s="20"/>
      <c r="D245" s="20"/>
      <c r="E245" s="20"/>
      <c r="F245" s="20"/>
      <c r="G245" s="20"/>
      <c r="H245" s="20"/>
      <c r="I245" s="20"/>
    </row>
    <row r="246">
      <c r="B246" s="20"/>
      <c r="C246" s="20"/>
      <c r="D246" s="20"/>
      <c r="E246" s="20"/>
      <c r="F246" s="20"/>
      <c r="G246" s="20"/>
      <c r="H246" s="20"/>
      <c r="I246" s="20"/>
    </row>
    <row r="247">
      <c r="B247" s="20"/>
      <c r="C247" s="20"/>
      <c r="D247" s="20"/>
      <c r="E247" s="20"/>
      <c r="F247" s="20"/>
      <c r="G247" s="20"/>
      <c r="H247" s="20"/>
      <c r="I247" s="20"/>
    </row>
    <row r="248">
      <c r="B248" s="20"/>
      <c r="C248" s="20"/>
      <c r="D248" s="20"/>
      <c r="E248" s="20"/>
      <c r="F248" s="20"/>
      <c r="G248" s="20"/>
      <c r="H248" s="20"/>
      <c r="I248" s="20"/>
    </row>
    <row r="249">
      <c r="B249" s="20"/>
      <c r="C249" s="20"/>
      <c r="D249" s="20"/>
      <c r="E249" s="20"/>
      <c r="F249" s="20"/>
      <c r="G249" s="20"/>
      <c r="H249" s="20"/>
      <c r="I249" s="20"/>
    </row>
    <row r="250">
      <c r="B250" s="20"/>
      <c r="C250" s="20"/>
      <c r="D250" s="20"/>
      <c r="E250" s="20"/>
      <c r="F250" s="20"/>
      <c r="G250" s="20"/>
      <c r="H250" s="20"/>
      <c r="I250" s="20"/>
    </row>
    <row r="251">
      <c r="B251" s="20"/>
      <c r="C251" s="20"/>
      <c r="D251" s="20"/>
      <c r="E251" s="20"/>
      <c r="F251" s="20"/>
      <c r="G251" s="20"/>
      <c r="H251" s="20"/>
      <c r="I251" s="20"/>
    </row>
    <row r="252">
      <c r="B252" s="20"/>
      <c r="C252" s="20"/>
      <c r="D252" s="20"/>
      <c r="E252" s="20"/>
      <c r="F252" s="20"/>
      <c r="G252" s="20"/>
      <c r="H252" s="20"/>
      <c r="I252" s="20"/>
    </row>
    <row r="253">
      <c r="B253" s="20"/>
      <c r="C253" s="20"/>
      <c r="D253" s="20"/>
      <c r="E253" s="20"/>
      <c r="F253" s="20"/>
      <c r="G253" s="20"/>
      <c r="H253" s="20"/>
      <c r="I253" s="20"/>
    </row>
    <row r="254">
      <c r="B254" s="20"/>
      <c r="C254" s="20"/>
      <c r="D254" s="20"/>
      <c r="E254" s="20"/>
      <c r="F254" s="20"/>
      <c r="G254" s="20"/>
      <c r="H254" s="20"/>
      <c r="I254" s="20"/>
    </row>
    <row r="255">
      <c r="B255" s="20"/>
      <c r="C255" s="20"/>
      <c r="D255" s="20"/>
      <c r="E255" s="20"/>
      <c r="F255" s="20"/>
      <c r="G255" s="20"/>
      <c r="H255" s="20"/>
      <c r="I255" s="20"/>
    </row>
    <row r="256">
      <c r="B256" s="20"/>
      <c r="C256" s="20"/>
      <c r="D256" s="20"/>
      <c r="E256" s="20"/>
      <c r="F256" s="20"/>
      <c r="G256" s="20"/>
      <c r="H256" s="20"/>
      <c r="I256" s="20"/>
    </row>
    <row r="257">
      <c r="B257" s="20"/>
      <c r="C257" s="20"/>
      <c r="D257" s="20"/>
      <c r="E257" s="20"/>
      <c r="F257" s="20"/>
      <c r="G257" s="20"/>
      <c r="H257" s="20"/>
      <c r="I257" s="20"/>
    </row>
    <row r="258">
      <c r="B258" s="20"/>
      <c r="C258" s="20"/>
      <c r="D258" s="20"/>
      <c r="E258" s="20"/>
      <c r="F258" s="20"/>
      <c r="G258" s="20"/>
      <c r="H258" s="20"/>
      <c r="I258" s="20"/>
    </row>
    <row r="259">
      <c r="B259" s="20"/>
      <c r="C259" s="20"/>
      <c r="D259" s="20"/>
      <c r="E259" s="20"/>
      <c r="F259" s="20"/>
      <c r="G259" s="20"/>
      <c r="H259" s="20"/>
      <c r="I259" s="20"/>
    </row>
    <row r="260">
      <c r="B260" s="20"/>
      <c r="C260" s="20"/>
      <c r="D260" s="20"/>
      <c r="E260" s="20"/>
      <c r="F260" s="20"/>
      <c r="G260" s="20"/>
      <c r="H260" s="20"/>
      <c r="I260" s="20"/>
    </row>
    <row r="261">
      <c r="B261" s="20"/>
      <c r="C261" s="20"/>
      <c r="D261" s="20"/>
      <c r="E261" s="20"/>
      <c r="F261" s="20"/>
      <c r="G261" s="20"/>
      <c r="H261" s="20"/>
      <c r="I261" s="20"/>
    </row>
    <row r="262">
      <c r="B262" s="20"/>
      <c r="C262" s="20"/>
      <c r="D262" s="20"/>
      <c r="E262" s="20"/>
      <c r="F262" s="20"/>
      <c r="G262" s="20"/>
      <c r="H262" s="20"/>
      <c r="I262" s="20"/>
    </row>
    <row r="263">
      <c r="B263" s="20"/>
      <c r="C263" s="20"/>
      <c r="D263" s="20"/>
      <c r="E263" s="20"/>
      <c r="F263" s="20"/>
      <c r="G263" s="20"/>
      <c r="H263" s="20"/>
      <c r="I263" s="20"/>
    </row>
    <row r="264">
      <c r="B264" s="20"/>
      <c r="C264" s="20"/>
      <c r="D264" s="20"/>
      <c r="E264" s="20"/>
      <c r="F264" s="20"/>
      <c r="G264" s="20"/>
      <c r="H264" s="20"/>
      <c r="I264" s="20"/>
    </row>
    <row r="265">
      <c r="B265" s="20"/>
      <c r="C265" s="20"/>
      <c r="D265" s="20"/>
      <c r="E265" s="20"/>
      <c r="F265" s="20"/>
      <c r="G265" s="20"/>
      <c r="H265" s="20"/>
      <c r="I265" s="20"/>
    </row>
    <row r="266">
      <c r="B266" s="20"/>
      <c r="C266" s="20"/>
      <c r="D266" s="20"/>
      <c r="E266" s="20"/>
      <c r="F266" s="20"/>
      <c r="G266" s="20"/>
      <c r="H266" s="20"/>
      <c r="I266" s="20"/>
    </row>
    <row r="267">
      <c r="B267" s="20"/>
      <c r="C267" s="20"/>
      <c r="D267" s="20"/>
      <c r="E267" s="20"/>
      <c r="F267" s="20"/>
      <c r="G267" s="20"/>
      <c r="H267" s="20"/>
      <c r="I267" s="20"/>
    </row>
    <row r="268">
      <c r="B268" s="20"/>
      <c r="C268" s="20"/>
      <c r="D268" s="20"/>
      <c r="E268" s="20"/>
      <c r="F268" s="20"/>
      <c r="G268" s="20"/>
      <c r="H268" s="20"/>
      <c r="I268" s="20"/>
    </row>
    <row r="269">
      <c r="B269" s="20"/>
      <c r="C269" s="20"/>
      <c r="D269" s="20"/>
      <c r="E269" s="20"/>
      <c r="F269" s="20"/>
      <c r="G269" s="20"/>
      <c r="H269" s="20"/>
      <c r="I269" s="20"/>
    </row>
    <row r="270">
      <c r="B270" s="20"/>
      <c r="C270" s="20"/>
      <c r="D270" s="20"/>
      <c r="E270" s="20"/>
      <c r="F270" s="20"/>
      <c r="G270" s="20"/>
      <c r="H270" s="20"/>
      <c r="I270" s="20"/>
    </row>
    <row r="271">
      <c r="B271" s="20"/>
      <c r="C271" s="20"/>
      <c r="D271" s="20"/>
      <c r="E271" s="20"/>
      <c r="F271" s="20"/>
      <c r="G271" s="20"/>
      <c r="H271" s="20"/>
      <c r="I271" s="20"/>
    </row>
    <row r="272">
      <c r="B272" s="20"/>
      <c r="C272" s="20"/>
      <c r="D272" s="20"/>
      <c r="E272" s="20"/>
      <c r="F272" s="20"/>
      <c r="G272" s="20"/>
      <c r="H272" s="20"/>
      <c r="I272" s="20"/>
    </row>
    <row r="273">
      <c r="B273" s="20"/>
      <c r="C273" s="20"/>
      <c r="D273" s="20"/>
      <c r="E273" s="20"/>
      <c r="F273" s="20"/>
      <c r="G273" s="20"/>
      <c r="H273" s="20"/>
      <c r="I273" s="20"/>
    </row>
    <row r="274">
      <c r="B274" s="20"/>
      <c r="C274" s="20"/>
      <c r="D274" s="20"/>
      <c r="E274" s="20"/>
      <c r="F274" s="20"/>
      <c r="G274" s="20"/>
      <c r="H274" s="20"/>
      <c r="I274" s="20"/>
    </row>
    <row r="275">
      <c r="B275" s="20"/>
      <c r="C275" s="20"/>
      <c r="D275" s="20"/>
      <c r="E275" s="20"/>
      <c r="F275" s="20"/>
      <c r="G275" s="20"/>
      <c r="H275" s="20"/>
      <c r="I275" s="20"/>
    </row>
    <row r="276">
      <c r="B276" s="20"/>
      <c r="C276" s="20"/>
      <c r="D276" s="20"/>
      <c r="E276" s="20"/>
      <c r="F276" s="20"/>
      <c r="G276" s="20"/>
      <c r="H276" s="20"/>
      <c r="I276" s="20"/>
    </row>
    <row r="277">
      <c r="B277" s="20"/>
      <c r="C277" s="20"/>
      <c r="D277" s="20"/>
      <c r="E277" s="20"/>
      <c r="F277" s="20"/>
      <c r="G277" s="20"/>
      <c r="H277" s="20"/>
      <c r="I277" s="20"/>
    </row>
    <row r="278">
      <c r="B278" s="20"/>
      <c r="C278" s="20"/>
      <c r="D278" s="20"/>
      <c r="E278" s="20"/>
      <c r="F278" s="20"/>
      <c r="G278" s="20"/>
      <c r="H278" s="20"/>
      <c r="I278" s="20"/>
    </row>
    <row r="279">
      <c r="B279" s="20"/>
      <c r="C279" s="20"/>
      <c r="D279" s="20"/>
      <c r="E279" s="20"/>
      <c r="F279" s="20"/>
      <c r="G279" s="20"/>
      <c r="H279" s="20"/>
      <c r="I279" s="20"/>
    </row>
    <row r="280">
      <c r="B280" s="20"/>
      <c r="C280" s="20"/>
      <c r="D280" s="20"/>
      <c r="E280" s="20"/>
      <c r="F280" s="20"/>
      <c r="G280" s="20"/>
      <c r="H280" s="20"/>
      <c r="I280" s="20"/>
    </row>
    <row r="281">
      <c r="B281" s="20"/>
      <c r="C281" s="20"/>
      <c r="D281" s="20"/>
      <c r="E281" s="20"/>
      <c r="F281" s="20"/>
      <c r="G281" s="20"/>
      <c r="H281" s="20"/>
      <c r="I281" s="20"/>
    </row>
    <row r="282">
      <c r="B282" s="20"/>
      <c r="C282" s="20"/>
      <c r="D282" s="20"/>
      <c r="E282" s="20"/>
      <c r="F282" s="20"/>
      <c r="G282" s="20"/>
      <c r="H282" s="20"/>
      <c r="I282" s="20"/>
    </row>
    <row r="283">
      <c r="B283" s="20"/>
      <c r="C283" s="20"/>
      <c r="D283" s="20"/>
      <c r="E283" s="20"/>
      <c r="F283" s="20"/>
      <c r="G283" s="20"/>
      <c r="H283" s="20"/>
      <c r="I283" s="20"/>
    </row>
    <row r="284">
      <c r="B284" s="20"/>
      <c r="C284" s="20"/>
      <c r="D284" s="20"/>
      <c r="E284" s="20"/>
      <c r="F284" s="20"/>
      <c r="G284" s="20"/>
      <c r="H284" s="20"/>
      <c r="I284" s="20"/>
    </row>
    <row r="285">
      <c r="B285" s="20"/>
      <c r="C285" s="20"/>
      <c r="D285" s="20"/>
      <c r="E285" s="20"/>
      <c r="F285" s="20"/>
      <c r="G285" s="20"/>
      <c r="H285" s="20"/>
      <c r="I285" s="20"/>
    </row>
    <row r="286">
      <c r="B286" s="20"/>
      <c r="C286" s="20"/>
      <c r="D286" s="20"/>
      <c r="E286" s="20"/>
      <c r="F286" s="20"/>
      <c r="G286" s="20"/>
      <c r="H286" s="20"/>
      <c r="I286" s="20"/>
    </row>
    <row r="287">
      <c r="B287" s="20"/>
      <c r="C287" s="20"/>
      <c r="D287" s="20"/>
      <c r="E287" s="20"/>
      <c r="F287" s="20"/>
      <c r="G287" s="20"/>
      <c r="H287" s="20"/>
      <c r="I287" s="20"/>
    </row>
    <row r="288">
      <c r="B288" s="20"/>
      <c r="C288" s="20"/>
      <c r="D288" s="20"/>
      <c r="E288" s="20"/>
      <c r="F288" s="20"/>
      <c r="G288" s="20"/>
      <c r="H288" s="20"/>
      <c r="I288" s="20"/>
    </row>
    <row r="289">
      <c r="B289" s="20"/>
      <c r="C289" s="20"/>
      <c r="D289" s="20"/>
      <c r="E289" s="20"/>
      <c r="F289" s="20"/>
      <c r="G289" s="20"/>
      <c r="H289" s="20"/>
      <c r="I289" s="20"/>
    </row>
    <row r="290">
      <c r="B290" s="20"/>
      <c r="C290" s="20"/>
      <c r="D290" s="20"/>
      <c r="E290" s="20"/>
      <c r="F290" s="20"/>
      <c r="G290" s="20"/>
      <c r="H290" s="20"/>
      <c r="I290" s="20"/>
    </row>
    <row r="291">
      <c r="B291" s="20"/>
      <c r="C291" s="20"/>
      <c r="D291" s="20"/>
      <c r="E291" s="20"/>
      <c r="F291" s="20"/>
      <c r="G291" s="20"/>
      <c r="H291" s="20"/>
      <c r="I291" s="20"/>
    </row>
    <row r="292">
      <c r="B292" s="20"/>
      <c r="C292" s="20"/>
      <c r="D292" s="20"/>
      <c r="E292" s="20"/>
      <c r="F292" s="20"/>
      <c r="G292" s="20"/>
      <c r="H292" s="20"/>
      <c r="I292" s="20"/>
    </row>
    <row r="293">
      <c r="B293" s="20"/>
      <c r="C293" s="20"/>
      <c r="D293" s="20"/>
      <c r="E293" s="20"/>
      <c r="F293" s="20"/>
      <c r="G293" s="20"/>
      <c r="H293" s="20"/>
      <c r="I293" s="20"/>
    </row>
    <row r="294">
      <c r="B294" s="20"/>
      <c r="C294" s="20"/>
      <c r="D294" s="20"/>
      <c r="E294" s="20"/>
      <c r="F294" s="20"/>
      <c r="G294" s="20"/>
      <c r="H294" s="20"/>
      <c r="I294" s="20"/>
    </row>
    <row r="295">
      <c r="B295" s="20"/>
      <c r="C295" s="20"/>
      <c r="D295" s="20"/>
      <c r="E295" s="20"/>
      <c r="F295" s="20"/>
      <c r="G295" s="20"/>
      <c r="H295" s="20"/>
      <c r="I295" s="20"/>
    </row>
    <row r="296">
      <c r="B296" s="20"/>
      <c r="C296" s="20"/>
      <c r="D296" s="20"/>
      <c r="E296" s="20"/>
      <c r="F296" s="20"/>
      <c r="G296" s="20"/>
      <c r="H296" s="20"/>
      <c r="I296" s="20"/>
    </row>
    <row r="297">
      <c r="B297" s="20"/>
      <c r="C297" s="20"/>
      <c r="D297" s="20"/>
      <c r="E297" s="20"/>
      <c r="F297" s="20"/>
      <c r="G297" s="20"/>
      <c r="H297" s="20"/>
      <c r="I297" s="20"/>
    </row>
    <row r="298">
      <c r="B298" s="20"/>
      <c r="C298" s="20"/>
      <c r="D298" s="20"/>
      <c r="E298" s="20"/>
      <c r="F298" s="20"/>
      <c r="G298" s="20"/>
      <c r="H298" s="20"/>
      <c r="I298" s="20"/>
    </row>
    <row r="299">
      <c r="B299" s="20"/>
      <c r="C299" s="20"/>
      <c r="D299" s="20"/>
      <c r="E299" s="20"/>
      <c r="F299" s="20"/>
      <c r="G299" s="20"/>
      <c r="H299" s="20"/>
      <c r="I299" s="20"/>
    </row>
    <row r="300">
      <c r="B300" s="20"/>
      <c r="C300" s="20"/>
      <c r="D300" s="20"/>
      <c r="E300" s="20"/>
      <c r="F300" s="20"/>
      <c r="G300" s="20"/>
      <c r="H300" s="20"/>
      <c r="I300" s="20"/>
    </row>
    <row r="301">
      <c r="B301" s="20"/>
      <c r="C301" s="20"/>
      <c r="D301" s="20"/>
      <c r="E301" s="20"/>
      <c r="F301" s="20"/>
      <c r="G301" s="20"/>
      <c r="H301" s="20"/>
      <c r="I301" s="20"/>
    </row>
    <row r="302">
      <c r="B302" s="20"/>
      <c r="C302" s="20"/>
      <c r="D302" s="20"/>
      <c r="E302" s="20"/>
      <c r="F302" s="20"/>
      <c r="G302" s="20"/>
      <c r="H302" s="20"/>
      <c r="I302" s="20"/>
    </row>
    <row r="303">
      <c r="B303" s="20"/>
      <c r="C303" s="20"/>
      <c r="D303" s="20"/>
      <c r="E303" s="20"/>
      <c r="F303" s="20"/>
      <c r="G303" s="20"/>
      <c r="H303" s="20"/>
      <c r="I303" s="20"/>
    </row>
    <row r="304">
      <c r="B304" s="20"/>
      <c r="C304" s="20"/>
      <c r="D304" s="20"/>
      <c r="E304" s="20"/>
      <c r="F304" s="20"/>
      <c r="G304" s="20"/>
      <c r="H304" s="20"/>
      <c r="I304" s="20"/>
    </row>
    <row r="305">
      <c r="B305" s="20"/>
      <c r="C305" s="20"/>
      <c r="D305" s="20"/>
      <c r="E305" s="20"/>
      <c r="F305" s="20"/>
      <c r="G305" s="20"/>
      <c r="H305" s="20"/>
      <c r="I305" s="20"/>
    </row>
    <row r="306">
      <c r="B306" s="20"/>
      <c r="C306" s="20"/>
      <c r="D306" s="20"/>
      <c r="E306" s="20"/>
      <c r="F306" s="20"/>
      <c r="G306" s="20"/>
      <c r="H306" s="20"/>
      <c r="I306" s="20"/>
    </row>
    <row r="307">
      <c r="B307" s="20"/>
      <c r="C307" s="20"/>
      <c r="D307" s="20"/>
      <c r="E307" s="20"/>
      <c r="F307" s="20"/>
      <c r="G307" s="20"/>
      <c r="H307" s="20"/>
      <c r="I307" s="20"/>
    </row>
    <row r="308">
      <c r="B308" s="20"/>
      <c r="C308" s="20"/>
      <c r="D308" s="20"/>
      <c r="E308" s="20"/>
      <c r="F308" s="20"/>
      <c r="G308" s="20"/>
      <c r="H308" s="20"/>
      <c r="I308" s="20"/>
    </row>
    <row r="309">
      <c r="B309" s="20"/>
      <c r="C309" s="20"/>
      <c r="D309" s="20"/>
      <c r="E309" s="20"/>
      <c r="F309" s="20"/>
      <c r="G309" s="20"/>
      <c r="H309" s="20"/>
      <c r="I309" s="20"/>
    </row>
    <row r="310">
      <c r="B310" s="20"/>
      <c r="C310" s="20"/>
      <c r="D310" s="20"/>
      <c r="E310" s="20"/>
      <c r="F310" s="20"/>
      <c r="G310" s="20"/>
      <c r="H310" s="20"/>
      <c r="I310" s="20"/>
    </row>
    <row r="311">
      <c r="B311" s="20"/>
      <c r="C311" s="20"/>
      <c r="D311" s="20"/>
      <c r="E311" s="20"/>
      <c r="F311" s="20"/>
      <c r="G311" s="20"/>
      <c r="H311" s="20"/>
      <c r="I311" s="20"/>
    </row>
    <row r="312">
      <c r="B312" s="20"/>
      <c r="C312" s="20"/>
      <c r="D312" s="20"/>
      <c r="E312" s="20"/>
      <c r="F312" s="20"/>
      <c r="G312" s="20"/>
      <c r="H312" s="20"/>
      <c r="I312" s="20"/>
    </row>
    <row r="313">
      <c r="B313" s="20"/>
      <c r="C313" s="20"/>
      <c r="D313" s="20"/>
      <c r="E313" s="20"/>
      <c r="F313" s="20"/>
      <c r="G313" s="20"/>
      <c r="H313" s="20"/>
      <c r="I313" s="20"/>
    </row>
    <row r="314">
      <c r="B314" s="20"/>
      <c r="C314" s="20"/>
      <c r="D314" s="20"/>
      <c r="E314" s="20"/>
      <c r="F314" s="20"/>
      <c r="G314" s="20"/>
      <c r="H314" s="20"/>
      <c r="I314" s="20"/>
    </row>
    <row r="315">
      <c r="B315" s="20"/>
      <c r="C315" s="20"/>
      <c r="D315" s="20"/>
      <c r="E315" s="20"/>
      <c r="F315" s="20"/>
      <c r="G315" s="20"/>
      <c r="H315" s="20"/>
      <c r="I315" s="20"/>
    </row>
    <row r="316">
      <c r="B316" s="20"/>
      <c r="C316" s="20"/>
      <c r="D316" s="20"/>
      <c r="E316" s="20"/>
      <c r="F316" s="20"/>
      <c r="G316" s="20"/>
      <c r="H316" s="20"/>
      <c r="I316" s="20"/>
    </row>
    <row r="317">
      <c r="B317" s="20"/>
      <c r="C317" s="20"/>
      <c r="D317" s="20"/>
      <c r="E317" s="20"/>
      <c r="F317" s="20"/>
      <c r="G317" s="20"/>
      <c r="H317" s="20"/>
      <c r="I317" s="20"/>
    </row>
    <row r="318">
      <c r="B318" s="20"/>
      <c r="C318" s="20"/>
      <c r="D318" s="20"/>
      <c r="E318" s="20"/>
      <c r="F318" s="20"/>
      <c r="G318" s="20"/>
      <c r="H318" s="20"/>
      <c r="I318" s="20"/>
    </row>
    <row r="319">
      <c r="B319" s="20"/>
      <c r="C319" s="20"/>
      <c r="D319" s="20"/>
      <c r="E319" s="20"/>
      <c r="F319" s="20"/>
      <c r="G319" s="20"/>
      <c r="H319" s="20"/>
      <c r="I319" s="20"/>
    </row>
    <row r="320">
      <c r="B320" s="20"/>
      <c r="C320" s="20"/>
      <c r="D320" s="20"/>
      <c r="E320" s="20"/>
      <c r="F320" s="20"/>
      <c r="G320" s="20"/>
      <c r="H320" s="20"/>
      <c r="I320" s="20"/>
    </row>
    <row r="321">
      <c r="B321" s="20"/>
      <c r="C321" s="20"/>
      <c r="D321" s="20"/>
      <c r="E321" s="20"/>
      <c r="F321" s="20"/>
      <c r="G321" s="20"/>
      <c r="H321" s="20"/>
      <c r="I321" s="20"/>
    </row>
    <row r="322">
      <c r="B322" s="20"/>
      <c r="C322" s="20"/>
      <c r="D322" s="20"/>
      <c r="E322" s="20"/>
      <c r="F322" s="20"/>
      <c r="G322" s="20"/>
      <c r="H322" s="20"/>
      <c r="I322" s="20"/>
    </row>
    <row r="323">
      <c r="B323" s="20"/>
      <c r="C323" s="20"/>
      <c r="D323" s="20"/>
      <c r="E323" s="20"/>
      <c r="F323" s="20"/>
      <c r="G323" s="20"/>
      <c r="H323" s="20"/>
      <c r="I323" s="20"/>
    </row>
    <row r="324">
      <c r="B324" s="20"/>
      <c r="C324" s="20"/>
      <c r="D324" s="20"/>
      <c r="E324" s="20"/>
      <c r="F324" s="20"/>
      <c r="G324" s="20"/>
      <c r="H324" s="20"/>
      <c r="I324" s="20"/>
    </row>
    <row r="325">
      <c r="B325" s="20"/>
      <c r="C325" s="20"/>
      <c r="D325" s="20"/>
      <c r="E325" s="20"/>
      <c r="F325" s="20"/>
      <c r="G325" s="20"/>
      <c r="H325" s="20"/>
      <c r="I325" s="20"/>
    </row>
    <row r="326">
      <c r="B326" s="20"/>
      <c r="C326" s="20"/>
      <c r="D326" s="20"/>
      <c r="E326" s="20"/>
      <c r="F326" s="20"/>
      <c r="G326" s="20"/>
      <c r="H326" s="20"/>
      <c r="I326" s="20"/>
    </row>
    <row r="327">
      <c r="B327" s="20"/>
      <c r="C327" s="20"/>
      <c r="D327" s="20"/>
      <c r="E327" s="20"/>
      <c r="F327" s="20"/>
      <c r="G327" s="20"/>
      <c r="H327" s="20"/>
      <c r="I327" s="20"/>
    </row>
    <row r="328">
      <c r="B328" s="20"/>
      <c r="C328" s="20"/>
      <c r="D328" s="20"/>
      <c r="E328" s="20"/>
      <c r="F328" s="20"/>
      <c r="G328" s="20"/>
      <c r="H328" s="20"/>
      <c r="I328" s="20"/>
    </row>
    <row r="329">
      <c r="B329" s="20"/>
      <c r="C329" s="20"/>
      <c r="D329" s="20"/>
      <c r="E329" s="20"/>
      <c r="F329" s="20"/>
      <c r="G329" s="20"/>
      <c r="H329" s="20"/>
      <c r="I329" s="20"/>
    </row>
    <row r="330">
      <c r="B330" s="20"/>
      <c r="C330" s="20"/>
      <c r="D330" s="20"/>
      <c r="E330" s="20"/>
      <c r="F330" s="20"/>
      <c r="G330" s="20"/>
      <c r="H330" s="20"/>
      <c r="I330" s="20"/>
    </row>
    <row r="331">
      <c r="B331" s="20"/>
      <c r="C331" s="20"/>
      <c r="D331" s="20"/>
      <c r="E331" s="20"/>
      <c r="F331" s="20"/>
      <c r="G331" s="20"/>
      <c r="H331" s="20"/>
      <c r="I331" s="20"/>
    </row>
    <row r="332">
      <c r="B332" s="20"/>
      <c r="C332" s="20"/>
      <c r="D332" s="20"/>
      <c r="E332" s="20"/>
      <c r="F332" s="20"/>
      <c r="G332" s="20"/>
      <c r="H332" s="20"/>
      <c r="I332" s="20"/>
    </row>
    <row r="333">
      <c r="B333" s="20"/>
      <c r="C333" s="20"/>
      <c r="D333" s="20"/>
      <c r="E333" s="20"/>
      <c r="F333" s="20"/>
      <c r="G333" s="20"/>
      <c r="H333" s="20"/>
      <c r="I333" s="20"/>
    </row>
    <row r="334">
      <c r="B334" s="20"/>
      <c r="C334" s="20"/>
      <c r="D334" s="20"/>
      <c r="E334" s="20"/>
      <c r="F334" s="20"/>
      <c r="G334" s="20"/>
      <c r="H334" s="20"/>
      <c r="I334" s="20"/>
    </row>
    <row r="335">
      <c r="B335" s="20"/>
      <c r="C335" s="20"/>
      <c r="D335" s="20"/>
      <c r="E335" s="20"/>
      <c r="F335" s="20"/>
      <c r="G335" s="20"/>
      <c r="H335" s="20"/>
      <c r="I335" s="20"/>
    </row>
    <row r="336">
      <c r="B336" s="20"/>
      <c r="C336" s="20"/>
      <c r="D336" s="20"/>
      <c r="E336" s="20"/>
      <c r="F336" s="20"/>
      <c r="G336" s="20"/>
      <c r="H336" s="20"/>
      <c r="I336" s="20"/>
    </row>
    <row r="337">
      <c r="B337" s="20"/>
      <c r="C337" s="20"/>
      <c r="D337" s="20"/>
      <c r="E337" s="20"/>
      <c r="F337" s="20"/>
      <c r="G337" s="20"/>
      <c r="H337" s="20"/>
      <c r="I337" s="20"/>
    </row>
    <row r="338">
      <c r="B338" s="20"/>
      <c r="C338" s="20"/>
      <c r="D338" s="20"/>
      <c r="E338" s="20"/>
      <c r="F338" s="20"/>
      <c r="G338" s="20"/>
      <c r="H338" s="20"/>
      <c r="I338" s="20"/>
    </row>
    <row r="339">
      <c r="B339" s="20"/>
      <c r="C339" s="20"/>
      <c r="D339" s="20"/>
      <c r="E339" s="20"/>
      <c r="F339" s="20"/>
      <c r="G339" s="20"/>
      <c r="H339" s="20"/>
      <c r="I339" s="20"/>
    </row>
    <row r="340">
      <c r="B340" s="20"/>
      <c r="C340" s="20"/>
      <c r="D340" s="20"/>
      <c r="E340" s="20"/>
      <c r="F340" s="20"/>
      <c r="G340" s="20"/>
      <c r="H340" s="20"/>
      <c r="I340" s="20"/>
    </row>
    <row r="341">
      <c r="B341" s="20"/>
      <c r="C341" s="20"/>
      <c r="D341" s="20"/>
      <c r="E341" s="20"/>
      <c r="F341" s="20"/>
      <c r="G341" s="20"/>
      <c r="H341" s="20"/>
      <c r="I341" s="20"/>
    </row>
    <row r="342">
      <c r="B342" s="20"/>
      <c r="C342" s="20"/>
      <c r="D342" s="20"/>
      <c r="E342" s="20"/>
      <c r="F342" s="20"/>
      <c r="G342" s="20"/>
      <c r="H342" s="20"/>
      <c r="I342" s="20"/>
    </row>
    <row r="343">
      <c r="B343" s="20"/>
      <c r="C343" s="20"/>
      <c r="D343" s="20"/>
      <c r="E343" s="20"/>
      <c r="F343" s="20"/>
      <c r="G343" s="20"/>
      <c r="H343" s="20"/>
      <c r="I343" s="20"/>
    </row>
    <row r="344">
      <c r="B344" s="20"/>
      <c r="C344" s="20"/>
      <c r="D344" s="20"/>
      <c r="E344" s="20"/>
      <c r="F344" s="20"/>
      <c r="G344" s="20"/>
      <c r="H344" s="20"/>
      <c r="I344" s="20"/>
    </row>
    <row r="345">
      <c r="B345" s="20"/>
      <c r="C345" s="20"/>
      <c r="D345" s="20"/>
      <c r="E345" s="20"/>
      <c r="F345" s="20"/>
      <c r="G345" s="20"/>
      <c r="H345" s="20"/>
      <c r="I345" s="20"/>
    </row>
    <row r="346">
      <c r="B346" s="20"/>
      <c r="C346" s="20"/>
      <c r="D346" s="20"/>
      <c r="E346" s="20"/>
      <c r="F346" s="20"/>
      <c r="G346" s="20"/>
      <c r="H346" s="20"/>
      <c r="I346" s="20"/>
    </row>
    <row r="347">
      <c r="B347" s="20"/>
      <c r="C347" s="20"/>
      <c r="D347" s="20"/>
      <c r="E347" s="20"/>
      <c r="F347" s="20"/>
      <c r="G347" s="20"/>
      <c r="H347" s="20"/>
      <c r="I347" s="20"/>
    </row>
    <row r="348">
      <c r="B348" s="20"/>
      <c r="C348" s="20"/>
      <c r="D348" s="20"/>
      <c r="E348" s="20"/>
      <c r="F348" s="20"/>
      <c r="G348" s="20"/>
      <c r="H348" s="20"/>
      <c r="I348" s="20"/>
    </row>
    <row r="349">
      <c r="B349" s="20"/>
      <c r="C349" s="20"/>
      <c r="D349" s="20"/>
      <c r="E349" s="20"/>
      <c r="F349" s="20"/>
      <c r="G349" s="20"/>
      <c r="H349" s="20"/>
      <c r="I349" s="20"/>
    </row>
    <row r="350">
      <c r="B350" s="20"/>
      <c r="C350" s="20"/>
      <c r="D350" s="20"/>
      <c r="E350" s="20"/>
      <c r="F350" s="20"/>
      <c r="G350" s="20"/>
      <c r="H350" s="20"/>
      <c r="I350" s="20"/>
    </row>
    <row r="351">
      <c r="B351" s="20"/>
      <c r="C351" s="20"/>
      <c r="D351" s="20"/>
      <c r="E351" s="20"/>
      <c r="F351" s="20"/>
      <c r="G351" s="20"/>
      <c r="H351" s="20"/>
      <c r="I351" s="20"/>
    </row>
    <row r="352">
      <c r="B352" s="20"/>
      <c r="C352" s="20"/>
      <c r="D352" s="20"/>
      <c r="E352" s="20"/>
      <c r="F352" s="20"/>
      <c r="G352" s="20"/>
      <c r="H352" s="20"/>
      <c r="I352" s="20"/>
    </row>
    <row r="353">
      <c r="B353" s="20"/>
      <c r="C353" s="20"/>
      <c r="D353" s="20"/>
      <c r="E353" s="20"/>
      <c r="F353" s="20"/>
      <c r="G353" s="20"/>
      <c r="H353" s="20"/>
      <c r="I353" s="20"/>
    </row>
    <row r="354">
      <c r="B354" s="20"/>
      <c r="C354" s="20"/>
      <c r="D354" s="20"/>
      <c r="E354" s="20"/>
      <c r="F354" s="20"/>
      <c r="G354" s="20"/>
      <c r="H354" s="20"/>
      <c r="I354" s="20"/>
    </row>
    <row r="355">
      <c r="B355" s="20"/>
      <c r="C355" s="20"/>
      <c r="D355" s="20"/>
      <c r="E355" s="20"/>
      <c r="F355" s="20"/>
      <c r="G355" s="20"/>
      <c r="H355" s="20"/>
      <c r="I355" s="20"/>
    </row>
    <row r="356">
      <c r="B356" s="20"/>
      <c r="C356" s="20"/>
      <c r="D356" s="20"/>
      <c r="E356" s="20"/>
      <c r="F356" s="20"/>
      <c r="G356" s="20"/>
      <c r="H356" s="20"/>
      <c r="I356" s="20"/>
    </row>
    <row r="357">
      <c r="B357" s="20"/>
      <c r="C357" s="20"/>
      <c r="D357" s="20"/>
      <c r="E357" s="20"/>
      <c r="F357" s="20"/>
      <c r="G357" s="20"/>
      <c r="H357" s="20"/>
      <c r="I357" s="20"/>
    </row>
    <row r="358">
      <c r="B358" s="20"/>
      <c r="C358" s="20"/>
      <c r="D358" s="20"/>
      <c r="E358" s="20"/>
      <c r="F358" s="20"/>
      <c r="G358" s="20"/>
      <c r="H358" s="20"/>
      <c r="I358" s="20"/>
    </row>
    <row r="359">
      <c r="B359" s="20"/>
      <c r="C359" s="20"/>
      <c r="D359" s="20"/>
      <c r="E359" s="20"/>
      <c r="F359" s="20"/>
      <c r="G359" s="20"/>
      <c r="H359" s="20"/>
      <c r="I359" s="20"/>
    </row>
    <row r="360">
      <c r="B360" s="20"/>
      <c r="C360" s="20"/>
      <c r="D360" s="20"/>
      <c r="E360" s="20"/>
      <c r="F360" s="20"/>
      <c r="G360" s="20"/>
      <c r="H360" s="20"/>
      <c r="I360" s="20"/>
    </row>
    <row r="361">
      <c r="B361" s="20"/>
      <c r="C361" s="20"/>
      <c r="D361" s="20"/>
      <c r="E361" s="20"/>
      <c r="F361" s="20"/>
      <c r="G361" s="20"/>
      <c r="H361" s="20"/>
      <c r="I361" s="20"/>
    </row>
    <row r="362">
      <c r="B362" s="20"/>
      <c r="C362" s="20"/>
      <c r="D362" s="20"/>
      <c r="E362" s="20"/>
      <c r="F362" s="20"/>
      <c r="G362" s="20"/>
      <c r="H362" s="20"/>
      <c r="I362" s="20"/>
    </row>
    <row r="363">
      <c r="B363" s="20"/>
      <c r="C363" s="20"/>
      <c r="D363" s="20"/>
      <c r="E363" s="20"/>
      <c r="F363" s="20"/>
      <c r="G363" s="20"/>
      <c r="H363" s="20"/>
      <c r="I363" s="20"/>
    </row>
    <row r="364">
      <c r="B364" s="20"/>
      <c r="C364" s="20"/>
      <c r="D364" s="20"/>
      <c r="E364" s="20"/>
      <c r="F364" s="20"/>
      <c r="G364" s="20"/>
      <c r="H364" s="20"/>
      <c r="I364" s="20"/>
    </row>
    <row r="365">
      <c r="B365" s="20"/>
      <c r="C365" s="20"/>
      <c r="D365" s="20"/>
      <c r="E365" s="20"/>
      <c r="F365" s="20"/>
      <c r="G365" s="20"/>
      <c r="H365" s="20"/>
      <c r="I365" s="20"/>
    </row>
    <row r="366">
      <c r="B366" s="20"/>
      <c r="C366" s="20"/>
      <c r="D366" s="20"/>
      <c r="E366" s="20"/>
      <c r="F366" s="20"/>
      <c r="G366" s="20"/>
      <c r="H366" s="20"/>
      <c r="I366" s="20"/>
    </row>
    <row r="367">
      <c r="B367" s="20"/>
      <c r="C367" s="20"/>
      <c r="D367" s="20"/>
      <c r="E367" s="20"/>
      <c r="F367" s="20"/>
      <c r="G367" s="20"/>
      <c r="H367" s="20"/>
      <c r="I367" s="20"/>
    </row>
    <row r="368">
      <c r="B368" s="20"/>
      <c r="C368" s="20"/>
      <c r="D368" s="20"/>
      <c r="E368" s="20"/>
      <c r="F368" s="20"/>
      <c r="G368" s="20"/>
      <c r="H368" s="20"/>
      <c r="I368" s="20"/>
    </row>
    <row r="369">
      <c r="B369" s="20"/>
      <c r="C369" s="20"/>
      <c r="D369" s="20"/>
      <c r="E369" s="20"/>
      <c r="F369" s="20"/>
      <c r="G369" s="20"/>
      <c r="H369" s="20"/>
      <c r="I369" s="20"/>
    </row>
    <row r="370">
      <c r="B370" s="20"/>
      <c r="C370" s="20"/>
      <c r="D370" s="20"/>
      <c r="E370" s="20"/>
      <c r="F370" s="20"/>
      <c r="G370" s="20"/>
      <c r="H370" s="20"/>
      <c r="I370" s="20"/>
    </row>
    <row r="371">
      <c r="B371" s="20"/>
      <c r="C371" s="20"/>
      <c r="D371" s="20"/>
      <c r="E371" s="20"/>
      <c r="F371" s="20"/>
      <c r="G371" s="20"/>
      <c r="H371" s="20"/>
      <c r="I371" s="20"/>
    </row>
    <row r="372">
      <c r="B372" s="20"/>
      <c r="C372" s="20"/>
      <c r="D372" s="20"/>
      <c r="E372" s="20"/>
      <c r="F372" s="20"/>
      <c r="G372" s="20"/>
      <c r="H372" s="20"/>
      <c r="I372" s="20"/>
    </row>
    <row r="373">
      <c r="B373" s="20"/>
      <c r="C373" s="20"/>
      <c r="D373" s="20"/>
      <c r="E373" s="20"/>
      <c r="F373" s="20"/>
      <c r="G373" s="20"/>
      <c r="H373" s="20"/>
      <c r="I373" s="20"/>
    </row>
    <row r="374">
      <c r="B374" s="20"/>
      <c r="C374" s="20"/>
      <c r="D374" s="20"/>
      <c r="E374" s="20"/>
      <c r="F374" s="20"/>
      <c r="G374" s="20"/>
      <c r="H374" s="20"/>
      <c r="I374" s="20"/>
    </row>
    <row r="375">
      <c r="B375" s="20"/>
      <c r="C375" s="20"/>
      <c r="D375" s="20"/>
      <c r="E375" s="20"/>
      <c r="F375" s="20"/>
      <c r="G375" s="20"/>
      <c r="H375" s="20"/>
      <c r="I375" s="20"/>
    </row>
    <row r="376">
      <c r="B376" s="20"/>
      <c r="C376" s="20"/>
      <c r="D376" s="20"/>
      <c r="E376" s="20"/>
      <c r="F376" s="20"/>
      <c r="G376" s="20"/>
      <c r="H376" s="20"/>
      <c r="I376" s="20"/>
    </row>
    <row r="377">
      <c r="B377" s="20"/>
      <c r="C377" s="20"/>
      <c r="D377" s="20"/>
      <c r="E377" s="20"/>
      <c r="F377" s="20"/>
      <c r="G377" s="20"/>
      <c r="H377" s="20"/>
      <c r="I377" s="20"/>
    </row>
    <row r="378">
      <c r="B378" s="20"/>
      <c r="C378" s="20"/>
      <c r="D378" s="20"/>
      <c r="E378" s="20"/>
      <c r="F378" s="20"/>
      <c r="G378" s="20"/>
      <c r="H378" s="20"/>
      <c r="I378" s="20"/>
    </row>
    <row r="379">
      <c r="B379" s="20"/>
      <c r="C379" s="20"/>
      <c r="D379" s="20"/>
      <c r="E379" s="20"/>
      <c r="F379" s="20"/>
      <c r="G379" s="20"/>
      <c r="H379" s="20"/>
      <c r="I379" s="20"/>
    </row>
    <row r="380">
      <c r="B380" s="20"/>
      <c r="C380" s="20"/>
      <c r="D380" s="20"/>
      <c r="E380" s="20"/>
      <c r="F380" s="20"/>
      <c r="G380" s="20"/>
      <c r="H380" s="20"/>
      <c r="I380" s="20"/>
    </row>
    <row r="381">
      <c r="B381" s="20"/>
      <c r="C381" s="20"/>
      <c r="D381" s="20"/>
      <c r="E381" s="20"/>
      <c r="F381" s="20"/>
      <c r="G381" s="20"/>
      <c r="H381" s="20"/>
      <c r="I381" s="20"/>
    </row>
    <row r="382">
      <c r="B382" s="20"/>
      <c r="C382" s="20"/>
      <c r="D382" s="20"/>
      <c r="E382" s="20"/>
      <c r="F382" s="20"/>
      <c r="G382" s="20"/>
      <c r="H382" s="20"/>
      <c r="I382" s="20"/>
    </row>
    <row r="383">
      <c r="B383" s="20"/>
      <c r="C383" s="20"/>
      <c r="D383" s="20"/>
      <c r="E383" s="20"/>
      <c r="F383" s="20"/>
      <c r="G383" s="20"/>
      <c r="H383" s="20"/>
      <c r="I383" s="20"/>
    </row>
    <row r="384">
      <c r="B384" s="20"/>
      <c r="C384" s="20"/>
      <c r="D384" s="20"/>
      <c r="E384" s="20"/>
      <c r="F384" s="20"/>
      <c r="G384" s="20"/>
      <c r="H384" s="20"/>
      <c r="I384" s="20"/>
    </row>
    <row r="385">
      <c r="B385" s="20"/>
      <c r="C385" s="20"/>
      <c r="D385" s="20"/>
      <c r="E385" s="20"/>
      <c r="F385" s="20"/>
      <c r="G385" s="20"/>
      <c r="H385" s="20"/>
      <c r="I385" s="20"/>
    </row>
    <row r="386">
      <c r="B386" s="20"/>
      <c r="C386" s="20"/>
      <c r="D386" s="20"/>
      <c r="E386" s="20"/>
      <c r="F386" s="20"/>
      <c r="G386" s="20"/>
      <c r="H386" s="20"/>
      <c r="I386" s="20"/>
    </row>
    <row r="387">
      <c r="B387" s="20"/>
      <c r="C387" s="20"/>
      <c r="D387" s="20"/>
      <c r="E387" s="20"/>
      <c r="F387" s="20"/>
      <c r="G387" s="20"/>
      <c r="H387" s="20"/>
      <c r="I387" s="20"/>
    </row>
    <row r="388">
      <c r="B388" s="20"/>
      <c r="C388" s="20"/>
      <c r="D388" s="20"/>
      <c r="E388" s="20"/>
      <c r="F388" s="20"/>
      <c r="G388" s="20"/>
      <c r="H388" s="20"/>
      <c r="I388" s="20"/>
    </row>
    <row r="389">
      <c r="B389" s="20"/>
      <c r="C389" s="20"/>
      <c r="D389" s="20"/>
      <c r="E389" s="20"/>
      <c r="F389" s="20"/>
      <c r="G389" s="20"/>
      <c r="H389" s="20"/>
      <c r="I389" s="20"/>
    </row>
    <row r="390">
      <c r="B390" s="20"/>
      <c r="C390" s="20"/>
      <c r="D390" s="20"/>
      <c r="E390" s="20"/>
      <c r="F390" s="20"/>
      <c r="G390" s="20"/>
      <c r="H390" s="20"/>
      <c r="I390" s="20"/>
    </row>
    <row r="391">
      <c r="B391" s="20"/>
      <c r="C391" s="20"/>
      <c r="D391" s="20"/>
      <c r="E391" s="20"/>
      <c r="F391" s="20"/>
      <c r="G391" s="20"/>
      <c r="H391" s="20"/>
      <c r="I391" s="20"/>
    </row>
    <row r="392">
      <c r="B392" s="20"/>
      <c r="C392" s="20"/>
      <c r="D392" s="20"/>
      <c r="E392" s="20"/>
      <c r="F392" s="20"/>
      <c r="G392" s="20"/>
      <c r="H392" s="20"/>
      <c r="I392" s="20"/>
    </row>
    <row r="393">
      <c r="B393" s="20"/>
      <c r="C393" s="20"/>
      <c r="D393" s="20"/>
      <c r="E393" s="20"/>
      <c r="F393" s="20"/>
      <c r="G393" s="20"/>
      <c r="H393" s="20"/>
      <c r="I393" s="20"/>
    </row>
    <row r="394">
      <c r="B394" s="20"/>
      <c r="C394" s="20"/>
      <c r="D394" s="20"/>
      <c r="E394" s="20"/>
      <c r="F394" s="20"/>
      <c r="G394" s="20"/>
      <c r="H394" s="20"/>
      <c r="I394" s="20"/>
    </row>
    <row r="395">
      <c r="B395" s="20"/>
      <c r="C395" s="20"/>
      <c r="D395" s="20"/>
      <c r="E395" s="20"/>
      <c r="F395" s="20"/>
      <c r="G395" s="20"/>
      <c r="H395" s="20"/>
      <c r="I395" s="20"/>
    </row>
    <row r="396">
      <c r="B396" s="20"/>
      <c r="C396" s="20"/>
      <c r="D396" s="20"/>
      <c r="E396" s="20"/>
      <c r="F396" s="20"/>
      <c r="G396" s="20"/>
      <c r="H396" s="20"/>
      <c r="I396" s="20"/>
    </row>
    <row r="397">
      <c r="B397" s="20"/>
      <c r="C397" s="20"/>
      <c r="D397" s="20"/>
      <c r="E397" s="20"/>
      <c r="F397" s="20"/>
      <c r="G397" s="20"/>
      <c r="H397" s="20"/>
      <c r="I397" s="20"/>
    </row>
    <row r="398">
      <c r="B398" s="20"/>
      <c r="C398" s="20"/>
      <c r="D398" s="20"/>
      <c r="E398" s="20"/>
      <c r="F398" s="20"/>
      <c r="G398" s="20"/>
      <c r="H398" s="20"/>
      <c r="I398" s="20"/>
    </row>
    <row r="399">
      <c r="B399" s="20"/>
      <c r="C399" s="20"/>
      <c r="D399" s="20"/>
      <c r="E399" s="20"/>
      <c r="F399" s="20"/>
      <c r="G399" s="20"/>
      <c r="H399" s="20"/>
      <c r="I399" s="20"/>
    </row>
    <row r="400">
      <c r="B400" s="20"/>
      <c r="C400" s="20"/>
      <c r="D400" s="20"/>
      <c r="E400" s="20"/>
      <c r="F400" s="20"/>
      <c r="G400" s="20"/>
      <c r="H400" s="20"/>
      <c r="I400" s="20"/>
    </row>
    <row r="401">
      <c r="B401" s="20"/>
      <c r="C401" s="20"/>
      <c r="D401" s="20"/>
      <c r="E401" s="20"/>
      <c r="F401" s="20"/>
      <c r="G401" s="20"/>
      <c r="H401" s="20"/>
      <c r="I401" s="20"/>
    </row>
    <row r="402">
      <c r="B402" s="20"/>
      <c r="C402" s="20"/>
      <c r="D402" s="20"/>
      <c r="E402" s="20"/>
      <c r="F402" s="20"/>
      <c r="G402" s="20"/>
      <c r="H402" s="20"/>
      <c r="I402" s="20"/>
    </row>
    <row r="403">
      <c r="B403" s="20"/>
      <c r="C403" s="20"/>
      <c r="D403" s="20"/>
      <c r="E403" s="20"/>
      <c r="F403" s="20"/>
      <c r="G403" s="20"/>
      <c r="H403" s="20"/>
      <c r="I403" s="20"/>
    </row>
    <row r="404">
      <c r="B404" s="20"/>
      <c r="C404" s="20"/>
      <c r="D404" s="20"/>
      <c r="E404" s="20"/>
      <c r="F404" s="20"/>
      <c r="G404" s="20"/>
      <c r="H404" s="20"/>
      <c r="I404" s="20"/>
    </row>
    <row r="405">
      <c r="B405" s="20"/>
      <c r="C405" s="20"/>
      <c r="D405" s="20"/>
      <c r="E405" s="20"/>
      <c r="F405" s="20"/>
      <c r="G405" s="20"/>
      <c r="H405" s="20"/>
      <c r="I405" s="20"/>
    </row>
    <row r="406">
      <c r="B406" s="20"/>
      <c r="C406" s="20"/>
      <c r="D406" s="20"/>
      <c r="E406" s="20"/>
      <c r="F406" s="20"/>
      <c r="G406" s="20"/>
      <c r="H406" s="20"/>
      <c r="I406" s="20"/>
    </row>
    <row r="407">
      <c r="B407" s="20"/>
      <c r="C407" s="20"/>
      <c r="D407" s="20"/>
      <c r="E407" s="20"/>
      <c r="F407" s="20"/>
      <c r="G407" s="20"/>
      <c r="H407" s="20"/>
      <c r="I407" s="20"/>
    </row>
    <row r="408">
      <c r="B408" s="20"/>
      <c r="C408" s="20"/>
      <c r="D408" s="20"/>
      <c r="E408" s="20"/>
      <c r="F408" s="20"/>
      <c r="G408" s="20"/>
      <c r="H408" s="20"/>
      <c r="I408" s="20"/>
    </row>
    <row r="409">
      <c r="B409" s="20"/>
      <c r="C409" s="20"/>
      <c r="D409" s="20"/>
      <c r="E409" s="20"/>
      <c r="F409" s="20"/>
      <c r="G409" s="20"/>
      <c r="H409" s="20"/>
      <c r="I409" s="20"/>
    </row>
    <row r="410">
      <c r="B410" s="20"/>
      <c r="C410" s="20"/>
      <c r="D410" s="20"/>
      <c r="E410" s="20"/>
      <c r="F410" s="20"/>
      <c r="G410" s="20"/>
      <c r="H410" s="20"/>
      <c r="I410" s="20"/>
    </row>
    <row r="411">
      <c r="B411" s="20"/>
      <c r="C411" s="20"/>
      <c r="D411" s="20"/>
      <c r="E411" s="20"/>
      <c r="F411" s="20"/>
      <c r="G411" s="20"/>
      <c r="H411" s="20"/>
      <c r="I411" s="20"/>
    </row>
    <row r="412">
      <c r="B412" s="20"/>
      <c r="C412" s="20"/>
      <c r="D412" s="20"/>
      <c r="E412" s="20"/>
      <c r="F412" s="20"/>
      <c r="G412" s="20"/>
      <c r="H412" s="20"/>
      <c r="I412" s="20"/>
    </row>
    <row r="413">
      <c r="B413" s="20"/>
      <c r="C413" s="20"/>
      <c r="D413" s="20"/>
      <c r="E413" s="20"/>
      <c r="F413" s="20"/>
      <c r="G413" s="20"/>
      <c r="H413" s="20"/>
      <c r="I413" s="20"/>
    </row>
    <row r="414">
      <c r="B414" s="20"/>
      <c r="C414" s="20"/>
      <c r="D414" s="20"/>
      <c r="E414" s="20"/>
      <c r="F414" s="20"/>
      <c r="G414" s="20"/>
      <c r="H414" s="20"/>
      <c r="I414" s="20"/>
    </row>
    <row r="415">
      <c r="B415" s="20"/>
      <c r="C415" s="20"/>
      <c r="D415" s="20"/>
      <c r="E415" s="20"/>
      <c r="F415" s="20"/>
      <c r="G415" s="20"/>
      <c r="H415" s="20"/>
      <c r="I415" s="20"/>
    </row>
    <row r="416">
      <c r="B416" s="20"/>
      <c r="C416" s="20"/>
      <c r="D416" s="20"/>
      <c r="E416" s="20"/>
      <c r="F416" s="20"/>
      <c r="G416" s="20"/>
      <c r="H416" s="20"/>
      <c r="I416" s="20"/>
    </row>
    <row r="417">
      <c r="B417" s="20"/>
      <c r="C417" s="20"/>
      <c r="D417" s="20"/>
      <c r="E417" s="20"/>
      <c r="F417" s="20"/>
      <c r="G417" s="20"/>
      <c r="H417" s="20"/>
      <c r="I417" s="20"/>
    </row>
    <row r="418">
      <c r="B418" s="20"/>
      <c r="C418" s="20"/>
      <c r="D418" s="20"/>
      <c r="E418" s="20"/>
      <c r="F418" s="20"/>
      <c r="G418" s="20"/>
      <c r="H418" s="20"/>
      <c r="I418" s="20"/>
    </row>
    <row r="419">
      <c r="B419" s="20"/>
      <c r="C419" s="20"/>
      <c r="D419" s="20"/>
      <c r="E419" s="20"/>
      <c r="F419" s="20"/>
      <c r="G419" s="20"/>
      <c r="H419" s="20"/>
      <c r="I419" s="20"/>
    </row>
    <row r="420">
      <c r="B420" s="20"/>
      <c r="C420" s="20"/>
      <c r="D420" s="20"/>
      <c r="E420" s="20"/>
      <c r="F420" s="20"/>
      <c r="G420" s="20"/>
      <c r="H420" s="20"/>
      <c r="I420" s="20"/>
    </row>
    <row r="421">
      <c r="B421" s="20"/>
      <c r="C421" s="20"/>
      <c r="D421" s="20"/>
      <c r="E421" s="20"/>
      <c r="F421" s="20"/>
      <c r="G421" s="20"/>
      <c r="H421" s="20"/>
      <c r="I421" s="20"/>
    </row>
    <row r="422">
      <c r="B422" s="20"/>
      <c r="C422" s="20"/>
      <c r="D422" s="20"/>
      <c r="E422" s="20"/>
      <c r="F422" s="20"/>
      <c r="G422" s="20"/>
      <c r="H422" s="20"/>
      <c r="I422" s="20"/>
    </row>
    <row r="423">
      <c r="B423" s="20"/>
      <c r="C423" s="20"/>
      <c r="D423" s="20"/>
      <c r="E423" s="20"/>
      <c r="F423" s="20"/>
      <c r="G423" s="20"/>
      <c r="H423" s="20"/>
      <c r="I423" s="20"/>
    </row>
    <row r="424">
      <c r="B424" s="20"/>
      <c r="C424" s="20"/>
      <c r="D424" s="20"/>
      <c r="E424" s="20"/>
      <c r="F424" s="20"/>
      <c r="G424" s="20"/>
      <c r="H424" s="20"/>
      <c r="I424" s="20"/>
    </row>
    <row r="425">
      <c r="B425" s="20"/>
      <c r="C425" s="20"/>
      <c r="D425" s="20"/>
      <c r="E425" s="20"/>
      <c r="F425" s="20"/>
      <c r="G425" s="20"/>
      <c r="H425" s="20"/>
      <c r="I425" s="20"/>
    </row>
    <row r="426">
      <c r="B426" s="20"/>
      <c r="C426" s="20"/>
      <c r="D426" s="20"/>
      <c r="E426" s="20"/>
      <c r="F426" s="20"/>
      <c r="G426" s="20"/>
      <c r="H426" s="20"/>
      <c r="I426" s="20"/>
    </row>
    <row r="427">
      <c r="B427" s="20"/>
      <c r="C427" s="20"/>
      <c r="D427" s="20"/>
      <c r="E427" s="20"/>
      <c r="F427" s="20"/>
      <c r="G427" s="20"/>
      <c r="H427" s="20"/>
      <c r="I427" s="20"/>
    </row>
    <row r="428">
      <c r="B428" s="20"/>
      <c r="C428" s="20"/>
      <c r="D428" s="20"/>
      <c r="E428" s="20"/>
      <c r="F428" s="20"/>
      <c r="G428" s="20"/>
      <c r="H428" s="20"/>
      <c r="I428" s="20"/>
    </row>
    <row r="429">
      <c r="B429" s="20"/>
      <c r="C429" s="20"/>
      <c r="D429" s="20"/>
      <c r="E429" s="20"/>
      <c r="F429" s="20"/>
      <c r="G429" s="20"/>
      <c r="H429" s="20"/>
      <c r="I429" s="20"/>
    </row>
    <row r="430">
      <c r="B430" s="20"/>
      <c r="C430" s="20"/>
      <c r="D430" s="20"/>
      <c r="E430" s="20"/>
      <c r="F430" s="20"/>
      <c r="G430" s="20"/>
      <c r="H430" s="20"/>
      <c r="I430" s="20"/>
    </row>
    <row r="431">
      <c r="B431" s="20"/>
      <c r="C431" s="20"/>
      <c r="D431" s="20"/>
      <c r="E431" s="20"/>
      <c r="F431" s="20"/>
      <c r="G431" s="20"/>
      <c r="H431" s="20"/>
      <c r="I431" s="20"/>
    </row>
    <row r="432">
      <c r="B432" s="20"/>
      <c r="C432" s="20"/>
      <c r="D432" s="20"/>
      <c r="E432" s="20"/>
      <c r="F432" s="20"/>
      <c r="G432" s="20"/>
      <c r="H432" s="20"/>
      <c r="I432" s="20"/>
    </row>
    <row r="433">
      <c r="B433" s="20"/>
      <c r="C433" s="20"/>
      <c r="D433" s="20"/>
      <c r="E433" s="20"/>
      <c r="F433" s="20"/>
      <c r="G433" s="20"/>
      <c r="H433" s="20"/>
      <c r="I433" s="20"/>
    </row>
    <row r="434">
      <c r="B434" s="20"/>
      <c r="C434" s="20"/>
      <c r="D434" s="20"/>
      <c r="E434" s="20"/>
      <c r="F434" s="20"/>
      <c r="G434" s="20"/>
      <c r="H434" s="20"/>
      <c r="I434" s="20"/>
    </row>
    <row r="435">
      <c r="B435" s="20"/>
      <c r="C435" s="20"/>
      <c r="D435" s="20"/>
      <c r="E435" s="20"/>
      <c r="F435" s="20"/>
      <c r="G435" s="20"/>
      <c r="H435" s="20"/>
      <c r="I435" s="20"/>
    </row>
    <row r="436">
      <c r="B436" s="20"/>
      <c r="C436" s="20"/>
      <c r="D436" s="20"/>
      <c r="E436" s="20"/>
      <c r="F436" s="20"/>
      <c r="G436" s="20"/>
      <c r="H436" s="20"/>
      <c r="I436" s="20"/>
    </row>
    <row r="437">
      <c r="B437" s="20"/>
      <c r="C437" s="20"/>
      <c r="D437" s="20"/>
      <c r="E437" s="20"/>
      <c r="F437" s="20"/>
      <c r="G437" s="20"/>
      <c r="H437" s="20"/>
      <c r="I437" s="20"/>
    </row>
    <row r="438">
      <c r="B438" s="20"/>
      <c r="C438" s="20"/>
      <c r="D438" s="20"/>
      <c r="E438" s="20"/>
      <c r="F438" s="20"/>
      <c r="G438" s="20"/>
      <c r="H438" s="20"/>
      <c r="I438" s="20"/>
    </row>
    <row r="439">
      <c r="B439" s="20"/>
      <c r="C439" s="20"/>
      <c r="D439" s="20"/>
      <c r="E439" s="20"/>
      <c r="F439" s="20"/>
      <c r="G439" s="20"/>
      <c r="H439" s="20"/>
      <c r="I439" s="20"/>
    </row>
    <row r="440">
      <c r="B440" s="20"/>
      <c r="C440" s="20"/>
      <c r="D440" s="20"/>
      <c r="E440" s="20"/>
      <c r="F440" s="20"/>
      <c r="G440" s="20"/>
      <c r="H440" s="20"/>
      <c r="I440" s="20"/>
    </row>
    <row r="441">
      <c r="B441" s="20"/>
      <c r="C441" s="20"/>
      <c r="D441" s="20"/>
      <c r="E441" s="20"/>
      <c r="F441" s="20"/>
      <c r="G441" s="20"/>
      <c r="H441" s="20"/>
      <c r="I441" s="20"/>
    </row>
    <row r="442">
      <c r="B442" s="20"/>
      <c r="C442" s="20"/>
      <c r="D442" s="20"/>
      <c r="E442" s="20"/>
      <c r="F442" s="20"/>
      <c r="G442" s="20"/>
      <c r="H442" s="20"/>
      <c r="I442" s="20"/>
    </row>
    <row r="443">
      <c r="B443" s="20"/>
      <c r="C443" s="20"/>
      <c r="D443" s="20"/>
      <c r="E443" s="20"/>
      <c r="F443" s="20"/>
      <c r="G443" s="20"/>
      <c r="H443" s="20"/>
      <c r="I443" s="20"/>
    </row>
    <row r="444">
      <c r="B444" s="20"/>
      <c r="C444" s="20"/>
      <c r="D444" s="20"/>
      <c r="E444" s="20"/>
      <c r="F444" s="20"/>
      <c r="G444" s="20"/>
      <c r="H444" s="20"/>
      <c r="I444" s="20"/>
    </row>
    <row r="445">
      <c r="B445" s="20"/>
      <c r="C445" s="20"/>
      <c r="D445" s="20"/>
      <c r="E445" s="20"/>
      <c r="F445" s="20"/>
      <c r="G445" s="20"/>
      <c r="H445" s="20"/>
      <c r="I445" s="20"/>
    </row>
    <row r="446">
      <c r="B446" s="20"/>
      <c r="C446" s="20"/>
      <c r="D446" s="20"/>
      <c r="E446" s="20"/>
      <c r="F446" s="20"/>
      <c r="G446" s="20"/>
      <c r="H446" s="20"/>
      <c r="I446" s="20"/>
    </row>
    <row r="447">
      <c r="B447" s="20"/>
      <c r="C447" s="20"/>
      <c r="D447" s="20"/>
      <c r="E447" s="20"/>
      <c r="F447" s="20"/>
      <c r="G447" s="20"/>
      <c r="H447" s="20"/>
      <c r="I447" s="20"/>
    </row>
    <row r="448">
      <c r="B448" s="20"/>
      <c r="C448" s="20"/>
      <c r="D448" s="20"/>
      <c r="E448" s="20"/>
      <c r="F448" s="20"/>
      <c r="G448" s="20"/>
      <c r="H448" s="20"/>
      <c r="I448" s="20"/>
    </row>
    <row r="449">
      <c r="B449" s="20"/>
      <c r="C449" s="20"/>
      <c r="D449" s="20"/>
      <c r="E449" s="20"/>
      <c r="F449" s="20"/>
      <c r="G449" s="20"/>
      <c r="H449" s="20"/>
      <c r="I449" s="20"/>
    </row>
    <row r="450">
      <c r="B450" s="20"/>
      <c r="C450" s="20"/>
      <c r="D450" s="20"/>
      <c r="E450" s="20"/>
      <c r="F450" s="20"/>
      <c r="G450" s="20"/>
      <c r="H450" s="20"/>
      <c r="I450" s="20"/>
    </row>
    <row r="451">
      <c r="B451" s="20"/>
      <c r="C451" s="20"/>
      <c r="D451" s="20"/>
      <c r="E451" s="20"/>
      <c r="F451" s="20"/>
      <c r="G451" s="20"/>
      <c r="H451" s="20"/>
      <c r="I451" s="20"/>
    </row>
    <row r="452">
      <c r="B452" s="20"/>
      <c r="C452" s="20"/>
      <c r="D452" s="20"/>
      <c r="E452" s="20"/>
      <c r="F452" s="20"/>
      <c r="G452" s="20"/>
      <c r="H452" s="20"/>
      <c r="I452" s="20"/>
    </row>
    <row r="453">
      <c r="B453" s="20"/>
      <c r="C453" s="20"/>
      <c r="D453" s="20"/>
      <c r="E453" s="20"/>
      <c r="F453" s="20"/>
      <c r="G453" s="20"/>
      <c r="H453" s="20"/>
      <c r="I453" s="20"/>
    </row>
    <row r="454">
      <c r="B454" s="20"/>
      <c r="C454" s="20"/>
      <c r="D454" s="20"/>
      <c r="E454" s="20"/>
      <c r="F454" s="20"/>
      <c r="G454" s="20"/>
      <c r="H454" s="20"/>
      <c r="I454" s="20"/>
    </row>
    <row r="455">
      <c r="B455" s="20"/>
      <c r="C455" s="20"/>
      <c r="D455" s="20"/>
      <c r="E455" s="20"/>
      <c r="F455" s="20"/>
      <c r="G455" s="20"/>
      <c r="H455" s="20"/>
      <c r="I455" s="20"/>
    </row>
    <row r="456">
      <c r="B456" s="20"/>
      <c r="C456" s="20"/>
      <c r="D456" s="20"/>
      <c r="E456" s="20"/>
      <c r="F456" s="20"/>
      <c r="G456" s="20"/>
      <c r="H456" s="20"/>
      <c r="I456" s="20"/>
    </row>
    <row r="457">
      <c r="B457" s="20"/>
      <c r="C457" s="20"/>
      <c r="D457" s="20"/>
      <c r="E457" s="20"/>
      <c r="F457" s="20"/>
      <c r="G457" s="20"/>
      <c r="H457" s="20"/>
      <c r="I457" s="20"/>
    </row>
    <row r="458">
      <c r="B458" s="20"/>
      <c r="C458" s="20"/>
      <c r="D458" s="20"/>
      <c r="E458" s="20"/>
      <c r="F458" s="20"/>
      <c r="G458" s="20"/>
      <c r="H458" s="20"/>
      <c r="I458" s="20"/>
    </row>
    <row r="459">
      <c r="B459" s="20"/>
      <c r="C459" s="20"/>
      <c r="D459" s="20"/>
      <c r="E459" s="20"/>
      <c r="F459" s="20"/>
      <c r="G459" s="20"/>
      <c r="H459" s="20"/>
      <c r="I459" s="20"/>
    </row>
    <row r="460">
      <c r="B460" s="20"/>
      <c r="C460" s="20"/>
      <c r="D460" s="20"/>
      <c r="E460" s="20"/>
      <c r="F460" s="20"/>
      <c r="G460" s="20"/>
      <c r="H460" s="20"/>
      <c r="I460" s="20"/>
    </row>
    <row r="461">
      <c r="B461" s="20"/>
      <c r="C461" s="20"/>
      <c r="D461" s="20"/>
      <c r="E461" s="20"/>
      <c r="F461" s="20"/>
      <c r="G461" s="20"/>
      <c r="H461" s="20"/>
      <c r="I461" s="20"/>
    </row>
    <row r="462">
      <c r="B462" s="20"/>
      <c r="C462" s="20"/>
      <c r="D462" s="20"/>
      <c r="E462" s="20"/>
      <c r="F462" s="20"/>
      <c r="G462" s="20"/>
      <c r="H462" s="20"/>
      <c r="I462" s="20"/>
    </row>
    <row r="463">
      <c r="B463" s="20"/>
      <c r="C463" s="20"/>
      <c r="D463" s="20"/>
      <c r="E463" s="20"/>
      <c r="F463" s="20"/>
      <c r="G463" s="20"/>
      <c r="H463" s="20"/>
      <c r="I463" s="20"/>
    </row>
    <row r="464">
      <c r="B464" s="20"/>
      <c r="C464" s="20"/>
      <c r="D464" s="20"/>
      <c r="E464" s="20"/>
      <c r="F464" s="20"/>
      <c r="G464" s="20"/>
      <c r="H464" s="20"/>
      <c r="I464" s="20"/>
    </row>
    <row r="465">
      <c r="B465" s="20"/>
      <c r="C465" s="20"/>
      <c r="D465" s="20"/>
      <c r="E465" s="20"/>
      <c r="F465" s="20"/>
      <c r="G465" s="20"/>
      <c r="H465" s="20"/>
      <c r="I465" s="20"/>
    </row>
    <row r="466">
      <c r="B466" s="20"/>
      <c r="C466" s="20"/>
      <c r="D466" s="20"/>
      <c r="E466" s="20"/>
      <c r="F466" s="20"/>
      <c r="G466" s="20"/>
      <c r="H466" s="20"/>
      <c r="I466" s="20"/>
    </row>
    <row r="467">
      <c r="B467" s="20"/>
      <c r="C467" s="20"/>
      <c r="D467" s="20"/>
      <c r="E467" s="20"/>
      <c r="F467" s="20"/>
      <c r="G467" s="20"/>
      <c r="H467" s="20"/>
      <c r="I467" s="20"/>
    </row>
    <row r="468">
      <c r="B468" s="20"/>
      <c r="C468" s="20"/>
      <c r="D468" s="20"/>
      <c r="E468" s="20"/>
      <c r="F468" s="20"/>
      <c r="G468" s="20"/>
      <c r="H468" s="20"/>
      <c r="I468" s="20"/>
    </row>
    <row r="469">
      <c r="B469" s="20"/>
      <c r="C469" s="20"/>
      <c r="D469" s="20"/>
      <c r="E469" s="20"/>
      <c r="F469" s="20"/>
      <c r="G469" s="20"/>
      <c r="H469" s="20"/>
      <c r="I469" s="20"/>
    </row>
    <row r="470">
      <c r="B470" s="20"/>
      <c r="C470" s="20"/>
      <c r="D470" s="20"/>
      <c r="E470" s="20"/>
      <c r="F470" s="20"/>
      <c r="G470" s="20"/>
      <c r="H470" s="20"/>
      <c r="I470" s="20"/>
    </row>
    <row r="471">
      <c r="B471" s="20"/>
      <c r="C471" s="20"/>
      <c r="D471" s="20"/>
      <c r="E471" s="20"/>
      <c r="F471" s="20"/>
      <c r="G471" s="20"/>
      <c r="H471" s="20"/>
      <c r="I471" s="20"/>
    </row>
    <row r="472">
      <c r="B472" s="20"/>
      <c r="C472" s="20"/>
      <c r="D472" s="20"/>
      <c r="E472" s="20"/>
      <c r="F472" s="20"/>
      <c r="G472" s="20"/>
      <c r="H472" s="20"/>
      <c r="I472" s="20"/>
    </row>
    <row r="473">
      <c r="B473" s="20"/>
      <c r="C473" s="20"/>
      <c r="D473" s="20"/>
      <c r="E473" s="20"/>
      <c r="F473" s="20"/>
      <c r="G473" s="20"/>
      <c r="H473" s="20"/>
      <c r="I473" s="20"/>
    </row>
    <row r="474">
      <c r="B474" s="20"/>
      <c r="C474" s="20"/>
      <c r="D474" s="20"/>
      <c r="E474" s="20"/>
      <c r="F474" s="20"/>
      <c r="G474" s="20"/>
      <c r="H474" s="20"/>
      <c r="I474" s="20"/>
    </row>
    <row r="475">
      <c r="B475" s="20"/>
      <c r="C475" s="20"/>
      <c r="D475" s="20"/>
      <c r="E475" s="20"/>
      <c r="F475" s="20"/>
      <c r="G475" s="20"/>
      <c r="H475" s="20"/>
      <c r="I475" s="20"/>
    </row>
    <row r="476">
      <c r="B476" s="20"/>
      <c r="C476" s="20"/>
      <c r="D476" s="20"/>
      <c r="E476" s="20"/>
      <c r="F476" s="20"/>
      <c r="G476" s="20"/>
      <c r="H476" s="20"/>
      <c r="I476" s="20"/>
    </row>
    <row r="477">
      <c r="B477" s="20"/>
      <c r="C477" s="20"/>
      <c r="D477" s="20"/>
      <c r="E477" s="20"/>
      <c r="F477" s="20"/>
      <c r="G477" s="20"/>
      <c r="H477" s="20"/>
      <c r="I477" s="20"/>
    </row>
    <row r="478">
      <c r="B478" s="20"/>
      <c r="C478" s="20"/>
      <c r="D478" s="20"/>
      <c r="E478" s="20"/>
      <c r="F478" s="20"/>
      <c r="G478" s="20"/>
      <c r="H478" s="20"/>
      <c r="I478" s="20"/>
    </row>
    <row r="479">
      <c r="B479" s="20"/>
      <c r="C479" s="20"/>
      <c r="D479" s="20"/>
      <c r="E479" s="20"/>
      <c r="F479" s="20"/>
      <c r="G479" s="20"/>
      <c r="H479" s="20"/>
      <c r="I479" s="20"/>
    </row>
    <row r="480">
      <c r="B480" s="20"/>
      <c r="C480" s="20"/>
      <c r="D480" s="20"/>
      <c r="E480" s="20"/>
      <c r="F480" s="20"/>
      <c r="G480" s="20"/>
      <c r="H480" s="20"/>
      <c r="I480" s="20"/>
    </row>
    <row r="481">
      <c r="B481" s="20"/>
      <c r="C481" s="20"/>
      <c r="D481" s="20"/>
      <c r="E481" s="20"/>
      <c r="F481" s="20"/>
      <c r="G481" s="20"/>
      <c r="H481" s="20"/>
      <c r="I481" s="20"/>
    </row>
    <row r="482">
      <c r="B482" s="20"/>
      <c r="C482" s="20"/>
      <c r="D482" s="20"/>
      <c r="E482" s="20"/>
      <c r="F482" s="20"/>
      <c r="G482" s="20"/>
      <c r="H482" s="20"/>
      <c r="I482" s="20"/>
    </row>
    <row r="483">
      <c r="B483" s="20"/>
      <c r="C483" s="20"/>
      <c r="D483" s="20"/>
      <c r="E483" s="20"/>
      <c r="F483" s="20"/>
      <c r="G483" s="20"/>
      <c r="H483" s="20"/>
      <c r="I483" s="20"/>
    </row>
    <row r="484">
      <c r="B484" s="20"/>
      <c r="C484" s="20"/>
      <c r="D484" s="20"/>
      <c r="E484" s="20"/>
      <c r="F484" s="20"/>
      <c r="G484" s="20"/>
      <c r="H484" s="20"/>
      <c r="I484" s="20"/>
    </row>
    <row r="485">
      <c r="B485" s="20"/>
      <c r="C485" s="20"/>
      <c r="D485" s="20"/>
      <c r="E485" s="20"/>
      <c r="F485" s="20"/>
      <c r="G485" s="20"/>
      <c r="H485" s="20"/>
      <c r="I485" s="20"/>
    </row>
    <row r="486">
      <c r="B486" s="20"/>
      <c r="C486" s="20"/>
      <c r="D486" s="20"/>
      <c r="E486" s="20"/>
      <c r="F486" s="20"/>
      <c r="G486" s="20"/>
      <c r="H486" s="20"/>
      <c r="I486" s="20"/>
    </row>
    <row r="487">
      <c r="B487" s="20"/>
      <c r="C487" s="20"/>
      <c r="D487" s="20"/>
      <c r="E487" s="20"/>
      <c r="F487" s="20"/>
      <c r="G487" s="20"/>
      <c r="H487" s="20"/>
      <c r="I487" s="20"/>
    </row>
    <row r="488">
      <c r="B488" s="20"/>
      <c r="C488" s="20"/>
      <c r="D488" s="20"/>
      <c r="E488" s="20"/>
      <c r="F488" s="20"/>
      <c r="G488" s="20"/>
      <c r="H488" s="20"/>
      <c r="I488" s="20"/>
    </row>
    <row r="489">
      <c r="B489" s="20"/>
      <c r="C489" s="20"/>
      <c r="D489" s="20"/>
      <c r="E489" s="20"/>
      <c r="F489" s="20"/>
      <c r="G489" s="20"/>
      <c r="H489" s="20"/>
      <c r="I489" s="20"/>
    </row>
    <row r="490">
      <c r="B490" s="20"/>
      <c r="C490" s="20"/>
      <c r="D490" s="20"/>
      <c r="E490" s="20"/>
      <c r="F490" s="20"/>
      <c r="G490" s="20"/>
      <c r="H490" s="20"/>
      <c r="I490" s="20"/>
    </row>
    <row r="491">
      <c r="B491" s="20"/>
      <c r="C491" s="20"/>
      <c r="D491" s="20"/>
      <c r="E491" s="20"/>
      <c r="F491" s="20"/>
      <c r="G491" s="20"/>
      <c r="H491" s="20"/>
      <c r="I491" s="20"/>
    </row>
    <row r="492">
      <c r="B492" s="20"/>
      <c r="C492" s="20"/>
      <c r="D492" s="20"/>
      <c r="E492" s="20"/>
      <c r="F492" s="20"/>
      <c r="G492" s="20"/>
      <c r="H492" s="20"/>
      <c r="I492" s="20"/>
    </row>
    <row r="493">
      <c r="B493" s="20"/>
      <c r="C493" s="20"/>
      <c r="D493" s="20"/>
      <c r="E493" s="20"/>
      <c r="F493" s="20"/>
      <c r="G493" s="20"/>
      <c r="H493" s="20"/>
      <c r="I493" s="20"/>
    </row>
    <row r="494">
      <c r="B494" s="20"/>
      <c r="C494" s="20"/>
      <c r="D494" s="20"/>
      <c r="E494" s="20"/>
      <c r="F494" s="20"/>
      <c r="G494" s="20"/>
      <c r="H494" s="20"/>
      <c r="I494" s="20"/>
    </row>
    <row r="495">
      <c r="B495" s="20"/>
      <c r="C495" s="20"/>
      <c r="D495" s="20"/>
      <c r="E495" s="20"/>
      <c r="F495" s="20"/>
      <c r="G495" s="20"/>
      <c r="H495" s="20"/>
      <c r="I495" s="20"/>
    </row>
    <row r="496">
      <c r="B496" s="20"/>
      <c r="C496" s="20"/>
      <c r="D496" s="20"/>
      <c r="E496" s="20"/>
      <c r="F496" s="20"/>
      <c r="G496" s="20"/>
      <c r="H496" s="20"/>
      <c r="I496" s="20"/>
    </row>
    <row r="497">
      <c r="B497" s="20"/>
      <c r="C497" s="20"/>
      <c r="D497" s="20"/>
      <c r="E497" s="20"/>
      <c r="F497" s="20"/>
      <c r="G497" s="20"/>
      <c r="H497" s="20"/>
      <c r="I497" s="20"/>
    </row>
    <row r="498">
      <c r="B498" s="20"/>
      <c r="C498" s="20"/>
      <c r="D498" s="20"/>
      <c r="E498" s="20"/>
      <c r="F498" s="20"/>
      <c r="G498" s="20"/>
      <c r="H498" s="20"/>
      <c r="I498" s="20"/>
    </row>
    <row r="499">
      <c r="B499" s="20"/>
      <c r="C499" s="20"/>
      <c r="D499" s="20"/>
      <c r="E499" s="20"/>
      <c r="F499" s="20"/>
      <c r="G499" s="20"/>
      <c r="H499" s="20"/>
      <c r="I499" s="20"/>
    </row>
    <row r="500">
      <c r="B500" s="20"/>
      <c r="C500" s="20"/>
      <c r="D500" s="20"/>
      <c r="E500" s="20"/>
      <c r="F500" s="20"/>
      <c r="G500" s="20"/>
      <c r="H500" s="20"/>
      <c r="I500" s="20"/>
    </row>
    <row r="501">
      <c r="B501" s="20"/>
      <c r="C501" s="20"/>
      <c r="D501" s="20"/>
      <c r="E501" s="20"/>
      <c r="F501" s="20"/>
      <c r="G501" s="20"/>
      <c r="H501" s="20"/>
      <c r="I501" s="20"/>
    </row>
    <row r="502">
      <c r="B502" s="20"/>
      <c r="C502" s="20"/>
      <c r="D502" s="20"/>
      <c r="E502" s="20"/>
      <c r="F502" s="20"/>
      <c r="G502" s="20"/>
      <c r="H502" s="20"/>
      <c r="I502" s="20"/>
    </row>
    <row r="503">
      <c r="B503" s="20"/>
      <c r="C503" s="20"/>
      <c r="D503" s="20"/>
      <c r="E503" s="20"/>
      <c r="F503" s="20"/>
      <c r="G503" s="20"/>
      <c r="H503" s="20"/>
      <c r="I503" s="20"/>
    </row>
    <row r="504">
      <c r="B504" s="20"/>
      <c r="C504" s="20"/>
      <c r="D504" s="20"/>
      <c r="E504" s="20"/>
      <c r="F504" s="20"/>
      <c r="G504" s="20"/>
      <c r="H504" s="20"/>
      <c r="I504" s="20"/>
    </row>
    <row r="505">
      <c r="B505" s="20"/>
      <c r="C505" s="20"/>
      <c r="D505" s="20"/>
      <c r="E505" s="20"/>
      <c r="F505" s="20"/>
      <c r="G505" s="20"/>
      <c r="H505" s="20"/>
      <c r="I505" s="20"/>
    </row>
    <row r="506">
      <c r="B506" s="20"/>
      <c r="C506" s="20"/>
      <c r="D506" s="20"/>
      <c r="E506" s="20"/>
      <c r="F506" s="20"/>
      <c r="G506" s="20"/>
      <c r="H506" s="20"/>
      <c r="I506" s="20"/>
    </row>
    <row r="507">
      <c r="B507" s="20"/>
      <c r="C507" s="20"/>
      <c r="D507" s="20"/>
      <c r="E507" s="20"/>
      <c r="F507" s="20"/>
      <c r="G507" s="20"/>
      <c r="H507" s="20"/>
      <c r="I507" s="20"/>
    </row>
    <row r="508">
      <c r="B508" s="20"/>
      <c r="C508" s="20"/>
      <c r="D508" s="20"/>
      <c r="E508" s="20"/>
      <c r="F508" s="20"/>
      <c r="G508" s="20"/>
      <c r="H508" s="20"/>
      <c r="I508" s="20"/>
    </row>
    <row r="509">
      <c r="B509" s="20"/>
      <c r="C509" s="20"/>
      <c r="D509" s="20"/>
      <c r="E509" s="20"/>
      <c r="F509" s="20"/>
      <c r="G509" s="20"/>
      <c r="H509" s="20"/>
      <c r="I509" s="20"/>
    </row>
    <row r="510">
      <c r="B510" s="20"/>
      <c r="C510" s="20"/>
      <c r="D510" s="20"/>
      <c r="E510" s="20"/>
      <c r="F510" s="20"/>
      <c r="G510" s="20"/>
      <c r="H510" s="20"/>
      <c r="I510" s="20"/>
    </row>
    <row r="511">
      <c r="B511" s="20"/>
      <c r="C511" s="20"/>
      <c r="D511" s="20"/>
      <c r="E511" s="20"/>
      <c r="F511" s="20"/>
      <c r="G511" s="20"/>
      <c r="H511" s="20"/>
      <c r="I511" s="20"/>
    </row>
    <row r="512">
      <c r="B512" s="20"/>
      <c r="C512" s="20"/>
      <c r="D512" s="20"/>
      <c r="E512" s="20"/>
      <c r="F512" s="20"/>
      <c r="G512" s="20"/>
      <c r="H512" s="20"/>
      <c r="I512" s="20"/>
    </row>
    <row r="513">
      <c r="B513" s="20"/>
      <c r="C513" s="20"/>
      <c r="D513" s="20"/>
      <c r="E513" s="20"/>
      <c r="F513" s="20"/>
      <c r="G513" s="20"/>
      <c r="H513" s="20"/>
      <c r="I513" s="20"/>
    </row>
    <row r="514">
      <c r="B514" s="20"/>
      <c r="C514" s="20"/>
      <c r="D514" s="20"/>
      <c r="E514" s="20"/>
      <c r="F514" s="20"/>
      <c r="G514" s="20"/>
      <c r="H514" s="20"/>
      <c r="I514" s="20"/>
    </row>
    <row r="515">
      <c r="B515" s="20"/>
      <c r="C515" s="20"/>
      <c r="D515" s="20"/>
      <c r="E515" s="20"/>
      <c r="F515" s="20"/>
      <c r="G515" s="20"/>
      <c r="H515" s="20"/>
      <c r="I515" s="20"/>
    </row>
    <row r="516">
      <c r="B516" s="20"/>
      <c r="C516" s="20"/>
      <c r="D516" s="20"/>
      <c r="E516" s="20"/>
      <c r="F516" s="20"/>
      <c r="G516" s="20"/>
      <c r="H516" s="20"/>
      <c r="I516" s="20"/>
    </row>
    <row r="517">
      <c r="B517" s="20"/>
      <c r="C517" s="20"/>
      <c r="D517" s="20"/>
      <c r="E517" s="20"/>
      <c r="F517" s="20"/>
      <c r="G517" s="20"/>
      <c r="H517" s="20"/>
      <c r="I517" s="20"/>
    </row>
    <row r="518">
      <c r="B518" s="20"/>
      <c r="C518" s="20"/>
      <c r="D518" s="20"/>
      <c r="E518" s="20"/>
      <c r="F518" s="20"/>
      <c r="G518" s="20"/>
      <c r="H518" s="20"/>
      <c r="I518" s="20"/>
    </row>
    <row r="519">
      <c r="B519" s="20"/>
      <c r="C519" s="20"/>
      <c r="D519" s="20"/>
      <c r="E519" s="20"/>
      <c r="F519" s="20"/>
      <c r="G519" s="20"/>
      <c r="H519" s="20"/>
      <c r="I519" s="20"/>
    </row>
    <row r="520">
      <c r="B520" s="20"/>
      <c r="C520" s="20"/>
      <c r="D520" s="20"/>
      <c r="E520" s="20"/>
      <c r="F520" s="20"/>
      <c r="G520" s="20"/>
      <c r="H520" s="20"/>
      <c r="I520" s="20"/>
    </row>
    <row r="521">
      <c r="B521" s="20"/>
      <c r="C521" s="20"/>
      <c r="D521" s="20"/>
      <c r="E521" s="20"/>
      <c r="F521" s="20"/>
      <c r="G521" s="20"/>
      <c r="H521" s="20"/>
      <c r="I521" s="20"/>
    </row>
    <row r="522">
      <c r="B522" s="20"/>
      <c r="C522" s="20"/>
      <c r="D522" s="20"/>
      <c r="E522" s="20"/>
      <c r="F522" s="20"/>
      <c r="G522" s="20"/>
      <c r="H522" s="20"/>
      <c r="I522" s="20"/>
    </row>
    <row r="523">
      <c r="B523" s="20"/>
      <c r="C523" s="20"/>
      <c r="D523" s="20"/>
      <c r="E523" s="20"/>
      <c r="F523" s="20"/>
      <c r="G523" s="20"/>
      <c r="H523" s="20"/>
      <c r="I523" s="20"/>
    </row>
    <row r="524">
      <c r="B524" s="20"/>
      <c r="C524" s="20"/>
      <c r="D524" s="20"/>
      <c r="E524" s="20"/>
      <c r="F524" s="20"/>
      <c r="G524" s="20"/>
      <c r="H524" s="20"/>
      <c r="I524" s="20"/>
    </row>
    <row r="525">
      <c r="B525" s="20"/>
      <c r="C525" s="20"/>
      <c r="D525" s="20"/>
      <c r="E525" s="20"/>
      <c r="F525" s="20"/>
      <c r="G525" s="20"/>
      <c r="H525" s="20"/>
      <c r="I525" s="20"/>
    </row>
    <row r="526">
      <c r="B526" s="20"/>
      <c r="C526" s="20"/>
      <c r="D526" s="20"/>
      <c r="E526" s="20"/>
      <c r="F526" s="20"/>
      <c r="G526" s="20"/>
      <c r="H526" s="20"/>
      <c r="I526" s="20"/>
    </row>
    <row r="527">
      <c r="B527" s="20"/>
      <c r="C527" s="20"/>
      <c r="D527" s="20"/>
      <c r="E527" s="20"/>
      <c r="F527" s="20"/>
      <c r="G527" s="20"/>
      <c r="H527" s="20"/>
      <c r="I527" s="20"/>
    </row>
    <row r="528">
      <c r="B528" s="20"/>
      <c r="C528" s="20"/>
      <c r="D528" s="20"/>
      <c r="E528" s="20"/>
      <c r="F528" s="20"/>
      <c r="G528" s="20"/>
      <c r="H528" s="20"/>
      <c r="I528" s="20"/>
    </row>
    <row r="529">
      <c r="B529" s="20"/>
      <c r="C529" s="20"/>
      <c r="D529" s="20"/>
      <c r="E529" s="20"/>
      <c r="F529" s="20"/>
      <c r="G529" s="20"/>
      <c r="H529" s="20"/>
      <c r="I529" s="20"/>
    </row>
    <row r="530">
      <c r="B530" s="20"/>
      <c r="C530" s="20"/>
      <c r="D530" s="20"/>
      <c r="E530" s="20"/>
      <c r="F530" s="20"/>
      <c r="G530" s="20"/>
      <c r="H530" s="20"/>
      <c r="I530" s="20"/>
    </row>
    <row r="531">
      <c r="B531" s="20"/>
      <c r="C531" s="20"/>
      <c r="D531" s="20"/>
      <c r="E531" s="20"/>
      <c r="F531" s="20"/>
      <c r="G531" s="20"/>
      <c r="H531" s="20"/>
      <c r="I531" s="20"/>
    </row>
    <row r="532">
      <c r="B532" s="20"/>
      <c r="C532" s="20"/>
      <c r="D532" s="20"/>
      <c r="E532" s="20"/>
      <c r="F532" s="20"/>
      <c r="G532" s="20"/>
      <c r="H532" s="20"/>
      <c r="I532" s="20"/>
    </row>
    <row r="533">
      <c r="B533" s="20"/>
      <c r="C533" s="20"/>
      <c r="D533" s="20"/>
      <c r="E533" s="20"/>
      <c r="F533" s="20"/>
      <c r="G533" s="20"/>
      <c r="H533" s="20"/>
      <c r="I533" s="20"/>
    </row>
    <row r="534">
      <c r="B534" s="20"/>
      <c r="C534" s="20"/>
      <c r="D534" s="20"/>
      <c r="E534" s="20"/>
      <c r="F534" s="20"/>
      <c r="G534" s="20"/>
      <c r="H534" s="20"/>
      <c r="I534" s="20"/>
    </row>
    <row r="535">
      <c r="B535" s="20"/>
      <c r="C535" s="20"/>
      <c r="D535" s="20"/>
      <c r="E535" s="20"/>
      <c r="F535" s="20"/>
      <c r="G535" s="20"/>
      <c r="H535" s="20"/>
      <c r="I535" s="20"/>
    </row>
    <row r="536">
      <c r="B536" s="20"/>
      <c r="C536" s="20"/>
      <c r="D536" s="20"/>
      <c r="E536" s="20"/>
      <c r="F536" s="20"/>
      <c r="G536" s="20"/>
      <c r="H536" s="20"/>
      <c r="I536" s="20"/>
    </row>
    <row r="537">
      <c r="B537" s="20"/>
      <c r="C537" s="20"/>
      <c r="D537" s="20"/>
      <c r="E537" s="20"/>
      <c r="F537" s="20"/>
      <c r="G537" s="20"/>
      <c r="H537" s="20"/>
      <c r="I537" s="20"/>
    </row>
    <row r="538">
      <c r="B538" s="20"/>
      <c r="C538" s="20"/>
      <c r="D538" s="20"/>
      <c r="E538" s="20"/>
      <c r="F538" s="20"/>
      <c r="G538" s="20"/>
      <c r="H538" s="20"/>
      <c r="I538" s="20"/>
    </row>
    <row r="539">
      <c r="B539" s="20"/>
      <c r="C539" s="20"/>
      <c r="D539" s="20"/>
      <c r="E539" s="20"/>
      <c r="F539" s="20"/>
      <c r="G539" s="20"/>
      <c r="H539" s="20"/>
      <c r="I539" s="20"/>
    </row>
    <row r="540">
      <c r="B540" s="20"/>
      <c r="C540" s="20"/>
      <c r="D540" s="20"/>
      <c r="E540" s="20"/>
      <c r="F540" s="20"/>
      <c r="G540" s="20"/>
      <c r="H540" s="20"/>
      <c r="I540" s="20"/>
    </row>
    <row r="541">
      <c r="B541" s="20"/>
      <c r="C541" s="20"/>
      <c r="D541" s="20"/>
      <c r="E541" s="20"/>
      <c r="F541" s="20"/>
      <c r="G541" s="20"/>
      <c r="H541" s="20"/>
      <c r="I541" s="20"/>
    </row>
    <row r="542">
      <c r="B542" s="20"/>
      <c r="C542" s="20"/>
      <c r="D542" s="20"/>
      <c r="E542" s="20"/>
      <c r="F542" s="20"/>
      <c r="G542" s="20"/>
      <c r="H542" s="20"/>
      <c r="I542" s="20"/>
    </row>
    <row r="543">
      <c r="B543" s="20"/>
      <c r="C543" s="20"/>
      <c r="D543" s="20"/>
      <c r="E543" s="20"/>
      <c r="F543" s="20"/>
      <c r="G543" s="20"/>
      <c r="H543" s="20"/>
      <c r="I543" s="20"/>
    </row>
    <row r="544">
      <c r="B544" s="20"/>
      <c r="C544" s="20"/>
      <c r="D544" s="20"/>
      <c r="E544" s="20"/>
      <c r="F544" s="20"/>
      <c r="G544" s="20"/>
      <c r="H544" s="20"/>
      <c r="I544" s="20"/>
    </row>
    <row r="545">
      <c r="B545" s="20"/>
      <c r="C545" s="20"/>
      <c r="D545" s="20"/>
      <c r="E545" s="20"/>
      <c r="F545" s="20"/>
      <c r="G545" s="20"/>
      <c r="H545" s="20"/>
      <c r="I545" s="20"/>
    </row>
    <row r="546">
      <c r="B546" s="20"/>
      <c r="C546" s="20"/>
      <c r="D546" s="20"/>
      <c r="E546" s="20"/>
      <c r="F546" s="20"/>
      <c r="G546" s="20"/>
      <c r="H546" s="20"/>
      <c r="I546" s="20"/>
    </row>
    <row r="547">
      <c r="B547" s="20"/>
      <c r="C547" s="20"/>
      <c r="D547" s="20"/>
      <c r="E547" s="20"/>
      <c r="F547" s="20"/>
      <c r="G547" s="20"/>
      <c r="H547" s="20"/>
      <c r="I547" s="20"/>
    </row>
    <row r="548">
      <c r="B548" s="20"/>
      <c r="C548" s="20"/>
      <c r="D548" s="20"/>
      <c r="E548" s="20"/>
      <c r="F548" s="20"/>
      <c r="G548" s="20"/>
      <c r="H548" s="20"/>
      <c r="I548" s="20"/>
    </row>
    <row r="549">
      <c r="B549" s="20"/>
      <c r="C549" s="20"/>
      <c r="D549" s="20"/>
      <c r="E549" s="20"/>
      <c r="F549" s="20"/>
      <c r="G549" s="20"/>
      <c r="H549" s="20"/>
      <c r="I549" s="20"/>
    </row>
    <row r="550">
      <c r="B550" s="20"/>
      <c r="C550" s="20"/>
      <c r="D550" s="20"/>
      <c r="E550" s="20"/>
      <c r="F550" s="20"/>
      <c r="G550" s="20"/>
      <c r="H550" s="20"/>
      <c r="I550" s="20"/>
    </row>
    <row r="551">
      <c r="B551" s="20"/>
      <c r="C551" s="20"/>
      <c r="D551" s="20"/>
      <c r="E551" s="20"/>
      <c r="F551" s="20"/>
      <c r="G551" s="20"/>
      <c r="H551" s="20"/>
      <c r="I551" s="20"/>
    </row>
    <row r="552">
      <c r="B552" s="20"/>
      <c r="C552" s="20"/>
      <c r="D552" s="20"/>
      <c r="E552" s="20"/>
      <c r="F552" s="20"/>
      <c r="G552" s="20"/>
      <c r="H552" s="20"/>
      <c r="I552" s="20"/>
    </row>
    <row r="553">
      <c r="B553" s="20"/>
      <c r="C553" s="20"/>
      <c r="D553" s="20"/>
      <c r="E553" s="20"/>
      <c r="F553" s="20"/>
      <c r="G553" s="20"/>
      <c r="H553" s="20"/>
      <c r="I553" s="20"/>
    </row>
    <row r="554">
      <c r="B554" s="20"/>
      <c r="C554" s="20"/>
      <c r="D554" s="20"/>
      <c r="E554" s="20"/>
      <c r="F554" s="20"/>
      <c r="G554" s="20"/>
      <c r="H554" s="20"/>
      <c r="I554" s="20"/>
    </row>
    <row r="555">
      <c r="B555" s="20"/>
      <c r="C555" s="20"/>
      <c r="D555" s="20"/>
      <c r="E555" s="20"/>
      <c r="F555" s="20"/>
      <c r="G555" s="20"/>
      <c r="H555" s="20"/>
      <c r="I555" s="20"/>
    </row>
    <row r="556">
      <c r="B556" s="20"/>
      <c r="C556" s="20"/>
      <c r="D556" s="20"/>
      <c r="E556" s="20"/>
      <c r="F556" s="20"/>
      <c r="G556" s="20"/>
      <c r="H556" s="20"/>
      <c r="I556" s="20"/>
    </row>
    <row r="557">
      <c r="B557" s="20"/>
      <c r="C557" s="20"/>
      <c r="D557" s="20"/>
      <c r="E557" s="20"/>
      <c r="F557" s="20"/>
      <c r="G557" s="20"/>
      <c r="H557" s="20"/>
      <c r="I557" s="20"/>
    </row>
    <row r="558">
      <c r="B558" s="20"/>
      <c r="C558" s="20"/>
      <c r="D558" s="20"/>
      <c r="E558" s="20"/>
      <c r="F558" s="20"/>
      <c r="G558" s="20"/>
      <c r="H558" s="20"/>
      <c r="I558" s="20"/>
    </row>
    <row r="559">
      <c r="B559" s="20"/>
      <c r="C559" s="20"/>
      <c r="D559" s="20"/>
      <c r="E559" s="20"/>
      <c r="F559" s="20"/>
      <c r="G559" s="20"/>
      <c r="H559" s="20"/>
      <c r="I559" s="20"/>
    </row>
    <row r="560">
      <c r="B560" s="20"/>
      <c r="C560" s="20"/>
      <c r="D560" s="20"/>
      <c r="E560" s="20"/>
      <c r="F560" s="20"/>
      <c r="G560" s="20"/>
      <c r="H560" s="20"/>
      <c r="I560" s="20"/>
    </row>
    <row r="561">
      <c r="B561" s="20"/>
      <c r="C561" s="20"/>
      <c r="D561" s="20"/>
      <c r="E561" s="20"/>
      <c r="F561" s="20"/>
      <c r="G561" s="20"/>
      <c r="H561" s="20"/>
      <c r="I561" s="20"/>
    </row>
    <row r="562">
      <c r="B562" s="20"/>
      <c r="C562" s="20"/>
      <c r="D562" s="20"/>
      <c r="E562" s="20"/>
      <c r="F562" s="20"/>
      <c r="G562" s="20"/>
      <c r="H562" s="20"/>
      <c r="I562" s="20"/>
    </row>
    <row r="563">
      <c r="B563" s="20"/>
      <c r="C563" s="20"/>
      <c r="D563" s="20"/>
      <c r="E563" s="20"/>
      <c r="F563" s="20"/>
      <c r="G563" s="20"/>
      <c r="H563" s="20"/>
      <c r="I563" s="20"/>
    </row>
    <row r="564">
      <c r="B564" s="20"/>
      <c r="C564" s="20"/>
      <c r="D564" s="20"/>
      <c r="E564" s="20"/>
      <c r="F564" s="20"/>
      <c r="G564" s="20"/>
      <c r="H564" s="20"/>
      <c r="I564" s="20"/>
    </row>
    <row r="565">
      <c r="B565" s="20"/>
      <c r="C565" s="20"/>
      <c r="D565" s="20"/>
      <c r="E565" s="20"/>
      <c r="F565" s="20"/>
      <c r="G565" s="20"/>
      <c r="H565" s="20"/>
      <c r="I565" s="20"/>
    </row>
    <row r="566">
      <c r="B566" s="20"/>
      <c r="C566" s="20"/>
      <c r="D566" s="20"/>
      <c r="E566" s="20"/>
      <c r="F566" s="20"/>
      <c r="G566" s="20"/>
      <c r="H566" s="20"/>
      <c r="I566" s="20"/>
    </row>
    <row r="567">
      <c r="B567" s="20"/>
      <c r="C567" s="20"/>
      <c r="D567" s="20"/>
      <c r="E567" s="20"/>
      <c r="F567" s="20"/>
      <c r="G567" s="20"/>
      <c r="H567" s="20"/>
      <c r="I567" s="20"/>
    </row>
    <row r="568">
      <c r="B568" s="20"/>
      <c r="C568" s="20"/>
      <c r="D568" s="20"/>
      <c r="E568" s="20"/>
      <c r="F568" s="20"/>
      <c r="G568" s="20"/>
      <c r="H568" s="20"/>
      <c r="I568" s="20"/>
    </row>
    <row r="569">
      <c r="B569" s="20"/>
      <c r="C569" s="20"/>
      <c r="D569" s="20"/>
      <c r="E569" s="20"/>
      <c r="F569" s="20"/>
      <c r="G569" s="20"/>
      <c r="H569" s="20"/>
      <c r="I569" s="20"/>
    </row>
    <row r="570">
      <c r="B570" s="20"/>
      <c r="C570" s="20"/>
      <c r="D570" s="20"/>
      <c r="E570" s="20"/>
      <c r="F570" s="20"/>
      <c r="G570" s="20"/>
      <c r="H570" s="20"/>
      <c r="I570" s="20"/>
    </row>
    <row r="571">
      <c r="B571" s="20"/>
      <c r="C571" s="20"/>
      <c r="D571" s="20"/>
      <c r="E571" s="20"/>
      <c r="F571" s="20"/>
      <c r="G571" s="20"/>
      <c r="H571" s="20"/>
      <c r="I571" s="20"/>
    </row>
    <row r="572">
      <c r="B572" s="20"/>
      <c r="C572" s="20"/>
      <c r="D572" s="20"/>
      <c r="E572" s="20"/>
      <c r="F572" s="20"/>
      <c r="G572" s="20"/>
      <c r="H572" s="20"/>
      <c r="I572" s="20"/>
    </row>
    <row r="573">
      <c r="B573" s="20"/>
      <c r="C573" s="20"/>
      <c r="D573" s="20"/>
      <c r="E573" s="20"/>
      <c r="F573" s="20"/>
      <c r="G573" s="20"/>
      <c r="H573" s="20"/>
      <c r="I573" s="20"/>
    </row>
    <row r="574">
      <c r="B574" s="20"/>
      <c r="C574" s="20"/>
      <c r="D574" s="20"/>
      <c r="E574" s="20"/>
      <c r="F574" s="20"/>
      <c r="G574" s="20"/>
      <c r="H574" s="20"/>
      <c r="I574" s="20"/>
    </row>
    <row r="575">
      <c r="B575" s="20"/>
      <c r="C575" s="20"/>
      <c r="D575" s="20"/>
      <c r="E575" s="20"/>
      <c r="F575" s="20"/>
      <c r="G575" s="20"/>
      <c r="H575" s="20"/>
      <c r="I575" s="20"/>
    </row>
    <row r="576">
      <c r="B576" s="20"/>
      <c r="C576" s="20"/>
      <c r="D576" s="20"/>
      <c r="E576" s="20"/>
      <c r="F576" s="20"/>
      <c r="G576" s="20"/>
      <c r="H576" s="20"/>
      <c r="I576" s="20"/>
    </row>
    <row r="577">
      <c r="B577" s="20"/>
      <c r="C577" s="20"/>
      <c r="D577" s="20"/>
      <c r="E577" s="20"/>
      <c r="F577" s="20"/>
      <c r="G577" s="20"/>
      <c r="H577" s="20"/>
      <c r="I577" s="20"/>
    </row>
    <row r="578">
      <c r="B578" s="20"/>
      <c r="C578" s="20"/>
      <c r="D578" s="20"/>
      <c r="E578" s="20"/>
      <c r="F578" s="20"/>
      <c r="G578" s="20"/>
      <c r="H578" s="20"/>
      <c r="I578" s="20"/>
    </row>
    <row r="579">
      <c r="B579" s="20"/>
      <c r="C579" s="20"/>
      <c r="D579" s="20"/>
      <c r="E579" s="20"/>
      <c r="F579" s="20"/>
      <c r="G579" s="20"/>
      <c r="H579" s="20"/>
      <c r="I579" s="20"/>
    </row>
    <row r="580">
      <c r="B580" s="20"/>
      <c r="C580" s="20"/>
      <c r="D580" s="20"/>
      <c r="E580" s="20"/>
      <c r="F580" s="20"/>
      <c r="G580" s="20"/>
      <c r="H580" s="20"/>
      <c r="I580" s="20"/>
    </row>
    <row r="581">
      <c r="B581" s="20"/>
      <c r="C581" s="20"/>
      <c r="D581" s="20"/>
      <c r="E581" s="20"/>
      <c r="F581" s="20"/>
      <c r="G581" s="20"/>
      <c r="H581" s="20"/>
      <c r="I581" s="20"/>
    </row>
    <row r="582">
      <c r="B582" s="20"/>
      <c r="C582" s="20"/>
      <c r="D582" s="20"/>
      <c r="E582" s="20"/>
      <c r="F582" s="20"/>
      <c r="G582" s="20"/>
      <c r="H582" s="20"/>
      <c r="I582" s="20"/>
    </row>
    <row r="583">
      <c r="B583" s="20"/>
      <c r="C583" s="20"/>
      <c r="D583" s="20"/>
      <c r="E583" s="20"/>
      <c r="F583" s="20"/>
      <c r="G583" s="20"/>
      <c r="H583" s="20"/>
      <c r="I583" s="20"/>
    </row>
    <row r="584">
      <c r="B584" s="20"/>
      <c r="C584" s="20"/>
      <c r="D584" s="20"/>
      <c r="E584" s="20"/>
      <c r="F584" s="20"/>
      <c r="G584" s="20"/>
      <c r="H584" s="20"/>
      <c r="I584" s="20"/>
    </row>
    <row r="585">
      <c r="B585" s="20"/>
      <c r="C585" s="20"/>
      <c r="D585" s="20"/>
      <c r="E585" s="20"/>
      <c r="F585" s="20"/>
      <c r="G585" s="20"/>
      <c r="H585" s="20"/>
      <c r="I585" s="20"/>
    </row>
    <row r="586">
      <c r="B586" s="20"/>
      <c r="C586" s="20"/>
      <c r="D586" s="20"/>
      <c r="E586" s="20"/>
      <c r="F586" s="20"/>
      <c r="G586" s="20"/>
      <c r="H586" s="20"/>
      <c r="I586" s="20"/>
    </row>
    <row r="587">
      <c r="B587" s="20"/>
      <c r="C587" s="20"/>
      <c r="D587" s="20"/>
      <c r="E587" s="20"/>
      <c r="F587" s="20"/>
      <c r="G587" s="20"/>
      <c r="H587" s="20"/>
      <c r="I587" s="20"/>
    </row>
    <row r="588">
      <c r="B588" s="20"/>
      <c r="C588" s="20"/>
      <c r="D588" s="20"/>
      <c r="E588" s="20"/>
      <c r="F588" s="20"/>
      <c r="G588" s="20"/>
      <c r="H588" s="20"/>
      <c r="I588" s="20"/>
    </row>
    <row r="589">
      <c r="B589" s="20"/>
      <c r="C589" s="20"/>
      <c r="D589" s="20"/>
      <c r="E589" s="20"/>
      <c r="F589" s="20"/>
      <c r="G589" s="20"/>
      <c r="H589" s="20"/>
      <c r="I589" s="20"/>
    </row>
    <row r="590">
      <c r="B590" s="20"/>
      <c r="C590" s="20"/>
      <c r="D590" s="20"/>
      <c r="E590" s="20"/>
      <c r="F590" s="20"/>
      <c r="G590" s="20"/>
      <c r="H590" s="20"/>
      <c r="I590" s="20"/>
    </row>
    <row r="591">
      <c r="B591" s="20"/>
      <c r="C591" s="20"/>
      <c r="D591" s="20"/>
      <c r="E591" s="20"/>
      <c r="F591" s="20"/>
      <c r="G591" s="20"/>
      <c r="H591" s="20"/>
      <c r="I591" s="20"/>
    </row>
    <row r="592">
      <c r="B592" s="20"/>
      <c r="C592" s="20"/>
      <c r="D592" s="20"/>
      <c r="E592" s="20"/>
      <c r="F592" s="20"/>
      <c r="G592" s="20"/>
      <c r="H592" s="20"/>
      <c r="I592" s="20"/>
    </row>
    <row r="593">
      <c r="B593" s="20"/>
      <c r="C593" s="20"/>
      <c r="D593" s="20"/>
      <c r="E593" s="20"/>
      <c r="F593" s="20"/>
      <c r="G593" s="20"/>
      <c r="H593" s="20"/>
      <c r="I593" s="20"/>
    </row>
    <row r="594">
      <c r="B594" s="20"/>
      <c r="C594" s="20"/>
      <c r="D594" s="20"/>
      <c r="E594" s="20"/>
      <c r="F594" s="20"/>
      <c r="G594" s="20"/>
      <c r="H594" s="20"/>
      <c r="I594" s="20"/>
    </row>
    <row r="595">
      <c r="B595" s="20"/>
      <c r="C595" s="20"/>
      <c r="D595" s="20"/>
      <c r="E595" s="20"/>
      <c r="F595" s="20"/>
      <c r="G595" s="20"/>
      <c r="H595" s="20"/>
      <c r="I595" s="20"/>
    </row>
    <row r="596">
      <c r="B596" s="20"/>
      <c r="C596" s="20"/>
      <c r="D596" s="20"/>
      <c r="E596" s="20"/>
      <c r="F596" s="20"/>
      <c r="G596" s="20"/>
      <c r="H596" s="20"/>
      <c r="I596" s="20"/>
    </row>
    <row r="597">
      <c r="B597" s="20"/>
      <c r="C597" s="20"/>
      <c r="D597" s="20"/>
      <c r="E597" s="20"/>
      <c r="F597" s="20"/>
      <c r="G597" s="20"/>
      <c r="H597" s="20"/>
      <c r="I597" s="20"/>
    </row>
    <row r="598">
      <c r="B598" s="20"/>
      <c r="C598" s="20"/>
      <c r="D598" s="20"/>
      <c r="E598" s="20"/>
      <c r="F598" s="20"/>
      <c r="G598" s="20"/>
      <c r="H598" s="20"/>
      <c r="I598" s="20"/>
    </row>
    <row r="599">
      <c r="B599" s="20"/>
      <c r="C599" s="20"/>
      <c r="D599" s="20"/>
      <c r="E599" s="20"/>
      <c r="F599" s="20"/>
      <c r="G599" s="20"/>
      <c r="H599" s="20"/>
      <c r="I599" s="20"/>
    </row>
    <row r="600">
      <c r="B600" s="20"/>
      <c r="C600" s="20"/>
      <c r="D600" s="20"/>
      <c r="E600" s="20"/>
      <c r="F600" s="20"/>
      <c r="G600" s="20"/>
      <c r="H600" s="20"/>
      <c r="I600" s="20"/>
    </row>
    <row r="601">
      <c r="B601" s="20"/>
      <c r="C601" s="20"/>
      <c r="D601" s="20"/>
      <c r="E601" s="20"/>
      <c r="F601" s="20"/>
      <c r="G601" s="20"/>
      <c r="H601" s="20"/>
      <c r="I601" s="20"/>
    </row>
    <row r="602">
      <c r="B602" s="20"/>
      <c r="C602" s="20"/>
      <c r="D602" s="20"/>
      <c r="E602" s="20"/>
      <c r="F602" s="20"/>
      <c r="G602" s="20"/>
      <c r="H602" s="20"/>
      <c r="I602" s="20"/>
    </row>
    <row r="603">
      <c r="B603" s="20"/>
      <c r="C603" s="20"/>
      <c r="D603" s="20"/>
      <c r="E603" s="20"/>
      <c r="F603" s="20"/>
      <c r="G603" s="20"/>
      <c r="H603" s="20"/>
      <c r="I603" s="20"/>
    </row>
    <row r="604">
      <c r="B604" s="20"/>
      <c r="C604" s="20"/>
      <c r="D604" s="20"/>
      <c r="E604" s="20"/>
      <c r="F604" s="20"/>
      <c r="G604" s="20"/>
      <c r="H604" s="20"/>
      <c r="I604" s="20"/>
    </row>
    <row r="605">
      <c r="B605" s="20"/>
      <c r="C605" s="20"/>
      <c r="D605" s="20"/>
      <c r="E605" s="20"/>
      <c r="F605" s="20"/>
      <c r="G605" s="20"/>
      <c r="H605" s="20"/>
      <c r="I605" s="20"/>
    </row>
    <row r="606">
      <c r="B606" s="20"/>
      <c r="C606" s="20"/>
      <c r="D606" s="20"/>
      <c r="E606" s="20"/>
      <c r="F606" s="20"/>
      <c r="G606" s="20"/>
      <c r="H606" s="20"/>
      <c r="I606" s="20"/>
    </row>
    <row r="607">
      <c r="B607" s="20"/>
      <c r="C607" s="20"/>
      <c r="D607" s="20"/>
      <c r="E607" s="20"/>
      <c r="F607" s="20"/>
      <c r="G607" s="20"/>
      <c r="H607" s="20"/>
      <c r="I607" s="20"/>
    </row>
    <row r="608">
      <c r="B608" s="20"/>
      <c r="C608" s="20"/>
      <c r="D608" s="20"/>
      <c r="E608" s="20"/>
      <c r="F608" s="20"/>
      <c r="G608" s="20"/>
      <c r="H608" s="20"/>
      <c r="I608" s="20"/>
    </row>
    <row r="609">
      <c r="B609" s="20"/>
      <c r="C609" s="20"/>
      <c r="D609" s="20"/>
      <c r="E609" s="20"/>
      <c r="F609" s="20"/>
      <c r="G609" s="20"/>
      <c r="H609" s="20"/>
      <c r="I609" s="20"/>
    </row>
    <row r="610">
      <c r="B610" s="20"/>
      <c r="C610" s="20"/>
      <c r="D610" s="20"/>
      <c r="E610" s="20"/>
      <c r="F610" s="20"/>
      <c r="G610" s="20"/>
      <c r="H610" s="20"/>
      <c r="I610" s="20"/>
    </row>
    <row r="611">
      <c r="B611" s="20"/>
      <c r="C611" s="20"/>
      <c r="D611" s="20"/>
      <c r="E611" s="20"/>
      <c r="F611" s="20"/>
      <c r="G611" s="20"/>
      <c r="H611" s="20"/>
      <c r="I611" s="20"/>
    </row>
    <row r="612">
      <c r="B612" s="20"/>
      <c r="C612" s="20"/>
      <c r="D612" s="20"/>
      <c r="E612" s="20"/>
      <c r="F612" s="20"/>
      <c r="G612" s="20"/>
      <c r="H612" s="20"/>
      <c r="I612" s="20"/>
    </row>
    <row r="613">
      <c r="B613" s="20"/>
      <c r="C613" s="20"/>
      <c r="D613" s="20"/>
      <c r="E613" s="20"/>
      <c r="F613" s="20"/>
      <c r="G613" s="20"/>
      <c r="H613" s="20"/>
      <c r="I613" s="20"/>
    </row>
    <row r="614">
      <c r="B614" s="20"/>
      <c r="C614" s="20"/>
      <c r="D614" s="20"/>
      <c r="E614" s="20"/>
      <c r="F614" s="20"/>
      <c r="G614" s="20"/>
      <c r="H614" s="20"/>
      <c r="I614" s="20"/>
    </row>
    <row r="615">
      <c r="B615" s="20"/>
      <c r="C615" s="20"/>
      <c r="D615" s="20"/>
      <c r="E615" s="20"/>
      <c r="F615" s="20"/>
      <c r="G615" s="20"/>
      <c r="H615" s="20"/>
      <c r="I615" s="20"/>
    </row>
    <row r="616">
      <c r="B616" s="20"/>
      <c r="C616" s="20"/>
      <c r="D616" s="20"/>
      <c r="E616" s="20"/>
      <c r="F616" s="20"/>
      <c r="G616" s="20"/>
      <c r="H616" s="20"/>
      <c r="I616" s="20"/>
    </row>
    <row r="617">
      <c r="B617" s="20"/>
      <c r="C617" s="20"/>
      <c r="D617" s="20"/>
      <c r="E617" s="20"/>
      <c r="F617" s="20"/>
      <c r="G617" s="20"/>
      <c r="H617" s="20"/>
      <c r="I617" s="20"/>
    </row>
    <row r="618">
      <c r="B618" s="20"/>
      <c r="C618" s="20"/>
      <c r="D618" s="20"/>
      <c r="E618" s="20"/>
      <c r="F618" s="20"/>
      <c r="G618" s="20"/>
      <c r="H618" s="20"/>
      <c r="I618" s="20"/>
    </row>
    <row r="619">
      <c r="B619" s="20"/>
      <c r="C619" s="20"/>
      <c r="D619" s="20"/>
      <c r="E619" s="20"/>
      <c r="F619" s="20"/>
      <c r="G619" s="20"/>
      <c r="H619" s="20"/>
      <c r="I619" s="20"/>
    </row>
    <row r="620">
      <c r="B620" s="20"/>
      <c r="C620" s="20"/>
      <c r="D620" s="20"/>
      <c r="E620" s="20"/>
      <c r="F620" s="20"/>
      <c r="G620" s="20"/>
      <c r="H620" s="20"/>
      <c r="I620" s="20"/>
    </row>
    <row r="621">
      <c r="B621" s="20"/>
      <c r="C621" s="20"/>
      <c r="D621" s="20"/>
      <c r="E621" s="20"/>
      <c r="F621" s="20"/>
      <c r="G621" s="20"/>
      <c r="H621" s="20"/>
      <c r="I621" s="20"/>
    </row>
    <row r="622">
      <c r="B622" s="20"/>
      <c r="C622" s="20"/>
      <c r="D622" s="20"/>
      <c r="E622" s="20"/>
      <c r="F622" s="20"/>
      <c r="G622" s="20"/>
      <c r="H622" s="20"/>
      <c r="I622" s="20"/>
    </row>
    <row r="623">
      <c r="B623" s="20"/>
      <c r="C623" s="20"/>
      <c r="D623" s="20"/>
      <c r="E623" s="20"/>
      <c r="F623" s="20"/>
      <c r="G623" s="20"/>
      <c r="H623" s="20"/>
      <c r="I623" s="20"/>
    </row>
    <row r="624">
      <c r="B624" s="20"/>
      <c r="C624" s="20"/>
      <c r="D624" s="20"/>
      <c r="E624" s="20"/>
      <c r="F624" s="20"/>
      <c r="G624" s="20"/>
      <c r="H624" s="20"/>
      <c r="I624" s="20"/>
    </row>
    <row r="625">
      <c r="B625" s="20"/>
      <c r="C625" s="20"/>
      <c r="D625" s="20"/>
      <c r="E625" s="20"/>
      <c r="F625" s="20"/>
      <c r="G625" s="20"/>
      <c r="H625" s="20"/>
      <c r="I625" s="20"/>
    </row>
    <row r="626">
      <c r="B626" s="20"/>
      <c r="C626" s="20"/>
      <c r="D626" s="20"/>
      <c r="E626" s="20"/>
      <c r="F626" s="20"/>
      <c r="G626" s="20"/>
      <c r="H626" s="20"/>
      <c r="I626" s="20"/>
    </row>
    <row r="627">
      <c r="B627" s="20"/>
      <c r="C627" s="20"/>
      <c r="D627" s="20"/>
      <c r="E627" s="20"/>
      <c r="F627" s="20"/>
      <c r="G627" s="20"/>
      <c r="H627" s="20"/>
      <c r="I627" s="20"/>
    </row>
    <row r="628">
      <c r="B628" s="20"/>
      <c r="C628" s="20"/>
      <c r="D628" s="20"/>
      <c r="E628" s="20"/>
      <c r="F628" s="20"/>
      <c r="G628" s="20"/>
      <c r="H628" s="20"/>
      <c r="I628" s="20"/>
    </row>
    <row r="629">
      <c r="B629" s="20"/>
      <c r="C629" s="20"/>
      <c r="D629" s="20"/>
      <c r="E629" s="20"/>
      <c r="F629" s="20"/>
      <c r="G629" s="20"/>
      <c r="H629" s="20"/>
      <c r="I629" s="20"/>
    </row>
    <row r="630">
      <c r="B630" s="20"/>
      <c r="C630" s="20"/>
      <c r="D630" s="20"/>
      <c r="E630" s="20"/>
      <c r="F630" s="20"/>
      <c r="G630" s="20"/>
      <c r="H630" s="20"/>
      <c r="I630" s="20"/>
    </row>
    <row r="631">
      <c r="B631" s="20"/>
      <c r="C631" s="20"/>
      <c r="D631" s="20"/>
      <c r="E631" s="20"/>
      <c r="F631" s="20"/>
      <c r="G631" s="20"/>
      <c r="H631" s="20"/>
      <c r="I631" s="20"/>
    </row>
    <row r="632">
      <c r="B632" s="20"/>
      <c r="C632" s="20"/>
      <c r="D632" s="20"/>
      <c r="E632" s="20"/>
      <c r="F632" s="20"/>
      <c r="G632" s="20"/>
      <c r="H632" s="20"/>
      <c r="I632" s="20"/>
    </row>
    <row r="633">
      <c r="B633" s="20"/>
      <c r="C633" s="20"/>
      <c r="D633" s="20"/>
      <c r="E633" s="20"/>
      <c r="F633" s="20"/>
      <c r="G633" s="20"/>
      <c r="H633" s="20"/>
      <c r="I633" s="20"/>
    </row>
    <row r="634">
      <c r="B634" s="20"/>
      <c r="C634" s="20"/>
      <c r="D634" s="20"/>
      <c r="E634" s="20"/>
      <c r="F634" s="20"/>
      <c r="G634" s="20"/>
      <c r="H634" s="20"/>
      <c r="I634" s="20"/>
    </row>
    <row r="635">
      <c r="B635" s="20"/>
      <c r="C635" s="20"/>
      <c r="D635" s="20"/>
      <c r="E635" s="20"/>
      <c r="F635" s="20"/>
      <c r="G635" s="20"/>
      <c r="H635" s="20"/>
      <c r="I635" s="20"/>
    </row>
    <row r="636">
      <c r="B636" s="20"/>
      <c r="C636" s="20"/>
      <c r="D636" s="20"/>
      <c r="E636" s="20"/>
      <c r="F636" s="20"/>
      <c r="G636" s="20"/>
      <c r="H636" s="20"/>
      <c r="I636" s="20"/>
    </row>
    <row r="637">
      <c r="B637" s="20"/>
      <c r="C637" s="20"/>
      <c r="D637" s="20"/>
      <c r="E637" s="20"/>
      <c r="F637" s="20"/>
      <c r="G637" s="20"/>
      <c r="H637" s="20"/>
      <c r="I637" s="20"/>
    </row>
    <row r="638">
      <c r="B638" s="20"/>
      <c r="C638" s="20"/>
      <c r="D638" s="20"/>
      <c r="E638" s="20"/>
      <c r="F638" s="20"/>
      <c r="G638" s="20"/>
      <c r="H638" s="20"/>
      <c r="I638" s="20"/>
    </row>
    <row r="639">
      <c r="B639" s="20"/>
      <c r="C639" s="20"/>
      <c r="D639" s="20"/>
      <c r="E639" s="20"/>
      <c r="F639" s="20"/>
      <c r="G639" s="20"/>
      <c r="H639" s="20"/>
      <c r="I639" s="20"/>
    </row>
    <row r="640">
      <c r="B640" s="20"/>
      <c r="C640" s="20"/>
      <c r="D640" s="20"/>
      <c r="E640" s="20"/>
      <c r="F640" s="20"/>
      <c r="G640" s="20"/>
      <c r="H640" s="20"/>
      <c r="I640" s="20"/>
    </row>
    <row r="641">
      <c r="B641" s="20"/>
      <c r="C641" s="20"/>
      <c r="D641" s="20"/>
      <c r="E641" s="20"/>
      <c r="F641" s="20"/>
      <c r="G641" s="20"/>
      <c r="H641" s="20"/>
      <c r="I641" s="20"/>
    </row>
    <row r="642">
      <c r="B642" s="20"/>
      <c r="C642" s="20"/>
      <c r="D642" s="20"/>
      <c r="E642" s="20"/>
      <c r="F642" s="20"/>
      <c r="G642" s="20"/>
      <c r="H642" s="20"/>
      <c r="I642" s="20"/>
    </row>
    <row r="643">
      <c r="B643" s="20"/>
      <c r="C643" s="20"/>
      <c r="D643" s="20"/>
      <c r="E643" s="20"/>
      <c r="F643" s="20"/>
      <c r="G643" s="20"/>
      <c r="H643" s="20"/>
      <c r="I643" s="20"/>
    </row>
    <row r="644">
      <c r="B644" s="20"/>
      <c r="C644" s="20"/>
      <c r="D644" s="20"/>
      <c r="E644" s="20"/>
      <c r="F644" s="20"/>
      <c r="G644" s="20"/>
      <c r="H644" s="20"/>
      <c r="I644" s="20"/>
    </row>
    <row r="645">
      <c r="B645" s="20"/>
      <c r="C645" s="20"/>
      <c r="D645" s="20"/>
      <c r="E645" s="20"/>
      <c r="F645" s="20"/>
      <c r="G645" s="20"/>
      <c r="H645" s="20"/>
      <c r="I645" s="20"/>
    </row>
    <row r="646">
      <c r="B646" s="20"/>
      <c r="C646" s="20"/>
      <c r="D646" s="20"/>
      <c r="E646" s="20"/>
      <c r="F646" s="20"/>
      <c r="G646" s="20"/>
      <c r="H646" s="20"/>
      <c r="I646" s="20"/>
    </row>
    <row r="647">
      <c r="B647" s="20"/>
      <c r="C647" s="20"/>
      <c r="D647" s="20"/>
      <c r="E647" s="20"/>
      <c r="F647" s="20"/>
      <c r="G647" s="20"/>
      <c r="H647" s="20"/>
      <c r="I647" s="20"/>
    </row>
    <row r="648">
      <c r="B648" s="20"/>
      <c r="C648" s="20"/>
      <c r="D648" s="20"/>
      <c r="E648" s="20"/>
      <c r="F648" s="20"/>
      <c r="G648" s="20"/>
      <c r="H648" s="20"/>
      <c r="I648" s="20"/>
    </row>
    <row r="649">
      <c r="B649" s="20"/>
      <c r="C649" s="20"/>
      <c r="D649" s="20"/>
      <c r="E649" s="20"/>
      <c r="F649" s="20"/>
      <c r="G649" s="20"/>
      <c r="H649" s="20"/>
      <c r="I649" s="20"/>
    </row>
    <row r="650">
      <c r="B650" s="20"/>
      <c r="C650" s="20"/>
      <c r="D650" s="20"/>
      <c r="E650" s="20"/>
      <c r="F650" s="20"/>
      <c r="G650" s="20"/>
      <c r="H650" s="20"/>
      <c r="I650" s="20"/>
    </row>
    <row r="651">
      <c r="B651" s="20"/>
      <c r="C651" s="20"/>
      <c r="D651" s="20"/>
      <c r="E651" s="20"/>
      <c r="F651" s="20"/>
      <c r="G651" s="20"/>
      <c r="H651" s="20"/>
      <c r="I651" s="20"/>
    </row>
    <row r="652">
      <c r="B652" s="20"/>
      <c r="C652" s="20"/>
      <c r="D652" s="20"/>
      <c r="E652" s="20"/>
      <c r="F652" s="20"/>
      <c r="G652" s="20"/>
      <c r="H652" s="20"/>
      <c r="I652" s="20"/>
    </row>
    <row r="653">
      <c r="B653" s="20"/>
      <c r="C653" s="20"/>
      <c r="D653" s="20"/>
      <c r="E653" s="20"/>
      <c r="F653" s="20"/>
      <c r="G653" s="20"/>
      <c r="H653" s="20"/>
      <c r="I653" s="20"/>
    </row>
    <row r="654">
      <c r="B654" s="20"/>
      <c r="C654" s="20"/>
      <c r="D654" s="20"/>
      <c r="E654" s="20"/>
      <c r="F654" s="20"/>
      <c r="G654" s="20"/>
      <c r="H654" s="20"/>
      <c r="I654" s="20"/>
    </row>
    <row r="655">
      <c r="B655" s="20"/>
      <c r="C655" s="20"/>
      <c r="D655" s="20"/>
      <c r="E655" s="20"/>
      <c r="F655" s="20"/>
      <c r="G655" s="20"/>
      <c r="H655" s="20"/>
      <c r="I655" s="20"/>
    </row>
    <row r="656">
      <c r="B656" s="20"/>
      <c r="C656" s="20"/>
      <c r="D656" s="20"/>
      <c r="E656" s="20"/>
      <c r="F656" s="20"/>
      <c r="G656" s="20"/>
      <c r="H656" s="20"/>
      <c r="I656" s="20"/>
    </row>
    <row r="657">
      <c r="B657" s="20"/>
      <c r="C657" s="20"/>
      <c r="D657" s="20"/>
      <c r="E657" s="20"/>
      <c r="F657" s="20"/>
      <c r="G657" s="20"/>
      <c r="H657" s="20"/>
      <c r="I657" s="20"/>
    </row>
    <row r="658">
      <c r="B658" s="20"/>
      <c r="C658" s="20"/>
      <c r="D658" s="20"/>
      <c r="E658" s="20"/>
      <c r="F658" s="20"/>
      <c r="G658" s="20"/>
      <c r="H658" s="20"/>
      <c r="I658" s="20"/>
    </row>
    <row r="659">
      <c r="B659" s="20"/>
      <c r="C659" s="20"/>
      <c r="D659" s="20"/>
      <c r="E659" s="20"/>
      <c r="F659" s="20"/>
      <c r="G659" s="20"/>
      <c r="H659" s="20"/>
      <c r="I659" s="20"/>
    </row>
    <row r="660">
      <c r="B660" s="20"/>
      <c r="C660" s="20"/>
      <c r="D660" s="20"/>
      <c r="E660" s="20"/>
      <c r="F660" s="20"/>
      <c r="G660" s="20"/>
      <c r="H660" s="20"/>
      <c r="I660" s="20"/>
    </row>
    <row r="661">
      <c r="B661" s="20"/>
      <c r="C661" s="20"/>
      <c r="D661" s="20"/>
      <c r="E661" s="20"/>
      <c r="F661" s="20"/>
      <c r="G661" s="20"/>
      <c r="H661" s="20"/>
      <c r="I661" s="20"/>
    </row>
    <row r="662">
      <c r="B662" s="20"/>
      <c r="C662" s="20"/>
      <c r="D662" s="20"/>
      <c r="E662" s="20"/>
      <c r="F662" s="20"/>
      <c r="G662" s="20"/>
      <c r="H662" s="20"/>
      <c r="I662" s="20"/>
    </row>
    <row r="663">
      <c r="B663" s="20"/>
      <c r="C663" s="20"/>
      <c r="D663" s="20"/>
      <c r="E663" s="20"/>
      <c r="F663" s="20"/>
      <c r="G663" s="20"/>
      <c r="H663" s="20"/>
      <c r="I663" s="20"/>
    </row>
    <row r="664">
      <c r="B664" s="20"/>
      <c r="C664" s="20"/>
      <c r="D664" s="20"/>
      <c r="E664" s="20"/>
      <c r="F664" s="20"/>
      <c r="G664" s="20"/>
      <c r="H664" s="20"/>
      <c r="I664" s="20"/>
    </row>
    <row r="665">
      <c r="B665" s="20"/>
      <c r="C665" s="20"/>
      <c r="D665" s="20"/>
      <c r="E665" s="20"/>
      <c r="F665" s="20"/>
      <c r="G665" s="20"/>
      <c r="H665" s="20"/>
      <c r="I665" s="20"/>
    </row>
    <row r="666">
      <c r="B666" s="20"/>
      <c r="C666" s="20"/>
      <c r="D666" s="20"/>
      <c r="E666" s="20"/>
      <c r="F666" s="20"/>
      <c r="G666" s="20"/>
      <c r="H666" s="20"/>
      <c r="I666" s="20"/>
    </row>
    <row r="667">
      <c r="B667" s="20"/>
      <c r="C667" s="20"/>
      <c r="D667" s="20"/>
      <c r="E667" s="20"/>
      <c r="F667" s="20"/>
      <c r="G667" s="20"/>
      <c r="H667" s="20"/>
      <c r="I667" s="20"/>
    </row>
    <row r="668">
      <c r="B668" s="20"/>
      <c r="C668" s="20"/>
      <c r="D668" s="20"/>
      <c r="E668" s="20"/>
      <c r="F668" s="20"/>
      <c r="G668" s="20"/>
      <c r="H668" s="20"/>
      <c r="I668" s="20"/>
    </row>
    <row r="669">
      <c r="B669" s="20"/>
      <c r="C669" s="20"/>
      <c r="D669" s="20"/>
      <c r="E669" s="20"/>
      <c r="F669" s="20"/>
      <c r="G669" s="20"/>
      <c r="H669" s="20"/>
      <c r="I669" s="20"/>
    </row>
    <row r="670">
      <c r="B670" s="20"/>
      <c r="C670" s="20"/>
      <c r="D670" s="20"/>
      <c r="E670" s="20"/>
      <c r="F670" s="20"/>
      <c r="G670" s="20"/>
      <c r="H670" s="20"/>
      <c r="I670" s="20"/>
    </row>
    <row r="671">
      <c r="B671" s="20"/>
      <c r="C671" s="20"/>
      <c r="D671" s="20"/>
      <c r="E671" s="20"/>
      <c r="F671" s="20"/>
      <c r="G671" s="20"/>
      <c r="H671" s="20"/>
      <c r="I671" s="20"/>
    </row>
    <row r="672">
      <c r="B672" s="20"/>
      <c r="C672" s="20"/>
      <c r="D672" s="20"/>
      <c r="E672" s="20"/>
      <c r="F672" s="20"/>
      <c r="G672" s="20"/>
      <c r="H672" s="20"/>
      <c r="I672" s="20"/>
    </row>
    <row r="673">
      <c r="B673" s="20"/>
      <c r="C673" s="20"/>
      <c r="D673" s="20"/>
      <c r="E673" s="20"/>
      <c r="F673" s="20"/>
      <c r="G673" s="20"/>
      <c r="H673" s="20"/>
      <c r="I673" s="20"/>
    </row>
    <row r="674">
      <c r="B674" s="20"/>
      <c r="C674" s="20"/>
      <c r="D674" s="20"/>
      <c r="E674" s="20"/>
      <c r="F674" s="20"/>
      <c r="G674" s="20"/>
      <c r="H674" s="20"/>
      <c r="I674" s="20"/>
    </row>
    <row r="675">
      <c r="B675" s="20"/>
      <c r="C675" s="20"/>
      <c r="D675" s="20"/>
      <c r="E675" s="20"/>
      <c r="F675" s="20"/>
      <c r="G675" s="20"/>
      <c r="H675" s="20"/>
      <c r="I675" s="20"/>
    </row>
    <row r="676">
      <c r="B676" s="20"/>
      <c r="C676" s="20"/>
      <c r="D676" s="20"/>
      <c r="E676" s="20"/>
      <c r="F676" s="20"/>
      <c r="G676" s="20"/>
      <c r="H676" s="20"/>
      <c r="I676" s="20"/>
    </row>
    <row r="677">
      <c r="B677" s="20"/>
      <c r="C677" s="20"/>
      <c r="D677" s="20"/>
      <c r="E677" s="20"/>
      <c r="F677" s="20"/>
      <c r="G677" s="20"/>
      <c r="H677" s="20"/>
      <c r="I677" s="20"/>
    </row>
    <row r="678">
      <c r="B678" s="20"/>
      <c r="C678" s="20"/>
      <c r="D678" s="20"/>
      <c r="E678" s="20"/>
      <c r="F678" s="20"/>
      <c r="G678" s="20"/>
      <c r="H678" s="20"/>
      <c r="I678" s="20"/>
    </row>
    <row r="679">
      <c r="B679" s="20"/>
      <c r="C679" s="20"/>
      <c r="D679" s="20"/>
      <c r="E679" s="20"/>
      <c r="F679" s="20"/>
      <c r="G679" s="20"/>
      <c r="H679" s="20"/>
      <c r="I679" s="20"/>
    </row>
    <row r="680">
      <c r="B680" s="20"/>
      <c r="C680" s="20"/>
      <c r="D680" s="20"/>
      <c r="E680" s="20"/>
      <c r="F680" s="20"/>
      <c r="G680" s="20"/>
      <c r="H680" s="20"/>
      <c r="I680" s="20"/>
    </row>
    <row r="681">
      <c r="B681" s="20"/>
      <c r="C681" s="20"/>
      <c r="D681" s="20"/>
      <c r="E681" s="20"/>
      <c r="F681" s="20"/>
      <c r="G681" s="20"/>
      <c r="H681" s="20"/>
      <c r="I681" s="20"/>
    </row>
    <row r="682">
      <c r="B682" s="20"/>
      <c r="C682" s="20"/>
      <c r="D682" s="20"/>
      <c r="E682" s="20"/>
      <c r="F682" s="20"/>
      <c r="G682" s="20"/>
      <c r="H682" s="20"/>
      <c r="I682" s="20"/>
    </row>
    <row r="683">
      <c r="B683" s="20"/>
      <c r="C683" s="20"/>
      <c r="D683" s="20"/>
      <c r="E683" s="20"/>
      <c r="F683" s="20"/>
      <c r="G683" s="20"/>
      <c r="H683" s="20"/>
      <c r="I683" s="20"/>
    </row>
    <row r="684">
      <c r="B684" s="20"/>
      <c r="C684" s="20"/>
      <c r="D684" s="20"/>
      <c r="E684" s="20"/>
      <c r="F684" s="20"/>
      <c r="G684" s="20"/>
      <c r="H684" s="20"/>
      <c r="I684" s="20"/>
    </row>
    <row r="685">
      <c r="B685" s="20"/>
      <c r="C685" s="20"/>
      <c r="D685" s="20"/>
      <c r="E685" s="20"/>
      <c r="F685" s="20"/>
      <c r="G685" s="20"/>
      <c r="H685" s="20"/>
      <c r="I685" s="20"/>
    </row>
    <row r="686">
      <c r="B686" s="20"/>
      <c r="C686" s="20"/>
      <c r="D686" s="20"/>
      <c r="E686" s="20"/>
      <c r="F686" s="20"/>
      <c r="G686" s="20"/>
      <c r="H686" s="20"/>
      <c r="I686" s="20"/>
    </row>
    <row r="687">
      <c r="B687" s="20"/>
      <c r="C687" s="20"/>
      <c r="D687" s="20"/>
      <c r="E687" s="20"/>
      <c r="F687" s="20"/>
      <c r="G687" s="20"/>
      <c r="H687" s="20"/>
      <c r="I687" s="20"/>
    </row>
    <row r="688">
      <c r="B688" s="20"/>
      <c r="C688" s="20"/>
      <c r="D688" s="20"/>
      <c r="E688" s="20"/>
      <c r="F688" s="20"/>
      <c r="G688" s="20"/>
      <c r="H688" s="20"/>
      <c r="I688" s="20"/>
    </row>
    <row r="689">
      <c r="B689" s="20"/>
      <c r="C689" s="20"/>
      <c r="D689" s="20"/>
      <c r="E689" s="20"/>
      <c r="F689" s="20"/>
      <c r="G689" s="20"/>
      <c r="H689" s="20"/>
      <c r="I689" s="20"/>
    </row>
    <row r="690">
      <c r="B690" s="20"/>
      <c r="C690" s="20"/>
      <c r="D690" s="20"/>
      <c r="E690" s="20"/>
      <c r="F690" s="20"/>
      <c r="G690" s="20"/>
      <c r="H690" s="20"/>
      <c r="I690" s="20"/>
    </row>
    <row r="691">
      <c r="B691" s="20"/>
      <c r="C691" s="20"/>
      <c r="D691" s="20"/>
      <c r="E691" s="20"/>
      <c r="F691" s="20"/>
      <c r="G691" s="20"/>
      <c r="H691" s="20"/>
      <c r="I691" s="20"/>
    </row>
    <row r="692">
      <c r="B692" s="20"/>
      <c r="C692" s="20"/>
      <c r="D692" s="20"/>
      <c r="E692" s="20"/>
      <c r="F692" s="20"/>
      <c r="G692" s="20"/>
      <c r="H692" s="20"/>
      <c r="I692" s="20"/>
    </row>
    <row r="693">
      <c r="B693" s="20"/>
      <c r="C693" s="20"/>
      <c r="D693" s="20"/>
      <c r="E693" s="20"/>
      <c r="F693" s="20"/>
      <c r="G693" s="20"/>
      <c r="H693" s="20"/>
      <c r="I693" s="20"/>
    </row>
    <row r="694">
      <c r="B694" s="20"/>
      <c r="C694" s="20"/>
      <c r="D694" s="20"/>
      <c r="E694" s="20"/>
      <c r="F694" s="20"/>
      <c r="G694" s="20"/>
      <c r="H694" s="20"/>
      <c r="I694" s="20"/>
    </row>
    <row r="695">
      <c r="B695" s="20"/>
      <c r="C695" s="20"/>
      <c r="D695" s="20"/>
      <c r="E695" s="20"/>
      <c r="F695" s="20"/>
      <c r="G695" s="20"/>
      <c r="H695" s="20"/>
      <c r="I695" s="20"/>
    </row>
    <row r="696">
      <c r="B696" s="20"/>
      <c r="C696" s="20"/>
      <c r="D696" s="20"/>
      <c r="E696" s="20"/>
      <c r="F696" s="20"/>
      <c r="G696" s="20"/>
      <c r="H696" s="20"/>
      <c r="I696" s="20"/>
    </row>
    <row r="697">
      <c r="B697" s="20"/>
      <c r="C697" s="20"/>
      <c r="D697" s="20"/>
      <c r="E697" s="20"/>
      <c r="F697" s="20"/>
      <c r="G697" s="20"/>
      <c r="H697" s="20"/>
      <c r="I697" s="20"/>
    </row>
    <row r="698">
      <c r="B698" s="20"/>
      <c r="C698" s="20"/>
      <c r="D698" s="20"/>
      <c r="E698" s="20"/>
      <c r="F698" s="20"/>
      <c r="G698" s="20"/>
      <c r="H698" s="20"/>
      <c r="I698" s="20"/>
    </row>
    <row r="699">
      <c r="B699" s="20"/>
      <c r="C699" s="20"/>
      <c r="D699" s="20"/>
      <c r="E699" s="20"/>
      <c r="F699" s="20"/>
      <c r="G699" s="20"/>
      <c r="H699" s="20"/>
      <c r="I699" s="20"/>
    </row>
    <row r="700">
      <c r="B700" s="20"/>
      <c r="C700" s="20"/>
      <c r="D700" s="20"/>
      <c r="E700" s="20"/>
      <c r="F700" s="20"/>
      <c r="G700" s="20"/>
      <c r="H700" s="20"/>
      <c r="I700" s="20"/>
    </row>
    <row r="701">
      <c r="B701" s="20"/>
      <c r="C701" s="20"/>
      <c r="D701" s="20"/>
      <c r="E701" s="20"/>
      <c r="F701" s="20"/>
      <c r="G701" s="20"/>
      <c r="H701" s="20"/>
      <c r="I701" s="20"/>
    </row>
    <row r="702">
      <c r="B702" s="20"/>
      <c r="C702" s="20"/>
      <c r="D702" s="20"/>
      <c r="E702" s="20"/>
      <c r="F702" s="20"/>
      <c r="G702" s="20"/>
      <c r="H702" s="20"/>
      <c r="I702" s="20"/>
    </row>
    <row r="703">
      <c r="B703" s="20"/>
      <c r="C703" s="20"/>
      <c r="D703" s="20"/>
      <c r="E703" s="20"/>
      <c r="F703" s="20"/>
      <c r="G703" s="20"/>
      <c r="H703" s="20"/>
      <c r="I703" s="20"/>
    </row>
    <row r="704">
      <c r="B704" s="20"/>
      <c r="C704" s="20"/>
      <c r="D704" s="20"/>
      <c r="E704" s="20"/>
      <c r="F704" s="20"/>
      <c r="G704" s="20"/>
      <c r="H704" s="20"/>
      <c r="I704" s="20"/>
    </row>
    <row r="705">
      <c r="B705" s="20"/>
      <c r="C705" s="20"/>
      <c r="D705" s="20"/>
      <c r="E705" s="20"/>
      <c r="F705" s="20"/>
      <c r="G705" s="20"/>
      <c r="H705" s="20"/>
      <c r="I705" s="20"/>
    </row>
    <row r="706">
      <c r="B706" s="20"/>
      <c r="C706" s="20"/>
      <c r="D706" s="20"/>
      <c r="E706" s="20"/>
      <c r="F706" s="20"/>
      <c r="G706" s="20"/>
      <c r="H706" s="20"/>
      <c r="I706" s="20"/>
    </row>
    <row r="707">
      <c r="B707" s="20"/>
      <c r="C707" s="20"/>
      <c r="D707" s="20"/>
      <c r="E707" s="20"/>
      <c r="F707" s="20"/>
      <c r="G707" s="20"/>
      <c r="H707" s="20"/>
      <c r="I707" s="20"/>
    </row>
    <row r="708">
      <c r="B708" s="20"/>
      <c r="C708" s="20"/>
      <c r="D708" s="20"/>
      <c r="E708" s="20"/>
      <c r="F708" s="20"/>
      <c r="G708" s="20"/>
      <c r="H708" s="20"/>
      <c r="I708" s="20"/>
    </row>
    <row r="709">
      <c r="B709" s="20"/>
      <c r="C709" s="20"/>
      <c r="D709" s="20"/>
      <c r="E709" s="20"/>
      <c r="F709" s="20"/>
      <c r="G709" s="20"/>
      <c r="H709" s="20"/>
      <c r="I709" s="20"/>
    </row>
    <row r="710">
      <c r="B710" s="20"/>
      <c r="C710" s="20"/>
      <c r="D710" s="20"/>
      <c r="E710" s="20"/>
      <c r="F710" s="20"/>
      <c r="G710" s="20"/>
      <c r="H710" s="20"/>
      <c r="I710" s="20"/>
    </row>
    <row r="711">
      <c r="B711" s="20"/>
      <c r="C711" s="20"/>
      <c r="D711" s="20"/>
      <c r="E711" s="20"/>
      <c r="F711" s="20"/>
      <c r="G711" s="20"/>
      <c r="H711" s="20"/>
      <c r="I711" s="20"/>
    </row>
    <row r="712">
      <c r="B712" s="20"/>
      <c r="C712" s="20"/>
      <c r="D712" s="20"/>
      <c r="E712" s="20"/>
      <c r="F712" s="20"/>
      <c r="G712" s="20"/>
      <c r="H712" s="20"/>
      <c r="I712" s="20"/>
    </row>
    <row r="713">
      <c r="B713" s="20"/>
      <c r="C713" s="20"/>
      <c r="D713" s="20"/>
      <c r="E713" s="20"/>
      <c r="F713" s="20"/>
      <c r="G713" s="20"/>
      <c r="H713" s="20"/>
      <c r="I713" s="20"/>
    </row>
    <row r="714">
      <c r="B714" s="20"/>
      <c r="C714" s="20"/>
      <c r="D714" s="20"/>
      <c r="E714" s="20"/>
      <c r="F714" s="20"/>
      <c r="G714" s="20"/>
      <c r="H714" s="20"/>
      <c r="I714" s="20"/>
    </row>
    <row r="715">
      <c r="B715" s="20"/>
      <c r="C715" s="20"/>
      <c r="D715" s="20"/>
      <c r="E715" s="20"/>
      <c r="F715" s="20"/>
      <c r="G715" s="20"/>
      <c r="H715" s="20"/>
      <c r="I715" s="20"/>
    </row>
    <row r="716">
      <c r="B716" s="20"/>
      <c r="C716" s="20"/>
      <c r="D716" s="20"/>
      <c r="E716" s="20"/>
      <c r="F716" s="20"/>
      <c r="G716" s="20"/>
      <c r="H716" s="20"/>
      <c r="I716" s="20"/>
    </row>
    <row r="717">
      <c r="B717" s="20"/>
      <c r="C717" s="20"/>
      <c r="D717" s="20"/>
      <c r="E717" s="20"/>
      <c r="F717" s="20"/>
      <c r="G717" s="20"/>
      <c r="H717" s="20"/>
      <c r="I717" s="20"/>
    </row>
    <row r="718">
      <c r="B718" s="20"/>
      <c r="C718" s="20"/>
      <c r="D718" s="20"/>
      <c r="E718" s="20"/>
      <c r="F718" s="20"/>
      <c r="G718" s="20"/>
      <c r="H718" s="20"/>
      <c r="I718" s="20"/>
    </row>
    <row r="719">
      <c r="B719" s="20"/>
      <c r="C719" s="20"/>
      <c r="D719" s="20"/>
      <c r="E719" s="20"/>
      <c r="F719" s="20"/>
      <c r="G719" s="20"/>
      <c r="H719" s="20"/>
      <c r="I719" s="20"/>
    </row>
    <row r="720">
      <c r="B720" s="20"/>
      <c r="C720" s="20"/>
      <c r="D720" s="20"/>
      <c r="E720" s="20"/>
      <c r="F720" s="20"/>
      <c r="G720" s="20"/>
      <c r="H720" s="20"/>
      <c r="I720" s="20"/>
    </row>
    <row r="721">
      <c r="B721" s="20"/>
      <c r="C721" s="20"/>
      <c r="D721" s="20"/>
      <c r="E721" s="20"/>
      <c r="F721" s="20"/>
      <c r="G721" s="20"/>
      <c r="H721" s="20"/>
      <c r="I721" s="20"/>
    </row>
    <row r="722">
      <c r="B722" s="20"/>
      <c r="C722" s="20"/>
      <c r="D722" s="20"/>
      <c r="E722" s="20"/>
      <c r="F722" s="20"/>
      <c r="G722" s="20"/>
      <c r="H722" s="20"/>
      <c r="I722" s="20"/>
    </row>
    <row r="723">
      <c r="B723" s="20"/>
      <c r="C723" s="20"/>
      <c r="D723" s="20"/>
      <c r="E723" s="20"/>
      <c r="F723" s="20"/>
      <c r="G723" s="20"/>
      <c r="H723" s="20"/>
      <c r="I723" s="20"/>
    </row>
    <row r="724">
      <c r="B724" s="20"/>
      <c r="C724" s="20"/>
      <c r="D724" s="20"/>
      <c r="E724" s="20"/>
      <c r="F724" s="20"/>
      <c r="G724" s="20"/>
      <c r="H724" s="20"/>
      <c r="I724" s="20"/>
    </row>
    <row r="725">
      <c r="B725" s="20"/>
      <c r="C725" s="20"/>
      <c r="D725" s="20"/>
      <c r="E725" s="20"/>
      <c r="F725" s="20"/>
      <c r="G725" s="20"/>
      <c r="H725" s="20"/>
      <c r="I725" s="20"/>
    </row>
    <row r="726">
      <c r="B726" s="20"/>
      <c r="C726" s="20"/>
      <c r="D726" s="20"/>
      <c r="E726" s="20"/>
      <c r="F726" s="20"/>
      <c r="G726" s="20"/>
      <c r="H726" s="20"/>
      <c r="I726" s="20"/>
    </row>
    <row r="727">
      <c r="B727" s="20"/>
      <c r="C727" s="20"/>
      <c r="D727" s="20"/>
      <c r="E727" s="20"/>
      <c r="F727" s="20"/>
      <c r="G727" s="20"/>
      <c r="H727" s="20"/>
      <c r="I727" s="20"/>
    </row>
    <row r="728">
      <c r="B728" s="20"/>
      <c r="C728" s="20"/>
      <c r="D728" s="20"/>
      <c r="E728" s="20"/>
      <c r="F728" s="20"/>
      <c r="G728" s="20"/>
      <c r="H728" s="20"/>
      <c r="I728" s="20"/>
    </row>
    <row r="729">
      <c r="B729" s="20"/>
      <c r="C729" s="20"/>
      <c r="D729" s="20"/>
      <c r="E729" s="20"/>
      <c r="F729" s="20"/>
      <c r="G729" s="20"/>
      <c r="H729" s="20"/>
      <c r="I729" s="20"/>
    </row>
    <row r="730">
      <c r="B730" s="20"/>
      <c r="C730" s="20"/>
      <c r="D730" s="20"/>
      <c r="E730" s="20"/>
      <c r="F730" s="20"/>
      <c r="G730" s="20"/>
      <c r="H730" s="20"/>
      <c r="I730" s="20"/>
    </row>
    <row r="731">
      <c r="B731" s="20"/>
      <c r="C731" s="20"/>
      <c r="D731" s="20"/>
      <c r="E731" s="20"/>
      <c r="F731" s="20"/>
      <c r="G731" s="20"/>
      <c r="H731" s="20"/>
      <c r="I731" s="20"/>
    </row>
    <row r="732">
      <c r="B732" s="20"/>
      <c r="C732" s="20"/>
      <c r="D732" s="20"/>
      <c r="E732" s="20"/>
      <c r="F732" s="20"/>
      <c r="G732" s="20"/>
      <c r="H732" s="20"/>
      <c r="I732" s="20"/>
    </row>
    <row r="733">
      <c r="B733" s="20"/>
      <c r="C733" s="20"/>
      <c r="D733" s="20"/>
      <c r="E733" s="20"/>
      <c r="F733" s="20"/>
      <c r="G733" s="20"/>
      <c r="H733" s="20"/>
      <c r="I733" s="20"/>
    </row>
    <row r="734">
      <c r="B734" s="20"/>
      <c r="C734" s="20"/>
      <c r="D734" s="20"/>
      <c r="E734" s="20"/>
      <c r="F734" s="20"/>
      <c r="G734" s="20"/>
      <c r="H734" s="20"/>
      <c r="I734" s="20"/>
    </row>
    <row r="735">
      <c r="B735" s="20"/>
      <c r="C735" s="20"/>
      <c r="D735" s="20"/>
      <c r="E735" s="20"/>
      <c r="F735" s="20"/>
      <c r="G735" s="20"/>
      <c r="H735" s="20"/>
      <c r="I735" s="20"/>
    </row>
    <row r="736">
      <c r="B736" s="20"/>
      <c r="C736" s="20"/>
      <c r="D736" s="20"/>
      <c r="E736" s="20"/>
      <c r="F736" s="20"/>
      <c r="G736" s="20"/>
      <c r="H736" s="20"/>
      <c r="I736" s="20"/>
    </row>
    <row r="737">
      <c r="B737" s="20"/>
      <c r="C737" s="20"/>
      <c r="D737" s="20"/>
      <c r="E737" s="20"/>
      <c r="F737" s="20"/>
      <c r="G737" s="20"/>
      <c r="H737" s="20"/>
      <c r="I737" s="20"/>
    </row>
    <row r="738">
      <c r="B738" s="20"/>
      <c r="C738" s="20"/>
      <c r="D738" s="20"/>
      <c r="E738" s="20"/>
      <c r="F738" s="20"/>
      <c r="G738" s="20"/>
      <c r="H738" s="20"/>
      <c r="I738" s="20"/>
    </row>
    <row r="739">
      <c r="B739" s="20"/>
      <c r="C739" s="20"/>
      <c r="D739" s="20"/>
      <c r="E739" s="20"/>
      <c r="F739" s="20"/>
      <c r="G739" s="20"/>
      <c r="H739" s="20"/>
      <c r="I739" s="20"/>
    </row>
    <row r="740">
      <c r="B740" s="20"/>
      <c r="C740" s="20"/>
      <c r="D740" s="20"/>
      <c r="E740" s="20"/>
      <c r="F740" s="20"/>
      <c r="G740" s="20"/>
      <c r="H740" s="20"/>
      <c r="I740" s="20"/>
    </row>
    <row r="741">
      <c r="B741" s="20"/>
      <c r="C741" s="20"/>
      <c r="D741" s="20"/>
      <c r="E741" s="20"/>
      <c r="F741" s="20"/>
      <c r="G741" s="20"/>
      <c r="H741" s="20"/>
      <c r="I741" s="20"/>
    </row>
    <row r="742">
      <c r="B742" s="20"/>
      <c r="C742" s="20"/>
      <c r="D742" s="20"/>
      <c r="E742" s="20"/>
      <c r="F742" s="20"/>
      <c r="G742" s="20"/>
      <c r="H742" s="20"/>
      <c r="I742" s="20"/>
    </row>
    <row r="743">
      <c r="B743" s="20"/>
      <c r="C743" s="20"/>
      <c r="D743" s="20"/>
      <c r="E743" s="20"/>
      <c r="F743" s="20"/>
      <c r="G743" s="20"/>
      <c r="H743" s="20"/>
      <c r="I743" s="20"/>
    </row>
    <row r="744">
      <c r="B744" s="20"/>
      <c r="C744" s="20"/>
      <c r="D744" s="20"/>
      <c r="E744" s="20"/>
      <c r="F744" s="20"/>
      <c r="G744" s="20"/>
      <c r="H744" s="20"/>
      <c r="I744" s="20"/>
    </row>
    <row r="745">
      <c r="B745" s="20"/>
      <c r="C745" s="20"/>
      <c r="D745" s="20"/>
      <c r="E745" s="20"/>
      <c r="F745" s="20"/>
      <c r="G745" s="20"/>
      <c r="H745" s="20"/>
      <c r="I745" s="20"/>
    </row>
    <row r="746">
      <c r="B746" s="20"/>
      <c r="C746" s="20"/>
      <c r="D746" s="20"/>
      <c r="E746" s="20"/>
      <c r="F746" s="20"/>
      <c r="G746" s="20"/>
      <c r="H746" s="20"/>
      <c r="I746" s="20"/>
    </row>
    <row r="747">
      <c r="B747" s="20"/>
      <c r="C747" s="20"/>
      <c r="D747" s="20"/>
      <c r="E747" s="20"/>
      <c r="F747" s="20"/>
      <c r="G747" s="20"/>
      <c r="H747" s="20"/>
      <c r="I747" s="20"/>
    </row>
    <row r="748">
      <c r="B748" s="20"/>
      <c r="C748" s="20"/>
      <c r="D748" s="20"/>
      <c r="E748" s="20"/>
      <c r="F748" s="20"/>
      <c r="G748" s="20"/>
      <c r="H748" s="20"/>
      <c r="I748" s="20"/>
    </row>
    <row r="749">
      <c r="B749" s="20"/>
      <c r="C749" s="20"/>
      <c r="D749" s="20"/>
      <c r="E749" s="20"/>
      <c r="F749" s="20"/>
      <c r="G749" s="20"/>
      <c r="H749" s="20"/>
      <c r="I749" s="20"/>
    </row>
    <row r="750">
      <c r="B750" s="20"/>
      <c r="C750" s="20"/>
      <c r="D750" s="20"/>
      <c r="E750" s="20"/>
      <c r="F750" s="20"/>
      <c r="G750" s="20"/>
      <c r="H750" s="20"/>
      <c r="I750" s="20"/>
    </row>
    <row r="751">
      <c r="B751" s="20"/>
      <c r="C751" s="20"/>
      <c r="D751" s="20"/>
      <c r="E751" s="20"/>
      <c r="F751" s="20"/>
      <c r="G751" s="20"/>
      <c r="H751" s="20"/>
      <c r="I751" s="20"/>
    </row>
    <row r="752">
      <c r="B752" s="20"/>
      <c r="C752" s="20"/>
      <c r="D752" s="20"/>
      <c r="E752" s="20"/>
      <c r="F752" s="20"/>
      <c r="G752" s="20"/>
      <c r="H752" s="20"/>
      <c r="I752" s="20"/>
    </row>
    <row r="753">
      <c r="B753" s="20"/>
      <c r="C753" s="20"/>
      <c r="D753" s="20"/>
      <c r="E753" s="20"/>
      <c r="F753" s="20"/>
      <c r="G753" s="20"/>
      <c r="H753" s="20"/>
      <c r="I753" s="20"/>
    </row>
    <row r="754">
      <c r="B754" s="20"/>
      <c r="C754" s="20"/>
      <c r="D754" s="20"/>
      <c r="E754" s="20"/>
      <c r="F754" s="20"/>
      <c r="G754" s="20"/>
      <c r="H754" s="20"/>
      <c r="I754" s="20"/>
    </row>
    <row r="755">
      <c r="B755" s="20"/>
      <c r="C755" s="20"/>
      <c r="D755" s="20"/>
      <c r="E755" s="20"/>
      <c r="F755" s="20"/>
      <c r="G755" s="20"/>
      <c r="H755" s="20"/>
      <c r="I755" s="20"/>
    </row>
    <row r="756">
      <c r="B756" s="20"/>
      <c r="C756" s="20"/>
      <c r="D756" s="20"/>
      <c r="E756" s="20"/>
      <c r="F756" s="20"/>
      <c r="G756" s="20"/>
      <c r="H756" s="20"/>
      <c r="I756" s="20"/>
    </row>
    <row r="757">
      <c r="B757" s="20"/>
      <c r="C757" s="20"/>
      <c r="D757" s="20"/>
      <c r="E757" s="20"/>
      <c r="F757" s="20"/>
      <c r="G757" s="20"/>
      <c r="H757" s="20"/>
      <c r="I757" s="20"/>
    </row>
    <row r="758">
      <c r="B758" s="20"/>
      <c r="C758" s="20"/>
      <c r="D758" s="20"/>
      <c r="E758" s="20"/>
      <c r="F758" s="20"/>
      <c r="G758" s="20"/>
      <c r="H758" s="20"/>
      <c r="I758" s="20"/>
    </row>
    <row r="759">
      <c r="B759" s="20"/>
      <c r="C759" s="20"/>
      <c r="D759" s="20"/>
      <c r="E759" s="20"/>
      <c r="F759" s="20"/>
      <c r="G759" s="20"/>
      <c r="H759" s="20"/>
      <c r="I759" s="20"/>
    </row>
    <row r="760">
      <c r="B760" s="20"/>
      <c r="C760" s="20"/>
      <c r="D760" s="20"/>
      <c r="E760" s="20"/>
      <c r="F760" s="20"/>
      <c r="G760" s="20"/>
      <c r="H760" s="20"/>
      <c r="I760" s="20"/>
    </row>
    <row r="761">
      <c r="B761" s="20"/>
      <c r="C761" s="20"/>
      <c r="D761" s="20"/>
      <c r="E761" s="20"/>
      <c r="F761" s="20"/>
      <c r="G761" s="20"/>
      <c r="H761" s="20"/>
      <c r="I761" s="20"/>
    </row>
    <row r="762">
      <c r="B762" s="20"/>
      <c r="C762" s="20"/>
      <c r="D762" s="20"/>
      <c r="E762" s="20"/>
      <c r="F762" s="20"/>
      <c r="G762" s="20"/>
      <c r="H762" s="20"/>
      <c r="I762" s="20"/>
    </row>
    <row r="763">
      <c r="B763" s="20"/>
      <c r="C763" s="20"/>
      <c r="D763" s="20"/>
      <c r="E763" s="20"/>
      <c r="F763" s="20"/>
      <c r="G763" s="20"/>
      <c r="H763" s="20"/>
      <c r="I763" s="20"/>
    </row>
    <row r="764">
      <c r="B764" s="20"/>
      <c r="C764" s="20"/>
      <c r="D764" s="20"/>
      <c r="E764" s="20"/>
      <c r="F764" s="20"/>
      <c r="G764" s="20"/>
      <c r="H764" s="20"/>
      <c r="I764" s="20"/>
    </row>
    <row r="765">
      <c r="B765" s="20"/>
      <c r="C765" s="20"/>
      <c r="D765" s="20"/>
      <c r="E765" s="20"/>
      <c r="F765" s="20"/>
      <c r="G765" s="20"/>
      <c r="H765" s="20"/>
      <c r="I765" s="20"/>
    </row>
    <row r="766">
      <c r="B766" s="20"/>
      <c r="C766" s="20"/>
      <c r="D766" s="20"/>
      <c r="E766" s="20"/>
      <c r="F766" s="20"/>
      <c r="G766" s="20"/>
      <c r="H766" s="20"/>
      <c r="I766" s="20"/>
    </row>
    <row r="767">
      <c r="B767" s="20"/>
      <c r="C767" s="20"/>
      <c r="D767" s="20"/>
      <c r="E767" s="20"/>
      <c r="F767" s="20"/>
      <c r="G767" s="20"/>
      <c r="H767" s="20"/>
      <c r="I767" s="20"/>
    </row>
    <row r="768">
      <c r="B768" s="20"/>
      <c r="C768" s="20"/>
      <c r="D768" s="20"/>
      <c r="E768" s="20"/>
      <c r="F768" s="20"/>
      <c r="G768" s="20"/>
      <c r="H768" s="20"/>
      <c r="I768" s="20"/>
    </row>
    <row r="769">
      <c r="B769" s="20"/>
      <c r="C769" s="20"/>
      <c r="D769" s="20"/>
      <c r="E769" s="20"/>
      <c r="F769" s="20"/>
      <c r="G769" s="20"/>
      <c r="H769" s="20"/>
      <c r="I769" s="20"/>
    </row>
    <row r="770">
      <c r="B770" s="20"/>
      <c r="C770" s="20"/>
      <c r="D770" s="20"/>
      <c r="E770" s="20"/>
      <c r="F770" s="20"/>
      <c r="G770" s="20"/>
      <c r="H770" s="20"/>
      <c r="I770" s="20"/>
    </row>
    <row r="771">
      <c r="B771" s="20"/>
      <c r="C771" s="20"/>
      <c r="D771" s="20"/>
      <c r="E771" s="20"/>
      <c r="F771" s="20"/>
      <c r="G771" s="20"/>
      <c r="H771" s="20"/>
      <c r="I771" s="20"/>
    </row>
    <row r="772">
      <c r="B772" s="20"/>
      <c r="C772" s="20"/>
      <c r="D772" s="20"/>
      <c r="E772" s="20"/>
      <c r="F772" s="20"/>
      <c r="G772" s="20"/>
      <c r="H772" s="20"/>
      <c r="I772" s="20"/>
    </row>
    <row r="773">
      <c r="B773" s="20"/>
      <c r="C773" s="20"/>
      <c r="D773" s="20"/>
      <c r="E773" s="20"/>
      <c r="F773" s="20"/>
      <c r="G773" s="20"/>
      <c r="H773" s="20"/>
      <c r="I773" s="20"/>
    </row>
    <row r="774">
      <c r="B774" s="20"/>
      <c r="C774" s="20"/>
      <c r="D774" s="20"/>
      <c r="E774" s="20"/>
      <c r="F774" s="20"/>
      <c r="G774" s="20"/>
      <c r="H774" s="20"/>
      <c r="I774" s="20"/>
    </row>
    <row r="775">
      <c r="B775" s="20"/>
      <c r="C775" s="20"/>
      <c r="D775" s="20"/>
      <c r="E775" s="20"/>
      <c r="F775" s="20"/>
      <c r="G775" s="20"/>
      <c r="H775" s="20"/>
      <c r="I775" s="20"/>
    </row>
    <row r="776">
      <c r="B776" s="20"/>
      <c r="C776" s="20"/>
      <c r="D776" s="20"/>
      <c r="E776" s="20"/>
      <c r="F776" s="20"/>
      <c r="G776" s="20"/>
      <c r="H776" s="20"/>
      <c r="I776" s="20"/>
    </row>
    <row r="777">
      <c r="B777" s="20"/>
      <c r="C777" s="20"/>
      <c r="D777" s="20"/>
      <c r="E777" s="20"/>
      <c r="F777" s="20"/>
      <c r="G777" s="20"/>
      <c r="H777" s="20"/>
      <c r="I777" s="20"/>
    </row>
    <row r="778">
      <c r="B778" s="20"/>
      <c r="C778" s="20"/>
      <c r="D778" s="20"/>
      <c r="E778" s="20"/>
      <c r="F778" s="20"/>
      <c r="G778" s="20"/>
      <c r="H778" s="20"/>
      <c r="I778" s="20"/>
    </row>
    <row r="779">
      <c r="B779" s="20"/>
      <c r="C779" s="20"/>
      <c r="D779" s="20"/>
      <c r="E779" s="20"/>
      <c r="F779" s="20"/>
      <c r="G779" s="20"/>
      <c r="H779" s="20"/>
      <c r="I779" s="20"/>
    </row>
    <row r="780">
      <c r="B780" s="20"/>
      <c r="C780" s="20"/>
      <c r="D780" s="20"/>
      <c r="E780" s="20"/>
      <c r="F780" s="20"/>
      <c r="G780" s="20"/>
      <c r="H780" s="20"/>
      <c r="I780" s="20"/>
    </row>
    <row r="781">
      <c r="B781" s="20"/>
      <c r="C781" s="20"/>
      <c r="D781" s="20"/>
      <c r="E781" s="20"/>
      <c r="F781" s="20"/>
      <c r="G781" s="20"/>
      <c r="H781" s="20"/>
      <c r="I781" s="20"/>
    </row>
    <row r="782">
      <c r="B782" s="20"/>
      <c r="C782" s="20"/>
      <c r="D782" s="20"/>
      <c r="E782" s="20"/>
      <c r="F782" s="20"/>
      <c r="G782" s="20"/>
      <c r="H782" s="20"/>
      <c r="I782" s="20"/>
    </row>
    <row r="783">
      <c r="B783" s="20"/>
      <c r="C783" s="20"/>
      <c r="D783" s="20"/>
      <c r="E783" s="20"/>
      <c r="F783" s="20"/>
      <c r="G783" s="20"/>
      <c r="H783" s="20"/>
      <c r="I783" s="20"/>
    </row>
    <row r="784">
      <c r="B784" s="20"/>
      <c r="C784" s="20"/>
      <c r="D784" s="20"/>
      <c r="E784" s="20"/>
      <c r="F784" s="20"/>
      <c r="G784" s="20"/>
      <c r="H784" s="20"/>
      <c r="I784" s="20"/>
    </row>
    <row r="785">
      <c r="B785" s="20"/>
      <c r="C785" s="20"/>
      <c r="D785" s="20"/>
      <c r="E785" s="20"/>
      <c r="F785" s="20"/>
      <c r="G785" s="20"/>
      <c r="H785" s="20"/>
      <c r="I785" s="20"/>
    </row>
    <row r="786">
      <c r="B786" s="20"/>
      <c r="C786" s="20"/>
      <c r="D786" s="20"/>
      <c r="E786" s="20"/>
      <c r="F786" s="20"/>
      <c r="G786" s="20"/>
      <c r="H786" s="20"/>
      <c r="I786" s="20"/>
    </row>
    <row r="787">
      <c r="B787" s="20"/>
      <c r="C787" s="20"/>
      <c r="D787" s="20"/>
      <c r="E787" s="20"/>
      <c r="F787" s="20"/>
      <c r="G787" s="20"/>
      <c r="H787" s="20"/>
      <c r="I787" s="20"/>
    </row>
    <row r="788">
      <c r="B788" s="20"/>
      <c r="C788" s="20"/>
      <c r="D788" s="20"/>
      <c r="E788" s="20"/>
      <c r="F788" s="20"/>
      <c r="G788" s="20"/>
      <c r="H788" s="20"/>
      <c r="I788" s="20"/>
    </row>
    <row r="789">
      <c r="B789" s="20"/>
      <c r="C789" s="20"/>
      <c r="D789" s="20"/>
      <c r="E789" s="20"/>
      <c r="F789" s="20"/>
      <c r="G789" s="20"/>
      <c r="H789" s="20"/>
      <c r="I789" s="20"/>
    </row>
    <row r="790">
      <c r="B790" s="20"/>
      <c r="C790" s="20"/>
      <c r="D790" s="20"/>
      <c r="E790" s="20"/>
      <c r="F790" s="20"/>
      <c r="G790" s="20"/>
      <c r="H790" s="20"/>
      <c r="I790" s="20"/>
    </row>
    <row r="791">
      <c r="B791" s="20"/>
      <c r="C791" s="20"/>
      <c r="D791" s="20"/>
      <c r="E791" s="20"/>
      <c r="F791" s="20"/>
      <c r="G791" s="20"/>
      <c r="H791" s="20"/>
      <c r="I791" s="20"/>
    </row>
    <row r="792">
      <c r="B792" s="20"/>
      <c r="C792" s="20"/>
      <c r="D792" s="20"/>
      <c r="E792" s="20"/>
      <c r="F792" s="20"/>
      <c r="G792" s="20"/>
      <c r="H792" s="20"/>
      <c r="I792" s="20"/>
    </row>
    <row r="793">
      <c r="B793" s="20"/>
      <c r="C793" s="20"/>
      <c r="D793" s="20"/>
      <c r="E793" s="20"/>
      <c r="F793" s="20"/>
      <c r="G793" s="20"/>
      <c r="H793" s="20"/>
      <c r="I793" s="20"/>
    </row>
    <row r="794">
      <c r="B794" s="20"/>
      <c r="C794" s="20"/>
      <c r="D794" s="20"/>
      <c r="E794" s="20"/>
      <c r="F794" s="20"/>
      <c r="G794" s="20"/>
      <c r="H794" s="20"/>
      <c r="I794" s="20"/>
    </row>
    <row r="795">
      <c r="B795" s="20"/>
      <c r="C795" s="20"/>
      <c r="D795" s="20"/>
      <c r="E795" s="20"/>
      <c r="F795" s="20"/>
      <c r="G795" s="20"/>
      <c r="H795" s="20"/>
      <c r="I795" s="20"/>
    </row>
    <row r="796">
      <c r="B796" s="20"/>
      <c r="C796" s="20"/>
      <c r="D796" s="20"/>
      <c r="E796" s="20"/>
      <c r="F796" s="20"/>
      <c r="G796" s="20"/>
      <c r="H796" s="20"/>
      <c r="I796" s="20"/>
    </row>
    <row r="797">
      <c r="B797" s="20"/>
      <c r="C797" s="20"/>
      <c r="D797" s="20"/>
      <c r="E797" s="20"/>
      <c r="F797" s="20"/>
      <c r="G797" s="20"/>
      <c r="H797" s="20"/>
      <c r="I797" s="20"/>
    </row>
    <row r="798">
      <c r="B798" s="20"/>
      <c r="C798" s="20"/>
      <c r="D798" s="20"/>
      <c r="E798" s="20"/>
      <c r="F798" s="20"/>
      <c r="G798" s="20"/>
      <c r="H798" s="20"/>
      <c r="I798" s="20"/>
    </row>
    <row r="799">
      <c r="B799" s="20"/>
      <c r="C799" s="20"/>
      <c r="D799" s="20"/>
      <c r="E799" s="20"/>
      <c r="F799" s="20"/>
      <c r="G799" s="20"/>
      <c r="H799" s="20"/>
      <c r="I799" s="20"/>
    </row>
    <row r="800">
      <c r="B800" s="20"/>
      <c r="C800" s="20"/>
      <c r="D800" s="20"/>
      <c r="E800" s="20"/>
      <c r="F800" s="20"/>
      <c r="G800" s="20"/>
      <c r="H800" s="20"/>
      <c r="I800" s="20"/>
    </row>
    <row r="801">
      <c r="B801" s="20"/>
      <c r="C801" s="20"/>
      <c r="D801" s="20"/>
      <c r="E801" s="20"/>
      <c r="F801" s="20"/>
      <c r="G801" s="20"/>
      <c r="H801" s="20"/>
      <c r="I801" s="20"/>
    </row>
    <row r="802">
      <c r="B802" s="20"/>
      <c r="C802" s="20"/>
      <c r="D802" s="20"/>
      <c r="E802" s="20"/>
      <c r="F802" s="20"/>
      <c r="G802" s="20"/>
      <c r="H802" s="20"/>
      <c r="I802" s="20"/>
    </row>
    <row r="803">
      <c r="B803" s="20"/>
      <c r="C803" s="20"/>
      <c r="D803" s="20"/>
      <c r="E803" s="20"/>
      <c r="F803" s="20"/>
      <c r="G803" s="20"/>
      <c r="H803" s="20"/>
      <c r="I803" s="20"/>
    </row>
    <row r="804">
      <c r="B804" s="20"/>
      <c r="C804" s="20"/>
      <c r="D804" s="20"/>
      <c r="E804" s="20"/>
      <c r="F804" s="20"/>
      <c r="G804" s="20"/>
      <c r="H804" s="20"/>
      <c r="I804" s="20"/>
    </row>
    <row r="805">
      <c r="B805" s="20"/>
      <c r="C805" s="20"/>
      <c r="D805" s="20"/>
      <c r="E805" s="20"/>
      <c r="F805" s="20"/>
      <c r="G805" s="20"/>
      <c r="H805" s="20"/>
      <c r="I805" s="20"/>
    </row>
    <row r="806">
      <c r="B806" s="20"/>
      <c r="C806" s="20"/>
      <c r="D806" s="20"/>
      <c r="E806" s="20"/>
      <c r="F806" s="20"/>
      <c r="G806" s="20"/>
      <c r="H806" s="20"/>
      <c r="I806" s="20"/>
    </row>
    <row r="807">
      <c r="B807" s="20"/>
      <c r="C807" s="20"/>
      <c r="D807" s="20"/>
      <c r="E807" s="20"/>
      <c r="F807" s="20"/>
      <c r="G807" s="20"/>
      <c r="H807" s="20"/>
      <c r="I807" s="20"/>
    </row>
    <row r="808">
      <c r="B808" s="20"/>
      <c r="C808" s="20"/>
      <c r="D808" s="20"/>
      <c r="E808" s="20"/>
      <c r="F808" s="20"/>
      <c r="G808" s="20"/>
      <c r="H808" s="20"/>
      <c r="I808" s="20"/>
    </row>
    <row r="809">
      <c r="B809" s="20"/>
      <c r="C809" s="20"/>
      <c r="D809" s="20"/>
      <c r="E809" s="20"/>
      <c r="F809" s="20"/>
      <c r="G809" s="20"/>
      <c r="H809" s="20"/>
      <c r="I809" s="20"/>
    </row>
    <row r="810">
      <c r="B810" s="20"/>
      <c r="C810" s="20"/>
      <c r="D810" s="20"/>
      <c r="E810" s="20"/>
      <c r="F810" s="20"/>
      <c r="G810" s="20"/>
      <c r="H810" s="20"/>
      <c r="I810" s="20"/>
    </row>
    <row r="811">
      <c r="B811" s="20"/>
      <c r="C811" s="20"/>
      <c r="D811" s="20"/>
      <c r="E811" s="20"/>
      <c r="F811" s="20"/>
      <c r="G811" s="20"/>
      <c r="H811" s="20"/>
      <c r="I811" s="20"/>
    </row>
    <row r="812">
      <c r="B812" s="20"/>
      <c r="C812" s="20"/>
      <c r="D812" s="20"/>
      <c r="E812" s="20"/>
      <c r="F812" s="20"/>
      <c r="G812" s="20"/>
      <c r="H812" s="20"/>
      <c r="I812" s="20"/>
    </row>
    <row r="813">
      <c r="B813" s="20"/>
      <c r="C813" s="20"/>
      <c r="D813" s="20"/>
      <c r="E813" s="20"/>
      <c r="F813" s="20"/>
      <c r="G813" s="20"/>
      <c r="H813" s="20"/>
      <c r="I813" s="20"/>
    </row>
    <row r="814">
      <c r="B814" s="20"/>
      <c r="C814" s="20"/>
      <c r="D814" s="20"/>
      <c r="E814" s="20"/>
      <c r="F814" s="20"/>
      <c r="G814" s="20"/>
      <c r="H814" s="20"/>
      <c r="I814" s="20"/>
    </row>
    <row r="815">
      <c r="B815" s="20"/>
      <c r="C815" s="20"/>
      <c r="D815" s="20"/>
      <c r="E815" s="20"/>
      <c r="F815" s="20"/>
      <c r="G815" s="20"/>
      <c r="H815" s="20"/>
      <c r="I815" s="20"/>
    </row>
    <row r="816">
      <c r="B816" s="20"/>
      <c r="C816" s="20"/>
      <c r="D816" s="20"/>
      <c r="E816" s="20"/>
      <c r="F816" s="20"/>
      <c r="G816" s="20"/>
      <c r="H816" s="20"/>
      <c r="I816" s="20"/>
    </row>
    <row r="817">
      <c r="B817" s="20"/>
      <c r="C817" s="20"/>
      <c r="D817" s="20"/>
      <c r="E817" s="20"/>
      <c r="F817" s="20"/>
      <c r="G817" s="20"/>
      <c r="H817" s="20"/>
      <c r="I817" s="20"/>
    </row>
    <row r="818">
      <c r="B818" s="20"/>
      <c r="C818" s="20"/>
      <c r="D818" s="20"/>
      <c r="E818" s="20"/>
      <c r="F818" s="20"/>
      <c r="G818" s="20"/>
      <c r="H818" s="20"/>
      <c r="I818" s="20"/>
    </row>
    <row r="819">
      <c r="B819" s="20"/>
      <c r="C819" s="20"/>
      <c r="D819" s="20"/>
      <c r="E819" s="20"/>
      <c r="F819" s="20"/>
      <c r="G819" s="20"/>
      <c r="H819" s="20"/>
      <c r="I819" s="20"/>
    </row>
    <row r="820">
      <c r="B820" s="20"/>
      <c r="C820" s="20"/>
      <c r="D820" s="20"/>
      <c r="E820" s="20"/>
      <c r="F820" s="20"/>
      <c r="G820" s="20"/>
      <c r="H820" s="20"/>
      <c r="I820" s="20"/>
    </row>
    <row r="821">
      <c r="B821" s="20"/>
      <c r="C821" s="20"/>
      <c r="D821" s="20"/>
      <c r="E821" s="20"/>
      <c r="F821" s="20"/>
      <c r="G821" s="20"/>
      <c r="H821" s="20"/>
      <c r="I821" s="20"/>
    </row>
    <row r="822">
      <c r="B822" s="20"/>
      <c r="C822" s="20"/>
      <c r="D822" s="20"/>
      <c r="E822" s="20"/>
      <c r="F822" s="20"/>
      <c r="G822" s="20"/>
      <c r="H822" s="20"/>
      <c r="I822" s="20"/>
    </row>
    <row r="823">
      <c r="B823" s="20"/>
      <c r="C823" s="20"/>
      <c r="D823" s="20"/>
      <c r="E823" s="20"/>
      <c r="F823" s="20"/>
      <c r="G823" s="20"/>
      <c r="H823" s="20"/>
      <c r="I823" s="20"/>
    </row>
    <row r="824">
      <c r="B824" s="20"/>
      <c r="C824" s="20"/>
      <c r="D824" s="20"/>
      <c r="E824" s="20"/>
      <c r="F824" s="20"/>
      <c r="G824" s="20"/>
      <c r="H824" s="20"/>
      <c r="I824" s="20"/>
    </row>
    <row r="825">
      <c r="B825" s="20"/>
      <c r="C825" s="20"/>
      <c r="D825" s="20"/>
      <c r="E825" s="20"/>
      <c r="F825" s="20"/>
      <c r="G825" s="20"/>
      <c r="H825" s="20"/>
      <c r="I825" s="20"/>
    </row>
    <row r="826">
      <c r="B826" s="20"/>
      <c r="C826" s="20"/>
      <c r="D826" s="20"/>
      <c r="E826" s="20"/>
      <c r="F826" s="20"/>
      <c r="G826" s="20"/>
      <c r="H826" s="20"/>
      <c r="I826" s="20"/>
    </row>
    <row r="827">
      <c r="B827" s="20"/>
      <c r="C827" s="20"/>
      <c r="D827" s="20"/>
      <c r="E827" s="20"/>
      <c r="F827" s="20"/>
      <c r="G827" s="20"/>
      <c r="H827" s="20"/>
      <c r="I827" s="20"/>
    </row>
    <row r="828">
      <c r="B828" s="20"/>
      <c r="C828" s="20"/>
      <c r="D828" s="20"/>
      <c r="E828" s="20"/>
      <c r="F828" s="20"/>
      <c r="G828" s="20"/>
      <c r="H828" s="20"/>
      <c r="I828" s="20"/>
    </row>
    <row r="829">
      <c r="B829" s="20"/>
      <c r="C829" s="20"/>
      <c r="D829" s="20"/>
      <c r="E829" s="20"/>
      <c r="F829" s="20"/>
      <c r="G829" s="20"/>
      <c r="H829" s="20"/>
      <c r="I829" s="20"/>
    </row>
    <row r="830">
      <c r="B830" s="20"/>
      <c r="C830" s="20"/>
      <c r="D830" s="20"/>
      <c r="E830" s="20"/>
      <c r="F830" s="20"/>
      <c r="G830" s="20"/>
      <c r="H830" s="20"/>
      <c r="I830" s="20"/>
    </row>
    <row r="831">
      <c r="B831" s="20"/>
      <c r="C831" s="20"/>
      <c r="D831" s="20"/>
      <c r="E831" s="20"/>
      <c r="F831" s="20"/>
      <c r="G831" s="20"/>
      <c r="H831" s="20"/>
      <c r="I831" s="20"/>
    </row>
    <row r="832">
      <c r="B832" s="20"/>
      <c r="C832" s="20"/>
      <c r="D832" s="20"/>
      <c r="E832" s="20"/>
      <c r="F832" s="20"/>
      <c r="G832" s="20"/>
      <c r="H832" s="20"/>
      <c r="I832" s="20"/>
    </row>
    <row r="833">
      <c r="B833" s="20"/>
      <c r="C833" s="20"/>
      <c r="D833" s="20"/>
      <c r="E833" s="20"/>
      <c r="F833" s="20"/>
      <c r="G833" s="20"/>
      <c r="H833" s="20"/>
      <c r="I833" s="20"/>
    </row>
    <row r="834">
      <c r="B834" s="20"/>
      <c r="C834" s="20"/>
      <c r="D834" s="20"/>
      <c r="E834" s="20"/>
      <c r="F834" s="20"/>
      <c r="G834" s="20"/>
      <c r="H834" s="20"/>
      <c r="I834" s="20"/>
    </row>
    <row r="835">
      <c r="B835" s="20"/>
      <c r="C835" s="20"/>
      <c r="D835" s="20"/>
      <c r="E835" s="20"/>
      <c r="F835" s="20"/>
      <c r="G835" s="20"/>
      <c r="H835" s="20"/>
      <c r="I835" s="20"/>
    </row>
    <row r="836">
      <c r="B836" s="20"/>
      <c r="C836" s="20"/>
      <c r="D836" s="20"/>
      <c r="E836" s="20"/>
      <c r="F836" s="20"/>
      <c r="G836" s="20"/>
      <c r="H836" s="20"/>
      <c r="I836" s="20"/>
    </row>
    <row r="837">
      <c r="B837" s="20"/>
      <c r="C837" s="20"/>
      <c r="D837" s="20"/>
      <c r="E837" s="20"/>
      <c r="F837" s="20"/>
      <c r="G837" s="20"/>
      <c r="H837" s="20"/>
      <c r="I837" s="20"/>
    </row>
    <row r="838">
      <c r="B838" s="20"/>
      <c r="C838" s="20"/>
      <c r="D838" s="20"/>
      <c r="E838" s="20"/>
      <c r="F838" s="20"/>
      <c r="G838" s="20"/>
      <c r="H838" s="20"/>
      <c r="I838" s="20"/>
    </row>
    <row r="839">
      <c r="B839" s="20"/>
      <c r="C839" s="20"/>
      <c r="D839" s="20"/>
      <c r="E839" s="20"/>
      <c r="F839" s="20"/>
      <c r="G839" s="20"/>
      <c r="H839" s="20"/>
      <c r="I839" s="20"/>
    </row>
    <row r="840">
      <c r="B840" s="20"/>
      <c r="C840" s="20"/>
      <c r="D840" s="20"/>
      <c r="E840" s="20"/>
      <c r="F840" s="20"/>
      <c r="G840" s="20"/>
      <c r="H840" s="20"/>
      <c r="I840" s="20"/>
    </row>
    <row r="841">
      <c r="B841" s="20"/>
      <c r="C841" s="20"/>
      <c r="D841" s="20"/>
      <c r="E841" s="20"/>
      <c r="F841" s="20"/>
      <c r="G841" s="20"/>
      <c r="H841" s="20"/>
      <c r="I841" s="20"/>
    </row>
    <row r="842">
      <c r="B842" s="20"/>
      <c r="C842" s="20"/>
      <c r="D842" s="20"/>
      <c r="E842" s="20"/>
      <c r="F842" s="20"/>
      <c r="G842" s="20"/>
      <c r="H842" s="20"/>
      <c r="I842" s="20"/>
    </row>
    <row r="843">
      <c r="B843" s="20"/>
      <c r="C843" s="20"/>
      <c r="D843" s="20"/>
      <c r="E843" s="20"/>
      <c r="F843" s="20"/>
      <c r="G843" s="20"/>
      <c r="H843" s="20"/>
      <c r="I843" s="20"/>
    </row>
    <row r="844">
      <c r="B844" s="20"/>
      <c r="C844" s="20"/>
      <c r="D844" s="20"/>
      <c r="E844" s="20"/>
      <c r="F844" s="20"/>
      <c r="G844" s="20"/>
      <c r="H844" s="20"/>
      <c r="I844" s="20"/>
    </row>
    <row r="845">
      <c r="B845" s="20"/>
      <c r="C845" s="20"/>
      <c r="D845" s="20"/>
      <c r="E845" s="20"/>
      <c r="F845" s="20"/>
      <c r="G845" s="20"/>
      <c r="H845" s="20"/>
      <c r="I845" s="20"/>
    </row>
    <row r="846">
      <c r="B846" s="20"/>
      <c r="C846" s="20"/>
      <c r="D846" s="20"/>
      <c r="E846" s="20"/>
      <c r="F846" s="20"/>
      <c r="G846" s="20"/>
      <c r="H846" s="20"/>
      <c r="I846" s="20"/>
    </row>
    <row r="847">
      <c r="B847" s="20"/>
      <c r="C847" s="20"/>
      <c r="D847" s="20"/>
      <c r="E847" s="20"/>
      <c r="F847" s="20"/>
      <c r="G847" s="20"/>
      <c r="H847" s="20"/>
      <c r="I847" s="20"/>
    </row>
    <row r="848">
      <c r="B848" s="20"/>
      <c r="C848" s="20"/>
      <c r="D848" s="20"/>
      <c r="E848" s="20"/>
      <c r="F848" s="20"/>
      <c r="G848" s="20"/>
      <c r="H848" s="20"/>
      <c r="I848" s="20"/>
    </row>
    <row r="849">
      <c r="B849" s="20"/>
      <c r="C849" s="20"/>
      <c r="D849" s="20"/>
      <c r="E849" s="20"/>
      <c r="F849" s="20"/>
      <c r="G849" s="20"/>
      <c r="H849" s="20"/>
      <c r="I849" s="20"/>
    </row>
    <row r="850">
      <c r="B850" s="20"/>
      <c r="C850" s="20"/>
      <c r="D850" s="20"/>
      <c r="E850" s="20"/>
      <c r="F850" s="20"/>
      <c r="G850" s="20"/>
      <c r="H850" s="20"/>
      <c r="I850" s="20"/>
    </row>
    <row r="851">
      <c r="B851" s="20"/>
      <c r="C851" s="20"/>
      <c r="D851" s="20"/>
      <c r="E851" s="20"/>
      <c r="F851" s="20"/>
      <c r="G851" s="20"/>
      <c r="H851" s="20"/>
      <c r="I851" s="20"/>
    </row>
    <row r="852">
      <c r="B852" s="20"/>
      <c r="C852" s="20"/>
      <c r="D852" s="20"/>
      <c r="E852" s="20"/>
      <c r="F852" s="20"/>
      <c r="G852" s="20"/>
      <c r="H852" s="20"/>
      <c r="I852" s="20"/>
    </row>
    <row r="853">
      <c r="B853" s="20"/>
      <c r="C853" s="20"/>
      <c r="D853" s="20"/>
      <c r="E853" s="20"/>
      <c r="F853" s="20"/>
      <c r="G853" s="20"/>
      <c r="H853" s="20"/>
      <c r="I853" s="20"/>
    </row>
    <row r="854">
      <c r="B854" s="20"/>
      <c r="C854" s="20"/>
      <c r="D854" s="20"/>
      <c r="E854" s="20"/>
      <c r="F854" s="20"/>
      <c r="G854" s="20"/>
      <c r="H854" s="20"/>
      <c r="I854" s="20"/>
    </row>
    <row r="855">
      <c r="B855" s="20"/>
      <c r="C855" s="20"/>
      <c r="D855" s="20"/>
      <c r="E855" s="20"/>
      <c r="F855" s="20"/>
      <c r="G855" s="20"/>
      <c r="H855" s="20"/>
      <c r="I855" s="20"/>
    </row>
    <row r="856">
      <c r="B856" s="20"/>
      <c r="C856" s="20"/>
      <c r="D856" s="20"/>
      <c r="E856" s="20"/>
      <c r="F856" s="20"/>
      <c r="G856" s="20"/>
      <c r="H856" s="20"/>
      <c r="I856" s="20"/>
    </row>
    <row r="857">
      <c r="B857" s="20"/>
      <c r="C857" s="20"/>
      <c r="D857" s="20"/>
      <c r="E857" s="20"/>
      <c r="F857" s="20"/>
      <c r="G857" s="20"/>
      <c r="H857" s="20"/>
      <c r="I857" s="20"/>
    </row>
    <row r="858">
      <c r="B858" s="20"/>
      <c r="C858" s="20"/>
      <c r="D858" s="20"/>
      <c r="E858" s="20"/>
      <c r="F858" s="20"/>
      <c r="G858" s="20"/>
      <c r="H858" s="20"/>
      <c r="I858" s="20"/>
    </row>
    <row r="859">
      <c r="B859" s="20"/>
      <c r="C859" s="20"/>
      <c r="D859" s="20"/>
      <c r="E859" s="20"/>
      <c r="F859" s="20"/>
      <c r="G859" s="20"/>
      <c r="H859" s="20"/>
      <c r="I859" s="20"/>
    </row>
    <row r="860">
      <c r="B860" s="20"/>
      <c r="C860" s="20"/>
      <c r="D860" s="20"/>
      <c r="E860" s="20"/>
      <c r="F860" s="20"/>
      <c r="G860" s="20"/>
      <c r="H860" s="20"/>
      <c r="I860" s="20"/>
    </row>
    <row r="861">
      <c r="B861" s="20"/>
      <c r="C861" s="20"/>
      <c r="D861" s="20"/>
      <c r="E861" s="20"/>
      <c r="F861" s="20"/>
      <c r="G861" s="20"/>
      <c r="H861" s="20"/>
      <c r="I861" s="20"/>
    </row>
    <row r="862">
      <c r="B862" s="20"/>
      <c r="C862" s="20"/>
      <c r="D862" s="20"/>
      <c r="E862" s="20"/>
      <c r="F862" s="20"/>
      <c r="G862" s="20"/>
      <c r="H862" s="20"/>
      <c r="I862" s="20"/>
    </row>
    <row r="863">
      <c r="B863" s="20"/>
      <c r="C863" s="20"/>
      <c r="D863" s="20"/>
      <c r="E863" s="20"/>
      <c r="F863" s="20"/>
      <c r="G863" s="20"/>
      <c r="H863" s="20"/>
      <c r="I863" s="20"/>
    </row>
    <row r="864">
      <c r="B864" s="20"/>
      <c r="C864" s="20"/>
      <c r="D864" s="20"/>
      <c r="E864" s="20"/>
      <c r="F864" s="20"/>
      <c r="G864" s="20"/>
      <c r="H864" s="20"/>
      <c r="I864" s="20"/>
    </row>
    <row r="865">
      <c r="B865" s="20"/>
      <c r="C865" s="20"/>
      <c r="D865" s="20"/>
      <c r="E865" s="20"/>
      <c r="F865" s="20"/>
      <c r="G865" s="20"/>
      <c r="H865" s="20"/>
      <c r="I865" s="20"/>
    </row>
    <row r="866">
      <c r="B866" s="20"/>
      <c r="C866" s="20"/>
      <c r="D866" s="20"/>
      <c r="E866" s="20"/>
      <c r="F866" s="20"/>
      <c r="G866" s="20"/>
      <c r="H866" s="20"/>
      <c r="I866" s="20"/>
    </row>
    <row r="867">
      <c r="B867" s="20"/>
      <c r="C867" s="20"/>
      <c r="D867" s="20"/>
      <c r="E867" s="20"/>
      <c r="F867" s="20"/>
      <c r="G867" s="20"/>
      <c r="H867" s="20"/>
      <c r="I867" s="20"/>
    </row>
    <row r="868">
      <c r="B868" s="20"/>
      <c r="C868" s="20"/>
      <c r="D868" s="20"/>
      <c r="E868" s="20"/>
      <c r="F868" s="20"/>
      <c r="G868" s="20"/>
      <c r="H868" s="20"/>
      <c r="I868" s="20"/>
    </row>
    <row r="869">
      <c r="B869" s="20"/>
      <c r="C869" s="20"/>
      <c r="D869" s="20"/>
      <c r="E869" s="20"/>
      <c r="F869" s="20"/>
      <c r="G869" s="20"/>
      <c r="H869" s="20"/>
      <c r="I869" s="20"/>
    </row>
    <row r="870">
      <c r="B870" s="20"/>
      <c r="C870" s="20"/>
      <c r="D870" s="20"/>
      <c r="E870" s="20"/>
      <c r="F870" s="20"/>
      <c r="G870" s="20"/>
      <c r="H870" s="20"/>
      <c r="I870" s="20"/>
    </row>
    <row r="871">
      <c r="B871" s="20"/>
      <c r="C871" s="20"/>
      <c r="D871" s="20"/>
      <c r="E871" s="20"/>
      <c r="F871" s="20"/>
      <c r="G871" s="20"/>
      <c r="H871" s="20"/>
      <c r="I871" s="20"/>
    </row>
    <row r="872">
      <c r="B872" s="20"/>
      <c r="C872" s="20"/>
      <c r="D872" s="20"/>
      <c r="E872" s="20"/>
      <c r="F872" s="20"/>
      <c r="G872" s="20"/>
      <c r="H872" s="20"/>
      <c r="I872" s="20"/>
    </row>
    <row r="873">
      <c r="B873" s="20"/>
      <c r="C873" s="20"/>
      <c r="D873" s="20"/>
      <c r="E873" s="20"/>
      <c r="F873" s="20"/>
      <c r="G873" s="20"/>
      <c r="H873" s="20"/>
      <c r="I873" s="20"/>
    </row>
    <row r="874">
      <c r="B874" s="20"/>
      <c r="C874" s="20"/>
      <c r="D874" s="20"/>
      <c r="E874" s="20"/>
      <c r="F874" s="20"/>
      <c r="G874" s="20"/>
      <c r="H874" s="20"/>
      <c r="I874" s="20"/>
    </row>
    <row r="875">
      <c r="B875" s="20"/>
      <c r="C875" s="20"/>
      <c r="D875" s="20"/>
      <c r="E875" s="20"/>
      <c r="F875" s="20"/>
      <c r="G875" s="20"/>
      <c r="H875" s="20"/>
      <c r="I875" s="20"/>
    </row>
    <row r="876">
      <c r="B876" s="20"/>
      <c r="C876" s="20"/>
      <c r="D876" s="20"/>
      <c r="E876" s="20"/>
      <c r="F876" s="20"/>
      <c r="G876" s="20"/>
      <c r="H876" s="20"/>
      <c r="I876" s="20"/>
    </row>
    <row r="877">
      <c r="B877" s="20"/>
      <c r="C877" s="20"/>
      <c r="D877" s="20"/>
      <c r="E877" s="20"/>
      <c r="F877" s="20"/>
      <c r="G877" s="20"/>
      <c r="H877" s="20"/>
      <c r="I877" s="20"/>
    </row>
    <row r="878">
      <c r="B878" s="20"/>
      <c r="C878" s="20"/>
      <c r="D878" s="20"/>
      <c r="E878" s="20"/>
      <c r="F878" s="20"/>
      <c r="G878" s="20"/>
      <c r="H878" s="20"/>
      <c r="I878" s="20"/>
    </row>
    <row r="879">
      <c r="B879" s="20"/>
      <c r="C879" s="20"/>
      <c r="D879" s="20"/>
      <c r="E879" s="20"/>
      <c r="F879" s="20"/>
      <c r="G879" s="20"/>
      <c r="H879" s="20"/>
      <c r="I879" s="20"/>
    </row>
    <row r="880">
      <c r="B880" s="20"/>
      <c r="C880" s="20"/>
      <c r="D880" s="20"/>
      <c r="E880" s="20"/>
      <c r="F880" s="20"/>
      <c r="G880" s="20"/>
      <c r="H880" s="20"/>
      <c r="I880" s="20"/>
    </row>
    <row r="881">
      <c r="B881" s="20"/>
      <c r="C881" s="20"/>
      <c r="D881" s="20"/>
      <c r="E881" s="20"/>
      <c r="F881" s="20"/>
      <c r="G881" s="20"/>
      <c r="H881" s="20"/>
      <c r="I881" s="20"/>
    </row>
    <row r="882">
      <c r="B882" s="20"/>
      <c r="C882" s="20"/>
      <c r="D882" s="20"/>
      <c r="E882" s="20"/>
      <c r="F882" s="20"/>
      <c r="G882" s="20"/>
      <c r="H882" s="20"/>
      <c r="I882" s="20"/>
    </row>
    <row r="883">
      <c r="B883" s="20"/>
      <c r="C883" s="20"/>
      <c r="D883" s="20"/>
      <c r="E883" s="20"/>
      <c r="F883" s="20"/>
      <c r="G883" s="20"/>
      <c r="H883" s="20"/>
      <c r="I883" s="20"/>
    </row>
    <row r="884">
      <c r="B884" s="20"/>
      <c r="C884" s="20"/>
      <c r="D884" s="20"/>
      <c r="E884" s="20"/>
      <c r="F884" s="20"/>
      <c r="G884" s="20"/>
      <c r="H884" s="20"/>
      <c r="I884" s="20"/>
    </row>
    <row r="885">
      <c r="B885" s="20"/>
      <c r="C885" s="20"/>
      <c r="D885" s="20"/>
      <c r="E885" s="20"/>
      <c r="F885" s="20"/>
      <c r="G885" s="20"/>
      <c r="H885" s="20"/>
      <c r="I885" s="20"/>
    </row>
    <row r="886">
      <c r="B886" s="20"/>
      <c r="C886" s="20"/>
      <c r="D886" s="20"/>
      <c r="E886" s="20"/>
      <c r="F886" s="20"/>
      <c r="G886" s="20"/>
      <c r="H886" s="20"/>
      <c r="I886" s="20"/>
    </row>
    <row r="887">
      <c r="B887" s="20"/>
      <c r="C887" s="20"/>
      <c r="D887" s="20"/>
      <c r="E887" s="20"/>
      <c r="F887" s="20"/>
      <c r="G887" s="20"/>
      <c r="H887" s="20"/>
      <c r="I887" s="20"/>
    </row>
    <row r="888">
      <c r="B888" s="20"/>
      <c r="C888" s="20"/>
      <c r="D888" s="20"/>
      <c r="E888" s="20"/>
      <c r="F888" s="20"/>
      <c r="G888" s="20"/>
      <c r="H888" s="20"/>
      <c r="I888" s="20"/>
    </row>
    <row r="889">
      <c r="B889" s="20"/>
      <c r="C889" s="20"/>
      <c r="D889" s="20"/>
      <c r="E889" s="20"/>
      <c r="F889" s="20"/>
      <c r="G889" s="20"/>
      <c r="H889" s="20"/>
      <c r="I889" s="20"/>
    </row>
    <row r="890">
      <c r="B890" s="20"/>
      <c r="C890" s="20"/>
      <c r="D890" s="20"/>
      <c r="E890" s="20"/>
      <c r="F890" s="20"/>
      <c r="G890" s="20"/>
      <c r="H890" s="20"/>
      <c r="I890" s="20"/>
    </row>
    <row r="891">
      <c r="B891" s="20"/>
      <c r="C891" s="20"/>
      <c r="D891" s="20"/>
      <c r="E891" s="20"/>
      <c r="F891" s="20"/>
      <c r="G891" s="20"/>
      <c r="H891" s="20"/>
      <c r="I891" s="20"/>
    </row>
    <row r="892">
      <c r="B892" s="20"/>
      <c r="C892" s="20"/>
      <c r="D892" s="20"/>
      <c r="E892" s="20"/>
      <c r="F892" s="20"/>
      <c r="G892" s="20"/>
      <c r="H892" s="20"/>
      <c r="I892" s="20"/>
    </row>
    <row r="893">
      <c r="B893" s="20"/>
      <c r="C893" s="20"/>
      <c r="D893" s="20"/>
      <c r="E893" s="20"/>
      <c r="F893" s="20"/>
      <c r="G893" s="20"/>
      <c r="H893" s="20"/>
      <c r="I893" s="20"/>
    </row>
    <row r="894">
      <c r="B894" s="20"/>
      <c r="C894" s="20"/>
      <c r="D894" s="20"/>
      <c r="E894" s="20"/>
      <c r="F894" s="20"/>
      <c r="G894" s="20"/>
      <c r="H894" s="20"/>
      <c r="I894" s="20"/>
    </row>
    <row r="895">
      <c r="B895" s="20"/>
      <c r="C895" s="20"/>
      <c r="D895" s="20"/>
      <c r="E895" s="20"/>
      <c r="F895" s="20"/>
      <c r="G895" s="20"/>
      <c r="H895" s="20"/>
      <c r="I895" s="20"/>
    </row>
    <row r="896">
      <c r="B896" s="20"/>
      <c r="C896" s="20"/>
      <c r="D896" s="20"/>
      <c r="E896" s="20"/>
      <c r="F896" s="20"/>
      <c r="G896" s="20"/>
      <c r="H896" s="20"/>
      <c r="I896" s="20"/>
    </row>
    <row r="897">
      <c r="B897" s="20"/>
      <c r="C897" s="20"/>
      <c r="D897" s="20"/>
      <c r="E897" s="20"/>
      <c r="F897" s="20"/>
      <c r="G897" s="20"/>
      <c r="H897" s="20"/>
      <c r="I897" s="20"/>
    </row>
    <row r="898">
      <c r="B898" s="20"/>
      <c r="C898" s="20"/>
      <c r="D898" s="20"/>
      <c r="E898" s="20"/>
      <c r="F898" s="20"/>
      <c r="G898" s="20"/>
      <c r="H898" s="20"/>
      <c r="I898" s="20"/>
    </row>
    <row r="899">
      <c r="B899" s="20"/>
      <c r="C899" s="20"/>
      <c r="D899" s="20"/>
      <c r="E899" s="20"/>
      <c r="F899" s="20"/>
      <c r="G899" s="20"/>
      <c r="H899" s="20"/>
      <c r="I899" s="20"/>
    </row>
    <row r="900">
      <c r="B900" s="20"/>
      <c r="C900" s="20"/>
      <c r="D900" s="20"/>
      <c r="E900" s="20"/>
      <c r="F900" s="20"/>
      <c r="G900" s="20"/>
      <c r="H900" s="20"/>
      <c r="I900" s="20"/>
    </row>
    <row r="901">
      <c r="B901" s="20"/>
      <c r="C901" s="20"/>
      <c r="D901" s="20"/>
      <c r="E901" s="20"/>
      <c r="F901" s="20"/>
      <c r="G901" s="20"/>
      <c r="H901" s="20"/>
      <c r="I901" s="20"/>
    </row>
    <row r="902">
      <c r="B902" s="20"/>
      <c r="C902" s="20"/>
      <c r="D902" s="20"/>
      <c r="E902" s="20"/>
      <c r="F902" s="20"/>
      <c r="G902" s="20"/>
      <c r="H902" s="20"/>
      <c r="I902" s="20"/>
    </row>
    <row r="903">
      <c r="B903" s="20"/>
      <c r="C903" s="20"/>
      <c r="D903" s="20"/>
      <c r="E903" s="20"/>
      <c r="F903" s="20"/>
      <c r="G903" s="20"/>
      <c r="H903" s="20"/>
      <c r="I903" s="20"/>
    </row>
    <row r="904">
      <c r="B904" s="20"/>
      <c r="C904" s="20"/>
      <c r="D904" s="20"/>
      <c r="E904" s="20"/>
      <c r="F904" s="20"/>
      <c r="G904" s="20"/>
      <c r="H904" s="20"/>
      <c r="I904" s="20"/>
    </row>
    <row r="905">
      <c r="B905" s="20"/>
      <c r="C905" s="20"/>
      <c r="D905" s="20"/>
      <c r="E905" s="20"/>
      <c r="F905" s="20"/>
      <c r="G905" s="20"/>
      <c r="H905" s="20"/>
      <c r="I905" s="20"/>
    </row>
    <row r="906">
      <c r="B906" s="20"/>
      <c r="C906" s="20"/>
      <c r="D906" s="20"/>
      <c r="E906" s="20"/>
      <c r="F906" s="20"/>
      <c r="G906" s="20"/>
      <c r="H906" s="20"/>
      <c r="I906" s="20"/>
    </row>
    <row r="907">
      <c r="B907" s="20"/>
      <c r="C907" s="20"/>
      <c r="D907" s="20"/>
      <c r="E907" s="20"/>
      <c r="F907" s="20"/>
      <c r="G907" s="20"/>
      <c r="H907" s="20"/>
      <c r="I907" s="20"/>
    </row>
    <row r="908">
      <c r="B908" s="20"/>
      <c r="C908" s="20"/>
      <c r="D908" s="20"/>
      <c r="E908" s="20"/>
      <c r="F908" s="20"/>
      <c r="G908" s="20"/>
      <c r="H908" s="20"/>
      <c r="I908" s="20"/>
    </row>
    <row r="909">
      <c r="B909" s="20"/>
      <c r="C909" s="20"/>
      <c r="D909" s="20"/>
      <c r="E909" s="20"/>
      <c r="F909" s="20"/>
      <c r="G909" s="20"/>
      <c r="H909" s="20"/>
      <c r="I909" s="20"/>
    </row>
    <row r="910">
      <c r="B910" s="20"/>
      <c r="C910" s="20"/>
      <c r="D910" s="20"/>
      <c r="E910" s="20"/>
      <c r="F910" s="20"/>
      <c r="G910" s="20"/>
      <c r="H910" s="20"/>
      <c r="I910" s="20"/>
    </row>
    <row r="911">
      <c r="B911" s="20"/>
      <c r="C911" s="20"/>
      <c r="D911" s="20"/>
      <c r="E911" s="20"/>
      <c r="F911" s="20"/>
      <c r="G911" s="20"/>
      <c r="H911" s="20"/>
      <c r="I911" s="20"/>
    </row>
    <row r="912">
      <c r="B912" s="20"/>
      <c r="C912" s="20"/>
      <c r="D912" s="20"/>
      <c r="E912" s="20"/>
      <c r="F912" s="20"/>
      <c r="G912" s="20"/>
      <c r="H912" s="20"/>
      <c r="I912" s="20"/>
    </row>
    <row r="913">
      <c r="B913" s="20"/>
      <c r="C913" s="20"/>
      <c r="D913" s="20"/>
      <c r="E913" s="20"/>
      <c r="F913" s="20"/>
      <c r="G913" s="20"/>
      <c r="H913" s="20"/>
      <c r="I913" s="20"/>
    </row>
    <row r="914">
      <c r="B914" s="20"/>
      <c r="C914" s="20"/>
      <c r="D914" s="20"/>
      <c r="E914" s="20"/>
      <c r="F914" s="20"/>
      <c r="G914" s="20"/>
      <c r="H914" s="20"/>
      <c r="I914" s="20"/>
    </row>
    <row r="915">
      <c r="B915" s="20"/>
      <c r="C915" s="20"/>
      <c r="D915" s="20"/>
      <c r="E915" s="20"/>
      <c r="F915" s="20"/>
      <c r="G915" s="20"/>
      <c r="H915" s="20"/>
      <c r="I915" s="20"/>
    </row>
    <row r="916">
      <c r="B916" s="20"/>
      <c r="C916" s="20"/>
      <c r="D916" s="20"/>
      <c r="E916" s="20"/>
      <c r="F916" s="20"/>
      <c r="G916" s="20"/>
      <c r="H916" s="20"/>
      <c r="I916" s="20"/>
    </row>
    <row r="917">
      <c r="B917" s="20"/>
      <c r="C917" s="20"/>
      <c r="D917" s="20"/>
      <c r="E917" s="20"/>
      <c r="F917" s="20"/>
      <c r="G917" s="20"/>
      <c r="H917" s="20"/>
      <c r="I917" s="20"/>
    </row>
    <row r="918">
      <c r="B918" s="20"/>
      <c r="C918" s="20"/>
      <c r="D918" s="20"/>
      <c r="E918" s="20"/>
      <c r="F918" s="20"/>
      <c r="G918" s="20"/>
      <c r="H918" s="20"/>
      <c r="I918" s="20"/>
    </row>
    <row r="919">
      <c r="B919" s="20"/>
      <c r="C919" s="20"/>
      <c r="D919" s="20"/>
      <c r="E919" s="20"/>
      <c r="F919" s="20"/>
      <c r="G919" s="20"/>
      <c r="H919" s="20"/>
      <c r="I919" s="20"/>
    </row>
    <row r="920">
      <c r="B920" s="20"/>
      <c r="C920" s="20"/>
      <c r="D920" s="20"/>
      <c r="E920" s="20"/>
      <c r="F920" s="20"/>
      <c r="G920" s="20"/>
      <c r="H920" s="20"/>
      <c r="I920" s="20"/>
    </row>
    <row r="921">
      <c r="B921" s="20"/>
      <c r="C921" s="20"/>
      <c r="D921" s="20"/>
      <c r="E921" s="20"/>
      <c r="F921" s="20"/>
      <c r="G921" s="20"/>
      <c r="H921" s="20"/>
      <c r="I921" s="20"/>
    </row>
    <row r="922">
      <c r="B922" s="20"/>
      <c r="C922" s="20"/>
      <c r="D922" s="20"/>
      <c r="E922" s="20"/>
      <c r="F922" s="20"/>
      <c r="G922" s="20"/>
      <c r="H922" s="20"/>
      <c r="I922" s="20"/>
    </row>
    <row r="923">
      <c r="B923" s="20"/>
      <c r="C923" s="20"/>
      <c r="D923" s="20"/>
      <c r="E923" s="20"/>
      <c r="F923" s="20"/>
      <c r="G923" s="20"/>
      <c r="H923" s="20"/>
      <c r="I923" s="20"/>
    </row>
    <row r="924">
      <c r="B924" s="20"/>
      <c r="C924" s="20"/>
      <c r="D924" s="20"/>
      <c r="E924" s="20"/>
      <c r="F924" s="20"/>
      <c r="G924" s="20"/>
      <c r="H924" s="20"/>
      <c r="I924" s="20"/>
    </row>
    <row r="925">
      <c r="B925" s="20"/>
      <c r="C925" s="20"/>
      <c r="D925" s="20"/>
      <c r="E925" s="20"/>
      <c r="F925" s="20"/>
      <c r="G925" s="20"/>
      <c r="H925" s="20"/>
      <c r="I925" s="20"/>
    </row>
    <row r="926">
      <c r="B926" s="20"/>
      <c r="C926" s="20"/>
      <c r="D926" s="20"/>
      <c r="E926" s="20"/>
      <c r="F926" s="20"/>
      <c r="G926" s="20"/>
      <c r="H926" s="20"/>
      <c r="I926" s="20"/>
    </row>
    <row r="927">
      <c r="B927" s="20"/>
      <c r="C927" s="20"/>
      <c r="D927" s="20"/>
      <c r="E927" s="20"/>
      <c r="F927" s="20"/>
      <c r="G927" s="20"/>
      <c r="H927" s="20"/>
      <c r="I927" s="20"/>
    </row>
    <row r="928">
      <c r="B928" s="20"/>
      <c r="C928" s="20"/>
      <c r="D928" s="20"/>
      <c r="E928" s="20"/>
      <c r="F928" s="20"/>
      <c r="G928" s="20"/>
      <c r="H928" s="20"/>
      <c r="I928" s="20"/>
    </row>
    <row r="929">
      <c r="B929" s="20"/>
      <c r="C929" s="20"/>
      <c r="D929" s="20"/>
      <c r="E929" s="20"/>
      <c r="F929" s="20"/>
      <c r="G929" s="20"/>
      <c r="H929" s="20"/>
      <c r="I929" s="20"/>
    </row>
    <row r="930">
      <c r="B930" s="20"/>
      <c r="C930" s="20"/>
      <c r="D930" s="20"/>
      <c r="E930" s="20"/>
      <c r="F930" s="20"/>
      <c r="G930" s="20"/>
      <c r="H930" s="20"/>
      <c r="I930" s="20"/>
    </row>
    <row r="931">
      <c r="B931" s="20"/>
      <c r="C931" s="20"/>
      <c r="D931" s="20"/>
      <c r="E931" s="20"/>
      <c r="F931" s="20"/>
      <c r="G931" s="20"/>
      <c r="H931" s="20"/>
      <c r="I931" s="20"/>
    </row>
    <row r="932">
      <c r="B932" s="20"/>
      <c r="C932" s="20"/>
      <c r="D932" s="20"/>
      <c r="E932" s="20"/>
      <c r="F932" s="20"/>
      <c r="G932" s="20"/>
      <c r="H932" s="20"/>
      <c r="I932" s="20"/>
    </row>
    <row r="933">
      <c r="B933" s="20"/>
      <c r="C933" s="20"/>
      <c r="D933" s="20"/>
      <c r="E933" s="20"/>
      <c r="F933" s="20"/>
      <c r="G933" s="20"/>
      <c r="H933" s="20"/>
      <c r="I933" s="20"/>
    </row>
    <row r="934">
      <c r="B934" s="20"/>
      <c r="C934" s="20"/>
      <c r="D934" s="20"/>
      <c r="E934" s="20"/>
      <c r="F934" s="20"/>
      <c r="G934" s="20"/>
      <c r="H934" s="20"/>
      <c r="I934" s="20"/>
    </row>
    <row r="935">
      <c r="B935" s="20"/>
      <c r="C935" s="20"/>
      <c r="D935" s="20"/>
      <c r="E935" s="20"/>
      <c r="F935" s="20"/>
      <c r="G935" s="20"/>
      <c r="H935" s="20"/>
      <c r="I935" s="20"/>
    </row>
    <row r="936">
      <c r="B936" s="20"/>
      <c r="C936" s="20"/>
      <c r="D936" s="20"/>
      <c r="E936" s="20"/>
      <c r="F936" s="20"/>
      <c r="G936" s="20"/>
      <c r="H936" s="20"/>
      <c r="I936" s="20"/>
    </row>
    <row r="937">
      <c r="B937" s="20"/>
      <c r="C937" s="20"/>
      <c r="D937" s="20"/>
      <c r="E937" s="20"/>
      <c r="F937" s="20"/>
      <c r="G937" s="20"/>
      <c r="H937" s="20"/>
      <c r="I937" s="20"/>
    </row>
    <row r="938">
      <c r="B938" s="20"/>
      <c r="C938" s="20"/>
      <c r="D938" s="20"/>
      <c r="E938" s="20"/>
      <c r="F938" s="20"/>
      <c r="G938" s="20"/>
      <c r="H938" s="20"/>
      <c r="I938" s="20"/>
    </row>
    <row r="939">
      <c r="B939" s="20"/>
      <c r="C939" s="20"/>
      <c r="D939" s="20"/>
      <c r="E939" s="20"/>
      <c r="F939" s="20"/>
      <c r="G939" s="20"/>
      <c r="H939" s="20"/>
      <c r="I939" s="20"/>
    </row>
    <row r="940">
      <c r="B940" s="20"/>
      <c r="C940" s="20"/>
      <c r="D940" s="20"/>
      <c r="E940" s="20"/>
      <c r="F940" s="20"/>
      <c r="G940" s="20"/>
      <c r="H940" s="20"/>
      <c r="I940" s="20"/>
    </row>
    <row r="941">
      <c r="B941" s="20"/>
      <c r="C941" s="20"/>
      <c r="D941" s="20"/>
      <c r="E941" s="20"/>
      <c r="F941" s="20"/>
      <c r="G941" s="20"/>
      <c r="H941" s="20"/>
      <c r="I941" s="20"/>
    </row>
    <row r="942">
      <c r="B942" s="20"/>
      <c r="C942" s="20"/>
      <c r="D942" s="20"/>
      <c r="E942" s="20"/>
      <c r="F942" s="20"/>
      <c r="G942" s="20"/>
      <c r="H942" s="20"/>
      <c r="I942" s="20"/>
    </row>
    <row r="943">
      <c r="B943" s="20"/>
      <c r="C943" s="20"/>
      <c r="D943" s="20"/>
      <c r="E943" s="20"/>
      <c r="F943" s="20"/>
      <c r="G943" s="20"/>
      <c r="H943" s="20"/>
      <c r="I943" s="20"/>
    </row>
    <row r="944">
      <c r="B944" s="20"/>
      <c r="C944" s="20"/>
      <c r="D944" s="20"/>
      <c r="E944" s="20"/>
      <c r="F944" s="20"/>
      <c r="G944" s="20"/>
      <c r="H944" s="20"/>
      <c r="I944" s="20"/>
    </row>
    <row r="945">
      <c r="B945" s="20"/>
      <c r="C945" s="20"/>
      <c r="D945" s="20"/>
      <c r="E945" s="20"/>
      <c r="F945" s="20"/>
      <c r="G945" s="20"/>
      <c r="H945" s="20"/>
      <c r="I945" s="20"/>
    </row>
    <row r="946">
      <c r="B946" s="20"/>
      <c r="C946" s="20"/>
      <c r="D946" s="20"/>
      <c r="E946" s="20"/>
      <c r="F946" s="20"/>
      <c r="G946" s="20"/>
      <c r="H946" s="20"/>
      <c r="I946" s="20"/>
    </row>
    <row r="947">
      <c r="B947" s="20"/>
      <c r="C947" s="20"/>
      <c r="D947" s="20"/>
      <c r="E947" s="20"/>
      <c r="F947" s="20"/>
      <c r="G947" s="20"/>
      <c r="H947" s="20"/>
      <c r="I947" s="20"/>
    </row>
    <row r="948">
      <c r="B948" s="20"/>
      <c r="C948" s="20"/>
      <c r="D948" s="20"/>
      <c r="E948" s="20"/>
      <c r="F948" s="20"/>
      <c r="G948" s="20"/>
      <c r="H948" s="20"/>
      <c r="I948" s="20"/>
    </row>
    <row r="949">
      <c r="B949" s="20"/>
      <c r="C949" s="20"/>
      <c r="D949" s="20"/>
      <c r="E949" s="20"/>
      <c r="F949" s="20"/>
      <c r="G949" s="20"/>
      <c r="H949" s="20"/>
      <c r="I949" s="20"/>
    </row>
    <row r="950">
      <c r="B950" s="20"/>
      <c r="C950" s="20"/>
      <c r="D950" s="20"/>
      <c r="E950" s="20"/>
      <c r="F950" s="20"/>
      <c r="G950" s="20"/>
      <c r="H950" s="20"/>
      <c r="I950" s="20"/>
    </row>
    <row r="951">
      <c r="B951" s="20"/>
      <c r="C951" s="20"/>
      <c r="D951" s="20"/>
      <c r="E951" s="20"/>
      <c r="F951" s="20"/>
      <c r="G951" s="20"/>
      <c r="H951" s="20"/>
      <c r="I951" s="20"/>
    </row>
    <row r="952">
      <c r="B952" s="20"/>
      <c r="C952" s="20"/>
      <c r="D952" s="20"/>
      <c r="E952" s="20"/>
      <c r="F952" s="20"/>
      <c r="G952" s="20"/>
      <c r="H952" s="20"/>
      <c r="I952" s="20"/>
    </row>
    <row r="953">
      <c r="B953" s="20"/>
      <c r="C953" s="20"/>
      <c r="D953" s="20"/>
      <c r="E953" s="20"/>
      <c r="F953" s="20"/>
      <c r="G953" s="20"/>
      <c r="H953" s="20"/>
      <c r="I953" s="20"/>
    </row>
    <row r="954">
      <c r="B954" s="20"/>
      <c r="C954" s="20"/>
      <c r="D954" s="20"/>
      <c r="E954" s="20"/>
      <c r="F954" s="20"/>
      <c r="G954" s="20"/>
      <c r="H954" s="20"/>
      <c r="I954" s="20"/>
    </row>
    <row r="955">
      <c r="B955" s="20"/>
      <c r="C955" s="20"/>
      <c r="D955" s="20"/>
      <c r="E955" s="20"/>
      <c r="F955" s="20"/>
      <c r="G955" s="20"/>
      <c r="H955" s="20"/>
      <c r="I955" s="20"/>
    </row>
    <row r="956">
      <c r="B956" s="20"/>
      <c r="C956" s="20"/>
      <c r="D956" s="20"/>
      <c r="E956" s="20"/>
      <c r="F956" s="20"/>
      <c r="G956" s="20"/>
      <c r="H956" s="20"/>
      <c r="I956" s="20"/>
    </row>
    <row r="957">
      <c r="B957" s="20"/>
      <c r="C957" s="20"/>
      <c r="D957" s="20"/>
      <c r="E957" s="20"/>
      <c r="F957" s="20"/>
      <c r="G957" s="20"/>
      <c r="H957" s="20"/>
      <c r="I957" s="20"/>
    </row>
    <row r="958">
      <c r="B958" s="20"/>
      <c r="C958" s="20"/>
      <c r="D958" s="20"/>
      <c r="E958" s="20"/>
      <c r="F958" s="20"/>
      <c r="G958" s="20"/>
      <c r="H958" s="20"/>
      <c r="I958" s="20"/>
    </row>
    <row r="959">
      <c r="B959" s="20"/>
      <c r="C959" s="20"/>
      <c r="D959" s="20"/>
      <c r="E959" s="20"/>
      <c r="F959" s="20"/>
      <c r="G959" s="20"/>
      <c r="H959" s="20"/>
      <c r="I959" s="20"/>
    </row>
    <row r="960">
      <c r="B960" s="20"/>
      <c r="C960" s="20"/>
      <c r="D960" s="20"/>
      <c r="E960" s="20"/>
      <c r="F960" s="20"/>
      <c r="G960" s="20"/>
      <c r="H960" s="20"/>
      <c r="I960" s="20"/>
    </row>
    <row r="961">
      <c r="B961" s="20"/>
      <c r="C961" s="20"/>
      <c r="D961" s="20"/>
      <c r="E961" s="20"/>
      <c r="F961" s="20"/>
      <c r="G961" s="20"/>
      <c r="H961" s="20"/>
      <c r="I961" s="20"/>
    </row>
    <row r="962">
      <c r="B962" s="20"/>
      <c r="C962" s="20"/>
      <c r="D962" s="20"/>
      <c r="E962" s="20"/>
      <c r="F962" s="20"/>
      <c r="G962" s="20"/>
      <c r="H962" s="20"/>
      <c r="I962" s="20"/>
    </row>
    <row r="963">
      <c r="B963" s="20"/>
      <c r="C963" s="20"/>
      <c r="D963" s="20"/>
      <c r="E963" s="20"/>
      <c r="F963" s="20"/>
      <c r="G963" s="20"/>
      <c r="H963" s="20"/>
      <c r="I963" s="20"/>
    </row>
    <row r="964">
      <c r="B964" s="20"/>
      <c r="C964" s="20"/>
      <c r="D964" s="20"/>
      <c r="E964" s="20"/>
      <c r="F964" s="20"/>
      <c r="G964" s="20"/>
      <c r="H964" s="20"/>
      <c r="I964" s="20"/>
    </row>
    <row r="965">
      <c r="B965" s="20"/>
      <c r="C965" s="20"/>
      <c r="D965" s="20"/>
      <c r="E965" s="20"/>
      <c r="F965" s="20"/>
      <c r="G965" s="20"/>
      <c r="H965" s="20"/>
      <c r="I965" s="20"/>
    </row>
    <row r="966">
      <c r="B966" s="20"/>
      <c r="C966" s="20"/>
      <c r="D966" s="20"/>
      <c r="E966" s="20"/>
      <c r="F966" s="20"/>
      <c r="G966" s="20"/>
      <c r="H966" s="20"/>
      <c r="I966" s="20"/>
    </row>
    <row r="967">
      <c r="B967" s="20"/>
      <c r="C967" s="20"/>
      <c r="D967" s="20"/>
      <c r="E967" s="20"/>
      <c r="F967" s="20"/>
      <c r="G967" s="20"/>
      <c r="H967" s="20"/>
      <c r="I967" s="20"/>
    </row>
    <row r="968">
      <c r="B968" s="20"/>
      <c r="C968" s="20"/>
      <c r="D968" s="20"/>
      <c r="E968" s="20"/>
      <c r="F968" s="20"/>
      <c r="G968" s="20"/>
      <c r="H968" s="20"/>
      <c r="I968" s="20"/>
    </row>
    <row r="969">
      <c r="B969" s="20"/>
      <c r="C969" s="20"/>
      <c r="D969" s="20"/>
      <c r="E969" s="20"/>
      <c r="F969" s="20"/>
      <c r="G969" s="20"/>
      <c r="H969" s="20"/>
      <c r="I969" s="20"/>
    </row>
    <row r="970">
      <c r="B970" s="20"/>
      <c r="C970" s="20"/>
      <c r="D970" s="20"/>
      <c r="E970" s="20"/>
      <c r="F970" s="20"/>
      <c r="G970" s="20"/>
      <c r="H970" s="20"/>
      <c r="I970" s="20"/>
    </row>
    <row r="971">
      <c r="B971" s="20"/>
      <c r="C971" s="20"/>
      <c r="D971" s="20"/>
      <c r="E971" s="20"/>
      <c r="F971" s="20"/>
      <c r="G971" s="20"/>
      <c r="H971" s="20"/>
      <c r="I971" s="20"/>
    </row>
    <row r="972">
      <c r="B972" s="20"/>
      <c r="C972" s="20"/>
      <c r="D972" s="20"/>
      <c r="E972" s="20"/>
      <c r="F972" s="20"/>
      <c r="G972" s="20"/>
      <c r="H972" s="20"/>
      <c r="I972" s="20"/>
    </row>
    <row r="973">
      <c r="B973" s="20"/>
      <c r="C973" s="20"/>
      <c r="D973" s="20"/>
      <c r="E973" s="20"/>
      <c r="F973" s="20"/>
      <c r="G973" s="20"/>
      <c r="H973" s="20"/>
      <c r="I973" s="20"/>
    </row>
    <row r="974">
      <c r="B974" s="20"/>
      <c r="C974" s="20"/>
      <c r="D974" s="20"/>
      <c r="E974" s="20"/>
      <c r="F974" s="20"/>
      <c r="G974" s="20"/>
      <c r="H974" s="20"/>
      <c r="I974" s="20"/>
    </row>
    <row r="975">
      <c r="B975" s="20"/>
      <c r="C975" s="20"/>
      <c r="D975" s="20"/>
      <c r="E975" s="20"/>
      <c r="F975" s="20"/>
      <c r="G975" s="20"/>
      <c r="H975" s="20"/>
      <c r="I975" s="20"/>
    </row>
    <row r="976">
      <c r="B976" s="20"/>
      <c r="C976" s="20"/>
      <c r="D976" s="20"/>
      <c r="E976" s="20"/>
      <c r="F976" s="20"/>
      <c r="G976" s="20"/>
      <c r="H976" s="20"/>
      <c r="I976" s="20"/>
    </row>
    <row r="977">
      <c r="B977" s="20"/>
      <c r="C977" s="20"/>
      <c r="D977" s="20"/>
      <c r="E977" s="20"/>
      <c r="F977" s="20"/>
      <c r="G977" s="20"/>
      <c r="H977" s="20"/>
      <c r="I977" s="20"/>
    </row>
    <row r="978">
      <c r="B978" s="20"/>
      <c r="C978" s="20"/>
      <c r="D978" s="20"/>
      <c r="E978" s="20"/>
      <c r="F978" s="20"/>
      <c r="G978" s="20"/>
      <c r="H978" s="20"/>
      <c r="I978" s="20"/>
    </row>
    <row r="979">
      <c r="B979" s="20"/>
      <c r="C979" s="20"/>
      <c r="D979" s="20"/>
      <c r="E979" s="20"/>
      <c r="F979" s="20"/>
      <c r="G979" s="20"/>
      <c r="H979" s="20"/>
      <c r="I979" s="20"/>
    </row>
    <row r="980">
      <c r="B980" s="20"/>
      <c r="C980" s="20"/>
      <c r="D980" s="20"/>
      <c r="E980" s="20"/>
      <c r="F980" s="20"/>
      <c r="G980" s="20"/>
      <c r="H980" s="20"/>
      <c r="I980" s="20"/>
    </row>
    <row r="981">
      <c r="B981" s="20"/>
      <c r="C981" s="20"/>
      <c r="D981" s="20"/>
      <c r="E981" s="20"/>
      <c r="F981" s="20"/>
      <c r="G981" s="20"/>
      <c r="H981" s="20"/>
      <c r="I981" s="20"/>
    </row>
    <row r="982">
      <c r="B982" s="20"/>
      <c r="C982" s="20"/>
      <c r="D982" s="20"/>
      <c r="E982" s="20"/>
      <c r="F982" s="20"/>
      <c r="G982" s="20"/>
      <c r="H982" s="20"/>
      <c r="I982" s="20"/>
    </row>
    <row r="983">
      <c r="B983" s="20"/>
      <c r="C983" s="20"/>
      <c r="D983" s="20"/>
      <c r="E983" s="20"/>
      <c r="F983" s="20"/>
      <c r="G983" s="20"/>
      <c r="H983" s="20"/>
      <c r="I983" s="20"/>
    </row>
    <row r="984">
      <c r="B984" s="20"/>
      <c r="C984" s="20"/>
      <c r="D984" s="20"/>
      <c r="E984" s="20"/>
      <c r="F984" s="20"/>
      <c r="G984" s="20"/>
      <c r="H984" s="20"/>
      <c r="I984" s="20"/>
    </row>
    <row r="985">
      <c r="B985" s="20"/>
      <c r="C985" s="20"/>
      <c r="D985" s="20"/>
      <c r="E985" s="20"/>
      <c r="F985" s="20"/>
      <c r="G985" s="20"/>
      <c r="H985" s="20"/>
      <c r="I985" s="20"/>
    </row>
    <row r="986">
      <c r="B986" s="20"/>
      <c r="C986" s="20"/>
      <c r="D986" s="20"/>
      <c r="E986" s="20"/>
      <c r="F986" s="20"/>
      <c r="G986" s="20"/>
      <c r="H986" s="20"/>
      <c r="I986" s="20"/>
    </row>
    <row r="987">
      <c r="B987" s="20"/>
      <c r="C987" s="20"/>
      <c r="D987" s="20"/>
      <c r="E987" s="20"/>
      <c r="F987" s="20"/>
      <c r="G987" s="20"/>
      <c r="H987" s="20"/>
      <c r="I987" s="20"/>
    </row>
    <row r="988">
      <c r="B988" s="20"/>
      <c r="C988" s="20"/>
      <c r="D988" s="20"/>
      <c r="E988" s="20"/>
      <c r="F988" s="20"/>
      <c r="G988" s="20"/>
      <c r="H988" s="20"/>
      <c r="I988" s="20"/>
    </row>
    <row r="989">
      <c r="B989" s="20"/>
      <c r="C989" s="20"/>
      <c r="D989" s="20"/>
      <c r="E989" s="20"/>
      <c r="F989" s="20"/>
      <c r="G989" s="20"/>
      <c r="H989" s="20"/>
      <c r="I989" s="20"/>
    </row>
    <row r="990">
      <c r="B990" s="20"/>
      <c r="C990" s="20"/>
      <c r="D990" s="20"/>
      <c r="E990" s="20"/>
      <c r="F990" s="20"/>
      <c r="G990" s="20"/>
      <c r="H990" s="20"/>
      <c r="I990" s="20"/>
    </row>
    <row r="991">
      <c r="B991" s="20"/>
      <c r="C991" s="20"/>
      <c r="D991" s="20"/>
      <c r="E991" s="20"/>
      <c r="F991" s="20"/>
      <c r="G991" s="20"/>
      <c r="H991" s="20"/>
      <c r="I991" s="20"/>
    </row>
    <row r="992">
      <c r="B992" s="20"/>
      <c r="C992" s="20"/>
      <c r="D992" s="20"/>
      <c r="E992" s="20"/>
      <c r="F992" s="20"/>
      <c r="G992" s="20"/>
      <c r="H992" s="20"/>
      <c r="I992" s="20"/>
    </row>
    <row r="993">
      <c r="B993" s="20"/>
      <c r="C993" s="20"/>
      <c r="D993" s="20"/>
      <c r="E993" s="20"/>
      <c r="F993" s="20"/>
      <c r="G993" s="20"/>
      <c r="H993" s="20"/>
      <c r="I993" s="20"/>
    </row>
    <row r="994">
      <c r="B994" s="20"/>
      <c r="C994" s="20"/>
      <c r="D994" s="20"/>
      <c r="E994" s="20"/>
      <c r="F994" s="20"/>
      <c r="G994" s="20"/>
      <c r="H994" s="20"/>
      <c r="I994" s="20"/>
    </row>
    <row r="995">
      <c r="B995" s="20"/>
      <c r="C995" s="20"/>
      <c r="D995" s="20"/>
      <c r="E995" s="20"/>
      <c r="F995" s="20"/>
      <c r="G995" s="20"/>
      <c r="H995" s="20"/>
      <c r="I995" s="20"/>
    </row>
    <row r="996">
      <c r="B996" s="20"/>
      <c r="C996" s="20"/>
      <c r="D996" s="20"/>
      <c r="E996" s="20"/>
      <c r="F996" s="20"/>
      <c r="G996" s="20"/>
      <c r="H996" s="20"/>
      <c r="I996" s="20"/>
    </row>
    <row r="997">
      <c r="B997" s="20"/>
      <c r="C997" s="20"/>
      <c r="D997" s="20"/>
      <c r="E997" s="20"/>
      <c r="F997" s="20"/>
      <c r="G997" s="20"/>
      <c r="H997" s="20"/>
      <c r="I997" s="20"/>
    </row>
    <row r="998">
      <c r="B998" s="20"/>
      <c r="C998" s="20"/>
      <c r="D998" s="20"/>
      <c r="E998" s="20"/>
      <c r="F998" s="20"/>
      <c r="G998" s="20"/>
      <c r="H998" s="20"/>
      <c r="I998" s="20"/>
    </row>
    <row r="999">
      <c r="B999" s="20"/>
      <c r="C999" s="20"/>
      <c r="D999" s="20"/>
      <c r="E999" s="20"/>
      <c r="F999" s="20"/>
      <c r="G999" s="20"/>
      <c r="H999" s="20"/>
      <c r="I999" s="20"/>
    </row>
    <row r="1000">
      <c r="B1000" s="20"/>
      <c r="C1000" s="20"/>
      <c r="D1000" s="20"/>
      <c r="E1000" s="20"/>
      <c r="F1000" s="20"/>
      <c r="G1000" s="20"/>
      <c r="H1000" s="20"/>
      <c r="I1000" s="20"/>
    </row>
    <row r="1001">
      <c r="B1001" s="20"/>
      <c r="C1001" s="20"/>
      <c r="D1001" s="20"/>
      <c r="E1001" s="20"/>
      <c r="F1001" s="20"/>
      <c r="G1001" s="20"/>
      <c r="H1001" s="20"/>
      <c r="I1001" s="20"/>
    </row>
    <row r="1002">
      <c r="B1002" s="20"/>
      <c r="C1002" s="20"/>
      <c r="D1002" s="20"/>
      <c r="E1002" s="20"/>
      <c r="F1002" s="20"/>
      <c r="G1002" s="20"/>
      <c r="H1002" s="20"/>
      <c r="I1002" s="20"/>
    </row>
    <row r="1003">
      <c r="B1003" s="20"/>
      <c r="C1003" s="20"/>
      <c r="D1003" s="20"/>
      <c r="E1003" s="20"/>
      <c r="F1003" s="20"/>
      <c r="G1003" s="20"/>
      <c r="H1003" s="20"/>
      <c r="I1003" s="20"/>
    </row>
  </sheetData>
  <drawing r:id="rId1"/>
</worksheet>
</file>