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8CC4E9E2-6708-4DBA-9316-97CDE2399FE1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U5" i="2"/>
  <c r="V5" i="2"/>
  <c r="W5" i="2"/>
  <c r="X5" i="2"/>
  <c r="Y5" i="2"/>
  <c r="Z5" i="2"/>
  <c r="AA5" i="2"/>
  <c r="AB5" i="2"/>
  <c r="AC5" i="2"/>
  <c r="U6" i="2"/>
  <c r="V6" i="2"/>
  <c r="W6" i="2"/>
  <c r="X6" i="2"/>
  <c r="Y6" i="2"/>
  <c r="AB6" i="2" s="1"/>
  <c r="Z6" i="2"/>
  <c r="AA6" i="2"/>
  <c r="AC6" i="2"/>
  <c r="U7" i="2"/>
  <c r="V7" i="2"/>
  <c r="W7" i="2"/>
  <c r="X7" i="2"/>
  <c r="Y7" i="2"/>
  <c r="AB7" i="2" s="1"/>
  <c r="Z7" i="2"/>
  <c r="AA7" i="2"/>
  <c r="AC7" i="2"/>
  <c r="U8" i="2"/>
  <c r="V8" i="2"/>
  <c r="W8" i="2"/>
  <c r="X8" i="2"/>
  <c r="AA8" i="2" s="1"/>
  <c r="Y8" i="2"/>
  <c r="Z8" i="2"/>
  <c r="AC8" i="2" s="1"/>
  <c r="AB8" i="2"/>
  <c r="U9" i="2"/>
  <c r="V9" i="2"/>
  <c r="W9" i="2"/>
  <c r="X9" i="2"/>
  <c r="Y9" i="2"/>
  <c r="AB9" i="2" s="1"/>
  <c r="Z9" i="2"/>
  <c r="AA9" i="2"/>
  <c r="AC9" i="2"/>
  <c r="U10" i="2"/>
  <c r="V10" i="2"/>
  <c r="W10" i="2"/>
  <c r="X10" i="2"/>
  <c r="AA10" i="2" s="1"/>
  <c r="Y10" i="2"/>
  <c r="Z10" i="2"/>
  <c r="AC10" i="2" s="1"/>
  <c r="AB10" i="2"/>
  <c r="U11" i="2"/>
  <c r="V11" i="2"/>
  <c r="W11" i="2"/>
  <c r="X11" i="2"/>
  <c r="Y11" i="2"/>
  <c r="AB11" i="2" s="1"/>
  <c r="Z11" i="2"/>
  <c r="AA11" i="2"/>
  <c r="AC11" i="2"/>
  <c r="U12" i="2"/>
  <c r="V12" i="2"/>
  <c r="W12" i="2"/>
  <c r="X12" i="2"/>
  <c r="AA12" i="2" s="1"/>
  <c r="Y12" i="2"/>
  <c r="Z12" i="2"/>
  <c r="AC12" i="2" s="1"/>
  <c r="AB12" i="2"/>
  <c r="U13" i="2"/>
  <c r="V13" i="2"/>
  <c r="W13" i="2"/>
  <c r="X13" i="2"/>
  <c r="Y13" i="2"/>
  <c r="AB13" i="2" s="1"/>
  <c r="Z13" i="2"/>
  <c r="AA13" i="2"/>
  <c r="AC13" i="2"/>
  <c r="U14" i="2"/>
  <c r="V14" i="2"/>
  <c r="W14" i="2"/>
  <c r="X14" i="2"/>
  <c r="Y14" i="2"/>
  <c r="Z14" i="2"/>
  <c r="AA14" i="2"/>
  <c r="AB14" i="2"/>
  <c r="AC14" i="2"/>
  <c r="U15" i="2"/>
  <c r="V15" i="2"/>
  <c r="W15" i="2"/>
  <c r="X15" i="2"/>
  <c r="Y15" i="2"/>
  <c r="Z15" i="2"/>
  <c r="AA15" i="2"/>
  <c r="AB15" i="2"/>
  <c r="AC15" i="2"/>
  <c r="U16" i="2"/>
  <c r="V16" i="2"/>
  <c r="W16" i="2"/>
  <c r="X16" i="2"/>
  <c r="Y16" i="2"/>
  <c r="Z16" i="2"/>
  <c r="AA16" i="2"/>
  <c r="AB16" i="2"/>
  <c r="AC16" i="2"/>
  <c r="U17" i="2"/>
  <c r="V17" i="2"/>
  <c r="W17" i="2"/>
  <c r="X17" i="2"/>
  <c r="Y17" i="2"/>
  <c r="Z17" i="2"/>
  <c r="AA17" i="2"/>
  <c r="AB17" i="2"/>
  <c r="AC17" i="2"/>
  <c r="U18" i="2"/>
  <c r="V18" i="2"/>
  <c r="W18" i="2"/>
  <c r="X18" i="2"/>
  <c r="Y18" i="2"/>
  <c r="Z18" i="2"/>
  <c r="AA18" i="2"/>
  <c r="AB18" i="2"/>
  <c r="AC18" i="2"/>
  <c r="U19" i="2"/>
  <c r="V19" i="2"/>
  <c r="W19" i="2"/>
  <c r="X19" i="2"/>
  <c r="Y19" i="2"/>
  <c r="Z19" i="2"/>
  <c r="AA19" i="2"/>
  <c r="AB19" i="2"/>
  <c r="AC19" i="2"/>
  <c r="U20" i="2"/>
  <c r="V20" i="2"/>
  <c r="W20" i="2"/>
  <c r="X20" i="2"/>
  <c r="Y20" i="2"/>
  <c r="Z20" i="2"/>
  <c r="AA20" i="2"/>
  <c r="AB20" i="2"/>
  <c r="AC20" i="2"/>
  <c r="U21" i="2"/>
  <c r="V21" i="2"/>
  <c r="W21" i="2"/>
  <c r="X21" i="2"/>
  <c r="Y21" i="2"/>
  <c r="Z21" i="2"/>
  <c r="AA21" i="2"/>
  <c r="AB21" i="2"/>
  <c r="AC21" i="2"/>
  <c r="U22" i="2"/>
  <c r="V22" i="2"/>
  <c r="W22" i="2"/>
  <c r="X22" i="2"/>
  <c r="Y22" i="2"/>
  <c r="Z22" i="2"/>
  <c r="AA22" i="2"/>
  <c r="AB22" i="2"/>
  <c r="AC22" i="2"/>
  <c r="U23" i="2"/>
  <c r="V23" i="2"/>
  <c r="W23" i="2"/>
  <c r="X23" i="2"/>
  <c r="Y23" i="2"/>
  <c r="Z23" i="2"/>
  <c r="AA23" i="2"/>
  <c r="AB23" i="2"/>
  <c r="AC23" i="2"/>
  <c r="U24" i="2"/>
  <c r="V24" i="2"/>
  <c r="W24" i="2"/>
  <c r="X24" i="2"/>
  <c r="Y24" i="2"/>
  <c r="AB24" i="2" s="1"/>
  <c r="Z24" i="2"/>
  <c r="AA24" i="2"/>
  <c r="AC24" i="2"/>
  <c r="U25" i="2"/>
  <c r="V25" i="2"/>
  <c r="W25" i="2"/>
  <c r="X25" i="2"/>
  <c r="Y25" i="2"/>
  <c r="Z25" i="2"/>
  <c r="AA25" i="2"/>
  <c r="AB25" i="2"/>
  <c r="AC25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26" i="5" l="1"/>
  <c r="F63" i="5"/>
  <c r="S48" i="4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O96" i="4" s="1"/>
  <c r="AU96" i="4" s="1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I170" i="4" l="1"/>
  <c r="AB66" i="4"/>
  <c r="AA66" i="4"/>
  <c r="AE66" i="4"/>
  <c r="AB20" i="4"/>
  <c r="AH20" i="4"/>
  <c r="AF66" i="4"/>
  <c r="AN128" i="4"/>
  <c r="AT128" i="4" s="1"/>
  <c r="AE120" i="4"/>
  <c r="AA91" i="4"/>
  <c r="AM91" i="4" s="1"/>
  <c r="AS91" i="4" s="1"/>
  <c r="AC91" i="4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L91" i="4" s="1"/>
  <c r="AR91" i="4" s="1"/>
  <c r="E91" i="4" s="1"/>
  <c r="I91" i="4" s="1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M140" i="4" s="1"/>
  <c r="AS140" i="4" s="1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Q108" i="4" s="1"/>
  <c r="AW108" i="4" s="1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20" i="4" l="1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20" i="4" l="1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F7" i="4"/>
  <c r="J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7" i="4" l="1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4" i="3"/>
  <c r="D195" i="3"/>
  <c r="D196" i="3"/>
  <c r="D193" i="3"/>
  <c r="D197" i="3"/>
  <c r="D191" i="3"/>
  <c r="D192" i="3"/>
  <c r="D193" i="10"/>
  <c r="D197" i="10"/>
  <c r="D196" i="10"/>
  <c r="D191" i="10"/>
  <c r="D194" i="10"/>
  <c r="D195" i="10"/>
  <c r="D192" i="10"/>
  <c r="D188" i="10"/>
  <c r="D189" i="10"/>
  <c r="D190" i="10"/>
  <c r="D182" i="10"/>
  <c r="D184" i="10"/>
  <c r="D187" i="10"/>
  <c r="D183" i="10"/>
  <c r="D186" i="10"/>
  <c r="D185" i="10"/>
  <c r="D188" i="3"/>
  <c r="D187" i="3"/>
  <c r="D189" i="3"/>
  <c r="D182" i="3"/>
  <c r="D184" i="3"/>
  <c r="D190" i="3"/>
  <c r="D185" i="3"/>
  <c r="D186" i="3"/>
  <c r="D183" i="3"/>
  <c r="D175" i="10"/>
  <c r="D180" i="10"/>
  <c r="D171" i="10"/>
  <c r="D170" i="10"/>
  <c r="D97" i="10"/>
  <c r="D126" i="10"/>
  <c r="D90" i="10"/>
  <c r="D166" i="10"/>
  <c r="D80" i="10"/>
  <c r="D158" i="10"/>
  <c r="D120" i="10"/>
  <c r="D77" i="10"/>
  <c r="D150" i="10"/>
  <c r="D148" i="10"/>
  <c r="D98" i="10"/>
  <c r="D76" i="10"/>
  <c r="D102" i="10"/>
  <c r="D143" i="10"/>
  <c r="D86" i="10"/>
  <c r="D163" i="10"/>
  <c r="D118" i="10"/>
  <c r="D125" i="10"/>
  <c r="D138" i="10"/>
  <c r="D135" i="10"/>
  <c r="D93" i="10"/>
  <c r="D139" i="10"/>
  <c r="D154" i="10"/>
  <c r="D101" i="10"/>
  <c r="D109" i="10"/>
  <c r="D110" i="10"/>
  <c r="D167" i="10"/>
  <c r="D178" i="10"/>
  <c r="D168" i="10"/>
  <c r="D169" i="10"/>
  <c r="D134" i="10"/>
  <c r="D151" i="10"/>
  <c r="D113" i="10"/>
  <c r="D74" i="10"/>
  <c r="D128" i="10"/>
  <c r="D111" i="10"/>
  <c r="D79" i="10"/>
  <c r="D88" i="10"/>
  <c r="D87" i="10"/>
  <c r="D162" i="10"/>
  <c r="D147" i="10"/>
  <c r="D84" i="10"/>
  <c r="D145" i="10"/>
  <c r="D121" i="10"/>
  <c r="D159" i="10"/>
  <c r="D127" i="10"/>
  <c r="D160" i="10"/>
  <c r="D96" i="10"/>
  <c r="D83" i="10"/>
  <c r="D144" i="10"/>
  <c r="D174" i="10"/>
  <c r="D173" i="10"/>
  <c r="D172" i="10"/>
  <c r="D179" i="10"/>
  <c r="D152" i="10"/>
  <c r="D137" i="10"/>
  <c r="D117" i="10"/>
  <c r="D140" i="10"/>
  <c r="D146" i="10"/>
  <c r="D85" i="10"/>
  <c r="D136" i="10"/>
  <c r="D142" i="10"/>
  <c r="D89" i="10"/>
  <c r="D100" i="10"/>
  <c r="D112" i="10"/>
  <c r="D105" i="10"/>
  <c r="D106" i="10"/>
  <c r="D108" i="10"/>
  <c r="D81" i="10"/>
  <c r="D141" i="10"/>
  <c r="D94" i="10"/>
  <c r="D95" i="10"/>
  <c r="D164" i="10"/>
  <c r="D165" i="10"/>
  <c r="D130" i="10"/>
  <c r="D156" i="10"/>
  <c r="D149" i="10"/>
  <c r="D124" i="10"/>
  <c r="D176" i="10"/>
  <c r="D181" i="10"/>
  <c r="D177" i="10"/>
  <c r="D155" i="10"/>
  <c r="D114" i="10"/>
  <c r="D82" i="10"/>
  <c r="D119" i="10"/>
  <c r="D132" i="10"/>
  <c r="D75" i="10"/>
  <c r="D91" i="10"/>
  <c r="D107" i="10"/>
  <c r="D153" i="10"/>
  <c r="D103" i="10"/>
  <c r="D92" i="10"/>
  <c r="D116" i="10"/>
  <c r="D129" i="10"/>
  <c r="D157" i="10"/>
  <c r="D115" i="10"/>
  <c r="D131" i="10"/>
  <c r="D133" i="10"/>
  <c r="D104" i="10"/>
  <c r="D78" i="10"/>
  <c r="D99" i="10"/>
  <c r="D123" i="10"/>
  <c r="D122" i="10"/>
  <c r="D161" i="10"/>
  <c r="D3" i="10"/>
  <c r="D2" i="10"/>
  <c r="D2" i="3"/>
  <c r="D3" i="3"/>
  <c r="D66" i="10"/>
  <c r="D50" i="10"/>
  <c r="D44" i="10"/>
  <c r="D42" i="10"/>
  <c r="D63" i="10"/>
  <c r="D39" i="10"/>
  <c r="D54" i="10"/>
  <c r="D36" i="10"/>
  <c r="D47" i="10"/>
  <c r="D43" i="10"/>
  <c r="D69" i="10"/>
  <c r="D67" i="10"/>
  <c r="D72" i="10"/>
  <c r="D71" i="10"/>
  <c r="D49" i="10"/>
  <c r="D45" i="10"/>
  <c r="D53" i="10"/>
  <c r="D51" i="10"/>
  <c r="D37" i="10"/>
  <c r="D61" i="10"/>
  <c r="D31" i="10"/>
  <c r="D4" i="10"/>
  <c r="D19" i="10"/>
  <c r="D13" i="10"/>
  <c r="D8" i="10"/>
  <c r="D18" i="10"/>
  <c r="D21" i="10"/>
  <c r="D27" i="10"/>
  <c r="D30" i="10"/>
  <c r="D28" i="10"/>
  <c r="D14" i="10"/>
  <c r="D29" i="10"/>
  <c r="D12" i="10"/>
  <c r="D25" i="10"/>
  <c r="D20" i="10"/>
  <c r="D68" i="10"/>
  <c r="D35" i="10"/>
  <c r="D48" i="10"/>
  <c r="D34" i="10"/>
  <c r="D59" i="10"/>
  <c r="D57" i="10"/>
  <c r="D56" i="10"/>
  <c r="D52" i="10"/>
  <c r="D58" i="10"/>
  <c r="D46" i="10"/>
  <c r="D64" i="10"/>
  <c r="D70" i="10"/>
  <c r="D73" i="10"/>
  <c r="D65" i="10"/>
  <c r="D62" i="10"/>
  <c r="D33" i="10"/>
  <c r="D60" i="10"/>
  <c r="D41" i="10"/>
  <c r="D40" i="10"/>
  <c r="D38" i="10"/>
  <c r="D55" i="10"/>
  <c r="D32" i="10"/>
  <c r="D15" i="10"/>
  <c r="D17" i="10"/>
  <c r="D9" i="10"/>
  <c r="D16" i="10"/>
  <c r="D24" i="10"/>
  <c r="D7" i="10"/>
  <c r="D23" i="10"/>
  <c r="D11" i="10"/>
  <c r="D22" i="10"/>
  <c r="D26" i="10"/>
  <c r="D5" i="10"/>
  <c r="D10" i="10"/>
  <c r="D6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75" i="3"/>
  <c r="D169" i="3"/>
  <c r="D173" i="3"/>
  <c r="D171" i="3"/>
  <c r="D172" i="3"/>
  <c r="D165" i="3"/>
  <c r="D159" i="3"/>
  <c r="D101" i="3"/>
  <c r="D111" i="3"/>
  <c r="D81" i="3"/>
  <c r="D155" i="3"/>
  <c r="D98" i="3"/>
  <c r="D140" i="3"/>
  <c r="D100" i="3"/>
  <c r="D115" i="3"/>
  <c r="D97" i="3"/>
  <c r="D152" i="3"/>
  <c r="D166" i="3"/>
  <c r="D150" i="3"/>
  <c r="D108" i="3"/>
  <c r="D139" i="3"/>
  <c r="D83" i="3"/>
  <c r="D129" i="3"/>
  <c r="D130" i="3"/>
  <c r="D107" i="3"/>
  <c r="D138" i="3"/>
  <c r="D179" i="3"/>
  <c r="D170" i="3"/>
  <c r="D176" i="3"/>
  <c r="D78" i="3"/>
  <c r="D163" i="3"/>
  <c r="D123" i="3"/>
  <c r="D102" i="3"/>
  <c r="D128" i="3"/>
  <c r="D158" i="3"/>
  <c r="D87" i="3"/>
  <c r="D85" i="3"/>
  <c r="D113" i="3"/>
  <c r="D80" i="3"/>
  <c r="D161" i="3"/>
  <c r="D89" i="3"/>
  <c r="D117" i="3"/>
  <c r="D141" i="3"/>
  <c r="D131" i="3"/>
  <c r="D106" i="3"/>
  <c r="D90" i="3"/>
  <c r="D109" i="3"/>
  <c r="D162" i="3"/>
  <c r="D156" i="3"/>
  <c r="D142" i="3"/>
  <c r="D127" i="3"/>
  <c r="D147" i="3"/>
  <c r="D76" i="3"/>
  <c r="D75" i="3"/>
  <c r="D74" i="3"/>
  <c r="D177" i="3"/>
  <c r="D167" i="3"/>
  <c r="D174" i="3"/>
  <c r="D153" i="3"/>
  <c r="D124" i="3"/>
  <c r="D82" i="3"/>
  <c r="D160" i="3"/>
  <c r="D110" i="3"/>
  <c r="D137" i="3"/>
  <c r="D146" i="3"/>
  <c r="D122" i="3"/>
  <c r="D144" i="3"/>
  <c r="D119" i="3"/>
  <c r="D135" i="3"/>
  <c r="D120" i="3"/>
  <c r="D145" i="3"/>
  <c r="D114" i="3"/>
  <c r="D92" i="3"/>
  <c r="D104" i="3"/>
  <c r="D103" i="3"/>
  <c r="D125" i="3"/>
  <c r="D134" i="3"/>
  <c r="D136" i="3"/>
  <c r="D94" i="3"/>
  <c r="D180" i="3"/>
  <c r="D168" i="3"/>
  <c r="D178" i="3"/>
  <c r="D181" i="3"/>
  <c r="D86" i="3"/>
  <c r="D112" i="3"/>
  <c r="D148" i="3"/>
  <c r="D121" i="3"/>
  <c r="D118" i="3"/>
  <c r="D132" i="3"/>
  <c r="D154" i="3"/>
  <c r="D149" i="3"/>
  <c r="D91" i="3"/>
  <c r="D95" i="3"/>
  <c r="D93" i="3"/>
  <c r="D99" i="3"/>
  <c r="D126" i="3"/>
  <c r="D116" i="3"/>
  <c r="D157" i="3"/>
  <c r="D96" i="3"/>
  <c r="D151" i="3"/>
  <c r="D77" i="3"/>
  <c r="D143" i="3"/>
  <c r="D88" i="3"/>
  <c r="D84" i="3"/>
  <c r="D164" i="3"/>
  <c r="D133" i="3"/>
  <c r="D105" i="3"/>
  <c r="D79" i="3"/>
  <c r="D64" i="3"/>
  <c r="D65" i="3"/>
  <c r="D69" i="3"/>
  <c r="D34" i="3"/>
  <c r="D42" i="3"/>
  <c r="D54" i="3"/>
  <c r="D46" i="3"/>
  <c r="D43" i="3"/>
  <c r="D47" i="3"/>
  <c r="D35" i="3"/>
  <c r="D56" i="3"/>
  <c r="D31" i="3"/>
  <c r="D68" i="3"/>
  <c r="D66" i="3"/>
  <c r="D44" i="3"/>
  <c r="D59" i="3"/>
  <c r="D37" i="3"/>
  <c r="D60" i="3"/>
  <c r="D45" i="3"/>
  <c r="D36" i="3"/>
  <c r="D52" i="3"/>
  <c r="D48" i="3"/>
  <c r="D28" i="3"/>
  <c r="D21" i="3"/>
  <c r="D24" i="3"/>
  <c r="D26" i="3"/>
  <c r="D29" i="3"/>
  <c r="D4" i="3"/>
  <c r="D22" i="3"/>
  <c r="D15" i="3"/>
  <c r="D6" i="3"/>
  <c r="D27" i="3"/>
  <c r="D5" i="3"/>
  <c r="D23" i="3"/>
  <c r="D10" i="3"/>
  <c r="D72" i="3"/>
  <c r="D71" i="3"/>
  <c r="D73" i="3"/>
  <c r="D53" i="3"/>
  <c r="D32" i="3"/>
  <c r="D51" i="3"/>
  <c r="D33" i="3"/>
  <c r="D61" i="3"/>
  <c r="D58" i="3"/>
  <c r="D40" i="3"/>
  <c r="D39" i="3"/>
  <c r="D70" i="3"/>
  <c r="D67" i="3"/>
  <c r="D57" i="3"/>
  <c r="D50" i="3"/>
  <c r="D38" i="3"/>
  <c r="D49" i="3"/>
  <c r="D63" i="3"/>
  <c r="D41" i="3"/>
  <c r="D62" i="3"/>
  <c r="D55" i="3"/>
  <c r="D18" i="3"/>
  <c r="D14" i="3"/>
  <c r="D30" i="3"/>
  <c r="D20" i="3"/>
  <c r="D16" i="3"/>
  <c r="D17" i="3"/>
  <c r="D8" i="3"/>
  <c r="D11" i="3"/>
  <c r="D19" i="3"/>
  <c r="D7" i="3"/>
  <c r="D13" i="3"/>
  <c r="D25" i="3"/>
  <c r="D9" i="3"/>
  <c r="D12" i="3"/>
  <c r="F31" i="3" l="1"/>
  <c r="H31" i="3"/>
  <c r="K31" i="3"/>
  <c r="I31" i="3"/>
  <c r="J31" i="3"/>
  <c r="F5" i="3"/>
  <c r="H5" i="3"/>
  <c r="I5" i="3"/>
  <c r="J5" i="3"/>
  <c r="K5" i="3"/>
  <c r="H66" i="3"/>
  <c r="F66" i="3"/>
  <c r="J66" i="3"/>
  <c r="I66" i="3"/>
  <c r="K66" i="3"/>
  <c r="F43" i="3"/>
  <c r="J43" i="3"/>
  <c r="H43" i="3"/>
  <c r="I43" i="3"/>
  <c r="K43" i="3"/>
  <c r="J22" i="3"/>
  <c r="K22" i="3"/>
  <c r="F22" i="3"/>
  <c r="H22" i="3"/>
  <c r="I22" i="3"/>
  <c r="J13" i="3"/>
  <c r="H13" i="3"/>
  <c r="F13" i="3"/>
  <c r="I13" i="3"/>
  <c r="K13" i="3"/>
  <c r="J48" i="3"/>
  <c r="H48" i="3"/>
  <c r="F48" i="3"/>
  <c r="K48" i="3"/>
  <c r="I48" i="3"/>
  <c r="F60" i="3"/>
  <c r="I60" i="3"/>
  <c r="J60" i="3"/>
  <c r="K60" i="3"/>
  <c r="H60" i="3"/>
  <c r="I8" i="3"/>
  <c r="F8" i="3"/>
  <c r="H8" i="3"/>
  <c r="K8" i="3"/>
  <c r="J8" i="3"/>
  <c r="K33" i="3"/>
  <c r="I33" i="3"/>
  <c r="F33" i="3"/>
  <c r="J33" i="3"/>
  <c r="H33" i="3"/>
  <c r="J39" i="3"/>
  <c r="I39" i="3"/>
  <c r="F39" i="3"/>
  <c r="K39" i="3"/>
  <c r="H39" i="3"/>
  <c r="I49" i="3"/>
  <c r="F49" i="3"/>
  <c r="J49" i="3"/>
  <c r="K49" i="3"/>
  <c r="H49" i="3"/>
  <c r="K55" i="3"/>
  <c r="J55" i="3"/>
  <c r="H55" i="3"/>
  <c r="F55" i="3"/>
  <c r="I55" i="3"/>
  <c r="K46" i="3"/>
  <c r="I46" i="3"/>
  <c r="F46" i="3"/>
  <c r="H46" i="3"/>
  <c r="J46" i="3"/>
  <c r="H12" i="3"/>
  <c r="F12" i="3"/>
  <c r="J12" i="3"/>
  <c r="I12" i="3"/>
  <c r="K12" i="3"/>
  <c r="K37" i="3"/>
  <c r="J37" i="3"/>
  <c r="H37" i="3"/>
  <c r="F37" i="3"/>
  <c r="I37" i="3"/>
  <c r="K73" i="3"/>
  <c r="F73" i="3"/>
  <c r="H73" i="3"/>
  <c r="I73" i="3"/>
  <c r="J73" i="3"/>
  <c r="J51" i="3"/>
  <c r="F51" i="3"/>
  <c r="H51" i="3"/>
  <c r="K51" i="3"/>
  <c r="I51" i="3"/>
  <c r="J79" i="3"/>
  <c r="K79" i="3"/>
  <c r="I79" i="3"/>
  <c r="H79" i="3"/>
  <c r="F79" i="3"/>
  <c r="H105" i="3"/>
  <c r="J105" i="3"/>
  <c r="K105" i="3"/>
  <c r="I105" i="3"/>
  <c r="F105" i="3"/>
  <c r="F133" i="3"/>
  <c r="K133" i="3"/>
  <c r="I133" i="3"/>
  <c r="J133" i="3"/>
  <c r="H133" i="3"/>
  <c r="I164" i="3"/>
  <c r="J164" i="3"/>
  <c r="K164" i="3"/>
  <c r="F164" i="3"/>
  <c r="H164" i="3"/>
  <c r="F84" i="3"/>
  <c r="J84" i="3"/>
  <c r="I84" i="3"/>
  <c r="K84" i="3"/>
  <c r="H84" i="3"/>
  <c r="J88" i="3"/>
  <c r="I88" i="3"/>
  <c r="F88" i="3"/>
  <c r="K88" i="3"/>
  <c r="H88" i="3"/>
  <c r="F143" i="3"/>
  <c r="K143" i="3"/>
  <c r="I143" i="3"/>
  <c r="H143" i="3"/>
  <c r="J143" i="3"/>
  <c r="I38" i="3"/>
  <c r="H38" i="3"/>
  <c r="F38" i="3"/>
  <c r="J38" i="3"/>
  <c r="K38" i="3"/>
  <c r="J4" i="3"/>
  <c r="H4" i="3"/>
  <c r="I4" i="3"/>
  <c r="F4" i="3"/>
  <c r="K4" i="3"/>
  <c r="H27" i="3"/>
  <c r="J27" i="3"/>
  <c r="I27" i="3"/>
  <c r="K27" i="3"/>
  <c r="F27" i="3"/>
  <c r="F56" i="3"/>
  <c r="I56" i="3"/>
  <c r="J56" i="3"/>
  <c r="K56" i="3"/>
  <c r="H56" i="3"/>
  <c r="J77" i="3"/>
  <c r="I77" i="3"/>
  <c r="F77" i="3"/>
  <c r="H77" i="3"/>
  <c r="K77" i="3"/>
  <c r="H17" i="3"/>
  <c r="I17" i="3"/>
  <c r="J17" i="3"/>
  <c r="K17" i="3"/>
  <c r="F17" i="3"/>
  <c r="J20" i="3"/>
  <c r="I20" i="3"/>
  <c r="H20" i="3"/>
  <c r="K20" i="3"/>
  <c r="F20" i="3"/>
  <c r="I52" i="3"/>
  <c r="J52" i="3"/>
  <c r="F52" i="3"/>
  <c r="H52" i="3"/>
  <c r="K52" i="3"/>
  <c r="J67" i="3"/>
  <c r="K67" i="3"/>
  <c r="H67" i="3"/>
  <c r="I67" i="3"/>
  <c r="F67" i="3"/>
  <c r="J40" i="3"/>
  <c r="I40" i="3"/>
  <c r="K40" i="3"/>
  <c r="F40" i="3"/>
  <c r="H40" i="3"/>
  <c r="H7" i="3"/>
  <c r="I7" i="3"/>
  <c r="K7" i="3"/>
  <c r="J7" i="3"/>
  <c r="F7" i="3"/>
  <c r="J62" i="3"/>
  <c r="F62" i="3"/>
  <c r="H62" i="3"/>
  <c r="I62" i="3"/>
  <c r="K62" i="3"/>
  <c r="K54" i="3"/>
  <c r="H54" i="3"/>
  <c r="J54" i="3"/>
  <c r="I54" i="3"/>
  <c r="F54" i="3"/>
  <c r="H69" i="3"/>
  <c r="K69" i="3"/>
  <c r="F69" i="3"/>
  <c r="J69" i="3"/>
  <c r="I69" i="3"/>
  <c r="F59" i="3"/>
  <c r="H59" i="3"/>
  <c r="K59" i="3"/>
  <c r="J59" i="3"/>
  <c r="I59" i="3"/>
  <c r="K35" i="3"/>
  <c r="F35" i="3"/>
  <c r="I35" i="3"/>
  <c r="H35" i="3"/>
  <c r="J35" i="3"/>
  <c r="H24" i="3"/>
  <c r="K24" i="3"/>
  <c r="I24" i="3"/>
  <c r="F24" i="3"/>
  <c r="J24" i="3"/>
  <c r="I68" i="3"/>
  <c r="J68" i="3"/>
  <c r="H68" i="3"/>
  <c r="F68" i="3"/>
  <c r="K68" i="3"/>
  <c r="H71" i="3"/>
  <c r="K71" i="3"/>
  <c r="F71" i="3"/>
  <c r="I71" i="3"/>
  <c r="J71" i="3"/>
  <c r="J151" i="3"/>
  <c r="I151" i="3"/>
  <c r="K151" i="3"/>
  <c r="F151" i="3"/>
  <c r="H151" i="3"/>
  <c r="F96" i="3"/>
  <c r="I96" i="3"/>
  <c r="K96" i="3"/>
  <c r="J96" i="3"/>
  <c r="H96" i="3"/>
  <c r="K157" i="3"/>
  <c r="J157" i="3"/>
  <c r="I157" i="3"/>
  <c r="H157" i="3"/>
  <c r="F157" i="3"/>
  <c r="H116" i="3"/>
  <c r="I116" i="3"/>
  <c r="F116" i="3"/>
  <c r="K116" i="3"/>
  <c r="J116" i="3"/>
  <c r="J126" i="3"/>
  <c r="F126" i="3"/>
  <c r="H126" i="3"/>
  <c r="I126" i="3"/>
  <c r="K126" i="3"/>
  <c r="I99" i="3"/>
  <c r="J99" i="3"/>
  <c r="H99" i="3"/>
  <c r="K99" i="3"/>
  <c r="F99" i="3"/>
  <c r="H93" i="3"/>
  <c r="K93" i="3"/>
  <c r="F93" i="3"/>
  <c r="I93" i="3"/>
  <c r="J93" i="3"/>
  <c r="H95" i="3"/>
  <c r="F95" i="3"/>
  <c r="K95" i="3"/>
  <c r="J95" i="3"/>
  <c r="I95" i="3"/>
  <c r="I91" i="3"/>
  <c r="K91" i="3"/>
  <c r="H91" i="3"/>
  <c r="J91" i="3"/>
  <c r="F91" i="3"/>
  <c r="J149" i="3"/>
  <c r="F149" i="3"/>
  <c r="I149" i="3"/>
  <c r="H149" i="3"/>
  <c r="K149" i="3"/>
  <c r="K154" i="3"/>
  <c r="F154" i="3"/>
  <c r="I154" i="3"/>
  <c r="H154" i="3"/>
  <c r="J154" i="3"/>
  <c r="I132" i="3"/>
  <c r="K132" i="3"/>
  <c r="F132" i="3"/>
  <c r="J132" i="3"/>
  <c r="H132" i="3"/>
  <c r="H118" i="3"/>
  <c r="J118" i="3"/>
  <c r="I118" i="3"/>
  <c r="K118" i="3"/>
  <c r="F118" i="3"/>
  <c r="J121" i="3"/>
  <c r="F121" i="3"/>
  <c r="K121" i="3"/>
  <c r="H121" i="3"/>
  <c r="I121" i="3"/>
  <c r="K148" i="3"/>
  <c r="F148" i="3"/>
  <c r="H148" i="3"/>
  <c r="J148" i="3"/>
  <c r="I148" i="3"/>
  <c r="F112" i="3"/>
  <c r="K112" i="3"/>
  <c r="H112" i="3"/>
  <c r="J112" i="3"/>
  <c r="I112" i="3"/>
  <c r="F86" i="3"/>
  <c r="K86" i="3"/>
  <c r="H86" i="3"/>
  <c r="I86" i="3"/>
  <c r="J86" i="3"/>
  <c r="F181" i="3"/>
  <c r="I181" i="3"/>
  <c r="K181" i="3"/>
  <c r="H181" i="3"/>
  <c r="J181" i="3"/>
  <c r="I178" i="3"/>
  <c r="H178" i="3"/>
  <c r="K178" i="3"/>
  <c r="J178" i="3"/>
  <c r="F178" i="3"/>
  <c r="I168" i="3"/>
  <c r="F168" i="3"/>
  <c r="H168" i="3"/>
  <c r="K168" i="3"/>
  <c r="J168" i="3"/>
  <c r="F180" i="3"/>
  <c r="H180" i="3"/>
  <c r="J180" i="3"/>
  <c r="K180" i="3"/>
  <c r="I180" i="3"/>
  <c r="F94" i="3"/>
  <c r="K94" i="3"/>
  <c r="I94" i="3"/>
  <c r="H94" i="3"/>
  <c r="J94" i="3"/>
  <c r="F136" i="3"/>
  <c r="I136" i="3"/>
  <c r="J136" i="3"/>
  <c r="K136" i="3"/>
  <c r="H136" i="3"/>
  <c r="F134" i="3"/>
  <c r="K134" i="3"/>
  <c r="J134" i="3"/>
  <c r="I134" i="3"/>
  <c r="H134" i="3"/>
  <c r="H125" i="3"/>
  <c r="J125" i="3"/>
  <c r="I125" i="3"/>
  <c r="K125" i="3"/>
  <c r="F125" i="3"/>
  <c r="K103" i="3"/>
  <c r="F103" i="3"/>
  <c r="H103" i="3"/>
  <c r="I103" i="3"/>
  <c r="J103" i="3"/>
  <c r="K104" i="3"/>
  <c r="H104" i="3"/>
  <c r="F104" i="3"/>
  <c r="J104" i="3"/>
  <c r="I104" i="3"/>
  <c r="F92" i="3"/>
  <c r="K92" i="3"/>
  <c r="H92" i="3"/>
  <c r="J92" i="3"/>
  <c r="I92" i="3"/>
  <c r="J114" i="3"/>
  <c r="H114" i="3"/>
  <c r="I114" i="3"/>
  <c r="K114" i="3"/>
  <c r="F114" i="3"/>
  <c r="J145" i="3"/>
  <c r="I145" i="3"/>
  <c r="F145" i="3"/>
  <c r="K145" i="3"/>
  <c r="H145" i="3"/>
  <c r="K120" i="3"/>
  <c r="I120" i="3"/>
  <c r="H120" i="3"/>
  <c r="J120" i="3"/>
  <c r="F120" i="3"/>
  <c r="I135" i="3"/>
  <c r="F135" i="3"/>
  <c r="J135" i="3"/>
  <c r="K135" i="3"/>
  <c r="H135" i="3"/>
  <c r="J119" i="3"/>
  <c r="I119" i="3"/>
  <c r="K119" i="3"/>
  <c r="F119" i="3"/>
  <c r="H119" i="3"/>
  <c r="H144" i="3"/>
  <c r="F144" i="3"/>
  <c r="J144" i="3"/>
  <c r="K144" i="3"/>
  <c r="I144" i="3"/>
  <c r="F122" i="3"/>
  <c r="J122" i="3"/>
  <c r="H122" i="3"/>
  <c r="I122" i="3"/>
  <c r="K122" i="3"/>
  <c r="J146" i="3"/>
  <c r="K146" i="3"/>
  <c r="I146" i="3"/>
  <c r="F146" i="3"/>
  <c r="H146" i="3"/>
  <c r="J137" i="3"/>
  <c r="K137" i="3"/>
  <c r="I137" i="3"/>
  <c r="F137" i="3"/>
  <c r="H137" i="3"/>
  <c r="F110" i="3"/>
  <c r="I110" i="3"/>
  <c r="K110" i="3"/>
  <c r="H110" i="3"/>
  <c r="J110" i="3"/>
  <c r="I160" i="3"/>
  <c r="F160" i="3"/>
  <c r="K160" i="3"/>
  <c r="J160" i="3"/>
  <c r="H160" i="3"/>
  <c r="F82" i="3"/>
  <c r="K82" i="3"/>
  <c r="I82" i="3"/>
  <c r="J82" i="3"/>
  <c r="H82" i="3"/>
  <c r="H124" i="3"/>
  <c r="F124" i="3"/>
  <c r="J124" i="3"/>
  <c r="I124" i="3"/>
  <c r="K124" i="3"/>
  <c r="K153" i="3"/>
  <c r="J153" i="3"/>
  <c r="I153" i="3"/>
  <c r="F153" i="3"/>
  <c r="H153" i="3"/>
  <c r="F174" i="3"/>
  <c r="I174" i="3"/>
  <c r="J174" i="3"/>
  <c r="H174" i="3"/>
  <c r="K174" i="3"/>
  <c r="J167" i="3"/>
  <c r="H167" i="3"/>
  <c r="F167" i="3"/>
  <c r="K167" i="3"/>
  <c r="I167" i="3"/>
  <c r="J177" i="3"/>
  <c r="H177" i="3"/>
  <c r="I177" i="3"/>
  <c r="F177" i="3"/>
  <c r="K177" i="3"/>
  <c r="F6" i="3"/>
  <c r="K6" i="3"/>
  <c r="H6" i="3"/>
  <c r="J6" i="3"/>
  <c r="I6" i="3"/>
  <c r="H10" i="3"/>
  <c r="K10" i="3"/>
  <c r="I10" i="3"/>
  <c r="J10" i="3"/>
  <c r="F10" i="3"/>
  <c r="F30" i="3"/>
  <c r="H30" i="3"/>
  <c r="I30" i="3"/>
  <c r="K30" i="3"/>
  <c r="J30" i="3"/>
  <c r="K36" i="3"/>
  <c r="J36" i="3"/>
  <c r="I36" i="3"/>
  <c r="H36" i="3"/>
  <c r="F36" i="3"/>
  <c r="H32" i="3"/>
  <c r="I32" i="3"/>
  <c r="F32" i="3"/>
  <c r="J32" i="3"/>
  <c r="K32" i="3"/>
  <c r="J65" i="3"/>
  <c r="H65" i="3"/>
  <c r="I65" i="3"/>
  <c r="F65" i="3"/>
  <c r="K65" i="3"/>
  <c r="I70" i="3"/>
  <c r="J70" i="3"/>
  <c r="F70" i="3"/>
  <c r="H70" i="3"/>
  <c r="K70" i="3"/>
  <c r="K72" i="3"/>
  <c r="I72" i="3"/>
  <c r="H72" i="3"/>
  <c r="F72" i="3"/>
  <c r="J72" i="3"/>
  <c r="F21" i="3"/>
  <c r="H21" i="3"/>
  <c r="K21" i="3"/>
  <c r="I21" i="3"/>
  <c r="J21" i="3"/>
  <c r="K9" i="3"/>
  <c r="F9" i="3"/>
  <c r="J9" i="3"/>
  <c r="I9" i="3"/>
  <c r="H9" i="3"/>
  <c r="I19" i="3"/>
  <c r="H19" i="3"/>
  <c r="K19" i="3"/>
  <c r="F19" i="3"/>
  <c r="J19" i="3"/>
  <c r="I29" i="3"/>
  <c r="F29" i="3"/>
  <c r="H29" i="3"/>
  <c r="K29" i="3"/>
  <c r="J29" i="3"/>
  <c r="J14" i="3"/>
  <c r="H14" i="3"/>
  <c r="K14" i="3"/>
  <c r="I14" i="3"/>
  <c r="F14" i="3"/>
  <c r="I58" i="3"/>
  <c r="F58" i="3"/>
  <c r="K58" i="3"/>
  <c r="J58" i="3"/>
  <c r="H58" i="3"/>
  <c r="J50" i="3"/>
  <c r="F50" i="3"/>
  <c r="I50" i="3"/>
  <c r="H50" i="3"/>
  <c r="K50" i="3"/>
  <c r="H41" i="3"/>
  <c r="K41" i="3"/>
  <c r="J41" i="3"/>
  <c r="F41" i="3"/>
  <c r="I41" i="3"/>
  <c r="K42" i="3"/>
  <c r="F42" i="3"/>
  <c r="J42" i="3"/>
  <c r="H42" i="3"/>
  <c r="I42" i="3"/>
  <c r="F23" i="3"/>
  <c r="J23" i="3"/>
  <c r="K23" i="3"/>
  <c r="I23" i="3"/>
  <c r="H23" i="3"/>
  <c r="I15" i="3"/>
  <c r="K15" i="3"/>
  <c r="J15" i="3"/>
  <c r="H15" i="3"/>
  <c r="F15" i="3"/>
  <c r="F16" i="3"/>
  <c r="K16" i="3"/>
  <c r="H16" i="3"/>
  <c r="J16" i="3"/>
  <c r="I16" i="3"/>
  <c r="F28" i="3"/>
  <c r="I28" i="3"/>
  <c r="J28" i="3"/>
  <c r="K28" i="3"/>
  <c r="H28" i="3"/>
  <c r="J74" i="3"/>
  <c r="I74" i="3"/>
  <c r="H74" i="3"/>
  <c r="K74" i="3"/>
  <c r="F74" i="3"/>
  <c r="J44" i="3"/>
  <c r="F44" i="3"/>
  <c r="K44" i="3"/>
  <c r="H44" i="3"/>
  <c r="I44" i="3"/>
  <c r="F75" i="3"/>
  <c r="H75" i="3"/>
  <c r="I75" i="3"/>
  <c r="K75" i="3"/>
  <c r="J75" i="3"/>
  <c r="F53" i="3"/>
  <c r="J53" i="3"/>
  <c r="I53" i="3"/>
  <c r="K53" i="3"/>
  <c r="H53" i="3"/>
  <c r="H47" i="3"/>
  <c r="F47" i="3"/>
  <c r="J47" i="3"/>
  <c r="I47" i="3"/>
  <c r="K47" i="3"/>
  <c r="F57" i="3"/>
  <c r="K57" i="3"/>
  <c r="I57" i="3"/>
  <c r="H57" i="3"/>
  <c r="J57" i="3"/>
  <c r="J45" i="3"/>
  <c r="K45" i="3"/>
  <c r="I45" i="3"/>
  <c r="F45" i="3"/>
  <c r="H45" i="3"/>
  <c r="F18" i="3"/>
  <c r="K18" i="3"/>
  <c r="J18" i="3"/>
  <c r="I18" i="3"/>
  <c r="H18" i="3"/>
  <c r="I25" i="3"/>
  <c r="J25" i="3"/>
  <c r="K25" i="3"/>
  <c r="H25" i="3"/>
  <c r="F25" i="3"/>
  <c r="J11" i="3"/>
  <c r="I11" i="3"/>
  <c r="F11" i="3"/>
  <c r="H11" i="3"/>
  <c r="K11" i="3"/>
  <c r="K26" i="3"/>
  <c r="F26" i="3"/>
  <c r="H26" i="3"/>
  <c r="J26" i="3"/>
  <c r="I26" i="3"/>
  <c r="I34" i="3"/>
  <c r="J34" i="3"/>
  <c r="K34" i="3"/>
  <c r="F34" i="3"/>
  <c r="H34" i="3"/>
  <c r="J61" i="3"/>
  <c r="K61" i="3"/>
  <c r="H61" i="3"/>
  <c r="I61" i="3"/>
  <c r="F61" i="3"/>
  <c r="J76" i="3"/>
  <c r="I76" i="3"/>
  <c r="F76" i="3"/>
  <c r="H76" i="3"/>
  <c r="K76" i="3"/>
  <c r="F63" i="3"/>
  <c r="I63" i="3"/>
  <c r="K63" i="3"/>
  <c r="H63" i="3"/>
  <c r="J63" i="3"/>
  <c r="H64" i="3"/>
  <c r="F64" i="3"/>
  <c r="K64" i="3"/>
  <c r="I64" i="3"/>
  <c r="J64" i="3"/>
  <c r="J147" i="3"/>
  <c r="K147" i="3"/>
  <c r="F147" i="3"/>
  <c r="I147" i="3"/>
  <c r="H147" i="3"/>
  <c r="K127" i="3"/>
  <c r="J127" i="3"/>
  <c r="I127" i="3"/>
  <c r="H127" i="3"/>
  <c r="F127" i="3"/>
  <c r="K142" i="3"/>
  <c r="J142" i="3"/>
  <c r="I142" i="3"/>
  <c r="F142" i="3"/>
  <c r="H142" i="3"/>
  <c r="F156" i="3"/>
  <c r="I156" i="3"/>
  <c r="H156" i="3"/>
  <c r="K156" i="3"/>
  <c r="J156" i="3"/>
  <c r="H162" i="3"/>
  <c r="I162" i="3"/>
  <c r="J162" i="3"/>
  <c r="F162" i="3"/>
  <c r="K162" i="3"/>
  <c r="K109" i="3"/>
  <c r="H109" i="3"/>
  <c r="F109" i="3"/>
  <c r="J109" i="3"/>
  <c r="I109" i="3"/>
  <c r="J90" i="3"/>
  <c r="I90" i="3"/>
  <c r="H90" i="3"/>
  <c r="K90" i="3"/>
  <c r="F90" i="3"/>
  <c r="K106" i="3"/>
  <c r="I106" i="3"/>
  <c r="F106" i="3"/>
  <c r="J106" i="3"/>
  <c r="H106" i="3"/>
  <c r="J131" i="3"/>
  <c r="I131" i="3"/>
  <c r="H131" i="3"/>
  <c r="F131" i="3"/>
  <c r="K131" i="3"/>
  <c r="I141" i="3"/>
  <c r="F141" i="3"/>
  <c r="H141" i="3"/>
  <c r="J141" i="3"/>
  <c r="K141" i="3"/>
  <c r="J117" i="3"/>
  <c r="H117" i="3"/>
  <c r="K117" i="3"/>
  <c r="I117" i="3"/>
  <c r="F117" i="3"/>
  <c r="F89" i="3"/>
  <c r="H89" i="3"/>
  <c r="I89" i="3"/>
  <c r="K89" i="3"/>
  <c r="J89" i="3"/>
  <c r="F161" i="3"/>
  <c r="K161" i="3"/>
  <c r="I161" i="3"/>
  <c r="H161" i="3"/>
  <c r="J161" i="3"/>
  <c r="J80" i="3"/>
  <c r="I80" i="3"/>
  <c r="H80" i="3"/>
  <c r="F80" i="3"/>
  <c r="K80" i="3"/>
  <c r="K113" i="3"/>
  <c r="J113" i="3"/>
  <c r="I113" i="3"/>
  <c r="H113" i="3"/>
  <c r="F113" i="3"/>
  <c r="J85" i="3"/>
  <c r="F85" i="3"/>
  <c r="I85" i="3"/>
  <c r="H85" i="3"/>
  <c r="K85" i="3"/>
  <c r="J87" i="3"/>
  <c r="K87" i="3"/>
  <c r="F87" i="3"/>
  <c r="I87" i="3"/>
  <c r="H87" i="3"/>
  <c r="F158" i="3"/>
  <c r="K158" i="3"/>
  <c r="I158" i="3"/>
  <c r="J158" i="3"/>
  <c r="H158" i="3"/>
  <c r="K128" i="3"/>
  <c r="H128" i="3"/>
  <c r="F128" i="3"/>
  <c r="I128" i="3"/>
  <c r="J128" i="3"/>
  <c r="H102" i="3"/>
  <c r="I102" i="3"/>
  <c r="F102" i="3"/>
  <c r="K102" i="3"/>
  <c r="J102" i="3"/>
  <c r="H123" i="3"/>
  <c r="J123" i="3"/>
  <c r="I123" i="3"/>
  <c r="F123" i="3"/>
  <c r="K123" i="3"/>
  <c r="F163" i="3"/>
  <c r="H163" i="3"/>
  <c r="J163" i="3"/>
  <c r="K163" i="3"/>
  <c r="I163" i="3"/>
  <c r="J78" i="3"/>
  <c r="F78" i="3"/>
  <c r="K78" i="3"/>
  <c r="I78" i="3"/>
  <c r="H78" i="3"/>
  <c r="H176" i="3"/>
  <c r="F176" i="3"/>
  <c r="J176" i="3"/>
  <c r="K176" i="3"/>
  <c r="I176" i="3"/>
  <c r="F170" i="3"/>
  <c r="J170" i="3"/>
  <c r="H170" i="3"/>
  <c r="I170" i="3"/>
  <c r="K170" i="3"/>
  <c r="J179" i="3"/>
  <c r="I179" i="3"/>
  <c r="K179" i="3"/>
  <c r="F179" i="3"/>
  <c r="H179" i="3"/>
  <c r="F138" i="3"/>
  <c r="K138" i="3"/>
  <c r="H138" i="3"/>
  <c r="I138" i="3"/>
  <c r="J138" i="3"/>
  <c r="I107" i="3"/>
  <c r="F107" i="3"/>
  <c r="J107" i="3"/>
  <c r="H107" i="3"/>
  <c r="K107" i="3"/>
  <c r="H130" i="3"/>
  <c r="J130" i="3"/>
  <c r="F130" i="3"/>
  <c r="K130" i="3"/>
  <c r="I130" i="3"/>
  <c r="J129" i="3"/>
  <c r="K129" i="3"/>
  <c r="H129" i="3"/>
  <c r="F129" i="3"/>
  <c r="I129" i="3"/>
  <c r="K83" i="3"/>
  <c r="J83" i="3"/>
  <c r="I83" i="3"/>
  <c r="F83" i="3"/>
  <c r="H83" i="3"/>
  <c r="J139" i="3"/>
  <c r="I139" i="3"/>
  <c r="K139" i="3"/>
  <c r="F139" i="3"/>
  <c r="H139" i="3"/>
  <c r="J108" i="3"/>
  <c r="H108" i="3"/>
  <c r="K108" i="3"/>
  <c r="F108" i="3"/>
  <c r="I108" i="3"/>
  <c r="K150" i="3"/>
  <c r="H150" i="3"/>
  <c r="F150" i="3"/>
  <c r="J150" i="3"/>
  <c r="I150" i="3"/>
  <c r="J166" i="3"/>
  <c r="I166" i="3"/>
  <c r="H166" i="3"/>
  <c r="K166" i="3"/>
  <c r="F166" i="3"/>
  <c r="J152" i="3"/>
  <c r="F152" i="3"/>
  <c r="H152" i="3"/>
  <c r="I152" i="3"/>
  <c r="K152" i="3"/>
  <c r="F97" i="3"/>
  <c r="H97" i="3"/>
  <c r="K97" i="3"/>
  <c r="J97" i="3"/>
  <c r="I97" i="3"/>
  <c r="H115" i="3"/>
  <c r="I115" i="3"/>
  <c r="K115" i="3"/>
  <c r="J115" i="3"/>
  <c r="F115" i="3"/>
  <c r="H100" i="3"/>
  <c r="F100" i="3"/>
  <c r="I100" i="3"/>
  <c r="K100" i="3"/>
  <c r="J100" i="3"/>
  <c r="K140" i="3"/>
  <c r="H140" i="3"/>
  <c r="J140" i="3"/>
  <c r="F140" i="3"/>
  <c r="I140" i="3"/>
  <c r="I98" i="3"/>
  <c r="H98" i="3"/>
  <c r="F98" i="3"/>
  <c r="J98" i="3"/>
  <c r="K98" i="3"/>
  <c r="K155" i="3"/>
  <c r="H155" i="3"/>
  <c r="F155" i="3"/>
  <c r="I155" i="3"/>
  <c r="J155" i="3"/>
  <c r="H81" i="3"/>
  <c r="K81" i="3"/>
  <c r="I81" i="3"/>
  <c r="J81" i="3"/>
  <c r="F81" i="3"/>
  <c r="I111" i="3"/>
  <c r="J111" i="3"/>
  <c r="F111" i="3"/>
  <c r="K111" i="3"/>
  <c r="H111" i="3"/>
  <c r="K101" i="3"/>
  <c r="H101" i="3"/>
  <c r="F101" i="3"/>
  <c r="I101" i="3"/>
  <c r="J101" i="3"/>
  <c r="F159" i="3"/>
  <c r="H159" i="3"/>
  <c r="I159" i="3"/>
  <c r="J159" i="3"/>
  <c r="K159" i="3"/>
  <c r="J165" i="3"/>
  <c r="I165" i="3"/>
  <c r="K165" i="3"/>
  <c r="F165" i="3"/>
  <c r="H165" i="3"/>
  <c r="J172" i="3"/>
  <c r="K172" i="3"/>
  <c r="F172" i="3"/>
  <c r="I172" i="3"/>
  <c r="H172" i="3"/>
  <c r="I171" i="3"/>
  <c r="F171" i="3"/>
  <c r="H171" i="3"/>
  <c r="K171" i="3"/>
  <c r="J171" i="3"/>
  <c r="F173" i="3"/>
  <c r="H173" i="3"/>
  <c r="I173" i="3"/>
  <c r="K173" i="3"/>
  <c r="J173" i="3"/>
  <c r="K169" i="3"/>
  <c r="F169" i="3"/>
  <c r="H169" i="3"/>
  <c r="J169" i="3"/>
  <c r="I169" i="3"/>
  <c r="J175" i="3"/>
  <c r="H175" i="3"/>
  <c r="F175" i="3"/>
  <c r="I175" i="3"/>
  <c r="K175" i="3"/>
</calcChain>
</file>

<file path=xl/sharedStrings.xml><?xml version="1.0" encoding="utf-8"?>
<sst xmlns="http://schemas.openxmlformats.org/spreadsheetml/2006/main" count="314" uniqueCount="120">
  <si>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</si>
  <si>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</si>
  <si>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</si>
  <si>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</si>
  <si>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</si>
  <si>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</si>
  <si>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</si>
  <si>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</si>
  <si>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</si>
  <si>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</si>
  <si>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</si>
  <si>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</si>
  <si>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</si>
  <si>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</si>
  <si>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</si>
  <si>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</si>
  <si>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</si>
  <si>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</si>
  <si>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</si>
  <si>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</si>
  <si>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</si>
  <si>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</si>
  <si>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</si>
  <si>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</si>
  <si>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</si>
  <si>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</si>
  <si>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</si>
  <si>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</si>
  <si>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</si>
  <si>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</si>
  <si>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</si>
  <si>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</si>
  <si>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</si>
  <si>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</si>
  <si>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</si>
  <si>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</si>
  <si>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</si>
  <si>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</si>
  <si>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</si>
  <si>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</si>
  <si>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</si>
  <si>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</si>
  <si>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</si>
  <si>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</si>
  <si>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</si>
  <si>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</si>
  <si>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</si>
  <si>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</si>
  <si>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</si>
  <si>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</si>
  <si>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</si>
  <si>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</si>
  <si>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</si>
  <si>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</si>
  <si>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</si>
  <si>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</si>
  <si>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</si>
  <si>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</si>
  <si>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</si>
  <si>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</si>
  <si>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</si>
  <si>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</si>
  <si>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</si>
  <si>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</si>
  <si>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</si>
  <si>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</si>
  <si>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</si>
  <si>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</si>
  <si>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Halifax</t>
  </si>
  <si>
    <t>Dorking</t>
  </si>
  <si>
    <t>EC</t>
  </si>
  <si>
    <t>Granada</t>
  </si>
  <si>
    <t>Albacete</t>
  </si>
  <si>
    <t>Ponferradina</t>
  </si>
  <si>
    <t>Sp Gijon</t>
  </si>
  <si>
    <t>Leganes</t>
  </si>
  <si>
    <t>Huesca</t>
  </si>
  <si>
    <t>Zaragoza</t>
  </si>
  <si>
    <t>Malaga</t>
  </si>
  <si>
    <t>Villarreal B</t>
  </si>
  <si>
    <t>Ibiza</t>
  </si>
  <si>
    <t>Andorra</t>
  </si>
  <si>
    <t>Lugo</t>
  </si>
  <si>
    <t>Eibar</t>
  </si>
  <si>
    <t>Alaves</t>
  </si>
  <si>
    <t>Santander</t>
  </si>
  <si>
    <t>Burgos</t>
  </si>
  <si>
    <t>Levante</t>
  </si>
  <si>
    <t>Las Palmas</t>
  </si>
  <si>
    <t>Mirandes</t>
  </si>
  <si>
    <t>Cartagena</t>
  </si>
  <si>
    <t>SP2</t>
  </si>
  <si>
    <t>Parma</t>
  </si>
  <si>
    <t>Modena</t>
  </si>
  <si>
    <t>Pisa</t>
  </si>
  <si>
    <t>Ternana</t>
  </si>
  <si>
    <t>Reggina</t>
  </si>
  <si>
    <t>Benevento</t>
  </si>
  <si>
    <t>Brescia</t>
  </si>
  <si>
    <t>Spal</t>
  </si>
  <si>
    <t>Cittadella</t>
  </si>
  <si>
    <t>Cosenza</t>
  </si>
  <si>
    <t>Como</t>
  </si>
  <si>
    <t>Bari</t>
  </si>
  <si>
    <t>Frosinone</t>
  </si>
  <si>
    <t>Cagliari</t>
  </si>
  <si>
    <t>Perugia</t>
  </si>
  <si>
    <t>Genoa</t>
  </si>
  <si>
    <t>Sudtirol</t>
  </si>
  <si>
    <t>Ascoli</t>
  </si>
  <si>
    <t>Palermo</t>
  </si>
  <si>
    <t>Venezia</t>
  </si>
  <si>
    <t>I2</t>
  </si>
  <si>
    <t>Boreham Wood</t>
  </si>
  <si>
    <t>Oldham</t>
  </si>
  <si>
    <t>Oviedo</t>
  </si>
  <si>
    <t>Tenerife</t>
  </si>
  <si>
    <t>06/12/2022</t>
  </si>
  <si>
    <t>07/12/2022</t>
  </si>
  <si>
    <t>08/12/2022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</si>
</sst>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1.0725753995856002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1.070599000893548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1.0605979647980854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1.0730588601512996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1.0611303767406881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1.0399586640868308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1.0575635508862022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1.0636236687327365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1.0763928380908678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1.0487772084693074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1.048583109071006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1.0549077074635693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1.0404319501157899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1.042106143326367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1.0533218816775407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1.0488145277884962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1.0481397396121741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1.0449864577049268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1.0775660711684272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1.0778711288627052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1.0731597749042656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1.06243870990235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1.0696235692694445</v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1.0433133547224758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21.332124534622007</v>
      </c>
      <c r="I2" s="6">
        <f>IF('Log_working_3-way'!$D2="","",'True_Odds_Calculator_3-way'!O3/'True_Odds_Calculator_3-way'!B3-1)</f>
        <v>7.1812284479328508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4.5031227234068272E-2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1.0443373915572787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21.750040508388</v>
      </c>
      <c r="I3" s="6">
        <f>IF('Log_working_3-way'!$D3="","",'True_Odds_Calculator_3-way'!O4/'True_Odds_Calculator_3-way'!B4-1)</f>
        <v>5.6209865122230296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4.5948023523085801E-2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1.0338563572435502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22.921344917408547</v>
      </c>
      <c r="I4" s="6">
        <f>IF('Log_working_3-way'!$D4="","",'True_Odds_Calculator_3-way'!O5/'True_Odds_Calculator_3-way'!B5-1)</f>
        <v>8.6783994552978534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3.4718685889856715E-2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1.0312005015196408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7.7772611266390097</v>
      </c>
      <c r="I5" s="6">
        <f>IF('Log_working_3-way'!$D5="","",'True_Odds_Calculator_3-way'!O6/'True_Odds_Calculator_3-way'!B6-1)</f>
        <v>10.503743524645161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3.3629304708811203E-2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1.0300761083326948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13.217696443615512</v>
      </c>
      <c r="I6" s="6">
        <f>IF('Log_working_3-way'!$D6="","",'True_Odds_Calculator_3-way'!O7/'True_Odds_Calculator_3-way'!B7-1)</f>
        <v>9.2762225534014391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3.2499256944164223E-2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1.0245241872685185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13.083177153001552</v>
      </c>
      <c r="I7" s="6">
        <f>IF('Log_working_3-way'!$D7="","",'True_Odds_Calculator_3-way'!O8/'True_Odds_Calculator_3-way'!B8-1)</f>
        <v>8.8799066949568353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2.6568326920763496E-2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1.0363216303658438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28.804053139328865</v>
      </c>
      <c r="I8" s="6">
        <f>IF('Log_working_3-way'!$D8="","",'True_Odds_Calculator_3-way'!O9/'True_Odds_Calculator_3-way'!B9-1)</f>
        <v>7.2559703987060598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3.5570477162261582E-2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1.0297743724478494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11.81016920676398</v>
      </c>
      <c r="I9" s="6">
        <f>IF('Log_working_3-way'!$D9="","",'True_Odds_Calculator_3-way'!O10/'True_Odds_Calculator_3-way'!B10-1)</f>
        <v>10.599107365351539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3.2237770043328728E-2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1.0312640926750041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15.799544419134392</v>
      </c>
      <c r="I10" s="6">
        <f>IF('Log_working_3-way'!$D10="","",'True_Odds_Calculator_3-way'!O11/'True_Odds_Calculator_3-way'!B11-1)</f>
        <v>10.119261804563525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3.3427495291902254E-2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1.0283020417292563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25.368181075110613</v>
      </c>
      <c r="I11" s="6">
        <f>IF('Log_working_3-way'!$D11="","",'True_Odds_Calculator_3-way'!O12/'True_Odds_Calculator_3-way'!B12-1)</f>
        <v>6.7130460396975025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2.876781806980655E-2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1.0254949415087913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14.204747006809631</v>
      </c>
      <c r="I12" s="6">
        <f>IF('Log_working_3-way'!$D12="","",'True_Odds_Calculator_3-way'!O13/'True_Odds_Calculator_3-way'!B13-1)</f>
        <v>10.183460513172966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2.7495099808314549E-2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1.0262065395726907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6.5899615309706636</v>
      </c>
      <c r="I13" s="6">
        <f>IF('Log_working_3-way'!$D13="","",'True_Odds_Calculator_3-way'!O14/'True_Odds_Calculator_3-way'!B14-1)</f>
        <v>8.9292615996419684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2.8002976186144446E-2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1.0362710230990169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38.803141213857707</v>
      </c>
      <c r="I14" s="6">
        <f>IF('Log_working_3-way'!$D14="","",'True_Odds_Calculator_3-way'!O15/'True_Odds_Calculator_3-way'!B15-1)</f>
        <v>4.6243242536242768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3.2365436296951877E-2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1.0256073590463408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15.212707589634267</v>
      </c>
      <c r="I15" s="6">
        <f>IF('Log_working_3-way'!$D15="","",'True_Odds_Calculator_3-way'!O16/'True_Odds_Calculator_3-way'!B16-1)</f>
        <v>8.6843213990366817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2.7572046336488798E-2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1.0275156957401335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22.59558512155014</v>
      </c>
      <c r="I16" s="6">
        <f>IF('Log_working_3-way'!$D16="","",'True_Odds_Calculator_3-way'!O17/'True_Odds_Calculator_3-way'!B17-1)</f>
        <v>8.0380583290634284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2.8435768436001707E-2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1.0255147780584826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12.447621730257772</v>
      </c>
      <c r="I17" s="6">
        <f>IF('Log_working_3-way'!$D17="","",'True_Odds_Calculator_3-way'!O18/'True_Odds_Calculator_3-way'!B18-1)</f>
        <v>9.812037289146474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2.7661190390534385E-2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1.0262243485619673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20.45101762942182</v>
      </c>
      <c r="I18" s="6">
        <f>IF('Log_working_3-way'!$D18="","",'True_Odds_Calculator_3-way'!O19/'True_Odds_Calculator_3-way'!B19-1)</f>
        <v>8.0460590685347135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2.752617381763045E-2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1.0256734985844913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18.057851817375525</v>
      </c>
      <c r="I19" s="6">
        <f>IF('Log_working_3-way'!$D19="","",'True_Odds_Calculator_3-way'!O20/'True_Odds_Calculator_3-way'!B20-1)</f>
        <v>7.9928847610819567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2.732812029184406E-2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1.0401551936713587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7.8030382512713583</v>
      </c>
      <c r="I20" s="6">
        <f>IF('Log_working_3-way'!$D20="","",'True_Odds_Calculator_3-way'!O21/'True_Odds_Calculator_3-way'!B21-1)</f>
        <v>11.315500386216144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4.3132631411380462E-2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1.0410645987824299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7.7441134973598658</v>
      </c>
      <c r="I21" s="6">
        <f>IF('Log_working_3-way'!$D21="","",'True_Odds_Calculator_3-way'!O22/'True_Odds_Calculator_3-way'!B22-1)</f>
        <v>8.9049205331235655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4.3826279212397123E-2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1.0419406053347311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11.932330951914441</v>
      </c>
      <c r="I22" s="6">
        <f>IF('Log_working_3-way'!$D22="","",'True_Odds_Calculator_3-way'!O23/'True_Odds_Calculator_3-way'!B23-1)</f>
        <v>10.697217139547632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4.516626093289533E-2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1.0587051103454994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41.895786887857511</v>
      </c>
      <c r="I23" s="6">
        <f>IF('Log_working_3-way'!$D23="","",'True_Odds_Calculator_3-way'!O24/'True_Odds_Calculator_3-way'!B24-1)</f>
        <v>4.4244927102108349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5.0056878502141355E-2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1.0417012094021589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7.1388657785083378</v>
      </c>
      <c r="I24" s="6">
        <f>IF('Log_working_3-way'!$D24="","",'True_Odds_Calculator_3-way'!O25/'True_Odds_Calculator_3-way'!B25-1)</f>
        <v>9.028481268270415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4.435433432985203E-2</v>
      </c>
    </row>
    <row r="25" spans="4:11" x14ac:dyDescent="0.25">
      <c r="D25" t="str">
        <f>solve_for_c('True_Odds_Calculator_3-way'!A26,'True_Odds_Calculator_3-way'!B26,'True_Odds_Calculator_3-way'!C26,'Log_working_3-way'!B$1,'Log_working_3-way'!B$2)</f>
        <v/>
      </c>
      <c r="F25" s="6" t="str">
        <f>IF('Log_working_3-way'!D25="","",1/'True_Odds_Calculator_3-way'!N26+1/'True_Odds_Calculator_3-way'!O26+1/'True_Odds_Calculator_3-way'!#REF!-1)</f>
        <v/>
      </c>
      <c r="H25" s="6" t="str">
        <f>IF('Log_working_3-way'!$D25="","",'True_Odds_Calculator_3-way'!N26/'True_Odds_Calculator_3-way'!A26-1)</f>
        <v/>
      </c>
      <c r="I25" s="6" t="str">
        <f>IF('Log_working_3-way'!$D25="","",'True_Odds_Calculator_3-way'!O26/'True_Odds_Calculator_3-way'!B26-1)</f>
        <v/>
      </c>
      <c r="J25" s="6" t="str">
        <f>IF('Log_working_3-way'!$D25="","",'True_Odds_Calculator_3-way'!#REF!/'True_Odds_Calculator_3-way'!C26-1)</f>
        <v/>
      </c>
      <c r="K25" s="6" t="str">
        <f>IF('Log_working_3-way'!$D25="","",1/'True_Odds_Calculator_3-way'!A26+1/'True_Odds_Calculator_3-way'!B26+1/'True_Odds_Calculator_3-way'!C26-1)</f>
        <v/>
      </c>
    </row>
    <row r="26" spans="4:11" x14ac:dyDescent="0.25">
      <c r="D26" t="str">
        <f>solve_for_c('True_Odds_Calculator_3-way'!A27,'True_Odds_Calculator_3-way'!B27,'True_Odds_Calculator_3-way'!C27,'Log_working_3-way'!B$1,'Log_working_3-way'!B$2)</f>
        <v/>
      </c>
      <c r="F26" s="6" t="str">
        <f>IF('Log_working_3-way'!D26="","",1/'True_Odds_Calculator_3-way'!N27+1/'True_Odds_Calculator_3-way'!O27+1/'True_Odds_Calculator_3-way'!#REF!-1)</f>
        <v/>
      </c>
      <c r="H26" s="6" t="str">
        <f>IF('Log_working_3-way'!$D26="","",'True_Odds_Calculator_3-way'!N27/'True_Odds_Calculator_3-way'!A27-1)</f>
        <v/>
      </c>
      <c r="I26" s="6" t="str">
        <f>IF('Log_working_3-way'!$D26="","",'True_Odds_Calculator_3-way'!O27/'True_Odds_Calculator_3-way'!B27-1)</f>
        <v/>
      </c>
      <c r="J26" s="6" t="str">
        <f>IF('Log_working_3-way'!$D26="","",'True_Odds_Calculator_3-way'!#REF!/'True_Odds_Calculator_3-way'!C27-1)</f>
        <v/>
      </c>
      <c r="K26" s="6" t="str">
        <f>IF('Log_working_3-way'!$D26="","",1/'True_Odds_Calculator_3-way'!A27+1/'True_Odds_Calculator_3-way'!B27+1/'True_Odds_Calculator_3-way'!C27-1)</f>
        <v/>
      </c>
    </row>
    <row r="27" spans="4:11" x14ac:dyDescent="0.25">
      <c r="D27" t="str">
        <f>solve_for_c('True_Odds_Calculator_3-way'!A28,'True_Odds_Calculator_3-way'!B28,'True_Odds_Calculator_3-way'!C28,'Log_working_3-way'!B$1,'Log_working_3-way'!B$2)</f>
        <v/>
      </c>
      <c r="F27" s="6" t="str">
        <f>IF('Log_working_3-way'!D27="","",1/'True_Odds_Calculator_3-way'!N28+1/'True_Odds_Calculator_3-way'!O28+1/'True_Odds_Calculator_3-way'!#REF!-1)</f>
        <v/>
      </c>
      <c r="H27" s="6" t="str">
        <f>IF('Log_working_3-way'!$D27="","",'True_Odds_Calculator_3-way'!N28/'True_Odds_Calculator_3-way'!A28-1)</f>
        <v/>
      </c>
      <c r="I27" s="6" t="str">
        <f>IF('Log_working_3-way'!$D27="","",'True_Odds_Calculator_3-way'!O28/'True_Odds_Calculator_3-way'!B28-1)</f>
        <v/>
      </c>
      <c r="J27" s="6" t="str">
        <f>IF('Log_working_3-way'!$D27="","",'True_Odds_Calculator_3-way'!#REF!/'True_Odds_Calculator_3-way'!C28-1)</f>
        <v/>
      </c>
      <c r="K27" s="6" t="str">
        <f>IF('Log_working_3-way'!$D27="","",1/'True_Odds_Calculator_3-way'!A28+1/'True_Odds_Calculator_3-way'!B28+1/'True_Odds_Calculator_3-way'!C28-1)</f>
        <v/>
      </c>
    </row>
    <row r="28" spans="4:11" x14ac:dyDescent="0.25">
      <c r="D28" t="str">
        <f>solve_for_c('True_Odds_Calculator_3-way'!A29,'True_Odds_Calculator_3-way'!B29,'True_Odds_Calculator_3-way'!C29,'Log_working_3-way'!B$1,'Log_working_3-way'!B$2)</f>
        <v/>
      </c>
      <c r="F28" s="6" t="str">
        <f>IF('Log_working_3-way'!D28="","",1/'True_Odds_Calculator_3-way'!N29+1/'True_Odds_Calculator_3-way'!O29+1/'True_Odds_Calculator_3-way'!#REF!-1)</f>
        <v/>
      </c>
      <c r="H28" s="6" t="str">
        <f>IF('Log_working_3-way'!$D28="","",'True_Odds_Calculator_3-way'!N29/'True_Odds_Calculator_3-way'!A29-1)</f>
        <v/>
      </c>
      <c r="I28" s="6" t="str">
        <f>IF('Log_working_3-way'!$D28="","",'True_Odds_Calculator_3-way'!O29/'True_Odds_Calculator_3-way'!B29-1)</f>
        <v/>
      </c>
      <c r="J28" s="6" t="str">
        <f>IF('Log_working_3-way'!$D28="","",'True_Odds_Calculator_3-way'!#REF!/'True_Odds_Calculator_3-way'!C29-1)</f>
        <v/>
      </c>
      <c r="K28" s="6" t="str">
        <f>IF('Log_working_3-way'!$D28="","",1/'True_Odds_Calculator_3-way'!A29+1/'True_Odds_Calculator_3-way'!B29+1/'True_Odds_Calculator_3-way'!C29-1)</f>
        <v/>
      </c>
    </row>
    <row r="29" spans="4:11" x14ac:dyDescent="0.25">
      <c r="D29" t="str">
        <f>solve_for_c('True_Odds_Calculator_3-way'!A30,'True_Odds_Calculator_3-way'!B30,'True_Odds_Calculator_3-way'!C30,'Log_working_3-way'!B$1,'Log_working_3-way'!B$2)</f>
        <v/>
      </c>
      <c r="F29" s="6" t="str">
        <f>IF('Log_working_3-way'!D29="","",1/'True_Odds_Calculator_3-way'!N30+1/'True_Odds_Calculator_3-way'!O30+1/'True_Odds_Calculator_3-way'!#REF!-1)</f>
        <v/>
      </c>
      <c r="H29" s="6" t="str">
        <f>IF('Log_working_3-way'!$D29="","",'True_Odds_Calculator_3-way'!N30/'True_Odds_Calculator_3-way'!A30-1)</f>
        <v/>
      </c>
      <c r="I29" s="6" t="str">
        <f>IF('Log_working_3-way'!$D29="","",'True_Odds_Calculator_3-way'!O30/'True_Odds_Calculator_3-way'!B30-1)</f>
        <v/>
      </c>
      <c r="J29" s="6" t="str">
        <f>IF('Log_working_3-way'!$D29="","",'True_Odds_Calculator_3-way'!#REF!/'True_Odds_Calculator_3-way'!C30-1)</f>
        <v/>
      </c>
      <c r="K29" s="6" t="str">
        <f>IF('Log_working_3-way'!$D29="","",1/'True_Odds_Calculator_3-way'!A30+1/'True_Odds_Calculator_3-way'!B30+1/'True_Odds_Calculator_3-way'!C30-1)</f>
        <v/>
      </c>
    </row>
    <row r="30" spans="4:11" x14ac:dyDescent="0.25">
      <c r="D30" t="str">
        <f>solve_for_c('True_Odds_Calculator_3-way'!A31,'True_Odds_Calculator_3-way'!B31,'True_Odds_Calculator_3-way'!C31,'Log_working_3-way'!B$1,'Log_working_3-way'!B$2)</f>
        <v/>
      </c>
      <c r="F30" s="6" t="str">
        <f>IF('Log_working_3-way'!D30="","",1/'True_Odds_Calculator_3-way'!N31+1/'True_Odds_Calculator_3-way'!O31+1/'True_Odds_Calculator_3-way'!#REF!-1)</f>
        <v/>
      </c>
      <c r="H30" s="6" t="str">
        <f>IF('Log_working_3-way'!$D30="","",'True_Odds_Calculator_3-way'!N31/'True_Odds_Calculator_3-way'!A31-1)</f>
        <v/>
      </c>
      <c r="I30" s="6" t="str">
        <f>IF('Log_working_3-way'!$D30="","",'True_Odds_Calculator_3-way'!O31/'True_Odds_Calculator_3-way'!B31-1)</f>
        <v/>
      </c>
      <c r="J30" s="6" t="str">
        <f>IF('Log_working_3-way'!$D30="","",'True_Odds_Calculator_3-way'!#REF!/'True_Odds_Calculator_3-way'!C31-1)</f>
        <v/>
      </c>
      <c r="K30" s="6" t="str">
        <f>IF('Log_working_3-way'!$D30="","",1/'True_Odds_Calculator_3-way'!A31+1/'True_Odds_Calculator_3-way'!B31+1/'True_Odds_Calculator_3-way'!C31-1)</f>
        <v/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IF('Log_working_3-way'!D31="","",1/'True_Odds_Calculator_3-way'!N32+1/'True_Odds_Calculator_3-way'!O32+1/'True_Odds_Calculator_3-way'!#REF!-1)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IF('Log_working_3-way'!$D31="","",'True_Odds_Calculator_3-way'!#REF!/'True_Odds_Calculator_3-way'!C32-1)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IF('Log_working_3-way'!D32="","",1/'True_Odds_Calculator_3-way'!N33+1/'True_Odds_Calculator_3-way'!O33+1/'True_Odds_Calculator_3-way'!#REF!-1)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IF('Log_working_3-way'!$D32="","",'True_Odds_Calculator_3-way'!#REF!/'True_Odds_Calculator_3-way'!C33-1)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IF('Log_working_3-way'!D33="","",1/'True_Odds_Calculator_3-way'!N34+1/'True_Odds_Calculator_3-way'!O34+1/'True_Odds_Calculator_3-way'!#REF!-1)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IF('Log_working_3-way'!$D33="","",'True_Odds_Calculator_3-way'!#REF!/'True_Odds_Calculator_3-way'!C34-1)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IF('Log_working_3-way'!D34="","",1/'True_Odds_Calculator_3-way'!N35+1/'True_Odds_Calculator_3-way'!O35+1/'True_Odds_Calculator_3-way'!#REF!-1)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IF('Log_working_3-way'!$D34="","",'True_Odds_Calculator_3-way'!#REF!/'True_Odds_Calculator_3-way'!C35-1)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IF('Log_working_3-way'!D35="","",1/'True_Odds_Calculator_3-way'!N36+1/'True_Odds_Calculator_3-way'!O36+1/'True_Odds_Calculator_3-way'!#REF!-1)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IF('Log_working_3-way'!$D35="","",'True_Odds_Calculator_3-way'!#REF!/'True_Odds_Calculator_3-way'!C36-1)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str">
        <f>solve_for_c('True_Odds_Calculator_3-way'!A39,'True_Odds_Calculator_3-way'!B39,'True_Odds_Calculator_3-way'!C39,'Log_working_3-way'!B$1,'Log_working_3-way'!B$2)</f>
        <v/>
      </c>
      <c r="F38" s="6" t="str">
        <f>IF('Log_working_3-way'!D38="","",1/'True_Odds_Calculator_3-way'!N39+1/'True_Odds_Calculator_3-way'!O39+1/'True_Odds_Calculator_3-way'!#REF!-1)</f>
        <v/>
      </c>
      <c r="H38" s="6" t="str">
        <f>IF('Log_working_3-way'!$D38="","",'True_Odds_Calculator_3-way'!N39/'True_Odds_Calculator_3-way'!A39-1)</f>
        <v/>
      </c>
      <c r="I38" s="6" t="str">
        <f>IF('Log_working_3-way'!$D38="","",'True_Odds_Calculator_3-way'!O39/'True_Odds_Calculator_3-way'!B39-1)</f>
        <v/>
      </c>
      <c r="J38" s="6" t="str">
        <f>IF('Log_working_3-way'!$D38="","",'True_Odds_Calculator_3-way'!#REF!/'True_Odds_Calculator_3-way'!C39-1)</f>
        <v/>
      </c>
      <c r="K38" s="6" t="str">
        <f>IF('Log_working_3-way'!$D38="","",1/'True_Odds_Calculator_3-way'!A39+1/'True_Odds_Calculator_3-way'!B39+1/'True_Odds_Calculator_3-way'!C39-1)</f>
        <v/>
      </c>
    </row>
    <row r="39" spans="4:11" x14ac:dyDescent="0.25">
      <c r="D39" t="str">
        <f>solve_for_c('True_Odds_Calculator_3-way'!A40,'True_Odds_Calculator_3-way'!B40,'True_Odds_Calculator_3-way'!C40,'Log_working_3-way'!B$1,'Log_working_3-way'!B$2)</f>
        <v/>
      </c>
      <c r="F39" s="6" t="str">
        <f>IF('Log_working_3-way'!D39="","",1/'True_Odds_Calculator_3-way'!N40+1/'True_Odds_Calculator_3-way'!O40+1/'True_Odds_Calculator_3-way'!#REF!-1)</f>
        <v/>
      </c>
      <c r="H39" s="6" t="str">
        <f>IF('Log_working_3-way'!$D39="","",'True_Odds_Calculator_3-way'!N40/'True_Odds_Calculator_3-way'!A40-1)</f>
        <v/>
      </c>
      <c r="I39" s="6" t="str">
        <f>IF('Log_working_3-way'!$D39="","",'True_Odds_Calculator_3-way'!O40/'True_Odds_Calculator_3-way'!B40-1)</f>
        <v/>
      </c>
      <c r="J39" s="6" t="str">
        <f>IF('Log_working_3-way'!$D39="","",'True_Odds_Calculator_3-way'!#REF!/'True_Odds_Calculator_3-way'!C40-1)</f>
        <v/>
      </c>
      <c r="K39" s="6" t="str">
        <f>IF('Log_working_3-way'!$D39="","",1/'True_Odds_Calculator_3-way'!A40+1/'True_Odds_Calculator_3-way'!B40+1/'True_Odds_Calculator_3-way'!C40-1)</f>
        <v/>
      </c>
    </row>
    <row r="40" spans="4:11" x14ac:dyDescent="0.25">
      <c r="D40" t="str">
        <f>solve_for_c('True_Odds_Calculator_3-way'!A41,'True_Odds_Calculator_3-way'!B41,'True_Odds_Calculator_3-way'!C41,'Log_working_3-way'!B$1,'Log_working_3-way'!B$2)</f>
        <v/>
      </c>
      <c r="F40" s="6" t="str">
        <f>IF('Log_working_3-way'!D40="","",1/'True_Odds_Calculator_3-way'!N41+1/'True_Odds_Calculator_3-way'!O41+1/'True_Odds_Calculator_3-way'!#REF!-1)</f>
        <v/>
      </c>
      <c r="H40" s="6" t="str">
        <f>IF('Log_working_3-way'!$D40="","",'True_Odds_Calculator_3-way'!N41/'True_Odds_Calculator_3-way'!A41-1)</f>
        <v/>
      </c>
      <c r="I40" s="6" t="str">
        <f>IF('Log_working_3-way'!$D40="","",'True_Odds_Calculator_3-way'!O41/'True_Odds_Calculator_3-way'!B41-1)</f>
        <v/>
      </c>
      <c r="J40" s="6" t="str">
        <f>IF('Log_working_3-way'!$D40="","",'True_Odds_Calculator_3-way'!#REF!/'True_Odds_Calculator_3-way'!C41-1)</f>
        <v/>
      </c>
      <c r="K40" s="6" t="str">
        <f>IF('Log_working_3-way'!$D40="","",1/'True_Odds_Calculator_3-way'!A41+1/'True_Odds_Calculator_3-way'!B41+1/'True_Odds_Calculator_3-way'!C41-1)</f>
        <v/>
      </c>
    </row>
    <row r="41" spans="4:11" x14ac:dyDescent="0.25">
      <c r="D41" t="str">
        <f>solve_for_c('True_Odds_Calculator_3-way'!A42,'True_Odds_Calculator_3-way'!B42,'True_Odds_Calculator_3-way'!C42,'Log_working_3-way'!B$1,'Log_working_3-way'!B$2)</f>
        <v/>
      </c>
      <c r="F41" s="6" t="str">
        <f>IF('Log_working_3-way'!D41="","",1/'True_Odds_Calculator_3-way'!N42+1/'True_Odds_Calculator_3-way'!O42+1/'True_Odds_Calculator_3-way'!#REF!-1)</f>
        <v/>
      </c>
      <c r="H41" s="6" t="str">
        <f>IF('Log_working_3-way'!$D41="","",'True_Odds_Calculator_3-way'!N42/'True_Odds_Calculator_3-way'!A42-1)</f>
        <v/>
      </c>
      <c r="I41" s="6" t="str">
        <f>IF('Log_working_3-way'!$D41="","",'True_Odds_Calculator_3-way'!O42/'True_Odds_Calculator_3-way'!B42-1)</f>
        <v/>
      </c>
      <c r="J41" s="6" t="str">
        <f>IF('Log_working_3-way'!$D41="","",'True_Odds_Calculator_3-way'!#REF!/'True_Odds_Calculator_3-way'!C42-1)</f>
        <v/>
      </c>
      <c r="K41" s="6" t="str">
        <f>IF('Log_working_3-way'!$D41="","",1/'True_Odds_Calculator_3-way'!A42+1/'True_Odds_Calculator_3-way'!B42+1/'True_Odds_Calculator_3-way'!C42-1)</f>
        <v/>
      </c>
    </row>
    <row r="42" spans="4:11" x14ac:dyDescent="0.25">
      <c r="D42" t="str">
        <f>solve_for_c('True_Odds_Calculator_3-way'!A43,'True_Odds_Calculator_3-way'!B43,'True_Odds_Calculator_3-way'!C43,'Log_working_3-way'!B$1,'Log_working_3-way'!B$2)</f>
        <v/>
      </c>
      <c r="F42" s="6" t="str">
        <f>IF('Log_working_3-way'!D42="","",1/'True_Odds_Calculator_3-way'!N43+1/'True_Odds_Calculator_3-way'!O43+1/'True_Odds_Calculator_3-way'!#REF!-1)</f>
        <v/>
      </c>
      <c r="H42" s="6" t="str">
        <f>IF('Log_working_3-way'!$D42="","",'True_Odds_Calculator_3-way'!N43/'True_Odds_Calculator_3-way'!A43-1)</f>
        <v/>
      </c>
      <c r="I42" s="6" t="str">
        <f>IF('Log_working_3-way'!$D42="","",'True_Odds_Calculator_3-way'!O43/'True_Odds_Calculator_3-way'!B43-1)</f>
        <v/>
      </c>
      <c r="J42" s="6" t="str">
        <f>IF('Log_working_3-way'!$D42="","",'True_Odds_Calculator_3-way'!#REF!/'True_Odds_Calculator_3-way'!C43-1)</f>
        <v/>
      </c>
      <c r="K42" s="6" t="str">
        <f>IF('Log_working_3-way'!$D42="","",1/'True_Odds_Calculator_3-way'!A43+1/'True_Odds_Calculator_3-way'!B43+1/'True_Odds_Calculator_3-way'!C43-1)</f>
        <v/>
      </c>
    </row>
    <row r="43" spans="4:11" x14ac:dyDescent="0.25">
      <c r="D43" t="str">
        <f>solve_for_c('True_Odds_Calculator_3-way'!A44,'True_Odds_Calculator_3-way'!B44,'True_Odds_Calculator_3-way'!C44,'Log_working_3-way'!B$1,'Log_working_3-way'!B$2)</f>
        <v/>
      </c>
      <c r="F43" s="6" t="str">
        <f>IF('Log_working_3-way'!D43="","",1/'True_Odds_Calculator_3-way'!N44+1/'True_Odds_Calculator_3-way'!O44+1/'True_Odds_Calculator_3-way'!#REF!-1)</f>
        <v/>
      </c>
      <c r="H43" s="6" t="str">
        <f>IF('Log_working_3-way'!$D43="","",'True_Odds_Calculator_3-way'!N44/'True_Odds_Calculator_3-way'!A44-1)</f>
        <v/>
      </c>
      <c r="I43" s="6" t="str">
        <f>IF('Log_working_3-way'!$D43="","",'True_Odds_Calculator_3-way'!O44/'True_Odds_Calculator_3-way'!B44-1)</f>
        <v/>
      </c>
      <c r="J43" s="6" t="str">
        <f>IF('Log_working_3-way'!$D43="","",'True_Odds_Calculator_3-way'!#REF!/'True_Odds_Calculator_3-way'!C44-1)</f>
        <v/>
      </c>
      <c r="K43" s="6" t="str">
        <f>IF('Log_working_3-way'!$D43="","",1/'True_Odds_Calculator_3-way'!A44+1/'True_Odds_Calculator_3-way'!B44+1/'True_Odds_Calculator_3-way'!C44-1)</f>
        <v/>
      </c>
    </row>
    <row r="44" spans="4:11" x14ac:dyDescent="0.25">
      <c r="D44" t="str">
        <f>solve_for_c('True_Odds_Calculator_3-way'!A45,'True_Odds_Calculator_3-way'!B45,'True_Odds_Calculator_3-way'!C45,'Log_working_3-way'!B$1,'Log_working_3-way'!B$2)</f>
        <v/>
      </c>
      <c r="F44" s="6" t="str">
        <f>IF('Log_working_3-way'!D44="","",1/'True_Odds_Calculator_3-way'!N45+1/'True_Odds_Calculator_3-way'!O45+1/'True_Odds_Calculator_3-way'!#REF!-1)</f>
        <v/>
      </c>
      <c r="H44" s="6" t="str">
        <f>IF('Log_working_3-way'!$D44="","",'True_Odds_Calculator_3-way'!N45/'True_Odds_Calculator_3-way'!A45-1)</f>
        <v/>
      </c>
      <c r="I44" s="6" t="str">
        <f>IF('Log_working_3-way'!$D44="","",'True_Odds_Calculator_3-way'!O45/'True_Odds_Calculator_3-way'!B45-1)</f>
        <v/>
      </c>
      <c r="J44" s="6" t="str">
        <f>IF('Log_working_3-way'!$D44="","",'True_Odds_Calculator_3-way'!#REF!/'True_Odds_Calculator_3-way'!C45-1)</f>
        <v/>
      </c>
      <c r="K44" s="6" t="str">
        <f>IF('Log_working_3-way'!$D44="","",1/'True_Odds_Calculator_3-way'!A45+1/'True_Odds_Calculator_3-way'!B45+1/'True_Odds_Calculator_3-way'!C45-1)</f>
        <v/>
      </c>
    </row>
    <row r="45" spans="4:11" x14ac:dyDescent="0.25">
      <c r="D45" t="str">
        <f>solve_for_c('True_Odds_Calculator_3-way'!A46,'True_Odds_Calculator_3-way'!B46,'True_Odds_Calculator_3-way'!C46,'Log_working_3-way'!B$1,'Log_working_3-way'!B$2)</f>
        <v/>
      </c>
      <c r="F45" s="6" t="str">
        <f>IF('Log_working_3-way'!D45="","",1/'True_Odds_Calculator_3-way'!N46+1/'True_Odds_Calculator_3-way'!O46+1/'True_Odds_Calculator_3-way'!#REF!-1)</f>
        <v/>
      </c>
      <c r="H45" s="6" t="str">
        <f>IF('Log_working_3-way'!$D45="","",'True_Odds_Calculator_3-way'!N46/'True_Odds_Calculator_3-way'!A46-1)</f>
        <v/>
      </c>
      <c r="I45" s="6" t="str">
        <f>IF('Log_working_3-way'!$D45="","",'True_Odds_Calculator_3-way'!O46/'True_Odds_Calculator_3-way'!B46-1)</f>
        <v/>
      </c>
      <c r="J45" s="6" t="str">
        <f>IF('Log_working_3-way'!$D45="","",'True_Odds_Calculator_3-way'!#REF!/'True_Odds_Calculator_3-way'!C46-1)</f>
        <v/>
      </c>
      <c r="K45" s="6" t="str">
        <f>IF('Log_working_3-way'!$D45="","",1/'True_Odds_Calculator_3-way'!A46+1/'True_Odds_Calculator_3-way'!B46+1/'True_Odds_Calculator_3-way'!C46-1)</f>
        <v/>
      </c>
    </row>
    <row r="46" spans="4:11" x14ac:dyDescent="0.25">
      <c r="D46" t="str">
        <f>solve_for_c('True_Odds_Calculator_3-way'!A47,'True_Odds_Calculator_3-way'!B47,'True_Odds_Calculator_3-way'!C47,'Log_working_3-way'!B$1,'Log_working_3-way'!B$2)</f>
        <v/>
      </c>
      <c r="F46" s="6" t="str">
        <f>IF('Log_working_3-way'!D46="","",1/'True_Odds_Calculator_3-way'!N47+1/'True_Odds_Calculator_3-way'!O47+1/'True_Odds_Calculator_3-way'!#REF!-1)</f>
        <v/>
      </c>
      <c r="H46" s="6" t="str">
        <f>IF('Log_working_3-way'!$D46="","",'True_Odds_Calculator_3-way'!N47/'True_Odds_Calculator_3-way'!A47-1)</f>
        <v/>
      </c>
      <c r="I46" s="6" t="str">
        <f>IF('Log_working_3-way'!$D46="","",'True_Odds_Calculator_3-way'!O47/'True_Odds_Calculator_3-way'!B47-1)</f>
        <v/>
      </c>
      <c r="J46" s="6" t="str">
        <f>IF('Log_working_3-way'!$D46="","",'True_Odds_Calculator_3-way'!#REF!/'True_Odds_Calculator_3-way'!C47-1)</f>
        <v/>
      </c>
      <c r="K46" s="6" t="str">
        <f>IF('Log_working_3-way'!$D46="","",1/'True_Odds_Calculator_3-way'!A47+1/'True_Odds_Calculator_3-way'!B47+1/'True_Odds_Calculator_3-way'!C47-1)</f>
        <v/>
      </c>
    </row>
    <row r="47" spans="4:11" x14ac:dyDescent="0.25">
      <c r="D47" t="str">
        <f>solve_for_c('True_Odds_Calculator_3-way'!A48,'True_Odds_Calculator_3-way'!B48,'True_Odds_Calculator_3-way'!C48,'Log_working_3-way'!B$1,'Log_working_3-way'!B$2)</f>
        <v/>
      </c>
      <c r="F47" s="6" t="str">
        <f>IF('Log_working_3-way'!D47="","",1/'True_Odds_Calculator_3-way'!N48+1/'True_Odds_Calculator_3-way'!O48+1/'True_Odds_Calculator_3-way'!#REF!-1)</f>
        <v/>
      </c>
      <c r="H47" s="6" t="str">
        <f>IF('Log_working_3-way'!$D47="","",'True_Odds_Calculator_3-way'!N48/'True_Odds_Calculator_3-way'!A48-1)</f>
        <v/>
      </c>
      <c r="I47" s="6" t="str">
        <f>IF('Log_working_3-way'!$D47="","",'True_Odds_Calculator_3-way'!O48/'True_Odds_Calculator_3-way'!B48-1)</f>
        <v/>
      </c>
      <c r="J47" s="6" t="str">
        <f>IF('Log_working_3-way'!$D47="","",'True_Odds_Calculator_3-way'!#REF!/'True_Odds_Calculator_3-way'!C48-1)</f>
        <v/>
      </c>
      <c r="K47" s="6" t="str">
        <f>IF('Log_working_3-way'!$D47="","",1/'True_Odds_Calculator_3-way'!A48+1/'True_Odds_Calculator_3-way'!B48+1/'True_Odds_Calculator_3-way'!C48-1)</f>
        <v/>
      </c>
    </row>
    <row r="48" spans="4:11" x14ac:dyDescent="0.25">
      <c r="D48" t="str">
        <f>solve_for_c('True_Odds_Calculator_3-way'!A49,'True_Odds_Calculator_3-way'!B49,'True_Odds_Calculator_3-way'!C49,'Log_working_3-way'!B$1,'Log_working_3-way'!B$2)</f>
        <v/>
      </c>
      <c r="F48" s="6" t="str">
        <f>IF('Log_working_3-way'!D48="","",1/'True_Odds_Calculator_3-way'!N49+1/'True_Odds_Calculator_3-way'!O49+1/'True_Odds_Calculator_3-way'!#REF!-1)</f>
        <v/>
      </c>
      <c r="H48" s="6" t="str">
        <f>IF('Log_working_3-way'!$D48="","",'True_Odds_Calculator_3-way'!N49/'True_Odds_Calculator_3-way'!A49-1)</f>
        <v/>
      </c>
      <c r="I48" s="6" t="str">
        <f>IF('Log_working_3-way'!$D48="","",'True_Odds_Calculator_3-way'!O49/'True_Odds_Calculator_3-way'!B49-1)</f>
        <v/>
      </c>
      <c r="J48" s="6" t="str">
        <f>IF('Log_working_3-way'!$D48="","",'True_Odds_Calculator_3-way'!#REF!/'True_Odds_Calculator_3-way'!C49-1)</f>
        <v/>
      </c>
      <c r="K48" s="6" t="str">
        <f>IF('Log_working_3-way'!$D48="","",1/'True_Odds_Calculator_3-way'!A49+1/'True_Odds_Calculator_3-way'!B49+1/'True_Odds_Calculator_3-way'!C49-1)</f>
        <v/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IF('Log_working_3-way'!D49="","",1/'True_Odds_Calculator_3-way'!N50+1/'True_Odds_Calculator_3-way'!O50+1/'True_Odds_Calculator_3-way'!#REF!-1)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IF('Log_working_3-way'!$D49="","",'True_Odds_Calculator_3-way'!#REF!/'True_Odds_Calculator_3-way'!C50-1)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IF('Log_working_3-way'!D50="","",1/'True_Odds_Calculator_3-way'!N51+1/'True_Odds_Calculator_3-way'!O51+1/'True_Odds_Calculator_3-way'!#REF!-1)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IF('Log_working_3-way'!$D50="","",'True_Odds_Calculator_3-way'!#REF!/'True_Odds_Calculator_3-way'!C51-1)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IF('Log_working_3-way'!D51="","",1/'True_Odds_Calculator_3-way'!N52+1/'True_Odds_Calculator_3-way'!O52+1/'True_Odds_Calculator_3-way'!#REF!-1)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IF('Log_working_3-way'!$D51="","",'True_Odds_Calculator_3-way'!#REF!/'True_Odds_Calculator_3-way'!C52-1)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IF('Log_working_3-way'!D52="","",1/'True_Odds_Calculator_3-way'!N53+1/'True_Odds_Calculator_3-way'!O53+1/'True_Odds_Calculator_3-way'!#REF!-1)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IF('Log_working_3-way'!$D52="","",'True_Odds_Calculator_3-way'!#REF!/'True_Odds_Calculator_3-way'!C53-1)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2.0699999999999998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3.71</v>
      </c>
      <c r="D2" s="9">
        <f>(K2/(AR2+K2-(AR2*K2)))</f>
        <v>0.46573631568143853</v>
      </c>
      <c r="E2" s="9">
        <f>(L2/(AR2+L2-(AR2*L2)))</f>
        <v>0.27820583158396656</v>
      </c>
      <c r="F2" s="9">
        <f>(M2/(AR2+M2-(AR2*M2)))</f>
        <v>0.25605785273459497</v>
      </c>
      <c r="G2" s="9">
        <f>AR2</f>
        <v>1.072091305082715</v>
      </c>
      <c r="H2" s="9">
        <f>IF(A2="","",1/D2)</f>
        <v>2.1471376964385045</v>
      </c>
      <c r="I2" s="9">
        <f>IF(B2="","",1/E2)</f>
        <v>3.5944609583001697</v>
      </c>
      <c r="J2" s="9">
        <f>IF(C2="","",1/F2)</f>
        <v>3.9053674367741582</v>
      </c>
      <c r="K2" s="11">
        <f>1/A2</f>
        <v>0.48309178743961356</v>
      </c>
      <c r="L2" s="11">
        <f>1/B2</f>
        <v>0.29239766081871343</v>
      </c>
      <c r="M2" s="11">
        <f>1/C2</f>
        <v>0.26954177897574122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-0.26717638747919525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0.23605941600271146</v>
      </c>
      <c r="Q2" s="11">
        <f>2*'OddsRatio_working_3-way'!K2*'OddsRatio_working_3-way'!L2*'OddsRatio_working_3-way'!M2</f>
        <v>7.614819871055209E-2</v>
      </c>
      <c r="R2" s="11">
        <f>O2/N2</f>
        <v>0</v>
      </c>
      <c r="S2" s="11">
        <f>P2/N2</f>
        <v>-0.88353397629905883</v>
      </c>
      <c r="T2" s="11">
        <f>Q2/N2</f>
        <v>-0.28501096009647059</v>
      </c>
      <c r="U2" s="11">
        <f>'OddsRatio_working_3-way'!S2-'OddsRatio_working_3-way'!R2^2/3</f>
        <v>-0.88353397629905883</v>
      </c>
      <c r="V2" s="11">
        <f>'OddsRatio_working_3-way'!S2*'OddsRatio_working_3-way'!R2/3-2*'OddsRatio_working_3-way'!R2^3/27-'OddsRatio_working_3-way'!T2</f>
        <v>0.28501096009647059</v>
      </c>
      <c r="W2" s="11">
        <f>'OddsRatio_working_3-way'!V2^2+4*'OddsRatio_working_3-way'!U2^3/27</f>
        <v>-2.0948774669829695E-2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0.15982804982616602</v>
      </c>
      <c r="Y2" s="11">
        <f>IF('OddsRatio_working_3-way'!W2&gt;=0,IF('OddsRatio_working_3-way'!V2+SQRT('OddsRatio_working_3-way'!W2)&gt;0,0,PI()),ACOS('OddsRatio_working_3-way'!V2/(2*'OddsRatio_working_3-way'!X2)))</f>
        <v>0.46989141099302256</v>
      </c>
      <c r="Z2" s="11">
        <f>'OddsRatio_working_3-way'!X2^(1/3)*COS('OddsRatio_working_3-way'!Y2/3)</f>
        <v>0.5360456525413575</v>
      </c>
      <c r="AA2" s="11">
        <f>'OddsRatio_working_3-way'!X2^(1/3)*COS(('OddsRatio_working_3-way'!Y2+2*PI())/3)</f>
        <v>-0.34133577102395818</v>
      </c>
      <c r="AB2" s="11">
        <f>'OddsRatio_working_3-way'!X2^(1/3)*COS(('OddsRatio_working_3-way'!Y2+4*PI())/3)</f>
        <v>-0.1947098815173994</v>
      </c>
      <c r="AC2" s="11">
        <f>'OddsRatio_working_3-way'!X2^(1/3)*SIN('OddsRatio_working_3-way'!Y2/3)</f>
        <v>8.4654496776780122E-2</v>
      </c>
      <c r="AD2" s="11">
        <f>'OddsRatio_working_3-way'!X2^(1/3)*SIN(('OddsRatio_working_3-way'!Y2+2*PI())/3)</f>
        <v>0.42190190430063201</v>
      </c>
      <c r="AE2" s="11">
        <f>'OddsRatio_working_3-way'!X2^(1/3)*SIN(('OddsRatio_working_3-way'!Y2+4*PI())/3)</f>
        <v>-0.50655640107741207</v>
      </c>
      <c r="AF2" s="11">
        <f>-'OddsRatio_working_3-way'!U2/(3*'OddsRatio_working_3-way'!X2^(1/3))*COS(('OddsRatio_working_3-way'!Y2)/3)</f>
        <v>0.53604565254135739</v>
      </c>
      <c r="AG2" s="11">
        <f>-'OddsRatio_working_3-way'!U2/(3*'OddsRatio_working_3-way'!X2^(1/3))*COS(('OddsRatio_working_3-way'!Y2+2*PI())/3)</f>
        <v>-0.34133577102395812</v>
      </c>
      <c r="AH2" s="11">
        <f>-'OddsRatio_working_3-way'!U2/(3*'OddsRatio_working_3-way'!X2^(1/3))*COS(('OddsRatio_working_3-way'!Y2+4*PI())/3)</f>
        <v>-0.19470988151739937</v>
      </c>
      <c r="AI2" s="11">
        <f>'OddsRatio_working_3-way'!U2/(3*'OddsRatio_working_3-way'!X2^(1/3))*SIN(('OddsRatio_working_3-way'!Y2)/3)</f>
        <v>-8.4654496776780108E-2</v>
      </c>
      <c r="AJ2" s="11">
        <f>'OddsRatio_working_3-way'!U2/(3*'OddsRatio_working_3-way'!X2^(1/3))*SIN(('OddsRatio_working_3-way'!Y2+2*PI())/3)</f>
        <v>-0.4219019043006319</v>
      </c>
      <c r="AK2" s="11">
        <f>'OddsRatio_working_3-way'!U2/(3*'OddsRatio_working_3-way'!X2^(1/3))*SIN(('OddsRatio_working_3-way'!Y2+4*PI())/3)</f>
        <v>0.50655640107741196</v>
      </c>
      <c r="AL2" s="11">
        <f>'OddsRatio_working_3-way'!Z2+'OddsRatio_working_3-way'!AF2</f>
        <v>1.072091305082715</v>
      </c>
      <c r="AM2" s="11">
        <f>'OddsRatio_working_3-way'!AA2+'OddsRatio_working_3-way'!AG2</f>
        <v>-0.68267154204791636</v>
      </c>
      <c r="AN2" s="11">
        <f>'OddsRatio_working_3-way'!AB2+'OddsRatio_working_3-way'!AH2</f>
        <v>-0.38941976303479875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1.072091305082715</v>
      </c>
      <c r="AS2" s="11">
        <f>IF(('OddsRatio_working_3-way'!X2=0),IF(Q2&gt;0,-Q2^(1/3),(-Q2)^(1/3)),'OddsRatio_working_3-way'!AM2-'OddsRatio_working_3-way'!R2/3)</f>
        <v>-0.68267154204791636</v>
      </c>
      <c r="AT2" s="11">
        <f>IF(('OddsRatio_working_3-way'!X2=0),IF(Q2&gt;0,-Q2^(1/3),(-Q2)^(1/3)),'OddsRatio_working_3-way'!AN2-'OddsRatio_working_3-way'!R2/3)</f>
        <v>-0.38941976303479875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2.0499999999999998</v>
      </c>
      <c r="B3" s="4">
        <f>IF('True_Odds_Calculator_3-way'!B4="","",'True_Odds_Calculator_3-way'!B4)</f>
        <v>3.8</v>
      </c>
      <c r="C3" s="4">
        <f>IF('True_Odds_Calculator_3-way'!C4="","",'True_Odds_Calculator_3-way'!C4)</f>
        <v>3.39</v>
      </c>
      <c r="D3" s="9">
        <f t="shared" ref="D3" si="0">(K3/(AR3+K3-(AR3*K3)))</f>
        <v>0.47002990468064737</v>
      </c>
      <c r="E3" s="9">
        <f t="shared" ref="E3" si="1">(L3/(AR3+L3-(AR3*L3)))</f>
        <v>0.24958000568031344</v>
      </c>
      <c r="F3" s="9">
        <f t="shared" ref="F3" si="2">(M3/(AR3+M3-(AR3*M3)))</f>
        <v>0.28039008963903916</v>
      </c>
      <c r="G3" s="9">
        <f t="shared" ref="G3" si="3">AR3</f>
        <v>1.0738325776454598</v>
      </c>
      <c r="H3" s="9">
        <f t="shared" ref="H3" si="4">IF(A3="","",1/D3)</f>
        <v>2.1275242065277324</v>
      </c>
      <c r="I3" s="9">
        <f t="shared" ref="I3" si="5">IF(B3="","",1/E3)</f>
        <v>4.0067312174072871</v>
      </c>
      <c r="J3" s="9">
        <f t="shared" ref="J3" si="6">IF(C3="","",1/F3)</f>
        <v>3.5664598605726483</v>
      </c>
      <c r="K3" s="11">
        <f t="shared" ref="K3" si="7">1/A3</f>
        <v>0.48780487804878053</v>
      </c>
      <c r="L3" s="11">
        <f t="shared" ref="L3" si="8">1/B3</f>
        <v>0.26315789473684209</v>
      </c>
      <c r="M3" s="11">
        <f t="shared" ref="M3" si="9">1/C3</f>
        <v>0.29498525073746312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-0.26607745350858247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0.2362911379463119</v>
      </c>
      <c r="Q3" s="11">
        <f>2*'OddsRatio_working_3-way'!K3*'OddsRatio_working_3-way'!L3*'OddsRatio_working_3-way'!M3</f>
        <v>7.5734339085356386E-2</v>
      </c>
      <c r="R3" s="11">
        <f t="shared" ref="R3" si="10">O3/N3</f>
        <v>0</v>
      </c>
      <c r="S3" s="11">
        <f t="shared" ref="S3" si="11">P3/N3</f>
        <v>-0.88805396635641731</v>
      </c>
      <c r="T3" s="11">
        <f t="shared" ref="T3" si="12">Q3/N3</f>
        <v>-0.28463268152449278</v>
      </c>
      <c r="U3" s="11">
        <f>'OddsRatio_working_3-way'!S3-'OddsRatio_working_3-way'!R3^2/3</f>
        <v>-0.88805396635641731</v>
      </c>
      <c r="V3" s="11">
        <f>'OddsRatio_working_3-way'!S3*'OddsRatio_working_3-way'!R3/3-2*'OddsRatio_working_3-way'!R3^3/27-'OddsRatio_working_3-way'!T3</f>
        <v>0.28463268152449278</v>
      </c>
      <c r="W3" s="11">
        <f>'OddsRatio_working_3-way'!V3^2+4*'OddsRatio_working_3-way'!U3^3/27</f>
        <v>-2.2740495022749815E-2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0.16105609148257413</v>
      </c>
      <c r="Y3" s="11">
        <f>IF('OddsRatio_working_3-way'!W3&gt;=0,IF('OddsRatio_working_3-way'!V3+SQRT('OddsRatio_working_3-way'!W3)&gt;0,0,PI()),ACOS('OddsRatio_working_3-way'!V3/(2*'OddsRatio_working_3-way'!X3)))</f>
        <v>0.48720551156284619</v>
      </c>
      <c r="Z3" s="11">
        <f>'OddsRatio_working_3-way'!X3^(1/3)*COS('OddsRatio_working_3-way'!Y3/3)</f>
        <v>0.5369162888227299</v>
      </c>
      <c r="AA3" s="11">
        <f>'OddsRatio_working_3-way'!X3^(1/3)*COS(('OddsRatio_working_3-way'!Y3+2*PI())/3)</f>
        <v>-0.34464321963430167</v>
      </c>
      <c r="AB3" s="11">
        <f>'OddsRatio_working_3-way'!X3^(1/3)*COS(('OddsRatio_working_3-way'!Y3+4*PI())/3)</f>
        <v>-0.1922730691884281</v>
      </c>
      <c r="AC3" s="11">
        <f>'OddsRatio_working_3-way'!X3^(1/3)*SIN('OddsRatio_working_3-way'!Y3/3)</f>
        <v>8.7970947376388775E-2</v>
      </c>
      <c r="AD3" s="11">
        <f>'OddsRatio_working_3-way'!X3^(1/3)*SIN(('OddsRatio_working_3-way'!Y3+2*PI())/3)</f>
        <v>0.42099767213795253</v>
      </c>
      <c r="AE3" s="11">
        <f>'OddsRatio_working_3-way'!X3^(1/3)*SIN(('OddsRatio_working_3-way'!Y3+4*PI())/3)</f>
        <v>-0.50896861951434136</v>
      </c>
      <c r="AF3" s="11">
        <f>-'OddsRatio_working_3-way'!U3/(3*'OddsRatio_working_3-way'!X3^(1/3))*COS(('OddsRatio_working_3-way'!Y3)/3)</f>
        <v>0.53691628882272979</v>
      </c>
      <c r="AG3" s="11">
        <f>-'OddsRatio_working_3-way'!U3/(3*'OddsRatio_working_3-way'!X3^(1/3))*COS(('OddsRatio_working_3-way'!Y3+2*PI())/3)</f>
        <v>-0.34464321963430161</v>
      </c>
      <c r="AH3" s="11">
        <f>-'OddsRatio_working_3-way'!U3/(3*'OddsRatio_working_3-way'!X3^(1/3))*COS(('OddsRatio_working_3-way'!Y3+4*PI())/3)</f>
        <v>-0.19227306918842807</v>
      </c>
      <c r="AI3" s="11">
        <f>'OddsRatio_working_3-way'!U3/(3*'OddsRatio_working_3-way'!X3^(1/3))*SIN(('OddsRatio_working_3-way'!Y3)/3)</f>
        <v>-8.7970947376388761E-2</v>
      </c>
      <c r="AJ3" s="11">
        <f>'OddsRatio_working_3-way'!U3/(3*'OddsRatio_working_3-way'!X3^(1/3))*SIN(('OddsRatio_working_3-way'!Y3+2*PI())/3)</f>
        <v>-0.42099767213795242</v>
      </c>
      <c r="AK3" s="11">
        <f>'OddsRatio_working_3-way'!U3/(3*'OddsRatio_working_3-way'!X3^(1/3))*SIN(('OddsRatio_working_3-way'!Y3+4*PI())/3)</f>
        <v>0.50896861951434125</v>
      </c>
      <c r="AL3" s="11">
        <f>'OddsRatio_working_3-way'!Z3+'OddsRatio_working_3-way'!AF3</f>
        <v>1.0738325776454598</v>
      </c>
      <c r="AM3" s="11">
        <f>'OddsRatio_working_3-way'!AA3+'OddsRatio_working_3-way'!AG3</f>
        <v>-0.68928643926860333</v>
      </c>
      <c r="AN3" s="11">
        <f>'OddsRatio_working_3-way'!AB3+'OddsRatio_working_3-way'!AH3</f>
        <v>-0.38454613837685614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1.0738325776454598</v>
      </c>
      <c r="AS3" s="11">
        <f>IF(('OddsRatio_working_3-way'!X3=0),IF(Q3&gt;0,-Q3^(1/3),(-Q3)^(1/3)),'OddsRatio_working_3-way'!AM3-'OddsRatio_working_3-way'!R3/3)</f>
        <v>-0.68928643926860333</v>
      </c>
      <c r="AT3" s="11">
        <f>IF(('OddsRatio_working_3-way'!X3=0),IF(Q3&gt;0,-Q3^(1/3),(-Q3)^(1/3)),'OddsRatio_working_3-way'!AN3-'OddsRatio_working_3-way'!R3/3)</f>
        <v>-0.38454613837685614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2.0099999999999998</v>
      </c>
      <c r="B4" s="4">
        <f>IF('True_Odds_Calculator_3-way'!B5="","",'True_Odds_Calculator_3-way'!B5)</f>
        <v>3.16</v>
      </c>
      <c r="C4" s="4">
        <f>IF('True_Odds_Calculator_3-way'!C5="","",'True_Odds_Calculator_3-way'!C5)</f>
        <v>4.53</v>
      </c>
      <c r="D4" s="9">
        <f t="shared" ref="D4:D67" si="13">(K4/(AR4+K4-(AR4*K4)))</f>
        <v>0.4838144600402679</v>
      </c>
      <c r="E4" s="9">
        <f t="shared" ref="E4:E67" si="14">(L4/(AR4+L4-(AR4*L4)))</f>
        <v>0.30471971205257636</v>
      </c>
      <c r="F4" s="9">
        <f t="shared" ref="F4:F67" si="15">(M4/(AR4+M4-(AR4*M4)))</f>
        <v>0.21146582790715568</v>
      </c>
      <c r="G4" s="9">
        <f t="shared" ref="G4:G67" si="16">AR4</f>
        <v>1.0563445995326437</v>
      </c>
      <c r="H4" s="9">
        <f t="shared" ref="H4:H67" si="17">IF(A4="","",1/D4)</f>
        <v>2.0669080455279696</v>
      </c>
      <c r="I4" s="9">
        <f t="shared" ref="I4:I67" si="18">IF(B4="","",1/E4)</f>
        <v>3.2817043349905108</v>
      </c>
      <c r="J4" s="9">
        <f t="shared" ref="J4:J67" si="19">IF(C4="","",1/F4)</f>
        <v>4.7288964363502322</v>
      </c>
      <c r="K4" s="11">
        <f t="shared" ref="K4:K67" si="20">1/A4</f>
        <v>0.49751243781094534</v>
      </c>
      <c r="L4" s="11">
        <f t="shared" ref="L4:L67" si="21">1/B4</f>
        <v>0.31645569620253161</v>
      </c>
      <c r="M4" s="11">
        <f t="shared" ref="M4:M67" si="22">1/C4</f>
        <v>0.22075055187637968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-0.26765076453594205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0.23285923193710939</v>
      </c>
      <c r="Q4" s="11">
        <f>2*'OddsRatio_working_3-way'!K4*'OddsRatio_working_3-way'!L4*'OddsRatio_working_3-way'!M4</f>
        <v>6.9510218488689365E-2</v>
      </c>
      <c r="R4" s="11">
        <f t="shared" ref="R4:R67" si="23">O4/N4</f>
        <v>0</v>
      </c>
      <c r="S4" s="11">
        <f t="shared" ref="S4:S67" si="24">P4/N4</f>
        <v>-0.87001145818075698</v>
      </c>
      <c r="T4" s="11">
        <f t="shared" ref="T4:T67" si="25">Q4/N4</f>
        <v>-0.25970491288977821</v>
      </c>
      <c r="U4" s="11">
        <f>'OddsRatio_working_3-way'!S4-'OddsRatio_working_3-way'!R4^2/3</f>
        <v>-0.87001145818075698</v>
      </c>
      <c r="V4" s="11">
        <f>'OddsRatio_working_3-way'!S4*'OddsRatio_working_3-way'!R4/3-2*'OddsRatio_working_3-way'!R4^3/27-'OddsRatio_working_3-way'!T4</f>
        <v>0.25970491288977821</v>
      </c>
      <c r="W4" s="11">
        <f>'OddsRatio_working_3-way'!V4^2+4*'OddsRatio_working_3-way'!U4^3/27</f>
        <v>-3.0113212803685022E-2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0.1561728646266472</v>
      </c>
      <c r="Y4" s="11">
        <f>IF('OddsRatio_working_3-way'!W4&gt;=0,IF('OddsRatio_working_3-way'!V4+SQRT('OddsRatio_working_3-way'!W4)&gt;0,0,PI()),ACOS('OddsRatio_working_3-way'!V4/(2*'OddsRatio_working_3-way'!X4)))</f>
        <v>0.58905478581637338</v>
      </c>
      <c r="Z4" s="11">
        <f>'OddsRatio_working_3-way'!X4^(1/3)*COS('OddsRatio_working_3-way'!Y4/3)</f>
        <v>0.52817229976632185</v>
      </c>
      <c r="AA4" s="11">
        <f>'OddsRatio_working_3-way'!X4^(1/3)*COS(('OddsRatio_working_3-way'!Y4+2*PI())/3)</f>
        <v>-0.355071757892644</v>
      </c>
      <c r="AB4" s="11">
        <f>'OddsRatio_working_3-way'!X4^(1/3)*COS(('OddsRatio_working_3-way'!Y4+4*PI())/3)</f>
        <v>-0.17310054187367793</v>
      </c>
      <c r="AC4" s="11">
        <f>'OddsRatio_working_3-way'!X4^(1/3)*SIN('OddsRatio_working_3-way'!Y4/3)</f>
        <v>0.10506113055331356</v>
      </c>
      <c r="AD4" s="11">
        <f>'OddsRatio_working_3-way'!X4^(1/3)*SIN(('OddsRatio_working_3-way'!Y4+2*PI())/3)</f>
        <v>0.4048800638962276</v>
      </c>
      <c r="AE4" s="11">
        <f>'OddsRatio_working_3-way'!X4^(1/3)*SIN(('OddsRatio_working_3-way'!Y4+4*PI())/3)</f>
        <v>-0.50994119444954122</v>
      </c>
      <c r="AF4" s="11">
        <f>-'OddsRatio_working_3-way'!U4/(3*'OddsRatio_working_3-way'!X4^(1/3))*COS(('OddsRatio_working_3-way'!Y4)/3)</f>
        <v>0.52817229976632174</v>
      </c>
      <c r="AG4" s="11">
        <f>-'OddsRatio_working_3-way'!U4/(3*'OddsRatio_working_3-way'!X4^(1/3))*COS(('OddsRatio_working_3-way'!Y4+2*PI())/3)</f>
        <v>-0.35507175789264395</v>
      </c>
      <c r="AH4" s="11">
        <f>-'OddsRatio_working_3-way'!U4/(3*'OddsRatio_working_3-way'!X4^(1/3))*COS(('OddsRatio_working_3-way'!Y4+4*PI())/3)</f>
        <v>-0.1731005418736779</v>
      </c>
      <c r="AI4" s="11">
        <f>'OddsRatio_working_3-way'!U4/(3*'OddsRatio_working_3-way'!X4^(1/3))*SIN(('OddsRatio_working_3-way'!Y4)/3)</f>
        <v>-0.10506113055331355</v>
      </c>
      <c r="AJ4" s="11">
        <f>'OddsRatio_working_3-way'!U4/(3*'OddsRatio_working_3-way'!X4^(1/3))*SIN(('OddsRatio_working_3-way'!Y4+2*PI())/3)</f>
        <v>-0.40488006389622749</v>
      </c>
      <c r="AK4" s="11">
        <f>'OddsRatio_working_3-way'!U4/(3*'OddsRatio_working_3-way'!X4^(1/3))*SIN(('OddsRatio_working_3-way'!Y4+4*PI())/3)</f>
        <v>0.50994119444954111</v>
      </c>
      <c r="AL4" s="11">
        <f>'OddsRatio_working_3-way'!Z4+'OddsRatio_working_3-way'!AF4</f>
        <v>1.0563445995326437</v>
      </c>
      <c r="AM4" s="11">
        <f>'OddsRatio_working_3-way'!AA4+'OddsRatio_working_3-way'!AG4</f>
        <v>-0.710143515785288</v>
      </c>
      <c r="AN4" s="11">
        <f>'OddsRatio_working_3-way'!AB4+'OddsRatio_working_3-way'!AH4</f>
        <v>-0.34620108374735581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1.0563445995326437</v>
      </c>
      <c r="AS4" s="11">
        <f>IF(('OddsRatio_working_3-way'!X4=0),IF(Q4&gt;0,-Q4^(1/3),(-Q4)^(1/3)),'OddsRatio_working_3-way'!AM4-'OddsRatio_working_3-way'!R4/3)</f>
        <v>-0.710143515785288</v>
      </c>
      <c r="AT4" s="11">
        <f>IF(('OddsRatio_working_3-way'!X4=0),IF(Q4&gt;0,-Q4^(1/3),(-Q4)^(1/3)),'OddsRatio_working_3-way'!AN4-'OddsRatio_working_3-way'!R4/3)</f>
        <v>-0.34620108374735581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3.32</v>
      </c>
      <c r="B5" s="4">
        <f>IF('True_Odds_Calculator_3-way'!B6="","",'True_Odds_Calculator_3-way'!B6)</f>
        <v>2.9</v>
      </c>
      <c r="C5" s="4">
        <f>IF('True_Odds_Calculator_3-way'!C6="","",'True_Odds_Calculator_3-way'!C6)</f>
        <v>2.58</v>
      </c>
      <c r="D5" s="9">
        <f t="shared" si="13"/>
        <v>0.29072285746226839</v>
      </c>
      <c r="E5" s="9">
        <f t="shared" si="14"/>
        <v>0.33355216284057637</v>
      </c>
      <c r="F5" s="9">
        <f t="shared" si="15"/>
        <v>0.37572497969715524</v>
      </c>
      <c r="G5" s="9">
        <f t="shared" si="16"/>
        <v>1.0515956981674277</v>
      </c>
      <c r="H5" s="9">
        <f t="shared" si="17"/>
        <v>3.4397020197484318</v>
      </c>
      <c r="I5" s="9">
        <f t="shared" si="18"/>
        <v>2.9980318265181123</v>
      </c>
      <c r="J5" s="9">
        <f t="shared" si="19"/>
        <v>2.6615212031045359</v>
      </c>
      <c r="K5" s="11">
        <f t="shared" si="20"/>
        <v>0.30120481927710846</v>
      </c>
      <c r="L5" s="11">
        <f t="shared" si="21"/>
        <v>0.34482758620689657</v>
      </c>
      <c r="M5" s="11">
        <f t="shared" si="22"/>
        <v>0.38759689922480617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-0.28037732324647424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0.23349210796675071</v>
      </c>
      <c r="Q5" s="11">
        <f>2*'OddsRatio_working_3-way'!K5*'OddsRatio_working_3-way'!L5*'OddsRatio_working_3-way'!M5</f>
        <v>8.0514519988534733E-2</v>
      </c>
      <c r="R5" s="11">
        <f t="shared" si="23"/>
        <v>0</v>
      </c>
      <c r="S5" s="11">
        <f t="shared" si="24"/>
        <v>-0.83277814790139915</v>
      </c>
      <c r="T5" s="11">
        <f t="shared" si="25"/>
        <v>-0.28716487858668938</v>
      </c>
      <c r="U5" s="11">
        <f>'OddsRatio_working_3-way'!S5-'OddsRatio_working_3-way'!R5^2/3</f>
        <v>-0.83277814790139915</v>
      </c>
      <c r="V5" s="11">
        <f>'OddsRatio_working_3-way'!S5*'OddsRatio_working_3-way'!R5/3-2*'OddsRatio_working_3-way'!R5^3/27-'OddsRatio_working_3-way'!T5</f>
        <v>0.28716487858668938</v>
      </c>
      <c r="W5" s="11">
        <f>'OddsRatio_working_3-way'!V5^2+4*'OddsRatio_working_3-way'!U5^3/27</f>
        <v>-3.098975142322824E-3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0.14625546368942161</v>
      </c>
      <c r="Y5" s="11">
        <f>IF('OddsRatio_working_3-way'!W5&gt;=0,IF('OddsRatio_working_3-way'!V5+SQRT('OddsRatio_working_3-way'!W5)&gt;0,0,PI()),ACOS('OddsRatio_working_3-way'!V5/(2*'OddsRatio_working_3-way'!X5)))</f>
        <v>0.19148029252646603</v>
      </c>
      <c r="Z5" s="11">
        <f>'OddsRatio_working_3-way'!X5^(1/3)*COS('OddsRatio_working_3-way'!Y5/3)</f>
        <v>0.52579784908371396</v>
      </c>
      <c r="AA5" s="11">
        <f>'OddsRatio_working_3-way'!X5^(1/3)*COS(('OddsRatio_working_3-way'!Y5+2*PI())/3)</f>
        <v>-0.2920022473685524</v>
      </c>
      <c r="AB5" s="11">
        <f>'OddsRatio_working_3-way'!X5^(1/3)*COS(('OddsRatio_working_3-way'!Y5+4*PI())/3)</f>
        <v>-0.23379560171516164</v>
      </c>
      <c r="AC5" s="11">
        <f>'OddsRatio_working_3-way'!X5^(1/3)*SIN('OddsRatio_working_3-way'!Y5/3)</f>
        <v>3.3605622536610411E-2</v>
      </c>
      <c r="AD5" s="11">
        <f>'OddsRatio_working_3-way'!X5^(1/3)*SIN(('OddsRatio_working_3-way'!Y5+2*PI())/3)</f>
        <v>0.43855148329340748</v>
      </c>
      <c r="AE5" s="11">
        <f>'OddsRatio_working_3-way'!X5^(1/3)*SIN(('OddsRatio_working_3-way'!Y5+4*PI())/3)</f>
        <v>-0.4721571058300178</v>
      </c>
      <c r="AF5" s="11">
        <f>-'OddsRatio_working_3-way'!U5/(3*'OddsRatio_working_3-way'!X5^(1/3))*COS(('OddsRatio_working_3-way'!Y5)/3)</f>
        <v>0.52579784908371374</v>
      </c>
      <c r="AG5" s="11">
        <f>-'OddsRatio_working_3-way'!U5/(3*'OddsRatio_working_3-way'!X5^(1/3))*COS(('OddsRatio_working_3-way'!Y5+2*PI())/3)</f>
        <v>-0.29200224736855229</v>
      </c>
      <c r="AH5" s="11">
        <f>-'OddsRatio_working_3-way'!U5/(3*'OddsRatio_working_3-way'!X5^(1/3))*COS(('OddsRatio_working_3-way'!Y5+4*PI())/3)</f>
        <v>-0.23379560171516156</v>
      </c>
      <c r="AI5" s="11">
        <f>'OddsRatio_working_3-way'!U5/(3*'OddsRatio_working_3-way'!X5^(1/3))*SIN(('OddsRatio_working_3-way'!Y5)/3)</f>
        <v>-3.3605622536610397E-2</v>
      </c>
      <c r="AJ5" s="11">
        <f>'OddsRatio_working_3-way'!U5/(3*'OddsRatio_working_3-way'!X5^(1/3))*SIN(('OddsRatio_working_3-way'!Y5+2*PI())/3)</f>
        <v>-0.43855148329340732</v>
      </c>
      <c r="AK5" s="11">
        <f>'OddsRatio_working_3-way'!U5/(3*'OddsRatio_working_3-way'!X5^(1/3))*SIN(('OddsRatio_working_3-way'!Y5+4*PI())/3)</f>
        <v>0.47215710583001763</v>
      </c>
      <c r="AL5" s="11">
        <f>'OddsRatio_working_3-way'!Z5+'OddsRatio_working_3-way'!AF5</f>
        <v>1.0515956981674277</v>
      </c>
      <c r="AM5" s="11">
        <f>'OddsRatio_working_3-way'!AA5+'OddsRatio_working_3-way'!AG5</f>
        <v>-0.5840044947371047</v>
      </c>
      <c r="AN5" s="11">
        <f>'OddsRatio_working_3-way'!AB5+'OddsRatio_working_3-way'!AH5</f>
        <v>-0.46759120343032323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1.0515956981674277</v>
      </c>
      <c r="AS5" s="11">
        <f>IF(('OddsRatio_working_3-way'!X5=0),IF(Q5&gt;0,-Q5^(1/3),(-Q5)^(1/3)),'OddsRatio_working_3-way'!AM5-'OddsRatio_working_3-way'!R5/3)</f>
        <v>-0.5840044947371047</v>
      </c>
      <c r="AT5" s="11">
        <f>IF(('OddsRatio_working_3-way'!X5=0),IF(Q5&gt;0,-Q5^(1/3),(-Q5)^(1/3)),'OddsRatio_working_3-way'!AN5-'OddsRatio_working_3-way'!R5/3)</f>
        <v>-0.46759120343032323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2.61</v>
      </c>
      <c r="B6" s="4">
        <f>IF('True_Odds_Calculator_3-way'!B7="","",'True_Odds_Calculator_3-way'!B7)</f>
        <v>3.07</v>
      </c>
      <c r="C6" s="4">
        <f>IF('True_Odds_Calculator_3-way'!C7="","",'True_Odds_Calculator_3-way'!C7)</f>
        <v>3.09</v>
      </c>
      <c r="D6" s="9">
        <f t="shared" si="13"/>
        <v>0.37173940587278881</v>
      </c>
      <c r="E6" s="9">
        <f t="shared" si="14"/>
        <v>0.315166131325543</v>
      </c>
      <c r="F6" s="9">
        <f t="shared" si="15"/>
        <v>0.31309446280166847</v>
      </c>
      <c r="G6" s="9">
        <f t="shared" si="16"/>
        <v>1.0497245256832455</v>
      </c>
      <c r="H6" s="9">
        <f t="shared" si="17"/>
        <v>2.6900564863500249</v>
      </c>
      <c r="I6" s="9">
        <f t="shared" si="18"/>
        <v>3.1729297681643174</v>
      </c>
      <c r="J6" s="9">
        <f t="shared" si="19"/>
        <v>3.1939242586779821</v>
      </c>
      <c r="K6" s="11">
        <f t="shared" si="20"/>
        <v>0.38314176245210729</v>
      </c>
      <c r="L6" s="11">
        <f t="shared" si="21"/>
        <v>0.32573289902280134</v>
      </c>
      <c r="M6" s="11">
        <f t="shared" si="22"/>
        <v>0.3236245954692557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-0.28132293866981317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0.23304428168502567</v>
      </c>
      <c r="Q6" s="11">
        <f>2*'OddsRatio_working_3-way'!K6*'OddsRatio_working_3-way'!L6*'OddsRatio_working_3-way'!M6</f>
        <v>8.0777913928951728E-2</v>
      </c>
      <c r="R6" s="11">
        <f t="shared" si="23"/>
        <v>0</v>
      </c>
      <c r="S6" s="11">
        <f t="shared" si="24"/>
        <v>-0.82838705861290662</v>
      </c>
      <c r="T6" s="11">
        <f t="shared" si="25"/>
        <v>-0.28713589553307001</v>
      </c>
      <c r="U6" s="11">
        <f>'OddsRatio_working_3-way'!S6-'OddsRatio_working_3-way'!R6^2/3</f>
        <v>-0.82838705861290662</v>
      </c>
      <c r="V6" s="11">
        <f>'OddsRatio_working_3-way'!S6*'OddsRatio_working_3-way'!R6/3-2*'OddsRatio_working_3-way'!R6^3/27-'OddsRatio_working_3-way'!T6</f>
        <v>0.28713589553307001</v>
      </c>
      <c r="W6" s="11">
        <f>'OddsRatio_working_3-way'!V6^2+4*'OddsRatio_working_3-way'!U6^3/27</f>
        <v>-1.7692749442877603E-3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0.14510022178469081</v>
      </c>
      <c r="Y6" s="11">
        <f>IF('OddsRatio_working_3-way'!W6&gt;=0,IF('OddsRatio_working_3-way'!V6+SQRT('OddsRatio_working_3-way'!W6)&gt;0,0,PI()),ACOS('OddsRatio_working_3-way'!V6/(2*'OddsRatio_working_3-way'!X6)))</f>
        <v>0.14545615513753085</v>
      </c>
      <c r="Z6" s="11">
        <f>'OddsRatio_working_3-way'!X6^(1/3)*COS('OddsRatio_working_3-way'!Y6/3)</f>
        <v>0.52486226284162274</v>
      </c>
      <c r="AA6" s="11">
        <f>'OddsRatio_working_3-way'!X6^(1/3)*COS(('OddsRatio_working_3-way'!Y6+2*PI())/3)</f>
        <v>-0.28448716090948251</v>
      </c>
      <c r="AB6" s="11">
        <f>'OddsRatio_working_3-way'!X6^(1/3)*COS(('OddsRatio_working_3-way'!Y6+4*PI())/3)</f>
        <v>-0.24037510193214034</v>
      </c>
      <c r="AC6" s="11">
        <f>'OddsRatio_working_3-way'!X6^(1/3)*SIN('OddsRatio_working_3-way'!Y6/3)</f>
        <v>2.5468109125077371E-2</v>
      </c>
      <c r="AD6" s="11">
        <f>'OddsRatio_working_3-way'!X6^(1/3)*SIN(('OddsRatio_working_3-way'!Y6+2*PI())/3)</f>
        <v>0.44180999854609193</v>
      </c>
      <c r="AE6" s="11">
        <f>'OddsRatio_working_3-way'!X6^(1/3)*SIN(('OddsRatio_working_3-way'!Y6+4*PI())/3)</f>
        <v>-0.46727810767116912</v>
      </c>
      <c r="AF6" s="11">
        <f>-'OddsRatio_working_3-way'!U6/(3*'OddsRatio_working_3-way'!X6^(1/3))*COS(('OddsRatio_working_3-way'!Y6)/3)</f>
        <v>0.52486226284162274</v>
      </c>
      <c r="AG6" s="11">
        <f>-'OddsRatio_working_3-way'!U6/(3*'OddsRatio_working_3-way'!X6^(1/3))*COS(('OddsRatio_working_3-way'!Y6+2*PI())/3)</f>
        <v>-0.28448716090948251</v>
      </c>
      <c r="AH6" s="11">
        <f>-'OddsRatio_working_3-way'!U6/(3*'OddsRatio_working_3-way'!X6^(1/3))*COS(('OddsRatio_working_3-way'!Y6+4*PI())/3)</f>
        <v>-0.24037510193214034</v>
      </c>
      <c r="AI6" s="11">
        <f>'OddsRatio_working_3-way'!U6/(3*'OddsRatio_working_3-way'!X6^(1/3))*SIN(('OddsRatio_working_3-way'!Y6)/3)</f>
        <v>-2.5468109125077371E-2</v>
      </c>
      <c r="AJ6" s="11">
        <f>'OddsRatio_working_3-way'!U6/(3*'OddsRatio_working_3-way'!X6^(1/3))*SIN(('OddsRatio_working_3-way'!Y6+2*PI())/3)</f>
        <v>-0.44180999854609193</v>
      </c>
      <c r="AK6" s="11">
        <f>'OddsRatio_working_3-way'!U6/(3*'OddsRatio_working_3-way'!X6^(1/3))*SIN(('OddsRatio_working_3-way'!Y6+4*PI())/3)</f>
        <v>0.46727810767116912</v>
      </c>
      <c r="AL6" s="11">
        <f>'OddsRatio_working_3-way'!Z6+'OddsRatio_working_3-way'!AF6</f>
        <v>1.0497245256832455</v>
      </c>
      <c r="AM6" s="11">
        <f>'OddsRatio_working_3-way'!AA6+'OddsRatio_working_3-way'!AG6</f>
        <v>-0.56897432181896501</v>
      </c>
      <c r="AN6" s="11">
        <f>'OddsRatio_working_3-way'!AB6+'OddsRatio_working_3-way'!AH6</f>
        <v>-0.48075020386428069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1.0497245256832455</v>
      </c>
      <c r="AS6" s="11">
        <f>IF(('OddsRatio_working_3-way'!X6=0),IF(Q6&gt;0,-Q6^(1/3),(-Q6)^(1/3)),'OddsRatio_working_3-way'!AM6-'OddsRatio_working_3-way'!R6/3)</f>
        <v>-0.56897432181896501</v>
      </c>
      <c r="AT6" s="11">
        <f>IF(('OddsRatio_working_3-way'!X6=0),IF(Q6&gt;0,-Q6^(1/3),(-Q6)^(1/3)),'OddsRatio_working_3-way'!AN6-'OddsRatio_working_3-way'!R6/3)</f>
        <v>-0.48075020386428069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2.63</v>
      </c>
      <c r="B7" s="4">
        <f>IF('True_Odds_Calculator_3-way'!B8="","",'True_Odds_Calculator_3-way'!B8)</f>
        <v>3.14</v>
      </c>
      <c r="C7" s="4">
        <f>IF('True_Odds_Calculator_3-way'!C8="","",'True_Odds_Calculator_3-way'!C8)</f>
        <v>3.05</v>
      </c>
      <c r="D7" s="9">
        <f t="shared" si="13"/>
        <v>0.37091248104079944</v>
      </c>
      <c r="E7" s="9">
        <f t="shared" si="14"/>
        <v>0.30991214393680505</v>
      </c>
      <c r="F7" s="9">
        <f t="shared" si="15"/>
        <v>0.31917537502239546</v>
      </c>
      <c r="G7" s="9">
        <f t="shared" si="16"/>
        <v>1.0405237971021548</v>
      </c>
      <c r="H7" s="9">
        <f t="shared" si="17"/>
        <v>2.6960537892765126</v>
      </c>
      <c r="I7" s="9">
        <f t="shared" si="18"/>
        <v>3.2267209257986109</v>
      </c>
      <c r="J7" s="9">
        <f t="shared" si="19"/>
        <v>3.1330737840594169</v>
      </c>
      <c r="K7" s="11">
        <f t="shared" si="20"/>
        <v>0.38022813688212931</v>
      </c>
      <c r="L7" s="11">
        <f t="shared" si="21"/>
        <v>0.31847133757961782</v>
      </c>
      <c r="M7" s="11">
        <f t="shared" si="22"/>
        <v>0.32786885245901642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-0.2839030138350318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0.23106690577988856</v>
      </c>
      <c r="Q7" s="11">
        <f>2*'OddsRatio_working_3-way'!K7*'OddsRatio_working_3-way'!L7*'OddsRatio_working_3-way'!M7</f>
        <v>7.9404434975906713E-2</v>
      </c>
      <c r="R7" s="11">
        <f t="shared" si="23"/>
        <v>0</v>
      </c>
      <c r="S7" s="11">
        <f t="shared" si="24"/>
        <v>-0.81389381063124311</v>
      </c>
      <c r="T7" s="11">
        <f t="shared" si="25"/>
        <v>-0.27968859471864022</v>
      </c>
      <c r="U7" s="11">
        <f>'OddsRatio_working_3-way'!S7-'OddsRatio_working_3-way'!R7^2/3</f>
        <v>-0.81389381063124311</v>
      </c>
      <c r="V7" s="11">
        <f>'OddsRatio_working_3-way'!S7*'OddsRatio_working_3-way'!R7/3-2*'OddsRatio_working_3-way'!R7^3/27-'OddsRatio_working_3-way'!T7</f>
        <v>0.27968859471864022</v>
      </c>
      <c r="W7" s="11">
        <f>'OddsRatio_working_3-way'!V7^2+4*'OddsRatio_working_3-way'!U7^3/27</f>
        <v>-1.6471921446524623E-3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0.14130897190230018</v>
      </c>
      <c r="Y7" s="11">
        <f>IF('OddsRatio_working_3-way'!W7&gt;=0,IF('OddsRatio_working_3-way'!V7+SQRT('OddsRatio_working_3-way'!W7)&gt;0,0,PI()),ACOS('OddsRatio_working_3-way'!V7/(2*'OddsRatio_working_3-way'!X7)))</f>
        <v>0.14410416546425675</v>
      </c>
      <c r="Z7" s="11">
        <f>'OddsRatio_working_3-way'!X7^(1/3)*COS('OddsRatio_working_3-way'!Y7/3)</f>
        <v>0.52026189855107741</v>
      </c>
      <c r="AA7" s="11">
        <f>'OddsRatio_working_3-way'!X7^(1/3)*COS(('OddsRatio_working_3-way'!Y7+2*PI())/3)</f>
        <v>-0.28179013542904358</v>
      </c>
      <c r="AB7" s="11">
        <f>'OddsRatio_working_3-way'!X7^(1/3)*COS(('OddsRatio_working_3-way'!Y7+4*PI())/3)</f>
        <v>-0.23847176312203389</v>
      </c>
      <c r="AC7" s="11">
        <f>'OddsRatio_working_3-way'!X7^(1/3)*SIN('OddsRatio_working_3-way'!Y7/3)</f>
        <v>2.5009873912308613E-2</v>
      </c>
      <c r="AD7" s="11">
        <f>'OddsRatio_working_3-way'!X7^(1/3)*SIN(('OddsRatio_working_3-way'!Y7+2*PI())/3)</f>
        <v>0.4380550838102012</v>
      </c>
      <c r="AE7" s="11">
        <f>'OddsRatio_working_3-way'!X7^(1/3)*SIN(('OddsRatio_working_3-way'!Y7+4*PI())/3)</f>
        <v>-0.46306495772250966</v>
      </c>
      <c r="AF7" s="11">
        <f>-'OddsRatio_working_3-way'!U7/(3*'OddsRatio_working_3-way'!X7^(1/3))*COS(('OddsRatio_working_3-way'!Y7)/3)</f>
        <v>0.5202618985510773</v>
      </c>
      <c r="AG7" s="11">
        <f>-'OddsRatio_working_3-way'!U7/(3*'OddsRatio_working_3-way'!X7^(1/3))*COS(('OddsRatio_working_3-way'!Y7+2*PI())/3)</f>
        <v>-0.28179013542904352</v>
      </c>
      <c r="AH7" s="11">
        <f>-'OddsRatio_working_3-way'!U7/(3*'OddsRatio_working_3-way'!X7^(1/3))*COS(('OddsRatio_working_3-way'!Y7+4*PI())/3)</f>
        <v>-0.23847176312203386</v>
      </c>
      <c r="AI7" s="11">
        <f>'OddsRatio_working_3-way'!U7/(3*'OddsRatio_working_3-way'!X7^(1/3))*SIN(('OddsRatio_working_3-way'!Y7)/3)</f>
        <v>-2.5009873912308606E-2</v>
      </c>
      <c r="AJ7" s="11">
        <f>'OddsRatio_working_3-way'!U7/(3*'OddsRatio_working_3-way'!X7^(1/3))*SIN(('OddsRatio_working_3-way'!Y7+2*PI())/3)</f>
        <v>-0.43805508381020108</v>
      </c>
      <c r="AK7" s="11">
        <f>'OddsRatio_working_3-way'!U7/(3*'OddsRatio_working_3-way'!X7^(1/3))*SIN(('OddsRatio_working_3-way'!Y7+4*PI())/3)</f>
        <v>0.46306495772250955</v>
      </c>
      <c r="AL7" s="11">
        <f>'OddsRatio_working_3-way'!Z7+'OddsRatio_working_3-way'!AF7</f>
        <v>1.0405237971021548</v>
      </c>
      <c r="AM7" s="11">
        <f>'OddsRatio_working_3-way'!AA7+'OddsRatio_working_3-way'!AG7</f>
        <v>-0.56358027085808704</v>
      </c>
      <c r="AN7" s="11">
        <f>'OddsRatio_working_3-way'!AB7+'OddsRatio_working_3-way'!AH7</f>
        <v>-0.47694352624406777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1.0405237971021548</v>
      </c>
      <c r="AS7" s="11">
        <f>IF(('OddsRatio_working_3-way'!X7=0),IF(Q7&gt;0,-Q7^(1/3),(-Q7)^(1/3)),'OddsRatio_working_3-way'!AM7-'OddsRatio_working_3-way'!R7/3)</f>
        <v>-0.56358027085808704</v>
      </c>
      <c r="AT7" s="11">
        <f>IF(('OddsRatio_working_3-way'!X7=0),IF(Q7&gt;0,-Q7^(1/3),(-Q7)^(1/3)),'OddsRatio_working_3-way'!AN7-'OddsRatio_working_3-way'!R7/3)</f>
        <v>-0.47694352624406777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1.8</v>
      </c>
      <c r="B8" s="4">
        <f>IF('True_Odds_Calculator_3-way'!B9="","",'True_Odds_Calculator_3-way'!B9)</f>
        <v>3.42</v>
      </c>
      <c r="C8" s="4">
        <f>IF('True_Odds_Calculator_3-way'!C9="","",'True_Odds_Calculator_3-way'!C9)</f>
        <v>5.33</v>
      </c>
      <c r="D8" s="9">
        <f t="shared" si="13"/>
        <v>0.54091256343524396</v>
      </c>
      <c r="E8" s="9">
        <f t="shared" si="14"/>
        <v>0.28031611237900045</v>
      </c>
      <c r="F8" s="9">
        <f t="shared" si="15"/>
        <v>0.17877132418575545</v>
      </c>
      <c r="G8" s="9">
        <f t="shared" si="16"/>
        <v>1.0609095341795389</v>
      </c>
      <c r="H8" s="9">
        <f t="shared" si="17"/>
        <v>1.8487276273436313</v>
      </c>
      <c r="I8" s="9">
        <f t="shared" si="18"/>
        <v>3.567401072714484</v>
      </c>
      <c r="J8" s="9">
        <f t="shared" si="19"/>
        <v>5.5937382829974043</v>
      </c>
      <c r="K8" s="11">
        <f t="shared" si="20"/>
        <v>0.55555555555555558</v>
      </c>
      <c r="L8" s="11">
        <f t="shared" si="21"/>
        <v>0.29239766081871343</v>
      </c>
      <c r="M8" s="11">
        <f t="shared" si="22"/>
        <v>0.18761726078799248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-0.25548618958974101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0.23010239099242094</v>
      </c>
      <c r="Q8" s="11">
        <f>2*'OddsRatio_working_3-way'!K8*'OddsRatio_working_3-way'!L8*'OddsRatio_working_3-way'!M8</f>
        <v>6.0954275759581698E-2</v>
      </c>
      <c r="R8" s="11">
        <f t="shared" si="23"/>
        <v>0</v>
      </c>
      <c r="S8" s="11">
        <f t="shared" si="24"/>
        <v>-0.90064512434867305</v>
      </c>
      <c r="T8" s="11">
        <f t="shared" si="25"/>
        <v>-0.23858148989368819</v>
      </c>
      <c r="U8" s="11">
        <f>'OddsRatio_working_3-way'!S8-'OddsRatio_working_3-way'!R8^2/3</f>
        <v>-0.90064512434867305</v>
      </c>
      <c r="V8" s="11">
        <f>'OddsRatio_working_3-way'!S8*'OddsRatio_working_3-way'!R8/3-2*'OddsRatio_working_3-way'!R8^3/27-'OddsRatio_working_3-way'!T8</f>
        <v>0.23858148989368819</v>
      </c>
      <c r="W8" s="11">
        <f>'OddsRatio_working_3-way'!V8^2+4*'OddsRatio_working_3-way'!U8^3/27</f>
        <v>-5.1311283959576855E-2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0.16449347348714849</v>
      </c>
      <c r="Y8" s="11">
        <f>IF('OddsRatio_working_3-way'!W8&gt;=0,IF('OddsRatio_working_3-way'!V8+SQRT('OddsRatio_working_3-way'!W8)&gt;0,0,PI()),ACOS('OddsRatio_working_3-way'!V8/(2*'OddsRatio_working_3-way'!X8)))</f>
        <v>0.75947081805544636</v>
      </c>
      <c r="Z8" s="11">
        <f>'OddsRatio_working_3-way'!X8^(1/3)*COS('OddsRatio_working_3-way'!Y8/3)</f>
        <v>0.53045476708976957</v>
      </c>
      <c r="AA8" s="11">
        <f>'OddsRatio_working_3-way'!X8^(1/3)*COS(('OddsRatio_working_3-way'!Y8+2*PI())/3)</f>
        <v>-0.38407428565416168</v>
      </c>
      <c r="AB8" s="11">
        <f>'OddsRatio_working_3-way'!X8^(1/3)*COS(('OddsRatio_working_3-way'!Y8+4*PI())/3)</f>
        <v>-0.146380481435608</v>
      </c>
      <c r="AC8" s="11">
        <f>'OddsRatio_working_3-way'!X8^(1/3)*SIN('OddsRatio_working_3-way'!Y8/3)</f>
        <v>0.1372325818502883</v>
      </c>
      <c r="AD8" s="11">
        <f>'OddsRatio_working_3-way'!X8^(1/3)*SIN(('OddsRatio_working_3-way'!Y8+2*PI())/3)</f>
        <v>0.39077101293315397</v>
      </c>
      <c r="AE8" s="11">
        <f>'OddsRatio_working_3-way'!X8^(1/3)*SIN(('OddsRatio_working_3-way'!Y8+4*PI())/3)</f>
        <v>-0.52800359478344217</v>
      </c>
      <c r="AF8" s="11">
        <f>-'OddsRatio_working_3-way'!U8/(3*'OddsRatio_working_3-way'!X8^(1/3))*COS(('OddsRatio_working_3-way'!Y8)/3)</f>
        <v>0.53045476708976935</v>
      </c>
      <c r="AG8" s="11">
        <f>-'OddsRatio_working_3-way'!U8/(3*'OddsRatio_working_3-way'!X8^(1/3))*COS(('OddsRatio_working_3-way'!Y8+2*PI())/3)</f>
        <v>-0.38407428565416157</v>
      </c>
      <c r="AH8" s="11">
        <f>-'OddsRatio_working_3-way'!U8/(3*'OddsRatio_working_3-way'!X8^(1/3))*COS(('OddsRatio_working_3-way'!Y8+4*PI())/3)</f>
        <v>-0.14638048143560795</v>
      </c>
      <c r="AI8" s="11">
        <f>'OddsRatio_working_3-way'!U8/(3*'OddsRatio_working_3-way'!X8^(1/3))*SIN(('OddsRatio_working_3-way'!Y8)/3)</f>
        <v>-0.13723258185028825</v>
      </c>
      <c r="AJ8" s="11">
        <f>'OddsRatio_working_3-way'!U8/(3*'OddsRatio_working_3-way'!X8^(1/3))*SIN(('OddsRatio_working_3-way'!Y8+2*PI())/3)</f>
        <v>-0.39077101293315381</v>
      </c>
      <c r="AK8" s="11">
        <f>'OddsRatio_working_3-way'!U8/(3*'OddsRatio_working_3-way'!X8^(1/3))*SIN(('OddsRatio_working_3-way'!Y8+4*PI())/3)</f>
        <v>0.52800359478344194</v>
      </c>
      <c r="AL8" s="11">
        <f>'OddsRatio_working_3-way'!Z8+'OddsRatio_working_3-way'!AF8</f>
        <v>1.0609095341795389</v>
      </c>
      <c r="AM8" s="11">
        <f>'OddsRatio_working_3-way'!AA8+'OddsRatio_working_3-way'!AG8</f>
        <v>-0.76814857130832326</v>
      </c>
      <c r="AN8" s="11">
        <f>'OddsRatio_working_3-way'!AB8+'OddsRatio_working_3-way'!AH8</f>
        <v>-0.29276096287121595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1.0609095341795389</v>
      </c>
      <c r="AS8" s="11">
        <f>IF(('OddsRatio_working_3-way'!X8=0),IF(Q8&gt;0,-Q8^(1/3),(-Q8)^(1/3)),'OddsRatio_working_3-way'!AM8-'OddsRatio_working_3-way'!R8/3)</f>
        <v>-0.76814857130832326</v>
      </c>
      <c r="AT8" s="11">
        <f>IF(('OddsRatio_working_3-way'!X8=0),IF(Q8&gt;0,-Q8^(1/3),(-Q8)^(1/3)),'OddsRatio_working_3-way'!AN8-'OddsRatio_working_3-way'!R8/3)</f>
        <v>-0.29276096287121595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2.75</v>
      </c>
      <c r="B9" s="4">
        <f>IF('True_Odds_Calculator_3-way'!B10="","",'True_Odds_Calculator_3-way'!B10)</f>
        <v>2.89</v>
      </c>
      <c r="C9" s="4">
        <f>IF('True_Odds_Calculator_3-way'!C10="","",'True_Odds_Calculator_3-way'!C10)</f>
        <v>3.1</v>
      </c>
      <c r="D9" s="9">
        <f t="shared" si="13"/>
        <v>0.35259436346642564</v>
      </c>
      <c r="E9" s="9">
        <f t="shared" si="14"/>
        <v>0.33523188263721793</v>
      </c>
      <c r="F9" s="9">
        <f t="shared" si="15"/>
        <v>0.31217375389635649</v>
      </c>
      <c r="G9" s="9">
        <f t="shared" si="16"/>
        <v>1.0492115483133975</v>
      </c>
      <c r="H9" s="9">
        <f t="shared" si="17"/>
        <v>2.8361202095484459</v>
      </c>
      <c r="I9" s="9">
        <f t="shared" si="18"/>
        <v>2.9830098263123217</v>
      </c>
      <c r="J9" s="9">
        <f t="shared" si="19"/>
        <v>3.2033442514581347</v>
      </c>
      <c r="K9" s="11">
        <f t="shared" si="20"/>
        <v>0.36363636363636365</v>
      </c>
      <c r="L9" s="11">
        <f t="shared" si="21"/>
        <v>0.34602076124567471</v>
      </c>
      <c r="M9" s="11">
        <f t="shared" si="22"/>
        <v>0.32258064516129031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-0.28192066890582357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0.2329805477478209</v>
      </c>
      <c r="Q9" s="11">
        <f>2*'OddsRatio_working_3-way'!K9*'OddsRatio_working_3-way'!L9*'OddsRatio_working_3-way'!M9</f>
        <v>8.1177891201331315E-2</v>
      </c>
      <c r="R9" s="11">
        <f t="shared" si="23"/>
        <v>0</v>
      </c>
      <c r="S9" s="11">
        <f t="shared" si="24"/>
        <v>-0.82640463592844526</v>
      </c>
      <c r="T9" s="11">
        <f t="shared" si="25"/>
        <v>-0.28794586617715862</v>
      </c>
      <c r="U9" s="11">
        <f>'OddsRatio_working_3-way'!S9-'OddsRatio_working_3-way'!R9^2/3</f>
        <v>-0.82640463592844526</v>
      </c>
      <c r="V9" s="11">
        <f>'OddsRatio_working_3-way'!S9*'OddsRatio_working_3-way'!R9/3-2*'OddsRatio_working_3-way'!R9^3/27-'OddsRatio_working_3-way'!T9</f>
        <v>0.28794586617715862</v>
      </c>
      <c r="W9" s="11">
        <f>'OddsRatio_working_3-way'!V9^2+4*'OddsRatio_working_3-way'!U9^3/27</f>
        <v>-7.0030436451110067E-4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0.14457967199179941</v>
      </c>
      <c r="Y9" s="11">
        <f>IF('OddsRatio_working_3-way'!W9&gt;=0,IF('OddsRatio_working_3-way'!V9+SQRT('OddsRatio_working_3-way'!W9)&gt;0,0,PI()),ACOS('OddsRatio_working_3-way'!V9/(2*'OddsRatio_working_3-way'!X9)))</f>
        <v>9.1646165212775133E-2</v>
      </c>
      <c r="Z9" s="11">
        <f>'OddsRatio_working_3-way'!X9^(1/3)*COS('OddsRatio_working_3-way'!Y9/3)</f>
        <v>0.52460577415669885</v>
      </c>
      <c r="AA9" s="11">
        <f>'OddsRatio_working_3-way'!X9^(1/3)*COS(('OddsRatio_working_3-way'!Y9+2*PI())/3)</f>
        <v>-0.27618616022265458</v>
      </c>
      <c r="AB9" s="11">
        <f>'OddsRatio_working_3-way'!X9^(1/3)*COS(('OddsRatio_working_3-way'!Y9+4*PI())/3)</f>
        <v>-0.24841961393404438</v>
      </c>
      <c r="AC9" s="11">
        <f>'OddsRatio_working_3-way'!X9^(1/3)*SIN('OddsRatio_working_3-way'!Y9/3)</f>
        <v>1.6031022974195383E-2</v>
      </c>
      <c r="AD9" s="11">
        <f>'OddsRatio_working_3-way'!X9^(1/3)*SIN(('OddsRatio_working_3-way'!Y9+2*PI())/3)</f>
        <v>0.44630641590460546</v>
      </c>
      <c r="AE9" s="11">
        <f>'OddsRatio_working_3-way'!X9^(1/3)*SIN(('OddsRatio_working_3-way'!Y9+4*PI())/3)</f>
        <v>-0.4623374388788008</v>
      </c>
      <c r="AF9" s="11">
        <f>-'OddsRatio_working_3-way'!U9/(3*'OddsRatio_working_3-way'!X9^(1/3))*COS(('OddsRatio_working_3-way'!Y9)/3)</f>
        <v>0.52460577415669873</v>
      </c>
      <c r="AG9" s="11">
        <f>-'OddsRatio_working_3-way'!U9/(3*'OddsRatio_working_3-way'!X9^(1/3))*COS(('OddsRatio_working_3-way'!Y9+2*PI())/3)</f>
        <v>-0.27618616022265452</v>
      </c>
      <c r="AH9" s="11">
        <f>-'OddsRatio_working_3-way'!U9/(3*'OddsRatio_working_3-way'!X9^(1/3))*COS(('OddsRatio_working_3-way'!Y9+4*PI())/3)</f>
        <v>-0.24841961393404433</v>
      </c>
      <c r="AI9" s="11">
        <f>'OddsRatio_working_3-way'!U9/(3*'OddsRatio_working_3-way'!X9^(1/3))*SIN(('OddsRatio_working_3-way'!Y9)/3)</f>
        <v>-1.603102297419538E-2</v>
      </c>
      <c r="AJ9" s="11">
        <f>'OddsRatio_working_3-way'!U9/(3*'OddsRatio_working_3-way'!X9^(1/3))*SIN(('OddsRatio_working_3-way'!Y9+2*PI())/3)</f>
        <v>-0.4463064159046054</v>
      </c>
      <c r="AK9" s="11">
        <f>'OddsRatio_working_3-way'!U9/(3*'OddsRatio_working_3-way'!X9^(1/3))*SIN(('OddsRatio_working_3-way'!Y9+4*PI())/3)</f>
        <v>0.46233743887880069</v>
      </c>
      <c r="AL9" s="11">
        <f>'OddsRatio_working_3-way'!Z9+'OddsRatio_working_3-way'!AF9</f>
        <v>1.0492115483133975</v>
      </c>
      <c r="AM9" s="11">
        <f>'OddsRatio_working_3-way'!AA9+'OddsRatio_working_3-way'!AG9</f>
        <v>-0.55237232044530904</v>
      </c>
      <c r="AN9" s="11">
        <f>'OddsRatio_working_3-way'!AB9+'OddsRatio_working_3-way'!AH9</f>
        <v>-0.49683922786808871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1.0492115483133975</v>
      </c>
      <c r="AS9" s="11">
        <f>IF(('OddsRatio_working_3-way'!X9=0),IF(Q9&gt;0,-Q9^(1/3),(-Q9)^(1/3)),'OddsRatio_working_3-way'!AM9-'OddsRatio_working_3-way'!R9/3)</f>
        <v>-0.55237232044530904</v>
      </c>
      <c r="AT9" s="11">
        <f>IF(('OddsRatio_working_3-way'!X9=0),IF(Q9&gt;0,-Q9^(1/3),(-Q9)^(1/3)),'OddsRatio_working_3-way'!AN9-'OddsRatio_working_3-way'!R9/3)</f>
        <v>-0.49683922786808871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</v>
      </c>
      <c r="B10" s="4">
        <f>IF('True_Odds_Calculator_3-way'!B11="","",'True_Odds_Calculator_3-way'!B11)</f>
        <v>2.95</v>
      </c>
      <c r="C10" s="4">
        <f>IF('True_Odds_Calculator_3-way'!C11="","",'True_Odds_Calculator_3-way'!C11)</f>
        <v>3.6</v>
      </c>
      <c r="D10" s="9">
        <f t="shared" si="13"/>
        <v>0.404457928836361</v>
      </c>
      <c r="E10" s="9">
        <f t="shared" si="14"/>
        <v>0.32777153211648757</v>
      </c>
      <c r="F10" s="9">
        <f t="shared" si="15"/>
        <v>0.26777053904715137</v>
      </c>
      <c r="G10" s="9">
        <f t="shared" si="16"/>
        <v>1.0517464570719797</v>
      </c>
      <c r="H10" s="9">
        <f t="shared" si="17"/>
        <v>2.4724450399007716</v>
      </c>
      <c r="I10" s="9">
        <f t="shared" si="18"/>
        <v>3.0509055912903609</v>
      </c>
      <c r="J10" s="9">
        <f t="shared" si="19"/>
        <v>3.7345407883871471</v>
      </c>
      <c r="K10" s="11">
        <f t="shared" si="20"/>
        <v>0.41666666666666669</v>
      </c>
      <c r="L10" s="11">
        <f t="shared" si="21"/>
        <v>0.33898305084745761</v>
      </c>
      <c r="M10" s="11">
        <f t="shared" si="22"/>
        <v>0.27777777777777779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-0.27848399246704325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0.23344318895166349</v>
      </c>
      <c r="Q10" s="11">
        <f>2*'OddsRatio_working_3-way'!K10*'OddsRatio_working_3-way'!L10*'OddsRatio_working_3-way'!M10</f>
        <v>7.8468298807281858E-2</v>
      </c>
      <c r="R10" s="11">
        <f t="shared" si="23"/>
        <v>0</v>
      </c>
      <c r="S10" s="11">
        <f t="shared" si="24"/>
        <v>-0.8382642998027614</v>
      </c>
      <c r="T10" s="11">
        <f t="shared" si="25"/>
        <v>-0.28176951253874338</v>
      </c>
      <c r="U10" s="11">
        <f>'OddsRatio_working_3-way'!S10-'OddsRatio_working_3-way'!R10^2/3</f>
        <v>-0.8382642998027614</v>
      </c>
      <c r="V10" s="11">
        <f>'OddsRatio_working_3-way'!S10*'OddsRatio_working_3-way'!R10/3-2*'OddsRatio_working_3-way'!R10^3/27-'OddsRatio_working_3-way'!T10</f>
        <v>0.28176951253874338</v>
      </c>
      <c r="W10" s="11">
        <f>'OddsRatio_working_3-way'!V10^2+4*'OddsRatio_working_3-way'!U10^3/27</f>
        <v>-7.8707501717470152E-3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0.14770308761842801</v>
      </c>
      <c r="Y10" s="11">
        <f>IF('OddsRatio_working_3-way'!W10&gt;=0,IF('OddsRatio_working_3-way'!V10+SQRT('OddsRatio_working_3-way'!W10)&gt;0,0,PI()),ACOS('OddsRatio_working_3-way'!V10/(2*'OddsRatio_working_3-way'!X10)))</f>
        <v>0.30503119593738282</v>
      </c>
      <c r="Z10" s="11">
        <f>'OddsRatio_working_3-way'!X10^(1/3)*COS('OddsRatio_working_3-way'!Y10/3)</f>
        <v>0.52587322853598983</v>
      </c>
      <c r="AA10" s="11">
        <f>'OddsRatio_working_3-way'!X10^(1/3)*COS(('OddsRatio_working_3-way'!Y10+2*PI())/3)</f>
        <v>-0.30940257581557623</v>
      </c>
      <c r="AB10" s="11">
        <f>'OddsRatio_working_3-way'!X10^(1/3)*COS(('OddsRatio_working_3-way'!Y10+4*PI())/3)</f>
        <v>-0.21647065272041349</v>
      </c>
      <c r="AC10" s="11">
        <f>'OddsRatio_working_3-way'!X10^(1/3)*SIN('OddsRatio_working_3-way'!Y10/3)</f>
        <v>5.3654270815301712E-2</v>
      </c>
      <c r="AD10" s="11">
        <f>'OddsRatio_working_3-way'!X10^(1/3)*SIN(('OddsRatio_working_3-way'!Y10+2*PI())/3)</f>
        <v>0.4285924396746561</v>
      </c>
      <c r="AE10" s="11">
        <f>'OddsRatio_working_3-way'!X10^(1/3)*SIN(('OddsRatio_working_3-way'!Y10+4*PI())/3)</f>
        <v>-0.48224671048995787</v>
      </c>
      <c r="AF10" s="11">
        <f>-'OddsRatio_working_3-way'!U10/(3*'OddsRatio_working_3-way'!X10^(1/3))*COS(('OddsRatio_working_3-way'!Y10)/3)</f>
        <v>0.52587322853598983</v>
      </c>
      <c r="AG10" s="11">
        <f>-'OddsRatio_working_3-way'!U10/(3*'OddsRatio_working_3-way'!X10^(1/3))*COS(('OddsRatio_working_3-way'!Y10+2*PI())/3)</f>
        <v>-0.30940257581557623</v>
      </c>
      <c r="AH10" s="11">
        <f>-'OddsRatio_working_3-way'!U10/(3*'OddsRatio_working_3-way'!X10^(1/3))*COS(('OddsRatio_working_3-way'!Y10+4*PI())/3)</f>
        <v>-0.21647065272041349</v>
      </c>
      <c r="AI10" s="11">
        <f>'OddsRatio_working_3-way'!U10/(3*'OddsRatio_working_3-way'!X10^(1/3))*SIN(('OddsRatio_working_3-way'!Y10)/3)</f>
        <v>-5.3654270815301712E-2</v>
      </c>
      <c r="AJ10" s="11">
        <f>'OddsRatio_working_3-way'!U10/(3*'OddsRatio_working_3-way'!X10^(1/3))*SIN(('OddsRatio_working_3-way'!Y10+2*PI())/3)</f>
        <v>-0.4285924396746561</v>
      </c>
      <c r="AK10" s="11">
        <f>'OddsRatio_working_3-way'!U10/(3*'OddsRatio_working_3-way'!X10^(1/3))*SIN(('OddsRatio_working_3-way'!Y10+4*PI())/3)</f>
        <v>0.48224671048995787</v>
      </c>
      <c r="AL10" s="11">
        <f>'OddsRatio_working_3-way'!Z10+'OddsRatio_working_3-way'!AF10</f>
        <v>1.0517464570719797</v>
      </c>
      <c r="AM10" s="11">
        <f>'OddsRatio_working_3-way'!AA10+'OddsRatio_working_3-way'!AG10</f>
        <v>-0.61880515163115246</v>
      </c>
      <c r="AN10" s="11">
        <f>'OddsRatio_working_3-way'!AB10+'OddsRatio_working_3-way'!AH10</f>
        <v>-0.43294130544082698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1.0517464570719797</v>
      </c>
      <c r="AS10" s="11">
        <f>IF(('OddsRatio_working_3-way'!X10=0),IF(Q10&gt;0,-Q10^(1/3),(-Q10)^(1/3)),'OddsRatio_working_3-way'!AM10-'OddsRatio_working_3-way'!R10/3)</f>
        <v>-0.61880515163115246</v>
      </c>
      <c r="AT10" s="11">
        <f>IF(('OddsRatio_working_3-way'!X10=0),IF(Q10&gt;0,-Q10^(1/3),(-Q10)^(1/3)),'OddsRatio_working_3-way'!AN10-'OddsRatio_working_3-way'!R10/3)</f>
        <v>-0.43294130544082698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1.92</v>
      </c>
      <c r="B11" s="4">
        <f>IF('True_Odds_Calculator_3-way'!B12="","",'True_Odds_Calculator_3-way'!B12)</f>
        <v>3.55</v>
      </c>
      <c r="C11" s="4">
        <f>IF('True_Odds_Calculator_3-way'!C12="","",'True_Odds_Calculator_3-way'!C12)</f>
        <v>4.42</v>
      </c>
      <c r="D11" s="9">
        <f t="shared" si="13"/>
        <v>0.50929821489399563</v>
      </c>
      <c r="E11" s="9">
        <f t="shared" si="14"/>
        <v>0.2724400482239111</v>
      </c>
      <c r="F11" s="9">
        <f t="shared" si="15"/>
        <v>0.2182617368820931</v>
      </c>
      <c r="G11" s="9">
        <f t="shared" si="16"/>
        <v>1.0472675732056507</v>
      </c>
      <c r="H11" s="9">
        <f t="shared" si="17"/>
        <v>1.9634861673491986</v>
      </c>
      <c r="I11" s="9">
        <f t="shared" si="18"/>
        <v>3.6705323116744095</v>
      </c>
      <c r="J11" s="9">
        <f t="shared" si="19"/>
        <v>4.5816551003633252</v>
      </c>
      <c r="K11" s="11">
        <f t="shared" si="20"/>
        <v>0.52083333333333337</v>
      </c>
      <c r="L11" s="11">
        <f t="shared" si="21"/>
        <v>0.28169014084507044</v>
      </c>
      <c r="M11" s="11">
        <f t="shared" si="22"/>
        <v>0.22624434389140272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-0.26631906825568796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0.22870063518365097</v>
      </c>
      <c r="Q11" s="11">
        <f>2*'OddsRatio_working_3-way'!K11*'OddsRatio_working_3-way'!L11*'OddsRatio_working_3-way'!M11</f>
        <v>6.638625114184353E-2</v>
      </c>
      <c r="R11" s="11">
        <f t="shared" si="23"/>
        <v>0</v>
      </c>
      <c r="S11" s="11">
        <f t="shared" si="24"/>
        <v>-0.85874675321438032</v>
      </c>
      <c r="T11" s="11">
        <f t="shared" si="25"/>
        <v>-0.24927336813189557</v>
      </c>
      <c r="U11" s="11">
        <f>'OddsRatio_working_3-way'!S11-'OddsRatio_working_3-way'!R11^2/3</f>
        <v>-0.85874675321438032</v>
      </c>
      <c r="V11" s="11">
        <f>'OddsRatio_working_3-way'!S11*'OddsRatio_working_3-way'!R11/3-2*'OddsRatio_working_3-way'!R11^3/27-'OddsRatio_working_3-way'!T11</f>
        <v>0.24927336813189557</v>
      </c>
      <c r="W11" s="11">
        <f>'OddsRatio_working_3-way'!V11^2+4*'OddsRatio_working_3-way'!U11^3/27</f>
        <v>-3.1681950352424597E-2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0.15314956938581653</v>
      </c>
      <c r="Y11" s="11">
        <f>IF('OddsRatio_working_3-way'!W11&gt;=0,IF('OddsRatio_working_3-way'!V11+SQRT('OddsRatio_working_3-way'!W11)&gt;0,0,PI()),ACOS('OddsRatio_working_3-way'!V11/(2*'OddsRatio_working_3-way'!X11)))</f>
        <v>0.6200949656148832</v>
      </c>
      <c r="Z11" s="11">
        <f>'OddsRatio_working_3-way'!X11^(1/3)*COS('OddsRatio_working_3-way'!Y11/3)</f>
        <v>0.52363378660282534</v>
      </c>
      <c r="AA11" s="11">
        <f>'OddsRatio_working_3-way'!X11^(1/3)*COS(('OddsRatio_working_3-way'!Y11+2*PI())/3)</f>
        <v>-0.35690859351539145</v>
      </c>
      <c r="AB11" s="11">
        <f>'OddsRatio_working_3-way'!X11^(1/3)*COS(('OddsRatio_working_3-way'!Y11+4*PI())/3)</f>
        <v>-0.16672519308743378</v>
      </c>
      <c r="AC11" s="11">
        <f>'OddsRatio_working_3-way'!X11^(1/3)*SIN('OddsRatio_working_3-way'!Y11/3)</f>
        <v>0.10980243743247976</v>
      </c>
      <c r="AD11" s="11">
        <f>'OddsRatio_working_3-way'!X11^(1/3)*SIN(('OddsRatio_working_3-way'!Y11+2*PI())/3)</f>
        <v>0.39857894276164652</v>
      </c>
      <c r="AE11" s="11">
        <f>'OddsRatio_working_3-way'!X11^(1/3)*SIN(('OddsRatio_working_3-way'!Y11+4*PI())/3)</f>
        <v>-0.50838138019412626</v>
      </c>
      <c r="AF11" s="11">
        <f>-'OddsRatio_working_3-way'!U11/(3*'OddsRatio_working_3-way'!X11^(1/3))*COS(('OddsRatio_working_3-way'!Y11)/3)</f>
        <v>0.52363378660282522</v>
      </c>
      <c r="AG11" s="11">
        <f>-'OddsRatio_working_3-way'!U11/(3*'OddsRatio_working_3-way'!X11^(1/3))*COS(('OddsRatio_working_3-way'!Y11+2*PI())/3)</f>
        <v>-0.35690859351539139</v>
      </c>
      <c r="AH11" s="11">
        <f>-'OddsRatio_working_3-way'!U11/(3*'OddsRatio_working_3-way'!X11^(1/3))*COS(('OddsRatio_working_3-way'!Y11+4*PI())/3)</f>
        <v>-0.16672519308743375</v>
      </c>
      <c r="AI11" s="11">
        <f>'OddsRatio_working_3-way'!U11/(3*'OddsRatio_working_3-way'!X11^(1/3))*SIN(('OddsRatio_working_3-way'!Y11)/3)</f>
        <v>-0.10980243743247975</v>
      </c>
      <c r="AJ11" s="11">
        <f>'OddsRatio_working_3-way'!U11/(3*'OddsRatio_working_3-way'!X11^(1/3))*SIN(('OddsRatio_working_3-way'!Y11+2*PI())/3)</f>
        <v>-0.39857894276164646</v>
      </c>
      <c r="AK11" s="11">
        <f>'OddsRatio_working_3-way'!U11/(3*'OddsRatio_working_3-way'!X11^(1/3))*SIN(('OddsRatio_working_3-way'!Y11+4*PI())/3)</f>
        <v>0.50838138019412615</v>
      </c>
      <c r="AL11" s="11">
        <f>'OddsRatio_working_3-way'!Z11+'OddsRatio_working_3-way'!AF11</f>
        <v>1.0472675732056507</v>
      </c>
      <c r="AM11" s="11">
        <f>'OddsRatio_working_3-way'!AA11+'OddsRatio_working_3-way'!AG11</f>
        <v>-0.71381718703078278</v>
      </c>
      <c r="AN11" s="11">
        <f>'OddsRatio_working_3-way'!AB11+'OddsRatio_working_3-way'!AH11</f>
        <v>-0.33345038617486755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1.0472675732056507</v>
      </c>
      <c r="AS11" s="11">
        <f>IF(('OddsRatio_working_3-way'!X11=0),IF(Q11&gt;0,-Q11^(1/3),(-Q11)^(1/3)),'OddsRatio_working_3-way'!AM11-'OddsRatio_working_3-way'!R11/3)</f>
        <v>-0.71381718703078278</v>
      </c>
      <c r="AT11" s="11">
        <f>IF(('OddsRatio_working_3-way'!X11=0),IF(Q11&gt;0,-Q11^(1/3),(-Q11)^(1/3)),'OddsRatio_working_3-way'!AN11-'OddsRatio_working_3-way'!R11/3)</f>
        <v>-0.33345038617486755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2.5299999999999998</v>
      </c>
      <c r="B12" s="4">
        <f>IF('True_Odds_Calculator_3-way'!B13="","",'True_Odds_Calculator_3-way'!B13)</f>
        <v>2.95</v>
      </c>
      <c r="C12" s="4">
        <f>IF('True_Odds_Calculator_3-way'!C13="","",'True_Odds_Calculator_3-way'!C13)</f>
        <v>3.41</v>
      </c>
      <c r="D12" s="9">
        <f t="shared" si="13"/>
        <v>0.3854327731746312</v>
      </c>
      <c r="E12" s="9">
        <f t="shared" si="14"/>
        <v>0.32979482638587615</v>
      </c>
      <c r="F12" s="9">
        <f t="shared" si="15"/>
        <v>0.28477240043949248</v>
      </c>
      <c r="G12" s="9">
        <f t="shared" si="16"/>
        <v>1.0421478244343829</v>
      </c>
      <c r="H12" s="9">
        <f t="shared" si="17"/>
        <v>2.5944861713846055</v>
      </c>
      <c r="I12" s="9">
        <f t="shared" si="18"/>
        <v>3.0321882576470465</v>
      </c>
      <c r="J12" s="9">
        <f t="shared" si="19"/>
        <v>3.5115762568868636</v>
      </c>
      <c r="K12" s="11">
        <f t="shared" si="20"/>
        <v>0.39525691699604748</v>
      </c>
      <c r="L12" s="11">
        <f t="shared" si="21"/>
        <v>0.33898305084745761</v>
      </c>
      <c r="M12" s="11">
        <f t="shared" si="22"/>
        <v>0.29325513196480935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-0.28251802958169625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0.23142931965870261</v>
      </c>
      <c r="Q12" s="11">
        <f>2*'OddsRatio_working_3-way'!K12*'OddsRatio_working_3-way'!L12*'OddsRatio_working_3-way'!M12</f>
        <v>7.8583809731308199E-2</v>
      </c>
      <c r="R12" s="11">
        <f t="shared" si="23"/>
        <v>0</v>
      </c>
      <c r="S12" s="11">
        <f t="shared" si="24"/>
        <v>-0.81916655018925011</v>
      </c>
      <c r="T12" s="11">
        <f t="shared" si="25"/>
        <v>-0.27815502553115456</v>
      </c>
      <c r="U12" s="11">
        <f>'OddsRatio_working_3-way'!S12-'OddsRatio_working_3-way'!R12^2/3</f>
        <v>-0.81916655018925011</v>
      </c>
      <c r="V12" s="11">
        <f>'OddsRatio_working_3-way'!S12*'OddsRatio_working_3-way'!R12/3-2*'OddsRatio_working_3-way'!R12^3/27-'OddsRatio_working_3-way'!T12</f>
        <v>0.27815502553115456</v>
      </c>
      <c r="W12" s="11">
        <f>'OddsRatio_working_3-way'!V12^2+4*'OddsRatio_working_3-way'!U12^3/27</f>
        <v>-4.0651111456491279E-3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0.14268438016640642</v>
      </c>
      <c r="Y12" s="11">
        <f>IF('OddsRatio_working_3-way'!W12&gt;=0,IF('OddsRatio_working_3-way'!V12+SQRT('OddsRatio_working_3-way'!W12)&gt;0,0,PI()),ACOS('OddsRatio_working_3-way'!V12/(2*'OddsRatio_working_3-way'!X12)))</f>
        <v>0.22532584266306666</v>
      </c>
      <c r="Z12" s="11">
        <f>'OddsRatio_working_3-way'!X12^(1/3)*COS('OddsRatio_working_3-way'!Y12/3)</f>
        <v>0.52107391221719146</v>
      </c>
      <c r="AA12" s="11">
        <f>'OddsRatio_working_3-way'!X12^(1/3)*COS(('OddsRatio_working_3-way'!Y12+2*PI())/3)</f>
        <v>-0.29449459225005187</v>
      </c>
      <c r="AB12" s="11">
        <f>'OddsRatio_working_3-way'!X12^(1/3)*COS(('OddsRatio_working_3-way'!Y12+4*PI())/3)</f>
        <v>-0.22657931996713948</v>
      </c>
      <c r="AC12" s="11">
        <f>'OddsRatio_working_3-way'!X12^(1/3)*SIN('OddsRatio_working_3-way'!Y12/3)</f>
        <v>3.9210900734626256E-2</v>
      </c>
      <c r="AD12" s="11">
        <f>'OddsRatio_working_3-way'!X12^(1/3)*SIN(('OddsRatio_working_3-way'!Y12+2*PI())/3)</f>
        <v>0.43165779486211731</v>
      </c>
      <c r="AE12" s="11">
        <f>'OddsRatio_working_3-way'!X12^(1/3)*SIN(('OddsRatio_working_3-way'!Y12+4*PI())/3)</f>
        <v>-0.47086869559674344</v>
      </c>
      <c r="AF12" s="11">
        <f>-'OddsRatio_working_3-way'!U12/(3*'OddsRatio_working_3-way'!X12^(1/3))*COS(('OddsRatio_working_3-way'!Y12)/3)</f>
        <v>0.52107391221719135</v>
      </c>
      <c r="AG12" s="11">
        <f>-'OddsRatio_working_3-way'!U12/(3*'OddsRatio_working_3-way'!X12^(1/3))*COS(('OddsRatio_working_3-way'!Y12+2*PI())/3)</f>
        <v>-0.29449459225005181</v>
      </c>
      <c r="AH12" s="11">
        <f>-'OddsRatio_working_3-way'!U12/(3*'OddsRatio_working_3-way'!X12^(1/3))*COS(('OddsRatio_working_3-way'!Y12+4*PI())/3)</f>
        <v>-0.22657931996713943</v>
      </c>
      <c r="AI12" s="11">
        <f>'OddsRatio_working_3-way'!U12/(3*'OddsRatio_working_3-way'!X12^(1/3))*SIN(('OddsRatio_working_3-way'!Y12)/3)</f>
        <v>-3.9210900734626249E-2</v>
      </c>
      <c r="AJ12" s="11">
        <f>'OddsRatio_working_3-way'!U12/(3*'OddsRatio_working_3-way'!X12^(1/3))*SIN(('OddsRatio_working_3-way'!Y12+2*PI())/3)</f>
        <v>-0.43165779486211725</v>
      </c>
      <c r="AK12" s="11">
        <f>'OddsRatio_working_3-way'!U12/(3*'OddsRatio_working_3-way'!X12^(1/3))*SIN(('OddsRatio_working_3-way'!Y12+4*PI())/3)</f>
        <v>0.47086869559674338</v>
      </c>
      <c r="AL12" s="11">
        <f>'OddsRatio_working_3-way'!Z12+'OddsRatio_working_3-way'!AF12</f>
        <v>1.0421478244343829</v>
      </c>
      <c r="AM12" s="11">
        <f>'OddsRatio_working_3-way'!AA12+'OddsRatio_working_3-way'!AG12</f>
        <v>-0.58898918450010362</v>
      </c>
      <c r="AN12" s="11">
        <f>'OddsRatio_working_3-way'!AB12+'OddsRatio_working_3-way'!AH12</f>
        <v>-0.45315863993427891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1.0421478244343829</v>
      </c>
      <c r="AS12" s="11">
        <f>IF(('OddsRatio_working_3-way'!X12=0),IF(Q12&gt;0,-Q12^(1/3),(-Q12)^(1/3)),'OddsRatio_working_3-way'!AM12-'OddsRatio_working_3-way'!R12/3)</f>
        <v>-0.58898918450010362</v>
      </c>
      <c r="AT12" s="11">
        <f>IF(('OddsRatio_working_3-way'!X12=0),IF(Q12&gt;0,-Q12^(1/3),(-Q12)^(1/3)),'OddsRatio_working_3-way'!AN12-'OddsRatio_working_3-way'!R12/3)</f>
        <v>-0.45315863993427891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3.58</v>
      </c>
      <c r="B13" s="4">
        <f>IF('True_Odds_Calculator_3-way'!B14="","",'True_Odds_Calculator_3-way'!B14)</f>
        <v>3.13</v>
      </c>
      <c r="C13" s="4">
        <f>IF('True_Odds_Calculator_3-way'!C14="","",'True_Odds_Calculator_3-way'!C14)</f>
        <v>2.33</v>
      </c>
      <c r="D13" s="9">
        <f t="shared" si="13"/>
        <v>0.27086071952707258</v>
      </c>
      <c r="E13" s="9">
        <f t="shared" si="14"/>
        <v>0.31032665311361302</v>
      </c>
      <c r="F13" s="9">
        <f t="shared" si="15"/>
        <v>0.41881262735931424</v>
      </c>
      <c r="G13" s="9">
        <f t="shared" si="16"/>
        <v>1.0433854148647264</v>
      </c>
      <c r="H13" s="9">
        <f t="shared" si="17"/>
        <v>3.6919343703509946</v>
      </c>
      <c r="I13" s="9">
        <f t="shared" si="18"/>
        <v>3.2224109336618669</v>
      </c>
      <c r="J13" s="9">
        <f t="shared" si="19"/>
        <v>2.3877026017700858</v>
      </c>
      <c r="K13" s="11">
        <f t="shared" si="20"/>
        <v>0.27932960893854747</v>
      </c>
      <c r="L13" s="11">
        <f t="shared" si="21"/>
        <v>0.31948881789137379</v>
      </c>
      <c r="M13" s="11">
        <f t="shared" si="22"/>
        <v>0.42918454935622319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-0.27994174482551359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0.23134155658089745</v>
      </c>
      <c r="Q13" s="11">
        <f>2*'OddsRatio_working_3-way'!K13*'OddsRatio_working_3-way'!L13*'OddsRatio_working_3-way'!M13</f>
        <v>7.6603164430760734E-2</v>
      </c>
      <c r="R13" s="11">
        <f t="shared" si="23"/>
        <v>0</v>
      </c>
      <c r="S13" s="11">
        <f t="shared" si="24"/>
        <v>-0.82639177920781903</v>
      </c>
      <c r="T13" s="11">
        <f t="shared" si="25"/>
        <v>-0.27363966198934403</v>
      </c>
      <c r="U13" s="11">
        <f>'OddsRatio_working_3-way'!S13-'OddsRatio_working_3-way'!R13^2/3</f>
        <v>-0.82639177920781903</v>
      </c>
      <c r="V13" s="11">
        <f>'OddsRatio_working_3-way'!S13*'OddsRatio_working_3-way'!R13/3-2*'OddsRatio_working_3-way'!R13^3/27-'OddsRatio_working_3-way'!T13</f>
        <v>0.27363966198934403</v>
      </c>
      <c r="W13" s="11">
        <f>'OddsRatio_working_3-way'!V13^2+4*'OddsRatio_working_3-way'!U13^3/27</f>
        <v>-8.7305592475552807E-3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0.14457629807578914</v>
      </c>
      <c r="Y13" s="11">
        <f>IF('OddsRatio_working_3-way'!W13&gt;=0,IF('OddsRatio_working_3-way'!V13+SQRT('OddsRatio_working_3-way'!W13)&gt;0,0,PI()),ACOS('OddsRatio_working_3-way'!V13/(2*'OddsRatio_working_3-way'!X13)))</f>
        <v>0.32904815114167496</v>
      </c>
      <c r="Z13" s="11">
        <f>'OddsRatio_working_3-way'!X13^(1/3)*COS('OddsRatio_working_3-way'!Y13/3)</f>
        <v>0.52169270743236318</v>
      </c>
      <c r="AA13" s="11">
        <f>'OddsRatio_working_3-way'!X13^(1/3)*COS(('OddsRatio_working_3-way'!Y13+2*PI())/3)</f>
        <v>-0.31060059032848275</v>
      </c>
      <c r="AB13" s="11">
        <f>'OddsRatio_working_3-way'!X13^(1/3)*COS(('OddsRatio_working_3-way'!Y13+4*PI())/3)</f>
        <v>-0.21109211710388043</v>
      </c>
      <c r="AC13" s="11">
        <f>'OddsRatio_working_3-way'!X13^(1/3)*SIN('OddsRatio_working_3-way'!Y13/3)</f>
        <v>5.7451243802872781E-2</v>
      </c>
      <c r="AD13" s="11">
        <f>'OddsRatio_working_3-way'!X13^(1/3)*SIN(('OddsRatio_working_3-way'!Y13+2*PI())/3)</f>
        <v>0.42307351570407281</v>
      </c>
      <c r="AE13" s="11">
        <f>'OddsRatio_working_3-way'!X13^(1/3)*SIN(('OddsRatio_working_3-way'!Y13+4*PI())/3)</f>
        <v>-0.48052475950694568</v>
      </c>
      <c r="AF13" s="11">
        <f>-'OddsRatio_working_3-way'!U13/(3*'OddsRatio_working_3-way'!X13^(1/3))*COS(('OddsRatio_working_3-way'!Y13)/3)</f>
        <v>0.52169270743236318</v>
      </c>
      <c r="AG13" s="11">
        <f>-'OddsRatio_working_3-way'!U13/(3*'OddsRatio_working_3-way'!X13^(1/3))*COS(('OddsRatio_working_3-way'!Y13+2*PI())/3)</f>
        <v>-0.31060059032848275</v>
      </c>
      <c r="AH13" s="11">
        <f>-'OddsRatio_working_3-way'!U13/(3*'OddsRatio_working_3-way'!X13^(1/3))*COS(('OddsRatio_working_3-way'!Y13+4*PI())/3)</f>
        <v>-0.21109211710388043</v>
      </c>
      <c r="AI13" s="11">
        <f>'OddsRatio_working_3-way'!U13/(3*'OddsRatio_working_3-way'!X13^(1/3))*SIN(('OddsRatio_working_3-way'!Y13)/3)</f>
        <v>-5.7451243802872781E-2</v>
      </c>
      <c r="AJ13" s="11">
        <f>'OddsRatio_working_3-way'!U13/(3*'OddsRatio_working_3-way'!X13^(1/3))*SIN(('OddsRatio_working_3-way'!Y13+2*PI())/3)</f>
        <v>-0.42307351570407281</v>
      </c>
      <c r="AK13" s="11">
        <f>'OddsRatio_working_3-way'!U13/(3*'OddsRatio_working_3-way'!X13^(1/3))*SIN(('OddsRatio_working_3-way'!Y13+4*PI())/3)</f>
        <v>0.48052475950694568</v>
      </c>
      <c r="AL13" s="11">
        <f>'OddsRatio_working_3-way'!Z13+'OddsRatio_working_3-way'!AF13</f>
        <v>1.0433854148647264</v>
      </c>
      <c r="AM13" s="11">
        <f>'OddsRatio_working_3-way'!AA13+'OddsRatio_working_3-way'!AG13</f>
        <v>-0.6212011806569655</v>
      </c>
      <c r="AN13" s="11">
        <f>'OddsRatio_working_3-way'!AB13+'OddsRatio_working_3-way'!AH13</f>
        <v>-0.42218423420776086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1.0433854148647264</v>
      </c>
      <c r="AS13" s="11">
        <f>IF(('OddsRatio_working_3-way'!X13=0),IF(Q13&gt;0,-Q13^(1/3),(-Q13)^(1/3)),'OddsRatio_working_3-way'!AM13-'OddsRatio_working_3-way'!R13/3)</f>
        <v>-0.6212011806569655</v>
      </c>
      <c r="AT13" s="11">
        <f>IF(('OddsRatio_working_3-way'!X13=0),IF(Q13&gt;0,-Q13^(1/3),(-Q13)^(1/3)),'OddsRatio_working_3-way'!AN13-'OddsRatio_working_3-way'!R13/3)</f>
        <v>-0.42218423420776086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1.56</v>
      </c>
      <c r="B14" s="4">
        <f>IF('True_Odds_Calculator_3-way'!B15="","",'True_Odds_Calculator_3-way'!B15)</f>
        <v>4.1500000000000004</v>
      </c>
      <c r="C14" s="4">
        <f>IF('True_Odds_Calculator_3-way'!C15="","",'True_Odds_Calculator_3-way'!C15)</f>
        <v>6.65</v>
      </c>
      <c r="D14" s="9">
        <f t="shared" si="13"/>
        <v>0.62704563157204196</v>
      </c>
      <c r="E14" s="9">
        <f t="shared" si="14"/>
        <v>0.23011575490533967</v>
      </c>
      <c r="F14" s="9">
        <f t="shared" si="15"/>
        <v>0.14283861352261831</v>
      </c>
      <c r="G14" s="9">
        <f t="shared" si="16"/>
        <v>1.0621076203843025</v>
      </c>
      <c r="H14" s="9">
        <f t="shared" si="17"/>
        <v>1.5947802674152094</v>
      </c>
      <c r="I14" s="9">
        <f t="shared" si="18"/>
        <v>4.345639004210553</v>
      </c>
      <c r="J14" s="9">
        <f t="shared" si="19"/>
        <v>7.0009080551713092</v>
      </c>
      <c r="K14" s="11">
        <f t="shared" si="20"/>
        <v>0.64102564102564097</v>
      </c>
      <c r="L14" s="11">
        <f t="shared" si="21"/>
        <v>0.24096385542168672</v>
      </c>
      <c r="M14" s="11">
        <f t="shared" si="22"/>
        <v>0.15037593984962405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-0.23150090239500498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0.21741099737295039</v>
      </c>
      <c r="Q14" s="11">
        <f>2*'OddsRatio_working_3-way'!K14*'OddsRatio_working_3-way'!L14*'OddsRatio_working_3-way'!M14</f>
        <v>4.6455341319006499E-2</v>
      </c>
      <c r="R14" s="11">
        <f t="shared" si="23"/>
        <v>0</v>
      </c>
      <c r="S14" s="11">
        <f t="shared" si="24"/>
        <v>-0.93913671663355636</v>
      </c>
      <c r="T14" s="11">
        <f t="shared" si="25"/>
        <v>-0.20067023859691377</v>
      </c>
      <c r="U14" s="11">
        <f>'OddsRatio_working_3-way'!S14-'OddsRatio_working_3-way'!R14^2/3</f>
        <v>-0.93913671663355636</v>
      </c>
      <c r="V14" s="11">
        <f>'OddsRatio_working_3-way'!S14*'OddsRatio_working_3-way'!R14/3-2*'OddsRatio_working_3-way'!R14^3/27-'OddsRatio_working_3-way'!T14</f>
        <v>0.20067023859691377</v>
      </c>
      <c r="W14" s="11">
        <f>'OddsRatio_working_3-way'!V14^2+4*'OddsRatio_working_3-way'!U14^3/27</f>
        <v>-8.2442227109887883E-2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0.17515048655972254</v>
      </c>
      <c r="Y14" s="11">
        <f>IF('OddsRatio_working_3-way'!W14&gt;=0,IF('OddsRatio_working_3-way'!V14+SQRT('OddsRatio_working_3-way'!W14)&gt;0,0,PI()),ACOS('OddsRatio_working_3-way'!V14/(2*'OddsRatio_working_3-way'!X14)))</f>
        <v>0.96081649269556735</v>
      </c>
      <c r="Z14" s="11">
        <f>'OddsRatio_working_3-way'!X14^(1/3)*COS('OddsRatio_working_3-way'!Y14/3)</f>
        <v>0.53105381019215125</v>
      </c>
      <c r="AA14" s="11">
        <f>'OddsRatio_working_3-way'!X14^(1/3)*COS(('OddsRatio_working_3-way'!Y14+2*PI())/3)</f>
        <v>-0.41807383941036447</v>
      </c>
      <c r="AB14" s="11">
        <f>'OddsRatio_working_3-way'!X14^(1/3)*COS(('OddsRatio_working_3-way'!Y14+4*PI())/3)</f>
        <v>-0.11297997078178697</v>
      </c>
      <c r="AC14" s="11">
        <f>'OddsRatio_working_3-way'!X14^(1/3)*SIN('OddsRatio_working_3-way'!Y14/3)</f>
        <v>0.17614602718081376</v>
      </c>
      <c r="AD14" s="11">
        <f>'OddsRatio_working_3-way'!X14^(1/3)*SIN(('OddsRatio_working_3-way'!Y14+2*PI())/3)</f>
        <v>0.37183307681251571</v>
      </c>
      <c r="AE14" s="11">
        <f>'OddsRatio_working_3-way'!X14^(1/3)*SIN(('OddsRatio_working_3-way'!Y14+4*PI())/3)</f>
        <v>-0.54797910399332928</v>
      </c>
      <c r="AF14" s="11">
        <f>-'OddsRatio_working_3-way'!U14/(3*'OddsRatio_working_3-way'!X14^(1/3))*COS(('OddsRatio_working_3-way'!Y14)/3)</f>
        <v>0.53105381019215125</v>
      </c>
      <c r="AG14" s="11">
        <f>-'OddsRatio_working_3-way'!U14/(3*'OddsRatio_working_3-way'!X14^(1/3))*COS(('OddsRatio_working_3-way'!Y14+2*PI())/3)</f>
        <v>-0.41807383941036447</v>
      </c>
      <c r="AH14" s="11">
        <f>-'OddsRatio_working_3-way'!U14/(3*'OddsRatio_working_3-way'!X14^(1/3))*COS(('OddsRatio_working_3-way'!Y14+4*PI())/3)</f>
        <v>-0.11297997078178697</v>
      </c>
      <c r="AI14" s="11">
        <f>'OddsRatio_working_3-way'!U14/(3*'OddsRatio_working_3-way'!X14^(1/3))*SIN(('OddsRatio_working_3-way'!Y14)/3)</f>
        <v>-0.17614602718081376</v>
      </c>
      <c r="AJ14" s="11">
        <f>'OddsRatio_working_3-way'!U14/(3*'OddsRatio_working_3-way'!X14^(1/3))*SIN(('OddsRatio_working_3-way'!Y14+2*PI())/3)</f>
        <v>-0.37183307681251571</v>
      </c>
      <c r="AK14" s="11">
        <f>'OddsRatio_working_3-way'!U14/(3*'OddsRatio_working_3-way'!X14^(1/3))*SIN(('OddsRatio_working_3-way'!Y14+4*PI())/3)</f>
        <v>0.54797910399332928</v>
      </c>
      <c r="AL14" s="11">
        <f>'OddsRatio_working_3-way'!Z14+'OddsRatio_working_3-way'!AF14</f>
        <v>1.0621076203843025</v>
      </c>
      <c r="AM14" s="11">
        <f>'OddsRatio_working_3-way'!AA14+'OddsRatio_working_3-way'!AG14</f>
        <v>-0.83614767882072893</v>
      </c>
      <c r="AN14" s="11">
        <f>'OddsRatio_working_3-way'!AB14+'OddsRatio_working_3-way'!AH14</f>
        <v>-0.22595994156357394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1.0621076203843025</v>
      </c>
      <c r="AS14" s="11">
        <f>IF(('OddsRatio_working_3-way'!X14=0),IF(Q14&gt;0,-Q14^(1/3),(-Q14)^(1/3)),'OddsRatio_working_3-way'!AM14-'OddsRatio_working_3-way'!R14/3)</f>
        <v>-0.83614767882072893</v>
      </c>
      <c r="AT14" s="11">
        <f>IF(('OddsRatio_working_3-way'!X14=0),IF(Q14&gt;0,-Q14^(1/3),(-Q14)^(1/3)),'OddsRatio_working_3-way'!AN14-'OddsRatio_working_3-way'!R14/3)</f>
        <v>-0.22595994156357394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2.4500000000000002</v>
      </c>
      <c r="B15" s="4">
        <f>IF('True_Odds_Calculator_3-way'!B16="","",'True_Odds_Calculator_3-way'!B16)</f>
        <v>3.17</v>
      </c>
      <c r="C15" s="4">
        <f>IF('True_Odds_Calculator_3-way'!C16="","",'True_Odds_Calculator_3-way'!C16)</f>
        <v>3.29</v>
      </c>
      <c r="D15" s="9">
        <f t="shared" si="13"/>
        <v>0.39818270162513597</v>
      </c>
      <c r="E15" s="9">
        <f t="shared" si="14"/>
        <v>0.30656949257342658</v>
      </c>
      <c r="F15" s="9">
        <f t="shared" si="15"/>
        <v>0.29524780580143739</v>
      </c>
      <c r="G15" s="9">
        <f t="shared" si="16"/>
        <v>1.0423516917695235</v>
      </c>
      <c r="H15" s="9">
        <f t="shared" si="17"/>
        <v>2.5114099530658098</v>
      </c>
      <c r="I15" s="9">
        <f t="shared" si="18"/>
        <v>3.2619031711398669</v>
      </c>
      <c r="J15" s="9">
        <f t="shared" si="19"/>
        <v>3.3869853741522085</v>
      </c>
      <c r="K15" s="11">
        <f t="shared" si="20"/>
        <v>0.4081632653061224</v>
      </c>
      <c r="L15" s="11">
        <f t="shared" si="21"/>
        <v>0.31545741324921134</v>
      </c>
      <c r="M15" s="11">
        <f t="shared" si="22"/>
        <v>0.303951367781155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-0.28199536744693177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0.23129499563337746</v>
      </c>
      <c r="Q15" s="11">
        <f>2*'OddsRatio_working_3-way'!K15*'OddsRatio_working_3-way'!L15*'OddsRatio_working_3-way'!M15</f>
        <v>7.8272418150043127E-2</v>
      </c>
      <c r="R15" s="11">
        <f t="shared" si="23"/>
        <v>0</v>
      </c>
      <c r="S15" s="11">
        <f t="shared" si="24"/>
        <v>-0.82020849394593154</v>
      </c>
      <c r="T15" s="11">
        <f t="shared" si="25"/>
        <v>-0.27756632620843702</v>
      </c>
      <c r="U15" s="11">
        <f>'OddsRatio_working_3-way'!S15-'OddsRatio_working_3-way'!R15^2/3</f>
        <v>-0.82020849394593154</v>
      </c>
      <c r="V15" s="11">
        <f>'OddsRatio_working_3-way'!S15*'OddsRatio_working_3-way'!R15/3-2*'OddsRatio_working_3-way'!R15^3/27-'OddsRatio_working_3-way'!T15</f>
        <v>0.27756632620843702</v>
      </c>
      <c r="W15" s="11">
        <f>'OddsRatio_working_3-way'!V15^2+4*'OddsRatio_working_3-way'!U15^3/27</f>
        <v>-4.7034058043842752E-3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0.14295669908160369</v>
      </c>
      <c r="Y15" s="11">
        <f>IF('OddsRatio_working_3-way'!W15&gt;=0,IF('OddsRatio_working_3-way'!V15+SQRT('OddsRatio_working_3-way'!W15)&gt;0,0,PI()),ACOS('OddsRatio_working_3-way'!V15/(2*'OddsRatio_working_3-way'!X15)))</f>
        <v>0.24222954016211129</v>
      </c>
      <c r="Z15" s="11">
        <f>'OddsRatio_working_3-way'!X15^(1/3)*COS('OddsRatio_working_3-way'!Y15/3)</f>
        <v>0.52117584588476173</v>
      </c>
      <c r="AA15" s="11">
        <f>'OddsRatio_working_3-way'!X15^(1/3)*COS(('OddsRatio_working_3-way'!Y15+2*PI())/3)</f>
        <v>-0.29711088470905783</v>
      </c>
      <c r="AB15" s="11">
        <f>'OddsRatio_working_3-way'!X15^(1/3)*COS(('OddsRatio_working_3-way'!Y15+4*PI())/3)</f>
        <v>-0.22406496117570407</v>
      </c>
      <c r="AC15" s="11">
        <f>'OddsRatio_working_3-way'!X15^(1/3)*SIN('OddsRatio_working_3-way'!Y15/3)</f>
        <v>4.2173083615186603E-2</v>
      </c>
      <c r="AD15" s="11">
        <f>'OddsRatio_working_3-way'!X15^(1/3)*SIN(('OddsRatio_working_3-way'!Y15+2*PI())/3)</f>
        <v>0.43026498056745388</v>
      </c>
      <c r="AE15" s="11">
        <f>'OddsRatio_working_3-way'!X15^(1/3)*SIN(('OddsRatio_working_3-way'!Y15+4*PI())/3)</f>
        <v>-0.4724380641826405</v>
      </c>
      <c r="AF15" s="11">
        <f>-'OddsRatio_working_3-way'!U15/(3*'OddsRatio_working_3-way'!X15^(1/3))*COS(('OddsRatio_working_3-way'!Y15)/3)</f>
        <v>0.52117584588476173</v>
      </c>
      <c r="AG15" s="11">
        <f>-'OddsRatio_working_3-way'!U15/(3*'OddsRatio_working_3-way'!X15^(1/3))*COS(('OddsRatio_working_3-way'!Y15+2*PI())/3)</f>
        <v>-0.29711088470905783</v>
      </c>
      <c r="AH15" s="11">
        <f>-'OddsRatio_working_3-way'!U15/(3*'OddsRatio_working_3-way'!X15^(1/3))*COS(('OddsRatio_working_3-way'!Y15+4*PI())/3)</f>
        <v>-0.22406496117570407</v>
      </c>
      <c r="AI15" s="11">
        <f>'OddsRatio_working_3-way'!U15/(3*'OddsRatio_working_3-way'!X15^(1/3))*SIN(('OddsRatio_working_3-way'!Y15)/3)</f>
        <v>-4.2173083615186603E-2</v>
      </c>
      <c r="AJ15" s="11">
        <f>'OddsRatio_working_3-way'!U15/(3*'OddsRatio_working_3-way'!X15^(1/3))*SIN(('OddsRatio_working_3-way'!Y15+2*PI())/3)</f>
        <v>-0.43026498056745388</v>
      </c>
      <c r="AK15" s="11">
        <f>'OddsRatio_working_3-way'!U15/(3*'OddsRatio_working_3-way'!X15^(1/3))*SIN(('OddsRatio_working_3-way'!Y15+4*PI())/3)</f>
        <v>0.4724380641826405</v>
      </c>
      <c r="AL15" s="11">
        <f>'OddsRatio_working_3-way'!Z15+'OddsRatio_working_3-way'!AF15</f>
        <v>1.0423516917695235</v>
      </c>
      <c r="AM15" s="11">
        <f>'OddsRatio_working_3-way'!AA15+'OddsRatio_working_3-way'!AG15</f>
        <v>-0.59422176941811566</v>
      </c>
      <c r="AN15" s="11">
        <f>'OddsRatio_working_3-way'!AB15+'OddsRatio_working_3-way'!AH15</f>
        <v>-0.44812992235140814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1.0423516917695235</v>
      </c>
      <c r="AS15" s="11">
        <f>IF(('OddsRatio_working_3-way'!X15=0),IF(Q15&gt;0,-Q15^(1/3),(-Q15)^(1/3)),'OddsRatio_working_3-way'!AM15-'OddsRatio_working_3-way'!R15/3)</f>
        <v>-0.59422176941811566</v>
      </c>
      <c r="AT15" s="11">
        <f>IF(('OddsRatio_working_3-way'!X15=0),IF(Q15&gt;0,-Q15^(1/3),(-Q15)^(1/3)),'OddsRatio_working_3-way'!AN15-'OddsRatio_working_3-way'!R15/3)</f>
        <v>-0.44812992235140814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2.0299999999999998</v>
      </c>
      <c r="B16" s="4">
        <f>IF('True_Odds_Calculator_3-way'!B17="","",'True_Odds_Calculator_3-way'!B17)</f>
        <v>3.28</v>
      </c>
      <c r="C16" s="4">
        <f>IF('True_Odds_Calculator_3-way'!C17="","",'True_Odds_Calculator_3-way'!C17)</f>
        <v>4.33</v>
      </c>
      <c r="D16" s="9">
        <f t="shared" si="13"/>
        <v>0.48142977855428892</v>
      </c>
      <c r="E16" s="9">
        <f t="shared" si="14"/>
        <v>0.2954766396513398</v>
      </c>
      <c r="F16" s="9">
        <f t="shared" si="15"/>
        <v>0.22309358179437119</v>
      </c>
      <c r="G16" s="9">
        <f t="shared" si="16"/>
        <v>1.0457729389428247</v>
      </c>
      <c r="H16" s="9">
        <f t="shared" si="17"/>
        <v>2.0771461271111087</v>
      </c>
      <c r="I16" s="9">
        <f t="shared" si="18"/>
        <v>3.3843623007896411</v>
      </c>
      <c r="J16" s="9">
        <f t="shared" si="19"/>
        <v>4.482423886679606</v>
      </c>
      <c r="K16" s="11">
        <f t="shared" si="20"/>
        <v>0.49261083743842371</v>
      </c>
      <c r="L16" s="11">
        <f t="shared" si="21"/>
        <v>0.3048780487804878</v>
      </c>
      <c r="M16" s="11">
        <f t="shared" si="22"/>
        <v>0.23094688221709006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-0.27124299258100815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0.23030867744825756</v>
      </c>
      <c r="Q16" s="11">
        <f>2*'OddsRatio_working_3-way'!K16*'OddsRatio_working_3-way'!L16*'OddsRatio_working_3-way'!M16</f>
        <v>6.937008356875228E-2</v>
      </c>
      <c r="R16" s="11">
        <f t="shared" si="23"/>
        <v>0</v>
      </c>
      <c r="S16" s="11">
        <f t="shared" si="24"/>
        <v>-0.84908618378214751</v>
      </c>
      <c r="T16" s="11">
        <f t="shared" si="25"/>
        <v>-0.25574885053679142</v>
      </c>
      <c r="U16" s="11">
        <f>'OddsRatio_working_3-way'!S16-'OddsRatio_working_3-way'!R16^2/3</f>
        <v>-0.84908618378214751</v>
      </c>
      <c r="V16" s="11">
        <f>'OddsRatio_working_3-way'!S16*'OddsRatio_working_3-way'!R16/3-2*'OddsRatio_working_3-way'!R16^3/27-'OddsRatio_working_3-way'!T16</f>
        <v>0.25574885053679142</v>
      </c>
      <c r="W16" s="11">
        <f>'OddsRatio_working_3-way'!V16^2+4*'OddsRatio_working_3-way'!U16^3/27</f>
        <v>-2.5280885743616185E-2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0.15057254090180774</v>
      </c>
      <c r="Y16" s="11">
        <f>IF('OddsRatio_working_3-way'!W16&gt;=0,IF('OddsRatio_working_3-way'!V16+SQRT('OddsRatio_working_3-way'!W16)&gt;0,0,PI()),ACOS('OddsRatio_working_3-way'!V16/(2*'OddsRatio_working_3-way'!X16)))</f>
        <v>0.55622439789123534</v>
      </c>
      <c r="Z16" s="11">
        <f>'OddsRatio_working_3-way'!X16^(1/3)*COS('OddsRatio_working_3-way'!Y16/3)</f>
        <v>0.52288646947141248</v>
      </c>
      <c r="AA16" s="11">
        <f>'OddsRatio_working_3-way'!X16^(1/3)*COS(('OddsRatio_working_3-way'!Y16+2*PI())/3)</f>
        <v>-0.34637762693538099</v>
      </c>
      <c r="AB16" s="11">
        <f>'OddsRatio_working_3-way'!X16^(1/3)*COS(('OddsRatio_working_3-way'!Y16+4*PI())/3)</f>
        <v>-0.17650884253603139</v>
      </c>
      <c r="AC16" s="11">
        <f>'OddsRatio_working_3-way'!X16^(1/3)*SIN('OddsRatio_working_3-way'!Y16/3)</f>
        <v>9.8073788399879069E-2</v>
      </c>
      <c r="AD16" s="11">
        <f>'OddsRatio_working_3-way'!X16^(1/3)*SIN(('OddsRatio_working_3-way'!Y16+2*PI())/3)</f>
        <v>0.40379607165746001</v>
      </c>
      <c r="AE16" s="11">
        <f>'OddsRatio_working_3-way'!X16^(1/3)*SIN(('OddsRatio_working_3-way'!Y16+4*PI())/3)</f>
        <v>-0.50186986005733902</v>
      </c>
      <c r="AF16" s="11">
        <f>-'OddsRatio_working_3-way'!U16/(3*'OddsRatio_working_3-way'!X16^(1/3))*COS(('OddsRatio_working_3-way'!Y16)/3)</f>
        <v>0.52288646947141237</v>
      </c>
      <c r="AG16" s="11">
        <f>-'OddsRatio_working_3-way'!U16/(3*'OddsRatio_working_3-way'!X16^(1/3))*COS(('OddsRatio_working_3-way'!Y16+2*PI())/3)</f>
        <v>-0.34637762693538088</v>
      </c>
      <c r="AH16" s="11">
        <f>-'OddsRatio_working_3-way'!U16/(3*'OddsRatio_working_3-way'!X16^(1/3))*COS(('OddsRatio_working_3-way'!Y16+4*PI())/3)</f>
        <v>-0.17650884253603133</v>
      </c>
      <c r="AI16" s="11">
        <f>'OddsRatio_working_3-way'!U16/(3*'OddsRatio_working_3-way'!X16^(1/3))*SIN(('OddsRatio_working_3-way'!Y16)/3)</f>
        <v>-9.8073788399879042E-2</v>
      </c>
      <c r="AJ16" s="11">
        <f>'OddsRatio_working_3-way'!U16/(3*'OddsRatio_working_3-way'!X16^(1/3))*SIN(('OddsRatio_working_3-way'!Y16+2*PI())/3)</f>
        <v>-0.40379607165745995</v>
      </c>
      <c r="AK16" s="11">
        <f>'OddsRatio_working_3-way'!U16/(3*'OddsRatio_working_3-way'!X16^(1/3))*SIN(('OddsRatio_working_3-way'!Y16+4*PI())/3)</f>
        <v>0.50186986005733891</v>
      </c>
      <c r="AL16" s="11">
        <f>'OddsRatio_working_3-way'!Z16+'OddsRatio_working_3-way'!AF16</f>
        <v>1.0457729389428247</v>
      </c>
      <c r="AM16" s="11">
        <f>'OddsRatio_working_3-way'!AA16+'OddsRatio_working_3-way'!AG16</f>
        <v>-0.69275525387076187</v>
      </c>
      <c r="AN16" s="11">
        <f>'OddsRatio_working_3-way'!AB16+'OddsRatio_working_3-way'!AH16</f>
        <v>-0.35301768507206271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1.0457729389428247</v>
      </c>
      <c r="AS16" s="11">
        <f>IF(('OddsRatio_working_3-way'!X16=0),IF(Q16&gt;0,-Q16^(1/3),(-Q16)^(1/3)),'OddsRatio_working_3-way'!AM16-'OddsRatio_working_3-way'!R16/3)</f>
        <v>-0.69275525387076187</v>
      </c>
      <c r="AT16" s="11">
        <f>IF(('OddsRatio_working_3-way'!X16=0),IF(Q16&gt;0,-Q16^(1/3),(-Q16)^(1/3)),'OddsRatio_working_3-way'!AN16-'OddsRatio_working_3-way'!R16/3)</f>
        <v>-0.35301768507206271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2.69</v>
      </c>
      <c r="B17" s="4">
        <f>IF('True_Odds_Calculator_3-way'!B18="","",'True_Odds_Calculator_3-way'!B18)</f>
        <v>3</v>
      </c>
      <c r="C17" s="4">
        <f>IF('True_Odds_Calculator_3-way'!C18="","",'True_Odds_Calculator_3-way'!C18)</f>
        <v>3.1</v>
      </c>
      <c r="D17" s="9">
        <f t="shared" si="13"/>
        <v>0.36215515101507956</v>
      </c>
      <c r="E17" s="9">
        <f t="shared" si="14"/>
        <v>0.3242209363430979</v>
      </c>
      <c r="F17" s="9">
        <f t="shared" si="15"/>
        <v>0.31362391264182266</v>
      </c>
      <c r="G17" s="9">
        <f t="shared" si="16"/>
        <v>1.0421582752783392</v>
      </c>
      <c r="H17" s="9">
        <f t="shared" si="17"/>
        <v>2.7612474852203928</v>
      </c>
      <c r="I17" s="9">
        <f t="shared" si="18"/>
        <v>3.0843165505566779</v>
      </c>
      <c r="J17" s="9">
        <f t="shared" si="19"/>
        <v>3.1885323780845121</v>
      </c>
      <c r="K17" s="11">
        <f t="shared" si="20"/>
        <v>0.37174721189591081</v>
      </c>
      <c r="L17" s="11">
        <f t="shared" si="21"/>
        <v>0.33333333333333331</v>
      </c>
      <c r="M17" s="11">
        <f t="shared" si="22"/>
        <v>0.32258064516129031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-0.28372706559539518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0.23144261901906704</v>
      </c>
      <c r="Q17" s="11">
        <f>2*'OddsRatio_working_3-way'!K17*'OddsRatio_working_3-way'!L17*'OddsRatio_working_3-way'!M17</f>
        <v>7.9945636966862535E-2</v>
      </c>
      <c r="R17" s="11">
        <f t="shared" si="23"/>
        <v>0</v>
      </c>
      <c r="S17" s="11">
        <f t="shared" si="24"/>
        <v>-0.81572273879966173</v>
      </c>
      <c r="T17" s="11">
        <f t="shared" si="25"/>
        <v>-0.28176951253874327</v>
      </c>
      <c r="U17" s="11">
        <f>'OddsRatio_working_3-way'!S17-'OddsRatio_working_3-way'!R17^2/3</f>
        <v>-0.81572273879966173</v>
      </c>
      <c r="V17" s="11">
        <f>'OddsRatio_working_3-way'!S17*'OddsRatio_working_3-way'!R17/3-2*'OddsRatio_working_3-way'!R17^3/27-'OddsRatio_working_3-way'!T17</f>
        <v>0.28176951253874327</v>
      </c>
      <c r="W17" s="11">
        <f>'OddsRatio_working_3-way'!V17^2+4*'OddsRatio_working_3-way'!U17^3/27</f>
        <v>-1.0185101094931232E-3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0.14178554960380671</v>
      </c>
      <c r="Y17" s="11">
        <f>IF('OddsRatio_working_3-way'!W17&gt;=0,IF('OddsRatio_working_3-way'!V17+SQRT('OddsRatio_working_3-way'!W17)&gt;0,0,PI()),ACOS('OddsRatio_working_3-way'!V17/(2*'OddsRatio_working_3-way'!X17)))</f>
        <v>0.11278251966255493</v>
      </c>
      <c r="Z17" s="11">
        <f>'OddsRatio_working_3-way'!X17^(1/3)*COS('OddsRatio_working_3-way'!Y17/3)</f>
        <v>0.52107913763916958</v>
      </c>
      <c r="AA17" s="11">
        <f>'OddsRatio_working_3-way'!X17^(1/3)*COS(('OddsRatio_working_3-way'!Y17+2*PI())/3)</f>
        <v>-0.27751260442992826</v>
      </c>
      <c r="AB17" s="11">
        <f>'OddsRatio_working_3-way'!X17^(1/3)*COS(('OddsRatio_working_3-way'!Y17+4*PI())/3)</f>
        <v>-0.24356653320924118</v>
      </c>
      <c r="AC17" s="11">
        <f>'OddsRatio_working_3-way'!X17^(1/3)*SIN('OddsRatio_working_3-way'!Y17/3)</f>
        <v>1.9598773357193882E-2</v>
      </c>
      <c r="AD17" s="11">
        <f>'OddsRatio_working_3-way'!X17^(1/3)*SIN(('OddsRatio_working_3-way'!Y17+2*PI())/3)</f>
        <v>0.441468383899012</v>
      </c>
      <c r="AE17" s="11">
        <f>'OddsRatio_working_3-way'!X17^(1/3)*SIN(('OddsRatio_working_3-way'!Y17+4*PI())/3)</f>
        <v>-0.4610671572562059</v>
      </c>
      <c r="AF17" s="11">
        <f>-'OddsRatio_working_3-way'!U17/(3*'OddsRatio_working_3-way'!X17^(1/3))*COS(('OddsRatio_working_3-way'!Y17)/3)</f>
        <v>0.52107913763916958</v>
      </c>
      <c r="AG17" s="11">
        <f>-'OddsRatio_working_3-way'!U17/(3*'OddsRatio_working_3-way'!X17^(1/3))*COS(('OddsRatio_working_3-way'!Y17+2*PI())/3)</f>
        <v>-0.27751260442992826</v>
      </c>
      <c r="AH17" s="11">
        <f>-'OddsRatio_working_3-way'!U17/(3*'OddsRatio_working_3-way'!X17^(1/3))*COS(('OddsRatio_working_3-way'!Y17+4*PI())/3)</f>
        <v>-0.24356653320924118</v>
      </c>
      <c r="AI17" s="11">
        <f>'OddsRatio_working_3-way'!U17/(3*'OddsRatio_working_3-way'!X17^(1/3))*SIN(('OddsRatio_working_3-way'!Y17)/3)</f>
        <v>-1.9598773357193882E-2</v>
      </c>
      <c r="AJ17" s="11">
        <f>'OddsRatio_working_3-way'!U17/(3*'OddsRatio_working_3-way'!X17^(1/3))*SIN(('OddsRatio_working_3-way'!Y17+2*PI())/3)</f>
        <v>-0.441468383899012</v>
      </c>
      <c r="AK17" s="11">
        <f>'OddsRatio_working_3-way'!U17/(3*'OddsRatio_working_3-way'!X17^(1/3))*SIN(('OddsRatio_working_3-way'!Y17+4*PI())/3)</f>
        <v>0.4610671572562059</v>
      </c>
      <c r="AL17" s="11">
        <f>'OddsRatio_working_3-way'!Z17+'OddsRatio_working_3-way'!AF17</f>
        <v>1.0421582752783392</v>
      </c>
      <c r="AM17" s="11">
        <f>'OddsRatio_working_3-way'!AA17+'OddsRatio_working_3-way'!AG17</f>
        <v>-0.55502520885985651</v>
      </c>
      <c r="AN17" s="11">
        <f>'OddsRatio_working_3-way'!AB17+'OddsRatio_working_3-way'!AH17</f>
        <v>-0.48713306641848236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1.0421582752783392</v>
      </c>
      <c r="AS17" s="11">
        <f>IF(('OddsRatio_working_3-way'!X17=0),IF(Q17&gt;0,-Q17^(1/3),(-Q17)^(1/3)),'OddsRatio_working_3-way'!AM17-'OddsRatio_working_3-way'!R17/3)</f>
        <v>-0.55502520885985651</v>
      </c>
      <c r="AT17" s="11">
        <f>IF(('OddsRatio_working_3-way'!X17=0),IF(Q17&gt;0,-Q17^(1/3),(-Q17)^(1/3)),'OddsRatio_working_3-way'!AN17-'OddsRatio_working_3-way'!R17/3)</f>
        <v>-0.48713306641848236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2.13</v>
      </c>
      <c r="B18" s="4">
        <f>IF('True_Odds_Calculator_3-way'!B19="","",'True_Odds_Calculator_3-way'!B19)</f>
        <v>3.28</v>
      </c>
      <c r="C18" s="4">
        <f>IF('True_Odds_Calculator_3-way'!C19="","",'True_Odds_Calculator_3-way'!C19)</f>
        <v>3.95</v>
      </c>
      <c r="D18" s="9">
        <f t="shared" si="13"/>
        <v>0.45888497511351645</v>
      </c>
      <c r="E18" s="9">
        <f t="shared" si="14"/>
        <v>0.29592265367587223</v>
      </c>
      <c r="F18" s="9">
        <f t="shared" si="15"/>
        <v>0.2451923712106113</v>
      </c>
      <c r="G18" s="9">
        <f t="shared" si="16"/>
        <v>1.0435357003427395</v>
      </c>
      <c r="H18" s="9">
        <f t="shared" si="17"/>
        <v>2.1791953413872953</v>
      </c>
      <c r="I18" s="9">
        <f t="shared" si="18"/>
        <v>3.3792613967814455</v>
      </c>
      <c r="J18" s="9">
        <f t="shared" si="19"/>
        <v>4.0784303160110822</v>
      </c>
      <c r="K18" s="11">
        <f t="shared" si="20"/>
        <v>0.46948356807511737</v>
      </c>
      <c r="L18" s="11">
        <f t="shared" si="21"/>
        <v>0.3048780487804878</v>
      </c>
      <c r="M18" s="11">
        <f t="shared" si="22"/>
        <v>0.25316455696202528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-0.27541320786714729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0.23046584539655343</v>
      </c>
      <c r="Q18" s="11">
        <f>2*'OddsRatio_working_3-way'!K18*'OddsRatio_working_3-way'!L18*'OddsRatio_working_3-way'!M18</f>
        <v>7.2473536288224338E-2</v>
      </c>
      <c r="R18" s="11">
        <f t="shared" si="23"/>
        <v>0</v>
      </c>
      <c r="S18" s="11">
        <f t="shared" si="24"/>
        <v>-0.83680026524989537</v>
      </c>
      <c r="T18" s="11">
        <f t="shared" si="25"/>
        <v>-0.26314473749996709</v>
      </c>
      <c r="U18" s="11">
        <f>'OddsRatio_working_3-way'!S18-'OddsRatio_working_3-way'!R18^2/3</f>
        <v>-0.83680026524989537</v>
      </c>
      <c r="V18" s="11">
        <f>'OddsRatio_working_3-way'!S18*'OddsRatio_working_3-way'!R18/3-2*'OddsRatio_working_3-way'!R18^3/27-'OddsRatio_working_3-way'!T18</f>
        <v>0.26314473749996709</v>
      </c>
      <c r="W18" s="11">
        <f>'OddsRatio_working_3-way'!V18^2+4*'OddsRatio_working_3-way'!U18^3/27</f>
        <v>-1.7563227754718358E-2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0.14731630988170061</v>
      </c>
      <c r="Y18" s="11">
        <f>IF('OddsRatio_working_3-way'!W18&gt;=0,IF('OddsRatio_working_3-way'!V18+SQRT('OddsRatio_working_3-way'!W18)&gt;0,0,PI()),ACOS('OddsRatio_working_3-way'!V18/(2*'OddsRatio_working_3-way'!X18)))</f>
        <v>0.46654358420999587</v>
      </c>
      <c r="Z18" s="11">
        <f>'OddsRatio_working_3-way'!X18^(1/3)*COS('OddsRatio_working_3-way'!Y18/3)</f>
        <v>0.52176785017136984</v>
      </c>
      <c r="AA18" s="11">
        <f>'OddsRatio_working_3-way'!X18^(1/3)*COS(('OddsRatio_working_3-way'!Y18+2*PI())/3)</f>
        <v>-0.33172740896482639</v>
      </c>
      <c r="AB18" s="11">
        <f>'OddsRatio_working_3-way'!X18^(1/3)*COS(('OddsRatio_working_3-way'!Y18+4*PI())/3)</f>
        <v>-0.19004044120654356</v>
      </c>
      <c r="AC18" s="11">
        <f>'OddsRatio_working_3-way'!X18^(1/3)*SIN('OddsRatio_working_3-way'!Y18/3)</f>
        <v>8.180300897590663E-2</v>
      </c>
      <c r="AD18" s="11">
        <f>'OddsRatio_working_3-way'!X18^(1/3)*SIN(('OddsRatio_working_3-way'!Y18+2*PI())/3)</f>
        <v>0.41096270863844581</v>
      </c>
      <c r="AE18" s="11">
        <f>'OddsRatio_working_3-way'!X18^(1/3)*SIN(('OddsRatio_working_3-way'!Y18+4*PI())/3)</f>
        <v>-0.49276571761435223</v>
      </c>
      <c r="AF18" s="11">
        <f>-'OddsRatio_working_3-way'!U18/(3*'OddsRatio_working_3-way'!X18^(1/3))*COS(('OddsRatio_working_3-way'!Y18)/3)</f>
        <v>0.52176785017136962</v>
      </c>
      <c r="AG18" s="11">
        <f>-'OddsRatio_working_3-way'!U18/(3*'OddsRatio_working_3-way'!X18^(1/3))*COS(('OddsRatio_working_3-way'!Y18+2*PI())/3)</f>
        <v>-0.33172740896482628</v>
      </c>
      <c r="AH18" s="11">
        <f>-'OddsRatio_working_3-way'!U18/(3*'OddsRatio_working_3-way'!X18^(1/3))*COS(('OddsRatio_working_3-way'!Y18+4*PI())/3)</f>
        <v>-0.19004044120654348</v>
      </c>
      <c r="AI18" s="11">
        <f>'OddsRatio_working_3-way'!U18/(3*'OddsRatio_working_3-way'!X18^(1/3))*SIN(('OddsRatio_working_3-way'!Y18)/3)</f>
        <v>-8.1803008975906602E-2</v>
      </c>
      <c r="AJ18" s="11">
        <f>'OddsRatio_working_3-way'!U18/(3*'OddsRatio_working_3-way'!X18^(1/3))*SIN(('OddsRatio_working_3-way'!Y18+2*PI())/3)</f>
        <v>-0.41096270863844564</v>
      </c>
      <c r="AK18" s="11">
        <f>'OddsRatio_working_3-way'!U18/(3*'OddsRatio_working_3-way'!X18^(1/3))*SIN(('OddsRatio_working_3-way'!Y18+4*PI())/3)</f>
        <v>0.49276571761435201</v>
      </c>
      <c r="AL18" s="11">
        <f>'OddsRatio_working_3-way'!Z18+'OddsRatio_working_3-way'!AF18</f>
        <v>1.0435357003427395</v>
      </c>
      <c r="AM18" s="11">
        <f>'OddsRatio_working_3-way'!AA18+'OddsRatio_working_3-way'!AG18</f>
        <v>-0.66345481792965266</v>
      </c>
      <c r="AN18" s="11">
        <f>'OddsRatio_working_3-way'!AB18+'OddsRatio_working_3-way'!AH18</f>
        <v>-0.38008088241308702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1.0435357003427395</v>
      </c>
      <c r="AS18" s="11">
        <f>IF(('OddsRatio_working_3-way'!X18=0),IF(Q18&gt;0,-Q18^(1/3),(-Q18)^(1/3)),'OddsRatio_working_3-way'!AM18-'OddsRatio_working_3-way'!R18/3)</f>
        <v>-0.66345481792965266</v>
      </c>
      <c r="AT18" s="11">
        <f>IF(('OddsRatio_working_3-way'!X18=0),IF(Q18&gt;0,-Q18^(1/3),(-Q18)^(1/3)),'OddsRatio_working_3-way'!AN18-'OddsRatio_working_3-way'!R18/3)</f>
        <v>-0.38008088241308702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2.2599999999999998</v>
      </c>
      <c r="B19" s="4">
        <f>IF('True_Odds_Calculator_3-way'!B20="","",'True_Odds_Calculator_3-way'!B20)</f>
        <v>3.29</v>
      </c>
      <c r="C19" s="4">
        <f>IF('True_Odds_Calculator_3-way'!C20="","",'True_Odds_Calculator_3-way'!C20)</f>
        <v>3.56</v>
      </c>
      <c r="D19" s="9">
        <f t="shared" si="13"/>
        <v>0.43222748921506576</v>
      </c>
      <c r="E19" s="9">
        <f t="shared" si="14"/>
        <v>0.29521084009655296</v>
      </c>
      <c r="F19" s="9">
        <f t="shared" si="15"/>
        <v>0.27256167068838133</v>
      </c>
      <c r="G19" s="9">
        <f t="shared" si="16"/>
        <v>1.042536893282493</v>
      </c>
      <c r="H19" s="9">
        <f t="shared" si="17"/>
        <v>2.3135964855359412</v>
      </c>
      <c r="I19" s="9">
        <f t="shared" si="18"/>
        <v>3.3874094856169088</v>
      </c>
      <c r="J19" s="9">
        <f t="shared" si="19"/>
        <v>3.6688944468031823</v>
      </c>
      <c r="K19" s="11">
        <f t="shared" si="20"/>
        <v>0.44247787610619471</v>
      </c>
      <c r="L19" s="11">
        <f t="shared" si="21"/>
        <v>0.303951367781155</v>
      </c>
      <c r="M19" s="11">
        <f t="shared" si="22"/>
        <v>0.2808988764044944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-0.27905618823768341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0.23082714243100041</v>
      </c>
      <c r="Q19" s="11">
        <f>2*'OddsRatio_working_3-way'!K19*'OddsRatio_working_3-way'!L19*'OddsRatio_working_3-way'!M19</f>
        <v>7.5557166098527154E-2</v>
      </c>
      <c r="R19" s="11">
        <f t="shared" si="23"/>
        <v>0</v>
      </c>
      <c r="S19" s="11">
        <f t="shared" si="24"/>
        <v>-0.8271708428640745</v>
      </c>
      <c r="T19" s="11">
        <f t="shared" si="25"/>
        <v>-0.27075968669855144</v>
      </c>
      <c r="U19" s="11">
        <f>'OddsRatio_working_3-way'!S19-'OddsRatio_working_3-way'!R19^2/3</f>
        <v>-0.8271708428640745</v>
      </c>
      <c r="V19" s="11">
        <f>'OddsRatio_working_3-way'!S19*'OddsRatio_working_3-way'!R19/3-2*'OddsRatio_working_3-way'!R19^3/27-'OddsRatio_working_3-way'!T19</f>
        <v>0.27075968669855144</v>
      </c>
      <c r="W19" s="11">
        <f>'OddsRatio_working_3-way'!V19^2+4*'OddsRatio_working_3-way'!U19^3/27</f>
        <v>-1.0535101479078476E-2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0.14478079069767527</v>
      </c>
      <c r="Y19" s="11">
        <f>IF('OddsRatio_working_3-way'!W19&gt;=0,IF('OddsRatio_working_3-way'!V19+SQRT('OddsRatio_working_3-way'!W19)&gt;0,0,PI()),ACOS('OddsRatio_working_3-way'!V19/(2*'OddsRatio_working_3-way'!X19)))</f>
        <v>0.36234627404619002</v>
      </c>
      <c r="Z19" s="11">
        <f>'OddsRatio_working_3-way'!X19^(1/3)*COS('OddsRatio_working_3-way'!Y19/3)</f>
        <v>0.52126844664124661</v>
      </c>
      <c r="AA19" s="11">
        <f>'OddsRatio_working_3-way'!X19^(1/3)*COS(('OddsRatio_working_3-way'!Y19+2*PI())/3)</f>
        <v>-0.31542578853083619</v>
      </c>
      <c r="AB19" s="11">
        <f>'OddsRatio_working_3-way'!X19^(1/3)*COS(('OddsRatio_working_3-way'!Y19+4*PI())/3)</f>
        <v>-0.20584265811041039</v>
      </c>
      <c r="AC19" s="11">
        <f>'OddsRatio_working_3-way'!X19^(1/3)*SIN('OddsRatio_working_3-way'!Y19/3)</f>
        <v>6.326784984687471E-2</v>
      </c>
      <c r="AD19" s="11">
        <f>'OddsRatio_working_3-way'!X19^(1/3)*SIN(('OddsRatio_working_3-way'!Y19+2*PI())/3)</f>
        <v>0.41979779205913542</v>
      </c>
      <c r="AE19" s="11">
        <f>'OddsRatio_working_3-way'!X19^(1/3)*SIN(('OddsRatio_working_3-way'!Y19+4*PI())/3)</f>
        <v>-0.48306564190601009</v>
      </c>
      <c r="AF19" s="11">
        <f>-'OddsRatio_working_3-way'!U19/(3*'OddsRatio_working_3-way'!X19^(1/3))*COS(('OddsRatio_working_3-way'!Y19)/3)</f>
        <v>0.5212684466412465</v>
      </c>
      <c r="AG19" s="11">
        <f>-'OddsRatio_working_3-way'!U19/(3*'OddsRatio_working_3-way'!X19^(1/3))*COS(('OddsRatio_working_3-way'!Y19+2*PI())/3)</f>
        <v>-0.31542578853083614</v>
      </c>
      <c r="AH19" s="11">
        <f>-'OddsRatio_working_3-way'!U19/(3*'OddsRatio_working_3-way'!X19^(1/3))*COS(('OddsRatio_working_3-way'!Y19+4*PI())/3)</f>
        <v>-0.20584265811041033</v>
      </c>
      <c r="AI19" s="11">
        <f>'OddsRatio_working_3-way'!U19/(3*'OddsRatio_working_3-way'!X19^(1/3))*SIN(('OddsRatio_working_3-way'!Y19)/3)</f>
        <v>-6.3267849846874696E-2</v>
      </c>
      <c r="AJ19" s="11">
        <f>'OddsRatio_working_3-way'!U19/(3*'OddsRatio_working_3-way'!X19^(1/3))*SIN(('OddsRatio_working_3-way'!Y19+2*PI())/3)</f>
        <v>-0.41979779205913537</v>
      </c>
      <c r="AK19" s="11">
        <f>'OddsRatio_working_3-way'!U19/(3*'OddsRatio_working_3-way'!X19^(1/3))*SIN(('OddsRatio_working_3-way'!Y19+4*PI())/3)</f>
        <v>0.48306564190600998</v>
      </c>
      <c r="AL19" s="11">
        <f>'OddsRatio_working_3-way'!Z19+'OddsRatio_working_3-way'!AF19</f>
        <v>1.042536893282493</v>
      </c>
      <c r="AM19" s="11">
        <f>'OddsRatio_working_3-way'!AA19+'OddsRatio_working_3-way'!AG19</f>
        <v>-0.63085157706167228</v>
      </c>
      <c r="AN19" s="11">
        <f>'OddsRatio_working_3-way'!AB19+'OddsRatio_working_3-way'!AH19</f>
        <v>-0.41168531622082072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1.042536893282493</v>
      </c>
      <c r="AS19" s="11">
        <f>IF(('OddsRatio_working_3-way'!X19=0),IF(Q19&gt;0,-Q19^(1/3),(-Q19)^(1/3)),'OddsRatio_working_3-way'!AM19-'OddsRatio_working_3-way'!R19/3)</f>
        <v>-0.63085157706167228</v>
      </c>
      <c r="AT19" s="11">
        <f>IF(('OddsRatio_working_3-way'!X19=0),IF(Q19&gt;0,-Q19^(1/3),(-Q19)^(1/3)),'OddsRatio_working_3-way'!AN19-'OddsRatio_working_3-way'!R19/3)</f>
        <v>-0.41168531622082072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3.3</v>
      </c>
      <c r="B20" s="4">
        <f>IF('True_Odds_Calculator_3-way'!B21="","",'True_Odds_Calculator_3-way'!B21)</f>
        <v>2.79</v>
      </c>
      <c r="C20" s="4">
        <f>IF('True_Odds_Calculator_3-way'!C21="","",'True_Odds_Calculator_3-way'!C21)</f>
        <v>2.62</v>
      </c>
      <c r="D20" s="9">
        <f t="shared" si="13"/>
        <v>0.28961697374676298</v>
      </c>
      <c r="E20" s="9">
        <f t="shared" si="14"/>
        <v>0.34376706344022168</v>
      </c>
      <c r="F20" s="9">
        <f t="shared" si="15"/>
        <v>0.36661596281301539</v>
      </c>
      <c r="G20" s="9">
        <f t="shared" si="16"/>
        <v>1.0664505651438758</v>
      </c>
      <c r="H20" s="9">
        <f t="shared" si="17"/>
        <v>3.4528362998309139</v>
      </c>
      <c r="I20" s="9">
        <f t="shared" si="18"/>
        <v>2.9089465116075379</v>
      </c>
      <c r="J20" s="9">
        <f t="shared" si="19"/>
        <v>2.7276499155330796</v>
      </c>
      <c r="K20" s="11">
        <f t="shared" si="20"/>
        <v>0.30303030303030304</v>
      </c>
      <c r="L20" s="11">
        <f t="shared" si="21"/>
        <v>0.35842293906810035</v>
      </c>
      <c r="M20" s="11">
        <f t="shared" si="22"/>
        <v>0.38167938931297707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-0.27648810190056194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0.23671003725177575</v>
      </c>
      <c r="Q20" s="11">
        <f>2*'OddsRatio_working_3-way'!K20*'OddsRatio_working_3-way'!L20*'OddsRatio_working_3-way'!M20</f>
        <v>8.2910696060166628E-2</v>
      </c>
      <c r="R20" s="11">
        <f t="shared" si="23"/>
        <v>0</v>
      </c>
      <c r="S20" s="11">
        <f t="shared" si="24"/>
        <v>-0.856131007535752</v>
      </c>
      <c r="T20" s="11">
        <f t="shared" si="25"/>
        <v>-0.29987075570429134</v>
      </c>
      <c r="U20" s="11">
        <f>'OddsRatio_working_3-way'!S20-'OddsRatio_working_3-way'!R20^2/3</f>
        <v>-0.856131007535752</v>
      </c>
      <c r="V20" s="11">
        <f>'OddsRatio_working_3-way'!S20*'OddsRatio_working_3-way'!R20/3-2*'OddsRatio_working_3-way'!R20^3/27-'OddsRatio_working_3-way'!T20</f>
        <v>0.29987075570429134</v>
      </c>
      <c r="W20" s="11">
        <f>'OddsRatio_working_3-way'!V20^2+4*'OddsRatio_working_3-way'!U20^3/27</f>
        <v>-3.041980523695309E-3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0.15245036130685136</v>
      </c>
      <c r="Y20" s="11">
        <f>IF('OddsRatio_working_3-way'!W20&gt;=0,IF('OddsRatio_working_3-way'!V20+SQRT('OddsRatio_working_3-way'!W20)&gt;0,0,PI()),ACOS('OddsRatio_working_3-way'!V20/(2*'OddsRatio_working_3-way'!X20)))</f>
        <v>0.18189350751319555</v>
      </c>
      <c r="Z20" s="11">
        <f>'OddsRatio_working_3-way'!X20^(1/3)*COS('OddsRatio_working_3-way'!Y20/3)</f>
        <v>0.53322528257193791</v>
      </c>
      <c r="AA20" s="11">
        <f>'OddsRatio_working_3-way'!X20^(1/3)*COS(('OddsRatio_working_3-way'!Y20+2*PI())/3)</f>
        <v>-0.29464566473146447</v>
      </c>
      <c r="AB20" s="11">
        <f>'OddsRatio_working_3-way'!X20^(1/3)*COS(('OddsRatio_working_3-way'!Y20+4*PI())/3)</f>
        <v>-0.23857961784047355</v>
      </c>
      <c r="AC20" s="11">
        <f>'OddsRatio_working_3-way'!X20^(1/3)*SIN('OddsRatio_working_3-way'!Y20/3)</f>
        <v>3.2369747264911812E-2</v>
      </c>
      <c r="AD20" s="11">
        <f>'OddsRatio_working_3-way'!X20^(1/3)*SIN(('OddsRatio_working_3-way'!Y20+2*PI())/3)</f>
        <v>0.445601767014978</v>
      </c>
      <c r="AE20" s="11">
        <f>'OddsRatio_working_3-way'!X20^(1/3)*SIN(('OddsRatio_working_3-way'!Y20+4*PI())/3)</f>
        <v>-0.47797151427988976</v>
      </c>
      <c r="AF20" s="11">
        <f>-'OddsRatio_working_3-way'!U20/(3*'OddsRatio_working_3-way'!X20^(1/3))*COS(('OddsRatio_working_3-way'!Y20)/3)</f>
        <v>0.53322528257193802</v>
      </c>
      <c r="AG20" s="11">
        <f>-'OddsRatio_working_3-way'!U20/(3*'OddsRatio_working_3-way'!X20^(1/3))*COS(('OddsRatio_working_3-way'!Y20+2*PI())/3)</f>
        <v>-0.29464566473146453</v>
      </c>
      <c r="AH20" s="11">
        <f>-'OddsRatio_working_3-way'!U20/(3*'OddsRatio_working_3-way'!X20^(1/3))*COS(('OddsRatio_working_3-way'!Y20+4*PI())/3)</f>
        <v>-0.2385796178404736</v>
      </c>
      <c r="AI20" s="11">
        <f>'OddsRatio_working_3-way'!U20/(3*'OddsRatio_working_3-way'!X20^(1/3))*SIN(('OddsRatio_working_3-way'!Y20)/3)</f>
        <v>-3.2369747264911819E-2</v>
      </c>
      <c r="AJ20" s="11">
        <f>'OddsRatio_working_3-way'!U20/(3*'OddsRatio_working_3-way'!X20^(1/3))*SIN(('OddsRatio_working_3-way'!Y20+2*PI())/3)</f>
        <v>-0.44560176701497811</v>
      </c>
      <c r="AK20" s="11">
        <f>'OddsRatio_working_3-way'!U20/(3*'OddsRatio_working_3-way'!X20^(1/3))*SIN(('OddsRatio_working_3-way'!Y20+4*PI())/3)</f>
        <v>0.47797151427988988</v>
      </c>
      <c r="AL20" s="11">
        <f>'OddsRatio_working_3-way'!Z20+'OddsRatio_working_3-way'!AF20</f>
        <v>1.0664505651438758</v>
      </c>
      <c r="AM20" s="11">
        <f>'OddsRatio_working_3-way'!AA20+'OddsRatio_working_3-way'!AG20</f>
        <v>-0.58929132946292895</v>
      </c>
      <c r="AN20" s="11">
        <f>'OddsRatio_working_3-way'!AB20+'OddsRatio_working_3-way'!AH20</f>
        <v>-0.47715923568094715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1.0664505651438758</v>
      </c>
      <c r="AS20" s="11">
        <f>IF(('OddsRatio_working_3-way'!X20=0),IF(Q20&gt;0,-Q20^(1/3),(-Q20)^(1/3)),'OddsRatio_working_3-way'!AM20-'OddsRatio_working_3-way'!R20/3)</f>
        <v>-0.58929132946292895</v>
      </c>
      <c r="AT20" s="11">
        <f>IF(('OddsRatio_working_3-way'!X20=0),IF(Q20&gt;0,-Q20^(1/3),(-Q20)^(1/3)),'OddsRatio_working_3-way'!AN20-'OddsRatio_working_3-way'!R20/3)</f>
        <v>-0.47715923568094715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3.31</v>
      </c>
      <c r="B21" s="4">
        <f>IF('True_Odds_Calculator_3-way'!B22="","",'True_Odds_Calculator_3-way'!B22)</f>
        <v>3.11</v>
      </c>
      <c r="C21" s="4">
        <f>IF('True_Odds_Calculator_3-way'!C22="","",'True_Odds_Calculator_3-way'!C22)</f>
        <v>2.38</v>
      </c>
      <c r="D21" s="9">
        <f t="shared" si="13"/>
        <v>0.2884208567061427</v>
      </c>
      <c r="E21" s="9">
        <f t="shared" si="14"/>
        <v>0.30735666560638952</v>
      </c>
      <c r="F21" s="9">
        <f t="shared" si="15"/>
        <v>0.40422247768746772</v>
      </c>
      <c r="G21" s="9">
        <f t="shared" si="16"/>
        <v>1.0680327445552222</v>
      </c>
      <c r="H21" s="9">
        <f t="shared" si="17"/>
        <v>3.4671556399225629</v>
      </c>
      <c r="I21" s="9">
        <f t="shared" si="18"/>
        <v>3.2535490910115188</v>
      </c>
      <c r="J21" s="9">
        <f t="shared" si="19"/>
        <v>2.4738851874862067</v>
      </c>
      <c r="K21" s="11">
        <f t="shared" si="20"/>
        <v>0.30211480362537763</v>
      </c>
      <c r="L21" s="11">
        <f t="shared" si="21"/>
        <v>0.32154340836012862</v>
      </c>
      <c r="M21" s="11">
        <f t="shared" si="22"/>
        <v>0.42016806722689076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-0.27454161349990869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0.23673509970915046</v>
      </c>
      <c r="Q21" s="11">
        <f>2*'OddsRatio_working_3-way'!K21*'OddsRatio_working_3-way'!L21*'OddsRatio_working_3-way'!M21</f>
        <v>8.1632793003155346E-2</v>
      </c>
      <c r="R21" s="11">
        <f t="shared" si="23"/>
        <v>0</v>
      </c>
      <c r="S21" s="11">
        <f t="shared" si="24"/>
        <v>-0.86229222845748743</v>
      </c>
      <c r="T21" s="11">
        <f t="shared" si="25"/>
        <v>-0.29734214774396123</v>
      </c>
      <c r="U21" s="11">
        <f>'OddsRatio_working_3-way'!S21-'OddsRatio_working_3-way'!R21^2/3</f>
        <v>-0.86229222845748743</v>
      </c>
      <c r="V21" s="11">
        <f>'OddsRatio_working_3-way'!S21*'OddsRatio_working_3-way'!R21/3-2*'OddsRatio_working_3-way'!R21^3/27-'OddsRatio_working_3-way'!T21</f>
        <v>0.29734214774396123</v>
      </c>
      <c r="W21" s="11">
        <f>'OddsRatio_working_3-way'!V21^2+4*'OddsRatio_working_3-way'!U21^3/27</f>
        <v>-6.5736567555583075E-3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0.15409900192777853</v>
      </c>
      <c r="Y21" s="11">
        <f>IF('OddsRatio_working_3-way'!W21&gt;=0,IF('OddsRatio_working_3-way'!V21+SQRT('OddsRatio_working_3-way'!W21)&gt;0,0,PI()),ACOS('OddsRatio_working_3-way'!V21/(2*'OddsRatio_working_3-way'!X21)))</f>
        <v>0.26620439745086344</v>
      </c>
      <c r="Z21" s="11">
        <f>'OddsRatio_working_3-way'!X21^(1/3)*COS('OddsRatio_working_3-way'!Y21/3)</f>
        <v>0.53401637227761123</v>
      </c>
      <c r="AA21" s="11">
        <f>'OddsRatio_working_3-way'!X21^(1/3)*COS(('OddsRatio_working_3-way'!Y21+2*PI())/3)</f>
        <v>-0.3081535712866777</v>
      </c>
      <c r="AB21" s="11">
        <f>'OddsRatio_working_3-way'!X21^(1/3)*COS(('OddsRatio_working_3-way'!Y21+4*PI())/3)</f>
        <v>-0.22586280099093362</v>
      </c>
      <c r="AC21" s="11">
        <f>'OddsRatio_working_3-way'!X21^(1/3)*SIN('OddsRatio_working_3-way'!Y21/3)</f>
        <v>4.7510598382069669E-2</v>
      </c>
      <c r="AD21" s="11">
        <f>'OddsRatio_working_3-way'!X21^(1/3)*SIN(('OddsRatio_working_3-way'!Y21+2*PI())/3)</f>
        <v>0.43871644523818459</v>
      </c>
      <c r="AE21" s="11">
        <f>'OddsRatio_working_3-way'!X21^(1/3)*SIN(('OddsRatio_working_3-way'!Y21+4*PI())/3)</f>
        <v>-0.4862270436202541</v>
      </c>
      <c r="AF21" s="11">
        <f>-'OddsRatio_working_3-way'!U21/(3*'OddsRatio_working_3-way'!X21^(1/3))*COS(('OddsRatio_working_3-way'!Y21)/3)</f>
        <v>0.53401637227761101</v>
      </c>
      <c r="AG21" s="11">
        <f>-'OddsRatio_working_3-way'!U21/(3*'OddsRatio_working_3-way'!X21^(1/3))*COS(('OddsRatio_working_3-way'!Y21+2*PI())/3)</f>
        <v>-0.30815357128667753</v>
      </c>
      <c r="AH21" s="11">
        <f>-'OddsRatio_working_3-way'!U21/(3*'OddsRatio_working_3-way'!X21^(1/3))*COS(('OddsRatio_working_3-way'!Y21+4*PI())/3)</f>
        <v>-0.22586280099093353</v>
      </c>
      <c r="AI21" s="11">
        <f>'OddsRatio_working_3-way'!U21/(3*'OddsRatio_working_3-way'!X21^(1/3))*SIN(('OddsRatio_working_3-way'!Y21)/3)</f>
        <v>-4.7510598382069648E-2</v>
      </c>
      <c r="AJ21" s="11">
        <f>'OddsRatio_working_3-way'!U21/(3*'OddsRatio_working_3-way'!X21^(1/3))*SIN(('OddsRatio_working_3-way'!Y21+2*PI())/3)</f>
        <v>-0.43871644523818443</v>
      </c>
      <c r="AK21" s="11">
        <f>'OddsRatio_working_3-way'!U21/(3*'OddsRatio_working_3-way'!X21^(1/3))*SIN(('OddsRatio_working_3-way'!Y21+4*PI())/3)</f>
        <v>0.48622704362025387</v>
      </c>
      <c r="AL21" s="11">
        <f>'OddsRatio_working_3-way'!Z21+'OddsRatio_working_3-way'!AF21</f>
        <v>1.0680327445552222</v>
      </c>
      <c r="AM21" s="11">
        <f>'OddsRatio_working_3-way'!AA21+'OddsRatio_working_3-way'!AG21</f>
        <v>-0.61630714257335528</v>
      </c>
      <c r="AN21" s="11">
        <f>'OddsRatio_working_3-way'!AB21+'OddsRatio_working_3-way'!AH21</f>
        <v>-0.45172560198186718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1.0680327445552222</v>
      </c>
      <c r="AS21" s="11">
        <f>IF(('OddsRatio_working_3-way'!X21=0),IF(Q21&gt;0,-Q21^(1/3),(-Q21)^(1/3)),'OddsRatio_working_3-way'!AM21-'OddsRatio_working_3-way'!R21/3)</f>
        <v>-0.61630714257335528</v>
      </c>
      <c r="AT21" s="11">
        <f>IF(('OddsRatio_working_3-way'!X21=0),IF(Q21&gt;0,-Q21^(1/3),(-Q21)^(1/3)),'OddsRatio_working_3-way'!AN21-'OddsRatio_working_3-way'!R21/3)</f>
        <v>-0.45172560198186718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2.72</v>
      </c>
      <c r="B22" s="4">
        <f>IF('True_Odds_Calculator_3-way'!B23="","",'True_Odds_Calculator_3-way'!B23)</f>
        <v>2.86</v>
      </c>
      <c r="C22" s="4">
        <f>IF('True_Odds_Calculator_3-way'!C23="","",'True_Odds_Calculator_3-way'!C23)</f>
        <v>3.05</v>
      </c>
      <c r="D22" s="9">
        <f t="shared" si="13"/>
        <v>0.3521915945852182</v>
      </c>
      <c r="E22" s="9">
        <f t="shared" si="14"/>
        <v>0.33455118208992607</v>
      </c>
      <c r="F22" s="9">
        <f t="shared" si="15"/>
        <v>0.313257223324856</v>
      </c>
      <c r="G22" s="9">
        <f t="shared" si="16"/>
        <v>1.0693974519447855</v>
      </c>
      <c r="H22" s="9">
        <f t="shared" si="17"/>
        <v>2.8393636173450316</v>
      </c>
      <c r="I22" s="9">
        <f t="shared" si="18"/>
        <v>2.9890792606173004</v>
      </c>
      <c r="J22" s="9">
        <f t="shared" si="19"/>
        <v>3.1922647764868093</v>
      </c>
      <c r="K22" s="11">
        <f t="shared" si="20"/>
        <v>0.36764705882352938</v>
      </c>
      <c r="L22" s="11">
        <f t="shared" si="21"/>
        <v>0.34965034965034969</v>
      </c>
      <c r="M22" s="11">
        <f t="shared" si="22"/>
        <v>0.32786885245901642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-0.27641428003048074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0.23728682118267458</v>
      </c>
      <c r="Q22" s="11">
        <f>2*'OddsRatio_working_3-way'!K22*'OddsRatio_working_3-way'!L22*'OddsRatio_working_3-way'!M22</f>
        <v>8.4293719780701465E-2</v>
      </c>
      <c r="R22" s="11">
        <f t="shared" si="23"/>
        <v>0</v>
      </c>
      <c r="S22" s="11">
        <f t="shared" si="24"/>
        <v>-0.8584463188967969</v>
      </c>
      <c r="T22" s="11">
        <f t="shared" si="25"/>
        <v>-0.30495428735232577</v>
      </c>
      <c r="U22" s="11">
        <f>'OddsRatio_working_3-way'!S22-'OddsRatio_working_3-way'!R22^2/3</f>
        <v>-0.8584463188967969</v>
      </c>
      <c r="V22" s="11">
        <f>'OddsRatio_working_3-way'!S22*'OddsRatio_working_3-way'!R22/3-2*'OddsRatio_working_3-way'!R22^3/27-'OddsRatio_working_3-way'!T22</f>
        <v>0.30495428735232577</v>
      </c>
      <c r="W22" s="11">
        <f>'OddsRatio_working_3-way'!V22^2+4*'OddsRatio_working_3-way'!U22^3/27</f>
        <v>-7.2361100234875908E-4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0.15306920687789694</v>
      </c>
      <c r="Y22" s="11">
        <f>IF('OddsRatio_working_3-way'!W22&gt;=0,IF('OddsRatio_working_3-way'!V22+SQRT('OddsRatio_working_3-way'!W22)&gt;0,0,PI()),ACOS('OddsRatio_working_3-way'!V22/(2*'OddsRatio_working_3-way'!X22)))</f>
        <v>8.7982277830264799E-2</v>
      </c>
      <c r="Z22" s="11">
        <f>'OddsRatio_working_3-way'!X22^(1/3)*COS('OddsRatio_working_3-way'!Y22/3)</f>
        <v>0.53469872597239276</v>
      </c>
      <c r="AA22" s="11">
        <f>'OddsRatio_working_3-way'!X22^(1/3)*COS(('OddsRatio_working_3-way'!Y22+2*PI())/3)</f>
        <v>-0.28093369428457998</v>
      </c>
      <c r="AB22" s="11">
        <f>'OddsRatio_working_3-way'!X22^(1/3)*COS(('OddsRatio_working_3-way'!Y22+4*PI())/3)</f>
        <v>-0.25376503168781311</v>
      </c>
      <c r="AC22" s="11">
        <f>'OddsRatio_working_3-way'!X22^(1/3)*SIN('OddsRatio_working_3-way'!Y22/3)</f>
        <v>1.5685834663765667E-2</v>
      </c>
      <c r="AD22" s="11">
        <f>'OddsRatio_working_3-way'!X22^(1/3)*SIN(('OddsRatio_working_3-way'!Y22+2*PI())/3)</f>
        <v>0.45521976273138359</v>
      </c>
      <c r="AE22" s="11">
        <f>'OddsRatio_working_3-way'!X22^(1/3)*SIN(('OddsRatio_working_3-way'!Y22+4*PI())/3)</f>
        <v>-0.47090559739514903</v>
      </c>
      <c r="AF22" s="11">
        <f>-'OddsRatio_working_3-way'!U22/(3*'OddsRatio_working_3-way'!X22^(1/3))*COS(('OddsRatio_working_3-way'!Y22)/3)</f>
        <v>0.53469872597239265</v>
      </c>
      <c r="AG22" s="11">
        <f>-'OddsRatio_working_3-way'!U22/(3*'OddsRatio_working_3-way'!X22^(1/3))*COS(('OddsRatio_working_3-way'!Y22+2*PI())/3)</f>
        <v>-0.28093369428457993</v>
      </c>
      <c r="AH22" s="11">
        <f>-'OddsRatio_working_3-way'!U22/(3*'OddsRatio_working_3-way'!X22^(1/3))*COS(('OddsRatio_working_3-way'!Y22+4*PI())/3)</f>
        <v>-0.25376503168781311</v>
      </c>
      <c r="AI22" s="11">
        <f>'OddsRatio_working_3-way'!U22/(3*'OddsRatio_working_3-way'!X22^(1/3))*SIN(('OddsRatio_working_3-way'!Y22)/3)</f>
        <v>-1.5685834663765667E-2</v>
      </c>
      <c r="AJ22" s="11">
        <f>'OddsRatio_working_3-way'!U22/(3*'OddsRatio_working_3-way'!X22^(1/3))*SIN(('OddsRatio_working_3-way'!Y22+2*PI())/3)</f>
        <v>-0.45521976273138348</v>
      </c>
      <c r="AK22" s="11">
        <f>'OddsRatio_working_3-way'!U22/(3*'OddsRatio_working_3-way'!X22^(1/3))*SIN(('OddsRatio_working_3-way'!Y22+4*PI())/3)</f>
        <v>0.47090559739514898</v>
      </c>
      <c r="AL22" s="11">
        <f>'OddsRatio_working_3-way'!Z22+'OddsRatio_working_3-way'!AF22</f>
        <v>1.0693974519447855</v>
      </c>
      <c r="AM22" s="11">
        <f>'OddsRatio_working_3-way'!AA22+'OddsRatio_working_3-way'!AG22</f>
        <v>-0.56186738856915985</v>
      </c>
      <c r="AN22" s="11">
        <f>'OddsRatio_working_3-way'!AB22+'OddsRatio_working_3-way'!AH22</f>
        <v>-0.50753006337562623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1.0693974519447855</v>
      </c>
      <c r="AS22" s="11">
        <f>IF(('OddsRatio_working_3-way'!X22=0),IF(Q22&gt;0,-Q22^(1/3),(-Q22)^(1/3)),'OddsRatio_working_3-way'!AM22-'OddsRatio_working_3-way'!R22/3)</f>
        <v>-0.56186738856915985</v>
      </c>
      <c r="AT22" s="11">
        <f>IF(('OddsRatio_working_3-way'!X22=0),IF(Q22&gt;0,-Q22^(1/3),(-Q22)^(1/3)),'OddsRatio_working_3-way'!AN22-'OddsRatio_working_3-way'!R22/3)</f>
        <v>-0.50753006337562623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1.49</v>
      </c>
      <c r="B23" s="4">
        <f>IF('True_Odds_Calculator_3-way'!B24="","",'True_Odds_Calculator_3-way'!B24)</f>
        <v>4.1900000000000004</v>
      </c>
      <c r="C23" s="4">
        <f>IF('True_Odds_Calculator_3-way'!C24="","",'True_Odds_Calculator_3-way'!C24)</f>
        <v>7.13</v>
      </c>
      <c r="D23" s="9">
        <f t="shared" si="13"/>
        <v>0.64946165625135011</v>
      </c>
      <c r="E23" s="9">
        <f t="shared" si="14"/>
        <v>0.22154299135549629</v>
      </c>
      <c r="F23" s="9">
        <f t="shared" si="15"/>
        <v>0.12899535239315366</v>
      </c>
      <c r="G23" s="9">
        <f t="shared" si="16"/>
        <v>1.1015036347586653</v>
      </c>
      <c r="H23" s="9">
        <f t="shared" si="17"/>
        <v>1.5397367810317457</v>
      </c>
      <c r="I23" s="9">
        <f t="shared" si="18"/>
        <v>4.5137965948801426</v>
      </c>
      <c r="J23" s="9">
        <f t="shared" si="19"/>
        <v>7.7522172810706191</v>
      </c>
      <c r="K23" s="11">
        <f t="shared" si="20"/>
        <v>0.67114093959731547</v>
      </c>
      <c r="L23" s="11">
        <f t="shared" si="21"/>
        <v>0.2386634844868735</v>
      </c>
      <c r="M23" s="11">
        <f t="shared" si="22"/>
        <v>0.14025245441795231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-0.21525706596070837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0.2203835559001317</v>
      </c>
      <c r="Q23" s="11">
        <f>2*'OddsRatio_working_3-way'!K23*'OddsRatio_working_3-way'!L23*'OddsRatio_working_3-way'!M23</f>
        <v>4.4930388562717985E-2</v>
      </c>
      <c r="R23" s="11">
        <f t="shared" si="23"/>
        <v>0</v>
      </c>
      <c r="S23" s="11">
        <f t="shared" si="24"/>
        <v>-1.0238156639204545</v>
      </c>
      <c r="T23" s="11">
        <f t="shared" si="25"/>
        <v>-0.20872898347002131</v>
      </c>
      <c r="U23" s="11">
        <f>'OddsRatio_working_3-way'!S23-'OddsRatio_working_3-way'!R23^2/3</f>
        <v>-1.0238156639204545</v>
      </c>
      <c r="V23" s="11">
        <f>'OddsRatio_working_3-way'!S23*'OddsRatio_working_3-way'!R23/3-2*'OddsRatio_working_3-way'!R23^3/27-'OddsRatio_working_3-way'!T23</f>
        <v>0.20872898347002131</v>
      </c>
      <c r="W23" s="11">
        <f>'OddsRatio_working_3-way'!V23^2+4*'OddsRatio_working_3-way'!U23^3/27</f>
        <v>-0.11541918289850722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0.19936585178945243</v>
      </c>
      <c r="Y23" s="11">
        <f>IF('OddsRatio_working_3-way'!W23&gt;=0,IF('OddsRatio_working_3-way'!V23+SQRT('OddsRatio_working_3-way'!W23)&gt;0,0,PI()),ACOS('OddsRatio_working_3-way'!V23/(2*'OddsRatio_working_3-way'!X23)))</f>
        <v>1.0198634691006663</v>
      </c>
      <c r="Z23" s="11">
        <f>'OddsRatio_working_3-way'!X23^(1/3)*COS('OddsRatio_working_3-way'!Y23/3)</f>
        <v>0.55075181737933276</v>
      </c>
      <c r="AA23" s="11">
        <f>'OddsRatio_working_3-way'!X23^(1/3)*COS(('OddsRatio_working_3-way'!Y23+2*PI())/3)</f>
        <v>-0.44407161912752913</v>
      </c>
      <c r="AB23" s="11">
        <f>'OddsRatio_working_3-way'!X23^(1/3)*COS(('OddsRatio_working_3-way'!Y23+4*PI())/3)</f>
        <v>-0.10668019825180375</v>
      </c>
      <c r="AC23" s="11">
        <f>'OddsRatio_working_3-way'!X23^(1/3)*SIN('OddsRatio_working_3-way'!Y23/3)</f>
        <v>0.1947930276648705</v>
      </c>
      <c r="AD23" s="11">
        <f>'OddsRatio_working_3-way'!X23^(1/3)*SIN(('OddsRatio_working_3-way'!Y23+2*PI())/3)</f>
        <v>0.37956855119851485</v>
      </c>
      <c r="AE23" s="11">
        <f>'OddsRatio_working_3-way'!X23^(1/3)*SIN(('OddsRatio_working_3-way'!Y23+4*PI())/3)</f>
        <v>-0.57436157886338524</v>
      </c>
      <c r="AF23" s="11">
        <f>-'OddsRatio_working_3-way'!U23/(3*'OddsRatio_working_3-way'!X23^(1/3))*COS(('OddsRatio_working_3-way'!Y23)/3)</f>
        <v>0.55075181737933265</v>
      </c>
      <c r="AG23" s="11">
        <f>-'OddsRatio_working_3-way'!U23/(3*'OddsRatio_working_3-way'!X23^(1/3))*COS(('OddsRatio_working_3-way'!Y23+2*PI())/3)</f>
        <v>-0.44407161912752907</v>
      </c>
      <c r="AH23" s="11">
        <f>-'OddsRatio_working_3-way'!U23/(3*'OddsRatio_working_3-way'!X23^(1/3))*COS(('OddsRatio_working_3-way'!Y23+4*PI())/3)</f>
        <v>-0.10668019825180373</v>
      </c>
      <c r="AI23" s="11">
        <f>'OddsRatio_working_3-way'!U23/(3*'OddsRatio_working_3-way'!X23^(1/3))*SIN(('OddsRatio_working_3-way'!Y23)/3)</f>
        <v>-0.19479302766487044</v>
      </c>
      <c r="AJ23" s="11">
        <f>'OddsRatio_working_3-way'!U23/(3*'OddsRatio_working_3-way'!X23^(1/3))*SIN(('OddsRatio_working_3-way'!Y23+2*PI())/3)</f>
        <v>-0.37956855119851474</v>
      </c>
      <c r="AK23" s="11">
        <f>'OddsRatio_working_3-way'!U23/(3*'OddsRatio_working_3-way'!X23^(1/3))*SIN(('OddsRatio_working_3-way'!Y23+4*PI())/3)</f>
        <v>0.57436157886338512</v>
      </c>
      <c r="AL23" s="11">
        <f>'OddsRatio_working_3-way'!Z23+'OddsRatio_working_3-way'!AF23</f>
        <v>1.1015036347586653</v>
      </c>
      <c r="AM23" s="11">
        <f>'OddsRatio_working_3-way'!AA23+'OddsRatio_working_3-way'!AG23</f>
        <v>-0.88814323825505825</v>
      </c>
      <c r="AN23" s="11">
        <f>'OddsRatio_working_3-way'!AB23+'OddsRatio_working_3-way'!AH23</f>
        <v>-0.2133603965036075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1.1015036347586653</v>
      </c>
      <c r="AS23" s="11">
        <f>IF(('OddsRatio_working_3-way'!X23=0),IF(Q23&gt;0,-Q23^(1/3),(-Q23)^(1/3)),'OddsRatio_working_3-way'!AM23-'OddsRatio_working_3-way'!R23/3)</f>
        <v>-0.88814323825505825</v>
      </c>
      <c r="AT23" s="11">
        <f>IF(('OddsRatio_working_3-way'!X23=0),IF(Q23&gt;0,-Q23^(1/3),(-Q23)^(1/3)),'OddsRatio_working_3-way'!AN23-'OddsRatio_working_3-way'!R23/3)</f>
        <v>-0.2133603965036075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3.43</v>
      </c>
      <c r="B24" s="4">
        <f>IF('True_Odds_Calculator_3-way'!B25="","",'True_Odds_Calculator_3-way'!B25)</f>
        <v>3.09</v>
      </c>
      <c r="C24" s="4">
        <f>IF('True_Odds_Calculator_3-way'!C25="","",'True_Odds_Calculator_3-way'!C25)</f>
        <v>2.33</v>
      </c>
      <c r="D24" s="9">
        <f t="shared" si="13"/>
        <v>0.27793526984663064</v>
      </c>
      <c r="E24" s="9">
        <f t="shared" si="14"/>
        <v>0.30917066908673485</v>
      </c>
      <c r="F24" s="9">
        <f t="shared" si="15"/>
        <v>0.41289406106663445</v>
      </c>
      <c r="G24" s="9">
        <f t="shared" si="16"/>
        <v>1.0691193659982532</v>
      </c>
      <c r="H24" s="9">
        <f t="shared" si="17"/>
        <v>3.5979600593757564</v>
      </c>
      <c r="I24" s="9">
        <f t="shared" si="18"/>
        <v>3.2344594749363487</v>
      </c>
      <c r="J24" s="9">
        <f t="shared" si="19"/>
        <v>2.4219287567776764</v>
      </c>
      <c r="K24" s="11">
        <f t="shared" si="20"/>
        <v>0.29154518950437314</v>
      </c>
      <c r="L24" s="11">
        <f t="shared" si="21"/>
        <v>0.3236245954692557</v>
      </c>
      <c r="M24" s="11">
        <f t="shared" si="22"/>
        <v>0.42918454935622319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-0.27352415194170498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0.23689033690300751</v>
      </c>
      <c r="Q24" s="11">
        <f>2*'OddsRatio_working_3-way'!K24*'OddsRatio_working_3-way'!L24*'OddsRatio_working_3-way'!M24</f>
        <v>8.0988149368549575E-2</v>
      </c>
      <c r="R24" s="11">
        <f t="shared" si="23"/>
        <v>0</v>
      </c>
      <c r="S24" s="11">
        <f t="shared" si="24"/>
        <v>-0.86606734806180818</v>
      </c>
      <c r="T24" s="11">
        <f t="shared" si="25"/>
        <v>-0.29609140104677201</v>
      </c>
      <c r="U24" s="11">
        <f>'OddsRatio_working_3-way'!S24-'OddsRatio_working_3-way'!R24^2/3</f>
        <v>-0.86606734806180818</v>
      </c>
      <c r="V24" s="11">
        <f>'OddsRatio_working_3-way'!S24*'OddsRatio_working_3-way'!R24/3-2*'OddsRatio_working_3-way'!R24^3/27-'OddsRatio_working_3-way'!T24</f>
        <v>0.29609140104677201</v>
      </c>
      <c r="W24" s="11">
        <f>'OddsRatio_working_3-way'!V24^2+4*'OddsRatio_working_3-way'!U24^3/27</f>
        <v>-8.5689091940615303E-3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0.15511207800160334</v>
      </c>
      <c r="Y24" s="11">
        <f>IF('OddsRatio_working_3-way'!W24&gt;=0,IF('OddsRatio_working_3-way'!V24+SQRT('OddsRatio_working_3-way'!W24)&gt;0,0,PI()),ACOS('OddsRatio_working_3-way'!V24/(2*'OddsRatio_working_3-way'!X24)))</f>
        <v>0.30300744568220739</v>
      </c>
      <c r="Z24" s="11">
        <f>'OddsRatio_working_3-way'!X24^(1/3)*COS('OddsRatio_working_3-way'!Y24/3)</f>
        <v>0.5345596829991266</v>
      </c>
      <c r="AA24" s="11">
        <f>'OddsRatio_working_3-way'!X24^(1/3)*COS(('OddsRatio_working_3-way'!Y24+2*PI())/3)</f>
        <v>-0.31419781246333156</v>
      </c>
      <c r="AB24" s="11">
        <f>'OddsRatio_working_3-way'!X24^(1/3)*COS(('OddsRatio_working_3-way'!Y24+4*PI())/3)</f>
        <v>-0.22036187053579537</v>
      </c>
      <c r="AC24" s="11">
        <f>'OddsRatio_working_3-way'!X24^(1/3)*SIN('OddsRatio_working_3-way'!Y24/3)</f>
        <v>5.4176206331525312E-2</v>
      </c>
      <c r="AD24" s="11">
        <f>'OddsRatio_working_3-way'!X24^(1/3)*SIN(('OddsRatio_working_3-way'!Y24+2*PI())/3)</f>
        <v>0.43585416215043749</v>
      </c>
      <c r="AE24" s="11">
        <f>'OddsRatio_working_3-way'!X24^(1/3)*SIN(('OddsRatio_working_3-way'!Y24+4*PI())/3)</f>
        <v>-0.49003036848196269</v>
      </c>
      <c r="AF24" s="11">
        <f>-'OddsRatio_working_3-way'!U24/(3*'OddsRatio_working_3-way'!X24^(1/3))*COS(('OddsRatio_working_3-way'!Y24)/3)</f>
        <v>0.5345596829991266</v>
      </c>
      <c r="AG24" s="11">
        <f>-'OddsRatio_working_3-way'!U24/(3*'OddsRatio_working_3-way'!X24^(1/3))*COS(('OddsRatio_working_3-way'!Y24+2*PI())/3)</f>
        <v>-0.31419781246333156</v>
      </c>
      <c r="AH24" s="11">
        <f>-'OddsRatio_working_3-way'!U24/(3*'OddsRatio_working_3-way'!X24^(1/3))*COS(('OddsRatio_working_3-way'!Y24+4*PI())/3)</f>
        <v>-0.22036187053579537</v>
      </c>
      <c r="AI24" s="11">
        <f>'OddsRatio_working_3-way'!U24/(3*'OddsRatio_working_3-way'!X24^(1/3))*SIN(('OddsRatio_working_3-way'!Y24)/3)</f>
        <v>-5.4176206331525312E-2</v>
      </c>
      <c r="AJ24" s="11">
        <f>'OddsRatio_working_3-way'!U24/(3*'OddsRatio_working_3-way'!X24^(1/3))*SIN(('OddsRatio_working_3-way'!Y24+2*PI())/3)</f>
        <v>-0.43585416215043749</v>
      </c>
      <c r="AK24" s="11">
        <f>'OddsRatio_working_3-way'!U24/(3*'OddsRatio_working_3-way'!X24^(1/3))*SIN(('OddsRatio_working_3-way'!Y24+4*PI())/3)</f>
        <v>0.49003036848196269</v>
      </c>
      <c r="AL24" s="11">
        <f>'OddsRatio_working_3-way'!Z24+'OddsRatio_working_3-way'!AF24</f>
        <v>1.0691193659982532</v>
      </c>
      <c r="AM24" s="11">
        <f>'OddsRatio_working_3-way'!AA24+'OddsRatio_working_3-way'!AG24</f>
        <v>-0.62839562492666312</v>
      </c>
      <c r="AN24" s="11">
        <f>'OddsRatio_working_3-way'!AB24+'OddsRatio_working_3-way'!AH24</f>
        <v>-0.44072374107159074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1.0691193659982532</v>
      </c>
      <c r="AS24" s="11">
        <f>IF(('OddsRatio_working_3-way'!X24=0),IF(Q24&gt;0,-Q24^(1/3),(-Q24)^(1/3)),'OddsRatio_working_3-way'!AM24-'OddsRatio_working_3-way'!R24/3)</f>
        <v>-0.62839562492666312</v>
      </c>
      <c r="AT24" s="11">
        <f>IF(('OddsRatio_working_3-way'!X24=0),IF(Q24&gt;0,-Q24^(1/3),(-Q24)^(1/3)),'OddsRatio_working_3-way'!AN24-'OddsRatio_working_3-way'!R24/3)</f>
        <v>-0.44072374107159074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9" t="e">
        <f t="shared" si="13"/>
        <v>#VALUE!</v>
      </c>
      <c r="E38" s="9" t="e">
        <f t="shared" si="14"/>
        <v>#VALUE!</v>
      </c>
      <c r="F38" s="9" t="e">
        <f t="shared" si="15"/>
        <v>#VALUE!</v>
      </c>
      <c r="G38" s="9" t="str">
        <f t="shared" si="16"/>
        <v/>
      </c>
      <c r="H38" s="9" t="str">
        <f t="shared" si="17"/>
        <v/>
      </c>
      <c r="I38" s="9" t="str">
        <f t="shared" si="18"/>
        <v/>
      </c>
      <c r="J38" s="9" t="str">
        <f t="shared" si="19"/>
        <v/>
      </c>
      <c r="K38" s="11" t="e">
        <f t="shared" si="20"/>
        <v>#VALUE!</v>
      </c>
      <c r="L38" s="11" t="e">
        <f t="shared" si="21"/>
        <v>#VALUE!</v>
      </c>
      <c r="M38" s="11" t="e">
        <f t="shared" si="22"/>
        <v>#VALUE!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#VALUE!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#VALUE!</v>
      </c>
      <c r="Q38" s="11" t="e">
        <f>2*'OddsRatio_working_3-way'!K38*'OddsRatio_working_3-way'!L38*'OddsRatio_working_3-way'!M38</f>
        <v>#VALUE!</v>
      </c>
      <c r="R38" s="11" t="e">
        <f t="shared" si="23"/>
        <v>#VALUE!</v>
      </c>
      <c r="S38" s="11" t="e">
        <f t="shared" si="24"/>
        <v>#VALUE!</v>
      </c>
      <c r="T38" s="11" t="e">
        <f t="shared" si="25"/>
        <v>#VALUE!</v>
      </c>
      <c r="U38" s="11" t="e">
        <f>'OddsRatio_working_3-way'!S38-'OddsRatio_working_3-way'!R38^2/3</f>
        <v>#VALUE!</v>
      </c>
      <c r="V38" s="11" t="e">
        <f>'OddsRatio_working_3-way'!S38*'OddsRatio_working_3-way'!R38/3-2*'OddsRatio_working_3-way'!R38^3/27-'OddsRatio_working_3-way'!T38</f>
        <v>#VALUE!</v>
      </c>
      <c r="W38" s="11" t="e">
        <f>'OddsRatio_working_3-way'!V38^2+4*'OddsRatio_working_3-way'!U38^3/27</f>
        <v>#VALUE!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#VALUE!</v>
      </c>
      <c r="Y38" s="11" t="e">
        <f>IF('OddsRatio_working_3-way'!W38&gt;=0,IF('OddsRatio_working_3-way'!V38+SQRT('OddsRatio_working_3-way'!W38)&gt;0,0,PI()),ACOS('OddsRatio_working_3-way'!V38/(2*'OddsRatio_working_3-way'!X38)))</f>
        <v>#VALUE!</v>
      </c>
      <c r="Z38" s="11" t="e">
        <f>'OddsRatio_working_3-way'!X38^(1/3)*COS('OddsRatio_working_3-way'!Y38/3)</f>
        <v>#VALUE!</v>
      </c>
      <c r="AA38" s="11" t="e">
        <f>'OddsRatio_working_3-way'!X38^(1/3)*COS(('OddsRatio_working_3-way'!Y38+2*PI())/3)</f>
        <v>#VALUE!</v>
      </c>
      <c r="AB38" s="11" t="e">
        <f>'OddsRatio_working_3-way'!X38^(1/3)*COS(('OddsRatio_working_3-way'!Y38+4*PI())/3)</f>
        <v>#VALUE!</v>
      </c>
      <c r="AC38" s="11" t="e">
        <f>'OddsRatio_working_3-way'!X38^(1/3)*SIN('OddsRatio_working_3-way'!Y38/3)</f>
        <v>#VALUE!</v>
      </c>
      <c r="AD38" s="11" t="e">
        <f>'OddsRatio_working_3-way'!X38^(1/3)*SIN(('OddsRatio_working_3-way'!Y38+2*PI())/3)</f>
        <v>#VALUE!</v>
      </c>
      <c r="AE38" s="11" t="e">
        <f>'OddsRatio_working_3-way'!X38^(1/3)*SIN(('OddsRatio_working_3-way'!Y38+4*PI())/3)</f>
        <v>#VALUE!</v>
      </c>
      <c r="AF38" s="11" t="e">
        <f>-'OddsRatio_working_3-way'!U38/(3*'OddsRatio_working_3-way'!X38^(1/3))*COS(('OddsRatio_working_3-way'!Y38)/3)</f>
        <v>#VALUE!</v>
      </c>
      <c r="AG38" s="11" t="e">
        <f>-'OddsRatio_working_3-way'!U38/(3*'OddsRatio_working_3-way'!X38^(1/3))*COS(('OddsRatio_working_3-way'!Y38+2*PI())/3)</f>
        <v>#VALUE!</v>
      </c>
      <c r="AH38" s="11" t="e">
        <f>-'OddsRatio_working_3-way'!U38/(3*'OddsRatio_working_3-way'!X38^(1/3))*COS(('OddsRatio_working_3-way'!Y38+4*PI())/3)</f>
        <v>#VALUE!</v>
      </c>
      <c r="AI38" s="11" t="e">
        <f>'OddsRatio_working_3-way'!U38/(3*'OddsRatio_working_3-way'!X38^(1/3))*SIN(('OddsRatio_working_3-way'!Y38)/3)</f>
        <v>#VALUE!</v>
      </c>
      <c r="AJ38" s="11" t="e">
        <f>'OddsRatio_working_3-way'!U38/(3*'OddsRatio_working_3-way'!X38^(1/3))*SIN(('OddsRatio_working_3-way'!Y38+2*PI())/3)</f>
        <v>#VALUE!</v>
      </c>
      <c r="AK38" s="11" t="e">
        <f>'OddsRatio_working_3-way'!U38/(3*'OddsRatio_working_3-way'!X38^(1/3))*SIN(('OddsRatio_working_3-way'!Y38+4*PI())/3)</f>
        <v>#VALUE!</v>
      </c>
      <c r="AL38" s="11" t="e">
        <f>'OddsRatio_working_3-way'!Z38+'OddsRatio_working_3-way'!AF38</f>
        <v>#VALUE!</v>
      </c>
      <c r="AM38" s="11" t="e">
        <f>'OddsRatio_working_3-way'!AA38+'OddsRatio_working_3-way'!AG38</f>
        <v>#VALUE!</v>
      </c>
      <c r="AN38" s="11" t="e">
        <f>'OddsRatio_working_3-way'!AB38+'OddsRatio_working_3-way'!AH38</f>
        <v>#VALUE!</v>
      </c>
      <c r="AO38" s="11" t="e">
        <f>'OddsRatio_working_3-way'!AC38+'OddsRatio_working_3-way'!AI38</f>
        <v>#VALUE!</v>
      </c>
      <c r="AP38" s="11" t="e">
        <f>'OddsRatio_working_3-way'!AD38+'OddsRatio_working_3-way'!AJ38</f>
        <v>#VALUE!</v>
      </c>
      <c r="AQ38" s="11" t="e">
        <f>'OddsRatio_working_3-way'!AE38+'OddsRatio_working_3-way'!AK38</f>
        <v>#VALUE!</v>
      </c>
      <c r="AR38" s="10" t="str">
        <f>IF(A38="","",IF(('OddsRatio_working_3-way'!X38=0),IF(Q38&gt;0,-Q38^(1/3),(-Q38)^(1/3)),'OddsRatio_working_3-way'!AL38-'OddsRatio_working_3-way'!R38/3))</f>
        <v/>
      </c>
      <c r="AS38" s="11" t="e">
        <f>IF(('OddsRatio_working_3-way'!X38=0),IF(Q38&gt;0,-Q38^(1/3),(-Q38)^(1/3)),'OddsRatio_working_3-way'!AM38-'OddsRatio_working_3-way'!R38/3)</f>
        <v>#VALUE!</v>
      </c>
      <c r="AT38" s="11" t="e">
        <f>IF(('OddsRatio_working_3-way'!X38=0),IF(Q38&gt;0,-Q38^(1/3),(-Q38)^(1/3)),'OddsRatio_working_3-way'!AN38-'OddsRatio_working_3-way'!R38/3)</f>
        <v>#VALUE!</v>
      </c>
      <c r="AU38" s="11" t="e">
        <f>IF(('OddsRatio_working_3-way'!X38=0),0,'OddsRatio_working_3-way'!AO38)</f>
        <v>#VALUE!</v>
      </c>
      <c r="AV38" s="11" t="e">
        <f>IF(('OddsRatio_working_3-way'!X38=0),0,'OddsRatio_working_3-way'!AP38)</f>
        <v>#VALUE!</v>
      </c>
      <c r="AW38" s="11" t="e">
        <f>IF(('OddsRatio_working_3-way'!X38=0),0,'OddsRatio_working_3-way'!AQ38)</f>
        <v>#VALUE!</v>
      </c>
    </row>
    <row r="39" spans="1:4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9" t="e">
        <f t="shared" si="13"/>
        <v>#VALUE!</v>
      </c>
      <c r="E39" s="9" t="e">
        <f t="shared" si="14"/>
        <v>#VALUE!</v>
      </c>
      <c r="F39" s="9" t="e">
        <f t="shared" si="15"/>
        <v>#VALUE!</v>
      </c>
      <c r="G39" s="9" t="str">
        <f t="shared" si="16"/>
        <v/>
      </c>
      <c r="H39" s="9" t="str">
        <f t="shared" si="17"/>
        <v/>
      </c>
      <c r="I39" s="9" t="str">
        <f t="shared" si="18"/>
        <v/>
      </c>
      <c r="J39" s="9" t="str">
        <f t="shared" si="19"/>
        <v/>
      </c>
      <c r="K39" s="11" t="e">
        <f t="shared" si="20"/>
        <v>#VALUE!</v>
      </c>
      <c r="L39" s="11" t="e">
        <f t="shared" si="21"/>
        <v>#VALUE!</v>
      </c>
      <c r="M39" s="11" t="e">
        <f t="shared" si="22"/>
        <v>#VALUE!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#VALUE!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#VALUE!</v>
      </c>
      <c r="Q39" s="11" t="e">
        <f>2*'OddsRatio_working_3-way'!K39*'OddsRatio_working_3-way'!L39*'OddsRatio_working_3-way'!M39</f>
        <v>#VALUE!</v>
      </c>
      <c r="R39" s="11" t="e">
        <f t="shared" si="23"/>
        <v>#VALUE!</v>
      </c>
      <c r="S39" s="11" t="e">
        <f t="shared" si="24"/>
        <v>#VALUE!</v>
      </c>
      <c r="T39" s="11" t="e">
        <f t="shared" si="25"/>
        <v>#VALUE!</v>
      </c>
      <c r="U39" s="11" t="e">
        <f>'OddsRatio_working_3-way'!S39-'OddsRatio_working_3-way'!R39^2/3</f>
        <v>#VALUE!</v>
      </c>
      <c r="V39" s="11" t="e">
        <f>'OddsRatio_working_3-way'!S39*'OddsRatio_working_3-way'!R39/3-2*'OddsRatio_working_3-way'!R39^3/27-'OddsRatio_working_3-way'!T39</f>
        <v>#VALUE!</v>
      </c>
      <c r="W39" s="11" t="e">
        <f>'OddsRatio_working_3-way'!V39^2+4*'OddsRatio_working_3-way'!U39^3/27</f>
        <v>#VALUE!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#VALUE!</v>
      </c>
      <c r="Y39" s="11" t="e">
        <f>IF('OddsRatio_working_3-way'!W39&gt;=0,IF('OddsRatio_working_3-way'!V39+SQRT('OddsRatio_working_3-way'!W39)&gt;0,0,PI()),ACOS('OddsRatio_working_3-way'!V39/(2*'OddsRatio_working_3-way'!X39)))</f>
        <v>#VALUE!</v>
      </c>
      <c r="Z39" s="11" t="e">
        <f>'OddsRatio_working_3-way'!X39^(1/3)*COS('OddsRatio_working_3-way'!Y39/3)</f>
        <v>#VALUE!</v>
      </c>
      <c r="AA39" s="11" t="e">
        <f>'OddsRatio_working_3-way'!X39^(1/3)*COS(('OddsRatio_working_3-way'!Y39+2*PI())/3)</f>
        <v>#VALUE!</v>
      </c>
      <c r="AB39" s="11" t="e">
        <f>'OddsRatio_working_3-way'!X39^(1/3)*COS(('OddsRatio_working_3-way'!Y39+4*PI())/3)</f>
        <v>#VALUE!</v>
      </c>
      <c r="AC39" s="11" t="e">
        <f>'OddsRatio_working_3-way'!X39^(1/3)*SIN('OddsRatio_working_3-way'!Y39/3)</f>
        <v>#VALUE!</v>
      </c>
      <c r="AD39" s="11" t="e">
        <f>'OddsRatio_working_3-way'!X39^(1/3)*SIN(('OddsRatio_working_3-way'!Y39+2*PI())/3)</f>
        <v>#VALUE!</v>
      </c>
      <c r="AE39" s="11" t="e">
        <f>'OddsRatio_working_3-way'!X39^(1/3)*SIN(('OddsRatio_working_3-way'!Y39+4*PI())/3)</f>
        <v>#VALUE!</v>
      </c>
      <c r="AF39" s="11" t="e">
        <f>-'OddsRatio_working_3-way'!U39/(3*'OddsRatio_working_3-way'!X39^(1/3))*COS(('OddsRatio_working_3-way'!Y39)/3)</f>
        <v>#VALUE!</v>
      </c>
      <c r="AG39" s="11" t="e">
        <f>-'OddsRatio_working_3-way'!U39/(3*'OddsRatio_working_3-way'!X39^(1/3))*COS(('OddsRatio_working_3-way'!Y39+2*PI())/3)</f>
        <v>#VALUE!</v>
      </c>
      <c r="AH39" s="11" t="e">
        <f>-'OddsRatio_working_3-way'!U39/(3*'OddsRatio_working_3-way'!X39^(1/3))*COS(('OddsRatio_working_3-way'!Y39+4*PI())/3)</f>
        <v>#VALUE!</v>
      </c>
      <c r="AI39" s="11" t="e">
        <f>'OddsRatio_working_3-way'!U39/(3*'OddsRatio_working_3-way'!X39^(1/3))*SIN(('OddsRatio_working_3-way'!Y39)/3)</f>
        <v>#VALUE!</v>
      </c>
      <c r="AJ39" s="11" t="e">
        <f>'OddsRatio_working_3-way'!U39/(3*'OddsRatio_working_3-way'!X39^(1/3))*SIN(('OddsRatio_working_3-way'!Y39+2*PI())/3)</f>
        <v>#VALUE!</v>
      </c>
      <c r="AK39" s="11" t="e">
        <f>'OddsRatio_working_3-way'!U39/(3*'OddsRatio_working_3-way'!X39^(1/3))*SIN(('OddsRatio_working_3-way'!Y39+4*PI())/3)</f>
        <v>#VALUE!</v>
      </c>
      <c r="AL39" s="11" t="e">
        <f>'OddsRatio_working_3-way'!Z39+'OddsRatio_working_3-way'!AF39</f>
        <v>#VALUE!</v>
      </c>
      <c r="AM39" s="11" t="e">
        <f>'OddsRatio_working_3-way'!AA39+'OddsRatio_working_3-way'!AG39</f>
        <v>#VALUE!</v>
      </c>
      <c r="AN39" s="11" t="e">
        <f>'OddsRatio_working_3-way'!AB39+'OddsRatio_working_3-way'!AH39</f>
        <v>#VALUE!</v>
      </c>
      <c r="AO39" s="11" t="e">
        <f>'OddsRatio_working_3-way'!AC39+'OddsRatio_working_3-way'!AI39</f>
        <v>#VALUE!</v>
      </c>
      <c r="AP39" s="11" t="e">
        <f>'OddsRatio_working_3-way'!AD39+'OddsRatio_working_3-way'!AJ39</f>
        <v>#VALUE!</v>
      </c>
      <c r="AQ39" s="11" t="e">
        <f>'OddsRatio_working_3-way'!AE39+'OddsRatio_working_3-way'!AK39</f>
        <v>#VALUE!</v>
      </c>
      <c r="AR39" s="10" t="str">
        <f>IF(A39="","",IF(('OddsRatio_working_3-way'!X39=0),IF(Q39&gt;0,-Q39^(1/3),(-Q39)^(1/3)),'OddsRatio_working_3-way'!AL39-'OddsRatio_working_3-way'!R39/3))</f>
        <v/>
      </c>
      <c r="AS39" s="11" t="e">
        <f>IF(('OddsRatio_working_3-way'!X39=0),IF(Q39&gt;0,-Q39^(1/3),(-Q39)^(1/3)),'OddsRatio_working_3-way'!AM39-'OddsRatio_working_3-way'!R39/3)</f>
        <v>#VALUE!</v>
      </c>
      <c r="AT39" s="11" t="e">
        <f>IF(('OddsRatio_working_3-way'!X39=0),IF(Q39&gt;0,-Q39^(1/3),(-Q39)^(1/3)),'OddsRatio_working_3-way'!AN39-'OddsRatio_working_3-way'!R39/3)</f>
        <v>#VALUE!</v>
      </c>
      <c r="AU39" s="11" t="e">
        <f>IF(('OddsRatio_working_3-way'!X39=0),0,'OddsRatio_working_3-way'!AO39)</f>
        <v>#VALUE!</v>
      </c>
      <c r="AV39" s="11" t="e">
        <f>IF(('OddsRatio_working_3-way'!X39=0),0,'OddsRatio_working_3-way'!AP39)</f>
        <v>#VALUE!</v>
      </c>
      <c r="AW39" s="11" t="e">
        <f>IF(('OddsRatio_working_3-way'!X39=0),0,'OddsRatio_working_3-way'!AQ39)</f>
        <v>#VALUE!</v>
      </c>
    </row>
    <row r="40" spans="1:4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2.23</v>
      </c>
      <c r="B2" s="4">
        <f>IF('True_Odds_Calculator_2-way'!B3="","",'True_Odds_Calculator_2-way'!B3)</f>
        <v>1.67</v>
      </c>
      <c r="C2" s="4">
        <f t="shared" ref="C2:C65" si="0">IF(A2="","",((1/A2)+(1/B2))-1)</f>
        <v>4.7232888483123459E-2</v>
      </c>
      <c r="D2" s="4">
        <f>IF(A2="","",(2*A2)/(2-($C2*A2)))</f>
        <v>2.3539711134287793</v>
      </c>
      <c r="E2" s="4">
        <f>IF(B2="","",(2*B2)/(2-($C2*B2)))</f>
        <v>1.7385681940197473</v>
      </c>
      <c r="G2" s="4">
        <f t="shared" ref="G2:G65" si="1">IF(A2="","",C2+1)</f>
        <v>1.0472328884831235</v>
      </c>
    </row>
    <row r="3" spans="1:7" x14ac:dyDescent="0.2">
      <c r="A3" s="4">
        <f>IF('True_Odds_Calculator_2-way'!A4="","",'True_Odds_Calculator_2-way'!A4)</f>
        <v>1.74</v>
      </c>
      <c r="B3" s="4">
        <f>IF('True_Odds_Calculator_2-way'!B4="","",'True_Odds_Calculator_2-way'!B4)</f>
        <v>2.12</v>
      </c>
      <c r="C3" s="4">
        <f t="shared" si="0"/>
        <v>4.6410756885707949E-2</v>
      </c>
      <c r="D3" s="4">
        <f t="shared" ref="D3:D66" si="2">IF(A3="","",(2*A3)/(2-($C3*A3)))</f>
        <v>1.8132127408572549</v>
      </c>
      <c r="E3" s="4">
        <f t="shared" ref="E3:E66" si="3">IF(B3="","",(2*B3)/(2-($C3*B3)))</f>
        <v>2.2296905222437133</v>
      </c>
      <c r="G3" s="4">
        <f t="shared" si="1"/>
        <v>1.0464107568857079</v>
      </c>
    </row>
    <row r="4" spans="1:7" x14ac:dyDescent="0.2">
      <c r="A4" s="4">
        <f>IF('True_Odds_Calculator_2-way'!A5="","",'True_Odds_Calculator_2-way'!A5)</f>
        <v>2.63</v>
      </c>
      <c r="B4" s="4">
        <f>IF('True_Odds_Calculator_2-way'!B5="","",'True_Odds_Calculator_2-way'!B5)</f>
        <v>1.52</v>
      </c>
      <c r="C4" s="4">
        <f t="shared" si="0"/>
        <v>3.8122873724234729E-2</v>
      </c>
      <c r="D4" s="4">
        <f t="shared" si="2"/>
        <v>2.7688045435655915</v>
      </c>
      <c r="E4" s="4">
        <f t="shared" si="3"/>
        <v>1.5653535907275435</v>
      </c>
      <c r="G4" s="4">
        <f t="shared" si="1"/>
        <v>1.0381228737242347</v>
      </c>
    </row>
    <row r="5" spans="1:7" x14ac:dyDescent="0.2">
      <c r="A5" s="4">
        <f>IF('True_Odds_Calculator_2-way'!A6="","",'True_Odds_Calculator_2-way'!A6)</f>
        <v>2.86</v>
      </c>
      <c r="B5" s="4">
        <f>IF('True_Odds_Calculator_2-way'!B6="","",'True_Odds_Calculator_2-way'!B6)</f>
        <v>1.44</v>
      </c>
      <c r="C5" s="4">
        <f t="shared" si="0"/>
        <v>4.4094794094794221E-2</v>
      </c>
      <c r="D5" s="4">
        <f t="shared" si="2"/>
        <v>3.0524755410613702</v>
      </c>
      <c r="E5" s="4">
        <f t="shared" si="3"/>
        <v>1.4872165246280515</v>
      </c>
      <c r="G5" s="4">
        <f t="shared" si="1"/>
        <v>1.0440947940947942</v>
      </c>
    </row>
    <row r="6" spans="1:7" x14ac:dyDescent="0.2">
      <c r="A6" s="4">
        <f>IF('True_Odds_Calculator_2-way'!A7="","",'True_Odds_Calculator_2-way'!A7)</f>
        <v>2.54</v>
      </c>
      <c r="B6" s="4">
        <f>IF('True_Odds_Calculator_2-way'!B7="","",'True_Odds_Calculator_2-way'!B7)</f>
        <v>1.55</v>
      </c>
      <c r="C6" s="4">
        <f t="shared" si="0"/>
        <v>3.8862077724155508E-2</v>
      </c>
      <c r="D6" s="4">
        <f t="shared" si="2"/>
        <v>2.6718696979979644</v>
      </c>
      <c r="E6" s="4">
        <f t="shared" si="3"/>
        <v>1.5981327379744266</v>
      </c>
      <c r="G6" s="4">
        <f t="shared" si="1"/>
        <v>1.0388620777241555</v>
      </c>
    </row>
    <row r="7" spans="1:7" x14ac:dyDescent="0.2">
      <c r="A7" s="4">
        <f>IF('True_Odds_Calculator_2-way'!A8="","",'True_Odds_Calculator_2-way'!A8)</f>
        <v>2.02</v>
      </c>
      <c r="B7" s="4">
        <f>IF('True_Odds_Calculator_2-way'!B8="","",'True_Odds_Calculator_2-way'!B8)</f>
        <v>1.88</v>
      </c>
      <c r="C7" s="4">
        <f t="shared" si="0"/>
        <v>2.6964398567516312E-2</v>
      </c>
      <c r="D7" s="4">
        <f t="shared" si="2"/>
        <v>2.0765529308836395</v>
      </c>
      <c r="E7" s="4">
        <f t="shared" si="3"/>
        <v>1.9288906948394962</v>
      </c>
      <c r="G7" s="4">
        <f t="shared" si="1"/>
        <v>1.0269643985675163</v>
      </c>
    </row>
    <row r="8" spans="1:7" x14ac:dyDescent="0.2">
      <c r="A8" s="4">
        <f>IF('True_Odds_Calculator_2-way'!A9="","",'True_Odds_Calculator_2-way'!A9)</f>
        <v>2.19</v>
      </c>
      <c r="B8" s="4">
        <f>IF('True_Odds_Calculator_2-way'!B9="","",'True_Odds_Calculator_2-way'!B9)</f>
        <v>1.72</v>
      </c>
      <c r="C8" s="4">
        <f t="shared" si="0"/>
        <v>3.8016353403419467E-2</v>
      </c>
      <c r="D8" s="4">
        <f t="shared" si="2"/>
        <v>2.2851249696675566</v>
      </c>
      <c r="E8" s="4">
        <f t="shared" si="3"/>
        <v>1.7781344410876134</v>
      </c>
      <c r="G8" s="4">
        <f t="shared" si="1"/>
        <v>1.0380163534034195</v>
      </c>
    </row>
    <row r="9" spans="1:7" x14ac:dyDescent="0.2">
      <c r="A9" s="4">
        <f>IF('True_Odds_Calculator_2-way'!A10="","",'True_Odds_Calculator_2-way'!A10)</f>
        <v>2.75</v>
      </c>
      <c r="B9" s="4">
        <f>IF('True_Odds_Calculator_2-way'!B10="","",'True_Odds_Calculator_2-way'!B10)</f>
        <v>1.48</v>
      </c>
      <c r="C9" s="4">
        <f t="shared" si="0"/>
        <v>3.9312039312039193E-2</v>
      </c>
      <c r="D9" s="4">
        <f t="shared" si="2"/>
        <v>2.907142857142857</v>
      </c>
      <c r="E9" s="4">
        <f t="shared" si="3"/>
        <v>1.5243445692883895</v>
      </c>
      <c r="G9" s="4">
        <f t="shared" si="1"/>
        <v>1.0393120393120392</v>
      </c>
    </row>
    <row r="10" spans="1:7" x14ac:dyDescent="0.2">
      <c r="A10" s="4">
        <f>IF('True_Odds_Calculator_2-way'!A11="","",'True_Odds_Calculator_2-way'!A11)</f>
        <v>2.93</v>
      </c>
      <c r="B10" s="4">
        <f>IF('True_Odds_Calculator_2-way'!B11="","",'True_Odds_Calculator_2-way'!B11)</f>
        <v>1.42</v>
      </c>
      <c r="C10" s="4">
        <f t="shared" si="0"/>
        <v>4.552228044032125E-2</v>
      </c>
      <c r="D10" s="4">
        <f t="shared" si="2"/>
        <v>3.1393646721497031</v>
      </c>
      <c r="E10" s="4">
        <f t="shared" si="3"/>
        <v>1.4674284908122597</v>
      </c>
      <c r="G10" s="4">
        <f t="shared" si="1"/>
        <v>1.0455222804403212</v>
      </c>
    </row>
    <row r="11" spans="1:7" x14ac:dyDescent="0.2">
      <c r="A11" s="4">
        <f>IF('True_Odds_Calculator_2-way'!A12="","",'True_Odds_Calculator_2-way'!A12)</f>
        <v>2.11</v>
      </c>
      <c r="B11" s="4">
        <f>IF('True_Odds_Calculator_2-way'!B12="","",'True_Odds_Calculator_2-way'!B12)</f>
        <v>1.79</v>
      </c>
      <c r="C11" s="4">
        <f t="shared" si="0"/>
        <v>3.2592867166194583E-2</v>
      </c>
      <c r="D11" s="4">
        <f t="shared" si="2"/>
        <v>2.1851369724319478</v>
      </c>
      <c r="E11" s="4">
        <f t="shared" si="3"/>
        <v>1.8437843247333352</v>
      </c>
      <c r="G11" s="4">
        <f t="shared" si="1"/>
        <v>1.0325928671661946</v>
      </c>
    </row>
    <row r="12" spans="1:7" x14ac:dyDescent="0.2">
      <c r="A12" s="4">
        <f>IF('True_Odds_Calculator_2-way'!A13="","",'True_Odds_Calculator_2-way'!A13)</f>
        <v>2.46</v>
      </c>
      <c r="B12" s="4">
        <f>IF('True_Odds_Calculator_2-way'!B13="","",'True_Odds_Calculator_2-way'!B13)</f>
        <v>1.6</v>
      </c>
      <c r="C12" s="4">
        <f t="shared" si="0"/>
        <v>3.1504065040650397E-2</v>
      </c>
      <c r="D12" s="4">
        <f t="shared" si="2"/>
        <v>2.5591677503250976</v>
      </c>
      <c r="E12" s="4">
        <f t="shared" si="3"/>
        <v>1.6413678065054211</v>
      </c>
      <c r="G12" s="4">
        <f t="shared" si="1"/>
        <v>1.0315040650406504</v>
      </c>
    </row>
    <row r="13" spans="1:7" x14ac:dyDescent="0.2">
      <c r="A13" s="4">
        <f>IF('True_Odds_Calculator_2-way'!A14="","",'True_Odds_Calculator_2-way'!A14)</f>
        <v>2.25</v>
      </c>
      <c r="B13" s="4">
        <f>IF('True_Odds_Calculator_2-way'!B14="","",'True_Odds_Calculator_2-way'!B14)</f>
        <v>1.69</v>
      </c>
      <c r="C13" s="4">
        <f t="shared" si="0"/>
        <v>3.6160420775805502E-2</v>
      </c>
      <c r="D13" s="4">
        <f t="shared" si="2"/>
        <v>2.3454124903623752</v>
      </c>
      <c r="E13" s="4">
        <f t="shared" si="3"/>
        <v>1.7432664756446994</v>
      </c>
      <c r="G13" s="4">
        <f t="shared" si="1"/>
        <v>1.0361604207758055</v>
      </c>
    </row>
    <row r="14" spans="1:7" x14ac:dyDescent="0.2">
      <c r="A14" s="4">
        <f>IF('True_Odds_Calculator_2-way'!A15="","",'True_Odds_Calculator_2-way'!A15)</f>
        <v>2.08</v>
      </c>
      <c r="B14" s="4">
        <f>IF('True_Odds_Calculator_2-way'!B15="","",'True_Odds_Calculator_2-way'!B15)</f>
        <v>1.83</v>
      </c>
      <c r="C14" s="4">
        <f t="shared" si="0"/>
        <v>2.7217318200924545E-2</v>
      </c>
      <c r="D14" s="4">
        <f t="shared" si="2"/>
        <v>2.1405916094927453</v>
      </c>
      <c r="E14" s="4">
        <f t="shared" si="3"/>
        <v>1.8767379942806428</v>
      </c>
      <c r="G14" s="4">
        <f t="shared" si="1"/>
        <v>1.0272173182009245</v>
      </c>
    </row>
    <row r="15" spans="1:7" x14ac:dyDescent="0.2">
      <c r="A15" s="4">
        <f>IF('True_Odds_Calculator_2-way'!A16="","",'True_Odds_Calculator_2-way'!A16)</f>
        <v>2.0499999999999998</v>
      </c>
      <c r="B15" s="4">
        <f>IF('True_Odds_Calculator_2-way'!B16="","",'True_Odds_Calculator_2-way'!B16)</f>
        <v>1.85</v>
      </c>
      <c r="C15" s="4">
        <f t="shared" si="0"/>
        <v>2.8345418589321048E-2</v>
      </c>
      <c r="D15" s="4">
        <f t="shared" si="2"/>
        <v>2.1113430758524703</v>
      </c>
      <c r="E15" s="4">
        <f t="shared" si="3"/>
        <v>1.8998121477770822</v>
      </c>
      <c r="G15" s="4">
        <f t="shared" si="1"/>
        <v>1.028345418589321</v>
      </c>
    </row>
    <row r="16" spans="1:7" x14ac:dyDescent="0.2">
      <c r="A16" s="4">
        <f>IF('True_Odds_Calculator_2-way'!A17="","",'True_Odds_Calculator_2-way'!A17)</f>
        <v>2.2200000000000002</v>
      </c>
      <c r="B16" s="4">
        <f>IF('True_Odds_Calculator_2-way'!B17="","",'True_Odds_Calculator_2-way'!B17)</f>
        <v>1.71</v>
      </c>
      <c r="C16" s="4">
        <f t="shared" si="0"/>
        <v>3.5245772087877381E-2</v>
      </c>
      <c r="D16" s="4">
        <f t="shared" si="2"/>
        <v>2.3103888990323171</v>
      </c>
      <c r="E16" s="4">
        <f t="shared" si="3"/>
        <v>1.7631322279503969</v>
      </c>
      <c r="G16" s="4">
        <f t="shared" si="1"/>
        <v>1.0352457720878774</v>
      </c>
    </row>
    <row r="17" spans="1:7" x14ac:dyDescent="0.2">
      <c r="A17" s="4">
        <f>IF('True_Odds_Calculator_2-way'!A18="","",'True_Odds_Calculator_2-way'!A18)</f>
        <v>2.27</v>
      </c>
      <c r="B17" s="4">
        <f>IF('True_Odds_Calculator_2-way'!B18="","",'True_Odds_Calculator_2-way'!B18)</f>
        <v>1.69</v>
      </c>
      <c r="C17" s="4">
        <f t="shared" si="0"/>
        <v>3.2244610692594433E-2</v>
      </c>
      <c r="D17" s="4">
        <f t="shared" si="2"/>
        <v>2.3562325338574457</v>
      </c>
      <c r="E17" s="4">
        <f t="shared" si="3"/>
        <v>1.7373366845549443</v>
      </c>
      <c r="G17" s="4">
        <f t="shared" si="1"/>
        <v>1.0322446106925944</v>
      </c>
    </row>
    <row r="18" spans="1:7" x14ac:dyDescent="0.2">
      <c r="A18" s="4">
        <f>IF('True_Odds_Calculator_2-way'!A19="","",'True_Odds_Calculator_2-way'!A19)</f>
        <v>2.31</v>
      </c>
      <c r="B18" s="4">
        <f>IF('True_Odds_Calculator_2-way'!B19="","",'True_Odds_Calculator_2-way'!B19)</f>
        <v>1.67</v>
      </c>
      <c r="C18" s="4">
        <f t="shared" si="0"/>
        <v>3.1702828110013792E-2</v>
      </c>
      <c r="D18" s="4">
        <f t="shared" si="2"/>
        <v>2.397799670572148</v>
      </c>
      <c r="E18" s="4">
        <f t="shared" si="3"/>
        <v>1.7154100984947862</v>
      </c>
      <c r="G18" s="4">
        <f t="shared" si="1"/>
        <v>1.0317028281100138</v>
      </c>
    </row>
    <row r="19" spans="1:7" x14ac:dyDescent="0.2">
      <c r="A19" s="4">
        <f>IF('True_Odds_Calculator_2-way'!A20="","",'True_Odds_Calculator_2-way'!A20)</f>
        <v>2.0299999999999998</v>
      </c>
      <c r="B19" s="4">
        <f>IF('True_Odds_Calculator_2-way'!B20="","",'True_Odds_Calculator_2-way'!B20)</f>
        <v>1.86</v>
      </c>
      <c r="C19" s="4">
        <f t="shared" si="0"/>
        <v>3.0245246040574214E-2</v>
      </c>
      <c r="D19" s="4">
        <f t="shared" si="2"/>
        <v>2.0942925287037548</v>
      </c>
      <c r="E19" s="4">
        <f t="shared" si="3"/>
        <v>1.9138324294186226</v>
      </c>
      <c r="G19" s="4">
        <f t="shared" si="1"/>
        <v>1.0302452460405742</v>
      </c>
    </row>
    <row r="20" spans="1:7" x14ac:dyDescent="0.2">
      <c r="A20" s="4">
        <f>IF('True_Odds_Calculator_2-way'!A21="","",'True_Odds_Calculator_2-way'!A21)</f>
        <v>2.76</v>
      </c>
      <c r="B20" s="4">
        <f>IF('True_Odds_Calculator_2-way'!B21="","",'True_Odds_Calculator_2-way'!B21)</f>
        <v>1.46</v>
      </c>
      <c r="C20" s="4">
        <f t="shared" si="0"/>
        <v>4.7250347429025119E-2</v>
      </c>
      <c r="D20" s="4">
        <f t="shared" si="2"/>
        <v>2.9525205158264942</v>
      </c>
      <c r="E20" s="4">
        <f t="shared" si="3"/>
        <v>1.5121585109576703</v>
      </c>
      <c r="G20" s="4">
        <f t="shared" si="1"/>
        <v>1.0472503474290251</v>
      </c>
    </row>
    <row r="21" spans="1:7" x14ac:dyDescent="0.2">
      <c r="A21" s="4">
        <f>IF('True_Odds_Calculator_2-way'!A22="","",'True_Odds_Calculator_2-way'!A22)</f>
        <v>2.5299999999999998</v>
      </c>
      <c r="B21" s="4">
        <f>IF('True_Odds_Calculator_2-way'!B22="","",'True_Odds_Calculator_2-way'!B22)</f>
        <v>1.53</v>
      </c>
      <c r="C21" s="4">
        <f t="shared" si="0"/>
        <v>4.8851688237877555E-2</v>
      </c>
      <c r="D21" s="4">
        <f t="shared" si="2"/>
        <v>2.6966456511895225</v>
      </c>
      <c r="E21" s="4">
        <f t="shared" si="3"/>
        <v>1.5893982631546533</v>
      </c>
      <c r="G21" s="4">
        <f t="shared" si="1"/>
        <v>1.0488516882378776</v>
      </c>
    </row>
    <row r="22" spans="1:7" x14ac:dyDescent="0.2">
      <c r="A22" s="4">
        <f>IF('True_Odds_Calculator_2-way'!A23="","",'True_Odds_Calculator_2-way'!A23)</f>
        <v>2.64</v>
      </c>
      <c r="B22" s="4">
        <f>IF('True_Odds_Calculator_2-way'!B23="","",'True_Odds_Calculator_2-way'!B23)</f>
        <v>1.5</v>
      </c>
      <c r="C22" s="4">
        <f t="shared" si="0"/>
        <v>4.5454545454545414E-2</v>
      </c>
      <c r="D22" s="4">
        <f t="shared" si="2"/>
        <v>2.8085106382978724</v>
      </c>
      <c r="E22" s="4">
        <f t="shared" si="3"/>
        <v>1.5529411764705883</v>
      </c>
      <c r="G22" s="4">
        <f t="shared" si="1"/>
        <v>1.0454545454545454</v>
      </c>
    </row>
    <row r="23" spans="1:7" x14ac:dyDescent="0.2">
      <c r="A23" s="4">
        <f>IF('True_Odds_Calculator_2-way'!A24="","",'True_Odds_Calculator_2-way'!A24)</f>
        <v>2.02</v>
      </c>
      <c r="B23" s="4">
        <f>IF('True_Odds_Calculator_2-way'!B24="","",'True_Odds_Calculator_2-way'!B24)</f>
        <v>1.83</v>
      </c>
      <c r="C23" s="4">
        <f t="shared" si="0"/>
        <v>4.1497592382188975E-2</v>
      </c>
      <c r="D23" s="4">
        <f t="shared" si="2"/>
        <v>2.1083670792220381</v>
      </c>
      <c r="E23" s="4">
        <f t="shared" si="3"/>
        <v>1.9022281685792208</v>
      </c>
      <c r="G23" s="4">
        <f t="shared" si="1"/>
        <v>1.041497592382189</v>
      </c>
    </row>
    <row r="24" spans="1:7" x14ac:dyDescent="0.2">
      <c r="A24" s="4">
        <f>IF('True_Odds_Calculator_2-way'!A25="","",'True_Odds_Calculator_2-way'!A25)</f>
        <v>2.48</v>
      </c>
      <c r="B24" s="4">
        <f>IF('True_Odds_Calculator_2-way'!B25="","",'True_Odds_Calculator_2-way'!B25)</f>
        <v>1.56</v>
      </c>
      <c r="C24" s="4">
        <f t="shared" si="0"/>
        <v>4.4251447477253958E-2</v>
      </c>
      <c r="D24" s="4">
        <f t="shared" si="2"/>
        <v>2.6239826370048833</v>
      </c>
      <c r="E24" s="4">
        <f t="shared" si="3"/>
        <v>1.6157701303040428</v>
      </c>
      <c r="G24" s="4">
        <f t="shared" si="1"/>
        <v>1.044251447477254</v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2.0699999999999998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3.71</v>
      </c>
      <c r="D2" s="4">
        <f>IF(A2="","",((1/A2)+(1/B2)+(1/C2))-1)</f>
        <v>4.5031227234068272E-2</v>
      </c>
      <c r="E2" s="4">
        <f>IF(A2="","",(3*A2)/(3-($D2*A2)))</f>
        <v>2.1363806513736256</v>
      </c>
      <c r="F2" s="4">
        <f>IF(B2="","",(3*B2)/(3-($D2*B2)))</f>
        <v>3.6050683429923005</v>
      </c>
      <c r="G2" s="4">
        <f>IF(C2="","",(3*C2)/(3-($D2*C2)))</f>
        <v>3.9287888184542532</v>
      </c>
      <c r="I2" s="4">
        <f>IF(A2="","",D2+1)</f>
        <v>1.0450312272340683</v>
      </c>
    </row>
    <row r="3" spans="1:9" x14ac:dyDescent="0.2">
      <c r="A3" s="4">
        <f>IF('True_Odds_Calculator_3-way'!A4="","",'True_Odds_Calculator_3-way'!A4)</f>
        <v>2.0499999999999998</v>
      </c>
      <c r="B3" s="4">
        <f>IF('True_Odds_Calculator_3-way'!B4="","",'True_Odds_Calculator_3-way'!B4)</f>
        <v>3.8</v>
      </c>
      <c r="C3" s="4">
        <f>IF('True_Odds_Calculator_3-way'!C4="","",'True_Odds_Calculator_3-way'!C4)</f>
        <v>3.39</v>
      </c>
      <c r="D3" s="4">
        <f t="shared" ref="D3:D66" si="0">IF(A3="","",((1/A3)+(1/B3)+(1/C3))-1)</f>
        <v>4.5948023523085801E-2</v>
      </c>
      <c r="E3" s="4">
        <f t="shared" ref="E3:E66" si="1">IF(A3="","",(3*A3)/(3-($D3*A3)))</f>
        <v>2.1164519696734931</v>
      </c>
      <c r="F3" s="4">
        <f t="shared" ref="F3:F66" si="2">IF(B3="","",(3*B3)/(3-($D3*B3)))</f>
        <v>4.0348304821467673</v>
      </c>
      <c r="G3" s="4">
        <f t="shared" ref="G3:G66" si="3">IF(C3="","",(3*C3)/(3-($D3*C3)))</f>
        <v>3.575652401541753</v>
      </c>
      <c r="I3" s="4">
        <f t="shared" ref="I3:I66" si="4">IF(A3="","",D3+1)</f>
        <v>1.0459480235230858</v>
      </c>
    </row>
    <row r="4" spans="1:9" x14ac:dyDescent="0.2">
      <c r="A4" s="4">
        <f>IF('True_Odds_Calculator_3-way'!A5="","",'True_Odds_Calculator_3-way'!A5)</f>
        <v>2.0099999999999998</v>
      </c>
      <c r="B4" s="4">
        <f>IF('True_Odds_Calculator_3-way'!B5="","",'True_Odds_Calculator_3-way'!B5)</f>
        <v>3.16</v>
      </c>
      <c r="C4" s="4">
        <f>IF('True_Odds_Calculator_3-way'!C5="","",'True_Odds_Calculator_3-way'!C5)</f>
        <v>4.53</v>
      </c>
      <c r="D4" s="4">
        <f t="shared" si="0"/>
        <v>3.4718685889856715E-2</v>
      </c>
      <c r="E4" s="4">
        <f t="shared" si="1"/>
        <v>2.0578691637767226</v>
      </c>
      <c r="F4" s="4">
        <f t="shared" si="2"/>
        <v>3.279948875530704</v>
      </c>
      <c r="G4" s="4">
        <f t="shared" si="3"/>
        <v>4.7806253131949275</v>
      </c>
      <c r="I4" s="4">
        <f t="shared" si="4"/>
        <v>1.0347186858898567</v>
      </c>
    </row>
    <row r="5" spans="1:9" x14ac:dyDescent="0.2">
      <c r="A5" s="4">
        <f>IF('True_Odds_Calculator_3-way'!A6="","",'True_Odds_Calculator_3-way'!A6)</f>
        <v>3.32</v>
      </c>
      <c r="B5" s="4">
        <f>IF('True_Odds_Calculator_3-way'!B6="","",'True_Odds_Calculator_3-way'!B6)</f>
        <v>2.9</v>
      </c>
      <c r="C5" s="4">
        <f>IF('True_Odds_Calculator_3-way'!C6="","",'True_Odds_Calculator_3-way'!C6)</f>
        <v>2.58</v>
      </c>
      <c r="D5" s="4">
        <f t="shared" si="0"/>
        <v>3.3629304708811203E-2</v>
      </c>
      <c r="E5" s="4">
        <f t="shared" si="1"/>
        <v>3.4483347091988015</v>
      </c>
      <c r="F5" s="4">
        <f t="shared" si="2"/>
        <v>2.9974418215517682</v>
      </c>
      <c r="G5" s="4">
        <f t="shared" si="3"/>
        <v>2.6568389768630496</v>
      </c>
      <c r="I5" s="4">
        <f t="shared" si="4"/>
        <v>1.0336293047088112</v>
      </c>
    </row>
    <row r="6" spans="1:9" x14ac:dyDescent="0.2">
      <c r="A6" s="4">
        <f>IF('True_Odds_Calculator_3-way'!A7="","",'True_Odds_Calculator_3-way'!A7)</f>
        <v>2.61</v>
      </c>
      <c r="B6" s="4">
        <f>IF('True_Odds_Calculator_3-way'!B7="","",'True_Odds_Calculator_3-way'!B7)</f>
        <v>3.07</v>
      </c>
      <c r="C6" s="4">
        <f>IF('True_Odds_Calculator_3-way'!C7="","",'True_Odds_Calculator_3-way'!C7)</f>
        <v>3.09</v>
      </c>
      <c r="D6" s="4">
        <f t="shared" si="0"/>
        <v>3.2499256944164223E-2</v>
      </c>
      <c r="E6" s="4">
        <f t="shared" si="1"/>
        <v>2.6859433107606669</v>
      </c>
      <c r="F6" s="4">
        <f t="shared" si="2"/>
        <v>3.175613187201066</v>
      </c>
      <c r="G6" s="4">
        <f t="shared" si="3"/>
        <v>3.1970177213941127</v>
      </c>
      <c r="I6" s="4">
        <f t="shared" si="4"/>
        <v>1.0324992569441642</v>
      </c>
    </row>
    <row r="7" spans="1:9" x14ac:dyDescent="0.2">
      <c r="A7" s="4">
        <f>IF('True_Odds_Calculator_3-way'!A8="","",'True_Odds_Calculator_3-way'!A8)</f>
        <v>2.63</v>
      </c>
      <c r="B7" s="4">
        <f>IF('True_Odds_Calculator_3-way'!B8="","",'True_Odds_Calculator_3-way'!B8)</f>
        <v>3.14</v>
      </c>
      <c r="C7" s="4">
        <f>IF('True_Odds_Calculator_3-way'!C8="","",'True_Odds_Calculator_3-way'!C8)</f>
        <v>3.05</v>
      </c>
      <c r="D7" s="4">
        <f t="shared" si="0"/>
        <v>2.6568326920763496E-2</v>
      </c>
      <c r="E7" s="4">
        <f t="shared" si="1"/>
        <v>2.692717611586708</v>
      </c>
      <c r="F7" s="4">
        <f t="shared" si="2"/>
        <v>3.229815292039302</v>
      </c>
      <c r="G7" s="4">
        <f t="shared" si="3"/>
        <v>3.1346710136853089</v>
      </c>
      <c r="I7" s="4">
        <f t="shared" si="4"/>
        <v>1.0265683269207635</v>
      </c>
    </row>
    <row r="8" spans="1:9" x14ac:dyDescent="0.2">
      <c r="A8" s="4">
        <f>IF('True_Odds_Calculator_3-way'!A9="","",'True_Odds_Calculator_3-way'!A9)</f>
        <v>1.8</v>
      </c>
      <c r="B8" s="4">
        <f>IF('True_Odds_Calculator_3-way'!B9="","",'True_Odds_Calculator_3-way'!B9)</f>
        <v>3.42</v>
      </c>
      <c r="C8" s="4">
        <f>IF('True_Odds_Calculator_3-way'!C9="","",'True_Odds_Calculator_3-way'!C9)</f>
        <v>5.33</v>
      </c>
      <c r="D8" s="4">
        <f t="shared" si="0"/>
        <v>3.5570477162261582E-2</v>
      </c>
      <c r="E8" s="4">
        <f t="shared" si="1"/>
        <v>1.8392538829433016</v>
      </c>
      <c r="F8" s="4">
        <f t="shared" si="2"/>
        <v>3.5645434635240134</v>
      </c>
      <c r="G8" s="4">
        <f t="shared" si="3"/>
        <v>5.689562611844023</v>
      </c>
      <c r="I8" s="4">
        <f t="shared" si="4"/>
        <v>1.0355704771622616</v>
      </c>
    </row>
    <row r="9" spans="1:9" x14ac:dyDescent="0.2">
      <c r="A9" s="4">
        <f>IF('True_Odds_Calculator_3-way'!A10="","",'True_Odds_Calculator_3-way'!A10)</f>
        <v>2.75</v>
      </c>
      <c r="B9" s="4">
        <f>IF('True_Odds_Calculator_3-way'!B10="","",'True_Odds_Calculator_3-way'!B10)</f>
        <v>2.89</v>
      </c>
      <c r="C9" s="4">
        <f>IF('True_Odds_Calculator_3-way'!C10="","",'True_Odds_Calculator_3-way'!C10)</f>
        <v>3.1</v>
      </c>
      <c r="D9" s="4">
        <f t="shared" si="0"/>
        <v>3.2237770043328728E-2</v>
      </c>
      <c r="E9" s="4">
        <f t="shared" si="1"/>
        <v>2.8337406906863736</v>
      </c>
      <c r="F9" s="4">
        <f t="shared" si="2"/>
        <v>2.9826276444417541</v>
      </c>
      <c r="G9" s="4">
        <f t="shared" si="3"/>
        <v>3.2068269825257887</v>
      </c>
      <c r="I9" s="4">
        <f t="shared" si="4"/>
        <v>1.0322377700433287</v>
      </c>
    </row>
    <row r="10" spans="1:9" x14ac:dyDescent="0.2">
      <c r="A10" s="4">
        <f>IF('True_Odds_Calculator_3-way'!A11="","",'True_Odds_Calculator_3-way'!A11)</f>
        <v>2.4</v>
      </c>
      <c r="B10" s="4">
        <f>IF('True_Odds_Calculator_3-way'!B11="","",'True_Odds_Calculator_3-way'!B11)</f>
        <v>2.95</v>
      </c>
      <c r="C10" s="4">
        <f>IF('True_Odds_Calculator_3-way'!C11="","",'True_Odds_Calculator_3-way'!C11)</f>
        <v>3.6</v>
      </c>
      <c r="D10" s="4">
        <f t="shared" si="0"/>
        <v>3.3427495291902254E-2</v>
      </c>
      <c r="E10" s="4">
        <f t="shared" si="1"/>
        <v>2.4659442724458205</v>
      </c>
      <c r="F10" s="4">
        <f t="shared" si="2"/>
        <v>3.05026328386788</v>
      </c>
      <c r="G10" s="4">
        <f t="shared" si="3"/>
        <v>3.7504414361389062</v>
      </c>
      <c r="I10" s="4">
        <f t="shared" si="4"/>
        <v>1.0334274952919023</v>
      </c>
    </row>
    <row r="11" spans="1:9" x14ac:dyDescent="0.2">
      <c r="A11" s="4">
        <f>IF('True_Odds_Calculator_3-way'!A12="","",'True_Odds_Calculator_3-way'!A12)</f>
        <v>1.92</v>
      </c>
      <c r="B11" s="4">
        <f>IF('True_Odds_Calculator_3-way'!B12="","",'True_Odds_Calculator_3-way'!B12)</f>
        <v>3.55</v>
      </c>
      <c r="C11" s="4">
        <f>IF('True_Odds_Calculator_3-way'!C12="","",'True_Odds_Calculator_3-way'!C12)</f>
        <v>4.42</v>
      </c>
      <c r="D11" s="4">
        <f t="shared" si="0"/>
        <v>2.876781806980655E-2</v>
      </c>
      <c r="E11" s="4">
        <f t="shared" si="1"/>
        <v>1.9560129436838942</v>
      </c>
      <c r="F11" s="4">
        <f t="shared" si="2"/>
        <v>3.6751077156794012</v>
      </c>
      <c r="G11" s="4">
        <f t="shared" si="3"/>
        <v>4.6156316325967817</v>
      </c>
      <c r="I11" s="4">
        <f t="shared" si="4"/>
        <v>1.0287678180698065</v>
      </c>
    </row>
    <row r="12" spans="1:9" x14ac:dyDescent="0.2">
      <c r="A12" s="4">
        <f>IF('True_Odds_Calculator_3-way'!A13="","",'True_Odds_Calculator_3-way'!A13)</f>
        <v>2.5299999999999998</v>
      </c>
      <c r="B12" s="4">
        <f>IF('True_Odds_Calculator_3-way'!B13="","",'True_Odds_Calculator_3-way'!B13)</f>
        <v>2.95</v>
      </c>
      <c r="C12" s="4">
        <f>IF('True_Odds_Calculator_3-way'!C13="","",'True_Odds_Calculator_3-way'!C13)</f>
        <v>3.41</v>
      </c>
      <c r="D12" s="4">
        <f t="shared" si="0"/>
        <v>2.7495099808314549E-2</v>
      </c>
      <c r="E12" s="4">
        <f t="shared" si="1"/>
        <v>2.5900570360295316</v>
      </c>
      <c r="F12" s="4">
        <f t="shared" si="2"/>
        <v>3.0319750489781754</v>
      </c>
      <c r="G12" s="4">
        <f t="shared" si="3"/>
        <v>3.5200100411535162</v>
      </c>
      <c r="I12" s="4">
        <f t="shared" si="4"/>
        <v>1.0274950998083145</v>
      </c>
    </row>
    <row r="13" spans="1:9" x14ac:dyDescent="0.2">
      <c r="A13" s="4">
        <f>IF('True_Odds_Calculator_3-way'!A14="","",'True_Odds_Calculator_3-way'!A14)</f>
        <v>3.58</v>
      </c>
      <c r="B13" s="4">
        <f>IF('True_Odds_Calculator_3-way'!B14="","",'True_Odds_Calculator_3-way'!B14)</f>
        <v>3.13</v>
      </c>
      <c r="C13" s="4">
        <f>IF('True_Odds_Calculator_3-way'!C14="","",'True_Odds_Calculator_3-way'!C14)</f>
        <v>2.33</v>
      </c>
      <c r="D13" s="4">
        <f t="shared" si="0"/>
        <v>2.8002976186144446E-2</v>
      </c>
      <c r="E13" s="4">
        <f t="shared" si="1"/>
        <v>3.7037684024584938</v>
      </c>
      <c r="F13" s="4">
        <f t="shared" si="2"/>
        <v>3.2241996301663169</v>
      </c>
      <c r="G13" s="4">
        <f t="shared" si="3"/>
        <v>2.3818017543638788</v>
      </c>
      <c r="I13" s="4">
        <f t="shared" si="4"/>
        <v>1.0280029761861444</v>
      </c>
    </row>
    <row r="14" spans="1:9" x14ac:dyDescent="0.2">
      <c r="A14" s="4">
        <f>IF('True_Odds_Calculator_3-way'!A15="","",'True_Odds_Calculator_3-way'!A15)</f>
        <v>1.56</v>
      </c>
      <c r="B14" s="4">
        <f>IF('True_Odds_Calculator_3-way'!B15="","",'True_Odds_Calculator_3-way'!B15)</f>
        <v>4.1500000000000004</v>
      </c>
      <c r="C14" s="4">
        <f>IF('True_Odds_Calculator_3-way'!C15="","",'True_Odds_Calculator_3-way'!C15)</f>
        <v>6.65</v>
      </c>
      <c r="D14" s="4">
        <f t="shared" si="0"/>
        <v>3.2365436296951877E-2</v>
      </c>
      <c r="E14" s="4">
        <f t="shared" si="1"/>
        <v>1.5867042756000986</v>
      </c>
      <c r="F14" s="4">
        <f t="shared" si="2"/>
        <v>4.3445133642351141</v>
      </c>
      <c r="G14" s="4">
        <f t="shared" si="3"/>
        <v>7.163967252032883</v>
      </c>
      <c r="I14" s="4">
        <f t="shared" si="4"/>
        <v>1.0323654362969519</v>
      </c>
    </row>
    <row r="15" spans="1:9" x14ac:dyDescent="0.2">
      <c r="A15" s="4">
        <f>IF('True_Odds_Calculator_3-way'!A16="","",'True_Odds_Calculator_3-way'!A16)</f>
        <v>2.4500000000000002</v>
      </c>
      <c r="B15" s="4">
        <f>IF('True_Odds_Calculator_3-way'!B16="","",'True_Odds_Calculator_3-way'!B16)</f>
        <v>3.17</v>
      </c>
      <c r="C15" s="4">
        <f>IF('True_Odds_Calculator_3-way'!C16="","",'True_Odds_Calculator_3-way'!C16)</f>
        <v>3.29</v>
      </c>
      <c r="D15" s="4">
        <f t="shared" si="0"/>
        <v>2.7572046336488798E-2</v>
      </c>
      <c r="E15" s="4">
        <f t="shared" si="1"/>
        <v>2.5064378910313558</v>
      </c>
      <c r="F15" s="4">
        <f t="shared" si="2"/>
        <v>3.2651277410621509</v>
      </c>
      <c r="G15" s="4">
        <f t="shared" si="3"/>
        <v>3.3925826903624854</v>
      </c>
      <c r="I15" s="4">
        <f t="shared" si="4"/>
        <v>1.0275720463364888</v>
      </c>
    </row>
    <row r="16" spans="1:9" x14ac:dyDescent="0.2">
      <c r="A16" s="4">
        <f>IF('True_Odds_Calculator_3-way'!A17="","",'True_Odds_Calculator_3-way'!A17)</f>
        <v>2.0299999999999998</v>
      </c>
      <c r="B16" s="4">
        <f>IF('True_Odds_Calculator_3-way'!B17="","",'True_Odds_Calculator_3-way'!B17)</f>
        <v>3.28</v>
      </c>
      <c r="C16" s="4">
        <f>IF('True_Odds_Calculator_3-way'!C17="","",'True_Odds_Calculator_3-way'!C17)</f>
        <v>4.33</v>
      </c>
      <c r="D16" s="4">
        <f t="shared" si="0"/>
        <v>2.8435768436001707E-2</v>
      </c>
      <c r="E16" s="4">
        <f t="shared" si="1"/>
        <v>2.0698266452362692</v>
      </c>
      <c r="F16" s="4">
        <f t="shared" si="2"/>
        <v>3.3852465483975815</v>
      </c>
      <c r="G16" s="4">
        <f t="shared" si="3"/>
        <v>4.5153190447045359</v>
      </c>
      <c r="I16" s="4">
        <f t="shared" si="4"/>
        <v>1.0284357684360017</v>
      </c>
    </row>
    <row r="17" spans="1:9" x14ac:dyDescent="0.2">
      <c r="A17" s="4">
        <f>IF('True_Odds_Calculator_3-way'!A18="","",'True_Odds_Calculator_3-way'!A18)</f>
        <v>2.69</v>
      </c>
      <c r="B17" s="4">
        <f>IF('True_Odds_Calculator_3-way'!B18="","",'True_Odds_Calculator_3-way'!B18)</f>
        <v>3</v>
      </c>
      <c r="C17" s="4">
        <f>IF('True_Odds_Calculator_3-way'!C18="","",'True_Odds_Calculator_3-way'!C18)</f>
        <v>3.1</v>
      </c>
      <c r="D17" s="4">
        <f t="shared" si="0"/>
        <v>2.7661190390534385E-2</v>
      </c>
      <c r="E17" s="4">
        <f t="shared" si="1"/>
        <v>2.7584166421640695</v>
      </c>
      <c r="F17" s="4">
        <f t="shared" si="2"/>
        <v>3.0853442959917774</v>
      </c>
      <c r="G17" s="4">
        <f t="shared" si="3"/>
        <v>3.1912152393911049</v>
      </c>
      <c r="I17" s="4">
        <f t="shared" si="4"/>
        <v>1.0276611903905344</v>
      </c>
    </row>
    <row r="18" spans="1:9" x14ac:dyDescent="0.2">
      <c r="A18" s="4">
        <f>IF('True_Odds_Calculator_3-way'!A19="","",'True_Odds_Calculator_3-way'!A19)</f>
        <v>2.13</v>
      </c>
      <c r="B18" s="4">
        <f>IF('True_Odds_Calculator_3-way'!B19="","",'True_Odds_Calculator_3-way'!B19)</f>
        <v>3.28</v>
      </c>
      <c r="C18" s="4">
        <f>IF('True_Odds_Calculator_3-way'!C19="","",'True_Odds_Calculator_3-way'!C19)</f>
        <v>3.95</v>
      </c>
      <c r="D18" s="4">
        <f t="shared" si="0"/>
        <v>2.752617381763045E-2</v>
      </c>
      <c r="E18" s="4">
        <f t="shared" si="1"/>
        <v>2.1724576064372192</v>
      </c>
      <c r="F18" s="4">
        <f t="shared" si="2"/>
        <v>3.3817754917306893</v>
      </c>
      <c r="G18" s="4">
        <f t="shared" si="3"/>
        <v>4.0985426429658443</v>
      </c>
      <c r="I18" s="4">
        <f t="shared" si="4"/>
        <v>1.0275261738176305</v>
      </c>
    </row>
    <row r="19" spans="1:9" x14ac:dyDescent="0.2">
      <c r="A19" s="4">
        <f>IF('True_Odds_Calculator_3-way'!A20="","",'True_Odds_Calculator_3-way'!A20)</f>
        <v>2.2599999999999998</v>
      </c>
      <c r="B19" s="4">
        <f>IF('True_Odds_Calculator_3-way'!B20="","",'True_Odds_Calculator_3-way'!B20)</f>
        <v>3.29</v>
      </c>
      <c r="C19" s="4">
        <f>IF('True_Odds_Calculator_3-way'!C20="","",'True_Odds_Calculator_3-way'!C20)</f>
        <v>3.56</v>
      </c>
      <c r="D19" s="4">
        <f t="shared" si="0"/>
        <v>2.732812029184406E-2</v>
      </c>
      <c r="E19" s="4">
        <f t="shared" si="1"/>
        <v>2.3075050305365656</v>
      </c>
      <c r="F19" s="4">
        <f t="shared" si="2"/>
        <v>3.3916471166284783</v>
      </c>
      <c r="G19" s="4">
        <f t="shared" si="3"/>
        <v>3.6793179613566784</v>
      </c>
      <c r="I19" s="4">
        <f t="shared" si="4"/>
        <v>1.0273281202918441</v>
      </c>
    </row>
    <row r="20" spans="1:9" x14ac:dyDescent="0.2">
      <c r="A20" s="4">
        <f>IF('True_Odds_Calculator_3-way'!A21="","",'True_Odds_Calculator_3-way'!A21)</f>
        <v>3.3</v>
      </c>
      <c r="B20" s="4">
        <f>IF('True_Odds_Calculator_3-way'!B21="","",'True_Odds_Calculator_3-way'!B21)</f>
        <v>2.79</v>
      </c>
      <c r="C20" s="4">
        <f>IF('True_Odds_Calculator_3-way'!C21="","",'True_Odds_Calculator_3-way'!C21)</f>
        <v>2.62</v>
      </c>
      <c r="D20" s="4">
        <f t="shared" si="0"/>
        <v>4.3132631411380462E-2</v>
      </c>
      <c r="E20" s="4">
        <f t="shared" si="1"/>
        <v>3.4643701403709324</v>
      </c>
      <c r="F20" s="4">
        <f t="shared" si="2"/>
        <v>2.9065931814950394</v>
      </c>
      <c r="G20" s="4">
        <f t="shared" si="3"/>
        <v>2.7225564266188726</v>
      </c>
      <c r="I20" s="4">
        <f t="shared" si="4"/>
        <v>1.0431326314113805</v>
      </c>
    </row>
    <row r="21" spans="1:9" x14ac:dyDescent="0.2">
      <c r="A21" s="4">
        <f>IF('True_Odds_Calculator_3-way'!A22="","",'True_Odds_Calculator_3-way'!A22)</f>
        <v>3.31</v>
      </c>
      <c r="B21" s="4">
        <f>IF('True_Odds_Calculator_3-way'!B22="","",'True_Odds_Calculator_3-way'!B22)</f>
        <v>3.11</v>
      </c>
      <c r="C21" s="4">
        <f>IF('True_Odds_Calculator_3-way'!C22="","",'True_Odds_Calculator_3-way'!C22)</f>
        <v>2.38</v>
      </c>
      <c r="D21" s="4">
        <f t="shared" si="0"/>
        <v>4.3826279212397123E-2</v>
      </c>
      <c r="E21" s="4">
        <f t="shared" si="1"/>
        <v>3.4781877503412182</v>
      </c>
      <c r="F21" s="4">
        <f t="shared" si="2"/>
        <v>3.2580225285330129</v>
      </c>
      <c r="G21" s="4">
        <f t="shared" si="3"/>
        <v>2.4657306133359422</v>
      </c>
      <c r="I21" s="4">
        <f t="shared" si="4"/>
        <v>1.0438262792123971</v>
      </c>
    </row>
    <row r="22" spans="1:9" x14ac:dyDescent="0.2">
      <c r="A22" s="4">
        <f>IF('True_Odds_Calculator_3-way'!A23="","",'True_Odds_Calculator_3-way'!A23)</f>
        <v>2.72</v>
      </c>
      <c r="B22" s="4">
        <f>IF('True_Odds_Calculator_3-way'!B23="","",'True_Odds_Calculator_3-way'!B23)</f>
        <v>2.86</v>
      </c>
      <c r="C22" s="4">
        <f>IF('True_Odds_Calculator_3-way'!C23="","",'True_Odds_Calculator_3-way'!C23)</f>
        <v>3.05</v>
      </c>
      <c r="D22" s="4">
        <f t="shared" si="0"/>
        <v>4.516626093289533E-2</v>
      </c>
      <c r="E22" s="4">
        <f t="shared" si="1"/>
        <v>2.8361421280963413</v>
      </c>
      <c r="F22" s="4">
        <f t="shared" si="2"/>
        <v>2.9886884477728755</v>
      </c>
      <c r="G22" s="4">
        <f t="shared" si="3"/>
        <v>3.1967936706973328</v>
      </c>
      <c r="I22" s="4">
        <f t="shared" si="4"/>
        <v>1.0451662609328953</v>
      </c>
    </row>
    <row r="23" spans="1:9" x14ac:dyDescent="0.2">
      <c r="A23" s="4">
        <f>IF('True_Odds_Calculator_3-way'!A24="","",'True_Odds_Calculator_3-way'!A24)</f>
        <v>1.49</v>
      </c>
      <c r="B23" s="4">
        <f>IF('True_Odds_Calculator_3-way'!B24="","",'True_Odds_Calculator_3-way'!B24)</f>
        <v>4.1900000000000004</v>
      </c>
      <c r="C23" s="4">
        <f>IF('True_Odds_Calculator_3-way'!C24="","",'True_Odds_Calculator_3-way'!C24)</f>
        <v>7.13</v>
      </c>
      <c r="D23" s="4">
        <f t="shared" si="0"/>
        <v>5.0056878502141355E-2</v>
      </c>
      <c r="E23" s="4">
        <f t="shared" si="1"/>
        <v>1.5279882055798428</v>
      </c>
      <c r="F23" s="4">
        <f t="shared" si="2"/>
        <v>4.5049538164328924</v>
      </c>
      <c r="G23" s="4">
        <f t="shared" si="3"/>
        <v>8.0927868276441899</v>
      </c>
      <c r="I23" s="4">
        <f t="shared" si="4"/>
        <v>1.0500568785021414</v>
      </c>
    </row>
    <row r="24" spans="1:9" x14ac:dyDescent="0.2">
      <c r="A24" s="4">
        <f>IF('True_Odds_Calculator_3-way'!A25="","",'True_Odds_Calculator_3-way'!A25)</f>
        <v>3.43</v>
      </c>
      <c r="B24" s="4">
        <f>IF('True_Odds_Calculator_3-way'!B25="","",'True_Odds_Calculator_3-way'!B25)</f>
        <v>3.09</v>
      </c>
      <c r="C24" s="4">
        <f>IF('True_Odds_Calculator_3-way'!C25="","",'True_Odds_Calculator_3-way'!C25)</f>
        <v>2.33</v>
      </c>
      <c r="D24" s="4">
        <f t="shared" si="0"/>
        <v>4.435433432985203E-2</v>
      </c>
      <c r="E24" s="4">
        <f t="shared" si="1"/>
        <v>3.6132335364065469</v>
      </c>
      <c r="F24" s="4">
        <f t="shared" si="2"/>
        <v>3.237924463724823</v>
      </c>
      <c r="G24" s="4">
        <f t="shared" si="3"/>
        <v>2.4131287452031742</v>
      </c>
      <c r="I24" s="4">
        <f t="shared" si="4"/>
        <v>1.044354334329852</v>
      </c>
    </row>
    <row r="25" spans="1: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4" t="str">
        <f t="shared" si="0"/>
        <v/>
      </c>
      <c r="E38" s="4" t="str">
        <f t="shared" si="1"/>
        <v/>
      </c>
      <c r="F38" s="4" t="str">
        <f t="shared" si="2"/>
        <v/>
      </c>
      <c r="G38" s="4" t="str">
        <f t="shared" si="3"/>
        <v/>
      </c>
      <c r="I38" s="4" t="str">
        <f t="shared" si="4"/>
        <v/>
      </c>
    </row>
    <row r="39" spans="1: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4" t="str">
        <f t="shared" si="0"/>
        <v/>
      </c>
      <c r="E39" s="4" t="str">
        <f t="shared" si="1"/>
        <v/>
      </c>
      <c r="F39" s="4" t="str">
        <f t="shared" si="2"/>
        <v/>
      </c>
      <c r="G39" s="4" t="str">
        <f t="shared" si="3"/>
        <v/>
      </c>
      <c r="I39" s="4" t="str">
        <f t="shared" si="4"/>
        <v/>
      </c>
    </row>
    <row r="40" spans="1: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2.23</v>
      </c>
      <c r="B2" s="4">
        <f>IF('True_Odds_Calculator_2-way'!B3="","",'True_Odds_Calculator_2-way'!B3)</f>
        <v>1.67</v>
      </c>
      <c r="C2" s="4">
        <f>1/A2</f>
        <v>0.44843049327354262</v>
      </c>
      <c r="D2">
        <f>1/B2</f>
        <v>0.5988023952095809</v>
      </c>
      <c r="E2">
        <f>C2+D2-1</f>
        <v>4.7232888483123459E-2</v>
      </c>
      <c r="F2">
        <f>C2+D2-(C2*D2)-1</f>
        <v>-0.22128836497408777</v>
      </c>
      <c r="G2">
        <v>0</v>
      </c>
      <c r="H2">
        <f>C2*D2</f>
        <v>0.26852125345721117</v>
      </c>
      <c r="I2">
        <f>((-4*F2*H2)^0.5)/(2*F2)</f>
        <v>-1.1015647826027291</v>
      </c>
      <c r="J2">
        <f>(-((-4*F2*H2)^0.5))/(2*F2)</f>
        <v>1.1015647826027291</v>
      </c>
      <c r="K2">
        <f>IF(A2="","",(C2/($J2+C2-($J2*C2))))</f>
        <v>0.42464203096948078</v>
      </c>
      <c r="L2">
        <f>IF(B2="","",(D2/($J2+D2-($J2*D2))))</f>
        <v>0.57535796903051928</v>
      </c>
      <c r="M2">
        <f>IF(A2="","",1/K2)</f>
        <v>2.3549246826013568</v>
      </c>
      <c r="N2">
        <f>IF(B2="","",1/L2)</f>
        <v>1.7380484043438287</v>
      </c>
    </row>
    <row r="3" spans="1:14" x14ac:dyDescent="0.25">
      <c r="A3" s="4">
        <f>IF('True_Odds_Calculator_2-way'!A4="","",'True_Odds_Calculator_2-way'!A4)</f>
        <v>1.74</v>
      </c>
      <c r="B3" s="4">
        <f>IF('True_Odds_Calculator_2-way'!B4="","",'True_Odds_Calculator_2-way'!B4)</f>
        <v>2.12</v>
      </c>
      <c r="C3" s="4">
        <f t="shared" ref="C3:C66" si="0">1/A3</f>
        <v>0.57471264367816088</v>
      </c>
      <c r="D3">
        <f t="shared" ref="D3:D66" si="1">1/B3</f>
        <v>0.47169811320754712</v>
      </c>
      <c r="E3">
        <f t="shared" ref="E3:E66" si="2">C3+D3-1</f>
        <v>4.6410756885707949E-2</v>
      </c>
      <c r="F3">
        <f t="shared" ref="F3:F66" si="3">C3+D3-(C3*D3)-1</f>
        <v>-0.22468011277380184</v>
      </c>
      <c r="G3">
        <v>0</v>
      </c>
      <c r="H3">
        <f t="shared" ref="H3:H66" si="4">C3*D3</f>
        <v>0.27109086965950985</v>
      </c>
      <c r="I3">
        <f t="shared" ref="I3:I66" si="5">((-4*F3*H3)^0.5)/(2*F3)</f>
        <v>-1.0984369379093668</v>
      </c>
      <c r="J3">
        <f t="shared" ref="J3:J66" si="6">(-((-4*F3*H3)^0.5))/(2*F3)</f>
        <v>1.0984369379093668</v>
      </c>
      <c r="K3">
        <f t="shared" ref="K3:K66" si="7">IF(A3="","",(C3/($J3+C3-($J3*C3))))</f>
        <v>0.55161964700188582</v>
      </c>
      <c r="L3">
        <f t="shared" ref="L3:L66" si="8">IF(B3="","",(D3/($J3+D3-($J3*D3))))</f>
        <v>0.44838035299811413</v>
      </c>
      <c r="M3">
        <f t="shared" ref="M3:M66" si="9">IF(A3="","",1/K3)</f>
        <v>1.8128433340529317</v>
      </c>
      <c r="N3">
        <f t="shared" ref="N3:N66" si="10">IF(B3="","",1/L3)</f>
        <v>2.2302493704584911</v>
      </c>
    </row>
    <row r="4" spans="1:14" x14ac:dyDescent="0.25">
      <c r="A4" s="4">
        <f>IF('True_Odds_Calculator_2-way'!A5="","",'True_Odds_Calculator_2-way'!A5)</f>
        <v>2.63</v>
      </c>
      <c r="B4" s="4">
        <f>IF('True_Odds_Calculator_2-way'!B5="","",'True_Odds_Calculator_2-way'!B5)</f>
        <v>1.52</v>
      </c>
      <c r="C4" s="4">
        <f t="shared" si="0"/>
        <v>0.38022813688212931</v>
      </c>
      <c r="D4">
        <f t="shared" si="1"/>
        <v>0.65789473684210531</v>
      </c>
      <c r="E4">
        <f t="shared" si="2"/>
        <v>3.8122873724234729E-2</v>
      </c>
      <c r="F4">
        <f t="shared" si="3"/>
        <v>-0.21202721632979771</v>
      </c>
      <c r="G4">
        <v>0</v>
      </c>
      <c r="H4">
        <f t="shared" si="4"/>
        <v>0.25015009005403244</v>
      </c>
      <c r="I4">
        <f t="shared" si="5"/>
        <v>-1.0861868132594534</v>
      </c>
      <c r="J4">
        <f t="shared" si="6"/>
        <v>1.0861868132594534</v>
      </c>
      <c r="K4">
        <f t="shared" si="7"/>
        <v>0.36094769632316426</v>
      </c>
      <c r="L4">
        <f t="shared" si="8"/>
        <v>0.63905230367683563</v>
      </c>
      <c r="M4">
        <f t="shared" si="9"/>
        <v>2.7704845056129086</v>
      </c>
      <c r="N4">
        <f t="shared" si="10"/>
        <v>1.5648171428949158</v>
      </c>
    </row>
    <row r="5" spans="1:14" x14ac:dyDescent="0.25">
      <c r="A5" s="4">
        <f>IF('True_Odds_Calculator_2-way'!A6="","",'True_Odds_Calculator_2-way'!A6)</f>
        <v>2.86</v>
      </c>
      <c r="B5" s="4">
        <f>IF('True_Odds_Calculator_2-way'!B6="","",'True_Odds_Calculator_2-way'!B6)</f>
        <v>1.44</v>
      </c>
      <c r="C5" s="4">
        <f t="shared" si="0"/>
        <v>0.34965034965034969</v>
      </c>
      <c r="D5">
        <f t="shared" si="1"/>
        <v>0.69444444444444442</v>
      </c>
      <c r="E5">
        <f t="shared" si="2"/>
        <v>4.4094794094794221E-2</v>
      </c>
      <c r="F5">
        <f t="shared" si="3"/>
        <v>-0.19871794871794868</v>
      </c>
      <c r="G5">
        <v>0</v>
      </c>
      <c r="H5">
        <f t="shared" si="4"/>
        <v>0.24281274281274284</v>
      </c>
      <c r="I5">
        <f t="shared" si="5"/>
        <v>-1.1053942207134548</v>
      </c>
      <c r="J5">
        <f t="shared" si="6"/>
        <v>1.1053942207134548</v>
      </c>
      <c r="K5">
        <f t="shared" si="7"/>
        <v>0.32722157058583895</v>
      </c>
      <c r="L5">
        <f t="shared" si="8"/>
        <v>0.67277842941416099</v>
      </c>
      <c r="M5">
        <f t="shared" si="9"/>
        <v>3.0560332505270256</v>
      </c>
      <c r="N5">
        <f t="shared" si="10"/>
        <v>1.4863734571139202</v>
      </c>
    </row>
    <row r="6" spans="1:14" x14ac:dyDescent="0.25">
      <c r="A6" s="4">
        <f>IF('True_Odds_Calculator_2-way'!A7="","",'True_Odds_Calculator_2-way'!A7)</f>
        <v>2.54</v>
      </c>
      <c r="B6" s="4">
        <f>IF('True_Odds_Calculator_2-way'!B7="","",'True_Odds_Calculator_2-way'!B7)</f>
        <v>1.55</v>
      </c>
      <c r="C6" s="4">
        <f t="shared" si="0"/>
        <v>0.39370078740157477</v>
      </c>
      <c r="D6">
        <f t="shared" si="1"/>
        <v>0.64516129032258063</v>
      </c>
      <c r="E6">
        <f t="shared" si="2"/>
        <v>3.8862077724155508E-2</v>
      </c>
      <c r="F6">
        <f t="shared" si="3"/>
        <v>-0.21513843027686042</v>
      </c>
      <c r="G6">
        <v>0</v>
      </c>
      <c r="H6">
        <f t="shared" si="4"/>
        <v>0.25400050800101598</v>
      </c>
      <c r="I6">
        <f t="shared" si="5"/>
        <v>-1.0865714630312673</v>
      </c>
      <c r="J6">
        <f t="shared" si="6"/>
        <v>1.0865714630312673</v>
      </c>
      <c r="K6">
        <f t="shared" si="7"/>
        <v>0.3740666961489727</v>
      </c>
      <c r="L6">
        <f t="shared" si="8"/>
        <v>0.62593330385102708</v>
      </c>
      <c r="M6">
        <f t="shared" si="9"/>
        <v>2.673320053068152</v>
      </c>
      <c r="N6">
        <f t="shared" si="10"/>
        <v>1.5976143046671971</v>
      </c>
    </row>
    <row r="7" spans="1:14" x14ac:dyDescent="0.25">
      <c r="A7" s="4">
        <f>IF('True_Odds_Calculator_2-way'!A8="","",'True_Odds_Calculator_2-way'!A8)</f>
        <v>2.02</v>
      </c>
      <c r="B7" s="4">
        <f>IF('True_Odds_Calculator_2-way'!B8="","",'True_Odds_Calculator_2-way'!B8)</f>
        <v>1.88</v>
      </c>
      <c r="C7" s="4">
        <f t="shared" si="0"/>
        <v>0.49504950495049505</v>
      </c>
      <c r="D7">
        <f t="shared" si="1"/>
        <v>0.53191489361702127</v>
      </c>
      <c r="E7">
        <f t="shared" si="2"/>
        <v>2.6964398567516312E-2</v>
      </c>
      <c r="F7">
        <f t="shared" si="3"/>
        <v>-0.23635980619338537</v>
      </c>
      <c r="G7">
        <v>0</v>
      </c>
      <c r="H7">
        <f t="shared" si="4"/>
        <v>0.26332420476090163</v>
      </c>
      <c r="I7">
        <f t="shared" si="5"/>
        <v>-1.0555008273018724</v>
      </c>
      <c r="J7">
        <f t="shared" si="6"/>
        <v>1.0555008273018724</v>
      </c>
      <c r="K7">
        <f t="shared" si="7"/>
        <v>0.48155387561543506</v>
      </c>
      <c r="L7">
        <f t="shared" si="8"/>
        <v>0.51844612438456505</v>
      </c>
      <c r="M7">
        <f t="shared" si="9"/>
        <v>2.0766108438479098</v>
      </c>
      <c r="N7">
        <f t="shared" si="10"/>
        <v>1.9288407280256479</v>
      </c>
    </row>
    <row r="8" spans="1:14" x14ac:dyDescent="0.25">
      <c r="A8" s="4">
        <f>IF('True_Odds_Calculator_2-way'!A9="","",'True_Odds_Calculator_2-way'!A9)</f>
        <v>2.19</v>
      </c>
      <c r="B8" s="4">
        <f>IF('True_Odds_Calculator_2-way'!B9="","",'True_Odds_Calculator_2-way'!B9)</f>
        <v>1.72</v>
      </c>
      <c r="C8" s="4">
        <f t="shared" si="0"/>
        <v>0.45662100456621008</v>
      </c>
      <c r="D8">
        <f t="shared" si="1"/>
        <v>0.58139534883720934</v>
      </c>
      <c r="E8">
        <f t="shared" si="2"/>
        <v>3.8016353403419467E-2</v>
      </c>
      <c r="F8">
        <f t="shared" si="3"/>
        <v>-0.22746097483274919</v>
      </c>
      <c r="G8">
        <v>0</v>
      </c>
      <c r="H8">
        <f t="shared" si="4"/>
        <v>0.26547732823616865</v>
      </c>
      <c r="I8">
        <f t="shared" si="5"/>
        <v>-1.0803395392536077</v>
      </c>
      <c r="J8">
        <f t="shared" si="6"/>
        <v>1.0803395392536077</v>
      </c>
      <c r="K8">
        <f t="shared" si="7"/>
        <v>0.43752110049466114</v>
      </c>
      <c r="L8">
        <f t="shared" si="8"/>
        <v>0.5624788995053388</v>
      </c>
      <c r="M8">
        <f t="shared" si="9"/>
        <v>2.2856040517117928</v>
      </c>
      <c r="N8">
        <f t="shared" si="10"/>
        <v>1.7778444682625973</v>
      </c>
    </row>
    <row r="9" spans="1:14" x14ac:dyDescent="0.25">
      <c r="A9" s="4">
        <f>IF('True_Odds_Calculator_2-way'!A10="","",'True_Odds_Calculator_2-way'!A10)</f>
        <v>2.75</v>
      </c>
      <c r="B9" s="4">
        <f>IF('True_Odds_Calculator_2-way'!B10="","",'True_Odds_Calculator_2-way'!B10)</f>
        <v>1.48</v>
      </c>
      <c r="C9" s="4">
        <f t="shared" si="0"/>
        <v>0.36363636363636365</v>
      </c>
      <c r="D9">
        <f t="shared" si="1"/>
        <v>0.67567567567567566</v>
      </c>
      <c r="E9">
        <f t="shared" si="2"/>
        <v>3.9312039312039193E-2</v>
      </c>
      <c r="F9">
        <f t="shared" si="3"/>
        <v>-0.20638820638820654</v>
      </c>
      <c r="G9">
        <v>0</v>
      </c>
      <c r="H9">
        <f t="shared" si="4"/>
        <v>0.24570024570024571</v>
      </c>
      <c r="I9">
        <f t="shared" si="5"/>
        <v>-1.0910894511799616</v>
      </c>
      <c r="J9">
        <f t="shared" si="6"/>
        <v>1.0910894511799616</v>
      </c>
      <c r="K9">
        <f t="shared" si="7"/>
        <v>0.34371270786706143</v>
      </c>
      <c r="L9">
        <f t="shared" si="8"/>
        <v>0.65628729213293868</v>
      </c>
      <c r="M9">
        <f t="shared" si="9"/>
        <v>2.9094065395649333</v>
      </c>
      <c r="N9">
        <f t="shared" si="10"/>
        <v>1.5237229365663816</v>
      </c>
    </row>
    <row r="10" spans="1:14" x14ac:dyDescent="0.25">
      <c r="A10" s="4">
        <f>IF('True_Odds_Calculator_2-way'!A11="","",'True_Odds_Calculator_2-way'!A11)</f>
        <v>2.93</v>
      </c>
      <c r="B10" s="4">
        <f>IF('True_Odds_Calculator_2-way'!B11="","",'True_Odds_Calculator_2-way'!B11)</f>
        <v>1.42</v>
      </c>
      <c r="C10" s="4">
        <f t="shared" si="0"/>
        <v>0.34129692832764502</v>
      </c>
      <c r="D10">
        <f t="shared" si="1"/>
        <v>0.70422535211267612</v>
      </c>
      <c r="E10">
        <f t="shared" si="2"/>
        <v>4.552228044032125E-2</v>
      </c>
      <c r="F10">
        <f t="shared" si="3"/>
        <v>-0.19482766908618931</v>
      </c>
      <c r="G10">
        <v>0</v>
      </c>
      <c r="H10">
        <f t="shared" si="4"/>
        <v>0.24034994952651059</v>
      </c>
      <c r="I10">
        <f t="shared" si="5"/>
        <v>-1.1106998169600177</v>
      </c>
      <c r="J10">
        <f t="shared" si="6"/>
        <v>1.1106998169600177</v>
      </c>
      <c r="K10">
        <f t="shared" si="7"/>
        <v>0.31810150438926482</v>
      </c>
      <c r="L10">
        <f t="shared" si="8"/>
        <v>0.68189849561073512</v>
      </c>
      <c r="M10">
        <f t="shared" si="9"/>
        <v>3.1436506467328345</v>
      </c>
      <c r="N10">
        <f t="shared" si="10"/>
        <v>1.4664939231232073</v>
      </c>
    </row>
    <row r="11" spans="1:14" x14ac:dyDescent="0.25">
      <c r="A11" s="4">
        <f>IF('True_Odds_Calculator_2-way'!A12="","",'True_Odds_Calculator_2-way'!A12)</f>
        <v>2.11</v>
      </c>
      <c r="B11" s="4">
        <f>IF('True_Odds_Calculator_2-way'!B12="","",'True_Odds_Calculator_2-way'!B12)</f>
        <v>1.79</v>
      </c>
      <c r="C11" s="4">
        <f t="shared" si="0"/>
        <v>0.47393364928909953</v>
      </c>
      <c r="D11">
        <f t="shared" si="1"/>
        <v>0.55865921787709494</v>
      </c>
      <c r="E11">
        <f t="shared" si="2"/>
        <v>3.2592867166194583E-2</v>
      </c>
      <c r="F11">
        <f t="shared" si="3"/>
        <v>-0.23217453467129112</v>
      </c>
      <c r="G11">
        <v>0</v>
      </c>
      <c r="H11">
        <f t="shared" si="4"/>
        <v>0.26476740183748576</v>
      </c>
      <c r="I11">
        <f t="shared" si="5"/>
        <v>-1.0678861770883312</v>
      </c>
      <c r="J11">
        <f t="shared" si="6"/>
        <v>1.0678861770883312</v>
      </c>
      <c r="K11">
        <f t="shared" si="7"/>
        <v>0.45759183965236705</v>
      </c>
      <c r="L11">
        <f t="shared" si="8"/>
        <v>0.54240816034763273</v>
      </c>
      <c r="M11">
        <f t="shared" si="9"/>
        <v>2.1853536565680476</v>
      </c>
      <c r="N11">
        <f t="shared" si="10"/>
        <v>1.8436300798997822</v>
      </c>
    </row>
    <row r="12" spans="1:14" x14ac:dyDescent="0.25">
      <c r="A12" s="4">
        <f>IF('True_Odds_Calculator_2-way'!A13="","",'True_Odds_Calculator_2-way'!A13)</f>
        <v>2.46</v>
      </c>
      <c r="B12" s="4">
        <f>IF('True_Odds_Calculator_2-way'!B13="","",'True_Odds_Calculator_2-way'!B13)</f>
        <v>1.6</v>
      </c>
      <c r="C12" s="4">
        <f t="shared" si="0"/>
        <v>0.4065040650406504</v>
      </c>
      <c r="D12">
        <f t="shared" si="1"/>
        <v>0.625</v>
      </c>
      <c r="E12">
        <f t="shared" si="2"/>
        <v>3.1504065040650397E-2</v>
      </c>
      <c r="F12">
        <f t="shared" si="3"/>
        <v>-0.22256097560975607</v>
      </c>
      <c r="G12">
        <v>0</v>
      </c>
      <c r="H12">
        <f t="shared" si="4"/>
        <v>0.25406504065040647</v>
      </c>
      <c r="I12">
        <f t="shared" si="5"/>
        <v>-1.0684346079267206</v>
      </c>
      <c r="J12">
        <f t="shared" si="6"/>
        <v>1.0684346079267206</v>
      </c>
      <c r="K12">
        <f t="shared" si="7"/>
        <v>0.39063804249279904</v>
      </c>
      <c r="L12">
        <f t="shared" si="8"/>
        <v>0.60936195750720079</v>
      </c>
      <c r="M12">
        <f t="shared" si="9"/>
        <v>2.5599145275730124</v>
      </c>
      <c r="N12">
        <f t="shared" si="10"/>
        <v>1.6410607647560327</v>
      </c>
    </row>
    <row r="13" spans="1:14" x14ac:dyDescent="0.25">
      <c r="A13" s="4">
        <f>IF('True_Odds_Calculator_2-way'!A14="","",'True_Odds_Calculator_2-way'!A14)</f>
        <v>2.25</v>
      </c>
      <c r="B13" s="4">
        <f>IF('True_Odds_Calculator_2-way'!B14="","",'True_Odds_Calculator_2-way'!B14)</f>
        <v>1.69</v>
      </c>
      <c r="C13" s="4">
        <f t="shared" si="0"/>
        <v>0.44444444444444442</v>
      </c>
      <c r="D13">
        <f t="shared" si="1"/>
        <v>0.59171597633136097</v>
      </c>
      <c r="E13">
        <f t="shared" si="2"/>
        <v>3.6160420775805502E-2</v>
      </c>
      <c r="F13">
        <f t="shared" si="3"/>
        <v>-0.22682445759368819</v>
      </c>
      <c r="G13">
        <v>0</v>
      </c>
      <c r="H13">
        <f t="shared" si="4"/>
        <v>0.26298487836949375</v>
      </c>
      <c r="I13">
        <f t="shared" si="5"/>
        <v>-1.0767638041163314</v>
      </c>
      <c r="J13">
        <f t="shared" si="6"/>
        <v>1.0767638041163314</v>
      </c>
      <c r="K13">
        <f t="shared" si="7"/>
        <v>0.42626568044702751</v>
      </c>
      <c r="L13">
        <f t="shared" si="8"/>
        <v>0.57373431955297227</v>
      </c>
      <c r="M13">
        <f t="shared" si="9"/>
        <v>2.3459547551454145</v>
      </c>
      <c r="N13">
        <f t="shared" si="10"/>
        <v>1.7429670248402687</v>
      </c>
    </row>
    <row r="14" spans="1:14" x14ac:dyDescent="0.25">
      <c r="A14" s="4">
        <f>IF('True_Odds_Calculator_2-way'!A15="","",'True_Odds_Calculator_2-way'!A15)</f>
        <v>2.08</v>
      </c>
      <c r="B14" s="4">
        <f>IF('True_Odds_Calculator_2-way'!B15="","",'True_Odds_Calculator_2-way'!B15)</f>
        <v>1.83</v>
      </c>
      <c r="C14" s="4">
        <f t="shared" si="0"/>
        <v>0.48076923076923073</v>
      </c>
      <c r="D14">
        <f t="shared" si="1"/>
        <v>0.54644808743169393</v>
      </c>
      <c r="E14">
        <f t="shared" si="2"/>
        <v>2.7217318200924545E-2</v>
      </c>
      <c r="F14">
        <f t="shared" si="3"/>
        <v>-0.23549810844892827</v>
      </c>
      <c r="G14">
        <v>0</v>
      </c>
      <c r="H14">
        <f t="shared" si="4"/>
        <v>0.26271542664985281</v>
      </c>
      <c r="I14">
        <f t="shared" si="5"/>
        <v>-1.0562070842074627</v>
      </c>
      <c r="J14">
        <f t="shared" si="6"/>
        <v>1.0562070842074627</v>
      </c>
      <c r="K14">
        <f t="shared" si="7"/>
        <v>0.46713612113428016</v>
      </c>
      <c r="L14">
        <f t="shared" si="8"/>
        <v>0.53286387886572006</v>
      </c>
      <c r="M14">
        <f t="shared" si="9"/>
        <v>2.1407036509440598</v>
      </c>
      <c r="N14">
        <f t="shared" si="10"/>
        <v>1.8766518798921943</v>
      </c>
    </row>
    <row r="15" spans="1:14" x14ac:dyDescent="0.25">
      <c r="A15" s="4">
        <f>IF('True_Odds_Calculator_2-way'!A16="","",'True_Odds_Calculator_2-way'!A16)</f>
        <v>2.0499999999999998</v>
      </c>
      <c r="B15" s="4">
        <f>IF('True_Odds_Calculator_2-way'!B16="","",'True_Odds_Calculator_2-way'!B16)</f>
        <v>1.85</v>
      </c>
      <c r="C15" s="4">
        <f t="shared" si="0"/>
        <v>0.48780487804878053</v>
      </c>
      <c r="D15">
        <f t="shared" si="1"/>
        <v>0.54054054054054046</v>
      </c>
      <c r="E15">
        <f t="shared" si="2"/>
        <v>2.8345418589321048E-2</v>
      </c>
      <c r="F15">
        <f t="shared" si="3"/>
        <v>-0.2353328938694792</v>
      </c>
      <c r="G15">
        <v>0</v>
      </c>
      <c r="H15">
        <f t="shared" si="4"/>
        <v>0.26367831245880025</v>
      </c>
      <c r="I15">
        <f t="shared" si="5"/>
        <v>-1.0585122480499263</v>
      </c>
      <c r="J15">
        <f t="shared" si="6"/>
        <v>1.0585122480499263</v>
      </c>
      <c r="K15">
        <f t="shared" si="7"/>
        <v>0.47361090692279612</v>
      </c>
      <c r="L15">
        <f t="shared" si="8"/>
        <v>0.52638909307720383</v>
      </c>
      <c r="M15">
        <f t="shared" si="9"/>
        <v>2.1114378604524222</v>
      </c>
      <c r="N15">
        <f t="shared" si="10"/>
        <v>1.8997354108424378</v>
      </c>
    </row>
    <row r="16" spans="1:14" x14ac:dyDescent="0.25">
      <c r="A16" s="4">
        <f>IF('True_Odds_Calculator_2-way'!A17="","",'True_Odds_Calculator_2-way'!A17)</f>
        <v>2.2200000000000002</v>
      </c>
      <c r="B16" s="4">
        <f>IF('True_Odds_Calculator_2-way'!B17="","",'True_Odds_Calculator_2-way'!B17)</f>
        <v>1.71</v>
      </c>
      <c r="C16" s="4">
        <f t="shared" si="0"/>
        <v>0.4504504504504504</v>
      </c>
      <c r="D16">
        <f t="shared" si="1"/>
        <v>0.58479532163742687</v>
      </c>
      <c r="E16">
        <f t="shared" si="2"/>
        <v>3.5245772087877381E-2</v>
      </c>
      <c r="F16">
        <f t="shared" si="3"/>
        <v>-0.2281755439650176</v>
      </c>
      <c r="G16">
        <v>0</v>
      </c>
      <c r="H16">
        <f t="shared" si="4"/>
        <v>0.26342131605289498</v>
      </c>
      <c r="I16">
        <f t="shared" si="5"/>
        <v>-1.0744616281415775</v>
      </c>
      <c r="J16">
        <f t="shared" si="6"/>
        <v>1.0744616281415775</v>
      </c>
      <c r="K16">
        <f t="shared" si="7"/>
        <v>0.43274247509065539</v>
      </c>
      <c r="L16">
        <f t="shared" si="8"/>
        <v>0.56725752490934445</v>
      </c>
      <c r="M16">
        <f t="shared" si="9"/>
        <v>2.310843186332725</v>
      </c>
      <c r="N16">
        <f t="shared" si="10"/>
        <v>1.7628677559805201</v>
      </c>
    </row>
    <row r="17" spans="1:14" x14ac:dyDescent="0.25">
      <c r="A17" s="4">
        <f>IF('True_Odds_Calculator_2-way'!A18="","",'True_Odds_Calculator_2-way'!A18)</f>
        <v>2.27</v>
      </c>
      <c r="B17" s="4">
        <f>IF('True_Odds_Calculator_2-way'!B18="","",'True_Odds_Calculator_2-way'!B18)</f>
        <v>1.69</v>
      </c>
      <c r="C17" s="4">
        <f t="shared" si="0"/>
        <v>0.44052863436123346</v>
      </c>
      <c r="D17">
        <f t="shared" si="1"/>
        <v>0.59171597633136097</v>
      </c>
      <c r="E17">
        <f t="shared" si="2"/>
        <v>3.2244610692594433E-2</v>
      </c>
      <c r="F17">
        <f t="shared" si="3"/>
        <v>-0.22842322029038398</v>
      </c>
      <c r="G17">
        <v>0</v>
      </c>
      <c r="H17">
        <f t="shared" si="4"/>
        <v>0.26066783098297841</v>
      </c>
      <c r="I17">
        <f t="shared" si="5"/>
        <v>-1.0682517037726924</v>
      </c>
      <c r="J17">
        <f t="shared" si="6"/>
        <v>1.0682517037726924</v>
      </c>
      <c r="K17">
        <f t="shared" si="7"/>
        <v>0.42432580692415584</v>
      </c>
      <c r="L17">
        <f t="shared" si="8"/>
        <v>0.57567419307584422</v>
      </c>
      <c r="M17">
        <f t="shared" si="9"/>
        <v>2.3566796637913199</v>
      </c>
      <c r="N17">
        <f t="shared" si="10"/>
        <v>1.7370936756031574</v>
      </c>
    </row>
    <row r="18" spans="1:14" x14ac:dyDescent="0.25">
      <c r="A18" s="4">
        <f>IF('True_Odds_Calculator_2-way'!A19="","",'True_Odds_Calculator_2-way'!A19)</f>
        <v>2.31</v>
      </c>
      <c r="B18" s="4">
        <f>IF('True_Odds_Calculator_2-way'!B19="","",'True_Odds_Calculator_2-way'!B19)</f>
        <v>1.67</v>
      </c>
      <c r="C18" s="4">
        <f t="shared" si="0"/>
        <v>0.4329004329004329</v>
      </c>
      <c r="D18">
        <f t="shared" si="1"/>
        <v>0.5988023952095809</v>
      </c>
      <c r="E18">
        <f t="shared" si="2"/>
        <v>3.1702828110013792E-2</v>
      </c>
      <c r="F18">
        <f t="shared" si="3"/>
        <v>-0.22751898799802994</v>
      </c>
      <c r="G18">
        <v>0</v>
      </c>
      <c r="H18">
        <f t="shared" si="4"/>
        <v>0.25922181610804368</v>
      </c>
      <c r="I18">
        <f t="shared" si="5"/>
        <v>-1.0673993913412883</v>
      </c>
      <c r="J18">
        <f t="shared" si="6"/>
        <v>1.0673993913412883</v>
      </c>
      <c r="K18">
        <f t="shared" si="7"/>
        <v>0.41696319653163855</v>
      </c>
      <c r="L18">
        <f t="shared" si="8"/>
        <v>0.5830368034683614</v>
      </c>
      <c r="M18">
        <f t="shared" si="9"/>
        <v>2.3982932026570873</v>
      </c>
      <c r="N18">
        <f t="shared" si="10"/>
        <v>1.7151575921986633</v>
      </c>
    </row>
    <row r="19" spans="1:14" x14ac:dyDescent="0.25">
      <c r="A19" s="4">
        <f>IF('True_Odds_Calculator_2-way'!A20="","",'True_Odds_Calculator_2-way'!A20)</f>
        <v>2.0299999999999998</v>
      </c>
      <c r="B19" s="4">
        <f>IF('True_Odds_Calculator_2-way'!B20="","",'True_Odds_Calculator_2-way'!B20)</f>
        <v>1.86</v>
      </c>
      <c r="C19" s="4">
        <f t="shared" si="0"/>
        <v>0.49261083743842371</v>
      </c>
      <c r="D19">
        <f t="shared" si="1"/>
        <v>0.5376344086021505</v>
      </c>
      <c r="E19">
        <f t="shared" si="2"/>
        <v>3.0245246040574214E-2</v>
      </c>
      <c r="F19">
        <f t="shared" si="3"/>
        <v>-0.23459929021664283</v>
      </c>
      <c r="G19">
        <v>0</v>
      </c>
      <c r="H19">
        <f t="shared" si="4"/>
        <v>0.26484453625721704</v>
      </c>
      <c r="I19">
        <f t="shared" si="5"/>
        <v>-1.0625078858299792</v>
      </c>
      <c r="J19">
        <f t="shared" si="6"/>
        <v>1.0625078858299792</v>
      </c>
      <c r="K19">
        <f t="shared" si="7"/>
        <v>0.47746756040114985</v>
      </c>
      <c r="L19">
        <f t="shared" si="8"/>
        <v>0.5225324395988501</v>
      </c>
      <c r="M19">
        <f t="shared" si="9"/>
        <v>2.0943831224048783</v>
      </c>
      <c r="N19">
        <f t="shared" si="10"/>
        <v>1.9137567818137824</v>
      </c>
    </row>
    <row r="20" spans="1:14" x14ac:dyDescent="0.25">
      <c r="A20" s="4">
        <f>IF('True_Odds_Calculator_2-way'!A21="","",'True_Odds_Calculator_2-way'!A21)</f>
        <v>2.76</v>
      </c>
      <c r="B20" s="4">
        <f>IF('True_Odds_Calculator_2-way'!B21="","",'True_Odds_Calculator_2-way'!B21)</f>
        <v>1.46</v>
      </c>
      <c r="C20" s="4">
        <f t="shared" si="0"/>
        <v>0.3623188405797102</v>
      </c>
      <c r="D20">
        <f t="shared" si="1"/>
        <v>0.68493150684931503</v>
      </c>
      <c r="E20">
        <f t="shared" si="2"/>
        <v>4.7250347429025119E-2</v>
      </c>
      <c r="F20">
        <f t="shared" si="3"/>
        <v>-0.20091324200913252</v>
      </c>
      <c r="G20">
        <v>0</v>
      </c>
      <c r="H20">
        <f t="shared" si="4"/>
        <v>0.24816358943815767</v>
      </c>
      <c r="I20">
        <f t="shared" si="5"/>
        <v>-1.1113855611859673</v>
      </c>
      <c r="J20">
        <f t="shared" si="6"/>
        <v>1.1113855611859673</v>
      </c>
      <c r="K20">
        <f t="shared" si="7"/>
        <v>0.33829057718166117</v>
      </c>
      <c r="L20">
        <f t="shared" si="8"/>
        <v>0.66170942281833889</v>
      </c>
      <c r="M20">
        <f t="shared" si="9"/>
        <v>2.9560385876873023</v>
      </c>
      <c r="N20">
        <f t="shared" si="10"/>
        <v>1.5112373581455452</v>
      </c>
    </row>
    <row r="21" spans="1:14" x14ac:dyDescent="0.25">
      <c r="A21" s="4">
        <f>IF('True_Odds_Calculator_2-way'!A22="","",'True_Odds_Calculator_2-way'!A22)</f>
        <v>2.5299999999999998</v>
      </c>
      <c r="B21" s="4">
        <f>IF('True_Odds_Calculator_2-way'!B22="","",'True_Odds_Calculator_2-way'!B22)</f>
        <v>1.53</v>
      </c>
      <c r="C21" s="4">
        <f t="shared" si="0"/>
        <v>0.39525691699604748</v>
      </c>
      <c r="D21">
        <f t="shared" si="1"/>
        <v>0.65359477124183007</v>
      </c>
      <c r="E21">
        <f t="shared" si="2"/>
        <v>4.8851688237877555E-2</v>
      </c>
      <c r="F21">
        <f t="shared" si="3"/>
        <v>-0.20948616600790504</v>
      </c>
      <c r="G21">
        <v>0</v>
      </c>
      <c r="H21">
        <f t="shared" si="4"/>
        <v>0.25833785424578265</v>
      </c>
      <c r="I21">
        <f t="shared" si="5"/>
        <v>-1.1104943410879495</v>
      </c>
      <c r="J21">
        <f t="shared" si="6"/>
        <v>1.1104943410879495</v>
      </c>
      <c r="K21">
        <f t="shared" si="7"/>
        <v>0.37049986118821809</v>
      </c>
      <c r="L21">
        <f t="shared" si="8"/>
        <v>0.62950013881178191</v>
      </c>
      <c r="M21">
        <f t="shared" si="9"/>
        <v>2.6990563418645621</v>
      </c>
      <c r="N21">
        <f t="shared" si="10"/>
        <v>1.5885620007766132</v>
      </c>
    </row>
    <row r="22" spans="1:14" x14ac:dyDescent="0.25">
      <c r="A22" s="4">
        <f>IF('True_Odds_Calculator_2-way'!A23="","",'True_Odds_Calculator_2-way'!A23)</f>
        <v>2.64</v>
      </c>
      <c r="B22" s="4">
        <f>IF('True_Odds_Calculator_2-way'!B23="","",'True_Odds_Calculator_2-way'!B23)</f>
        <v>1.5</v>
      </c>
      <c r="C22" s="4">
        <f t="shared" si="0"/>
        <v>0.37878787878787878</v>
      </c>
      <c r="D22">
        <f t="shared" si="1"/>
        <v>0.66666666666666663</v>
      </c>
      <c r="E22">
        <f t="shared" si="2"/>
        <v>4.5454545454545414E-2</v>
      </c>
      <c r="F22">
        <f t="shared" si="3"/>
        <v>-0.20707070707070707</v>
      </c>
      <c r="G22">
        <v>0</v>
      </c>
      <c r="H22">
        <f t="shared" si="4"/>
        <v>0.25252525252525249</v>
      </c>
      <c r="I22">
        <f t="shared" si="5"/>
        <v>-1.1043152607484652</v>
      </c>
      <c r="J22">
        <f t="shared" si="6"/>
        <v>1.1043152607484652</v>
      </c>
      <c r="K22">
        <f t="shared" si="7"/>
        <v>0.35573553843310673</v>
      </c>
      <c r="L22">
        <f t="shared" si="8"/>
        <v>0.64426446156689343</v>
      </c>
      <c r="M22">
        <f t="shared" si="9"/>
        <v>2.811077027627483</v>
      </c>
      <c r="N22">
        <f t="shared" si="10"/>
        <v>1.5521576303742324</v>
      </c>
    </row>
    <row r="23" spans="1:14" x14ac:dyDescent="0.25">
      <c r="A23" s="4">
        <f>IF('True_Odds_Calculator_2-way'!A24="","",'True_Odds_Calculator_2-way'!A24)</f>
        <v>2.02</v>
      </c>
      <c r="B23" s="4">
        <f>IF('True_Odds_Calculator_2-way'!B24="","",'True_Odds_Calculator_2-way'!B24)</f>
        <v>1.83</v>
      </c>
      <c r="C23" s="4">
        <f t="shared" si="0"/>
        <v>0.49504950495049505</v>
      </c>
      <c r="D23">
        <f t="shared" si="1"/>
        <v>0.54644808743169393</v>
      </c>
      <c r="E23">
        <f t="shared" si="2"/>
        <v>4.1497592382188975E-2</v>
      </c>
      <c r="F23">
        <f t="shared" si="3"/>
        <v>-0.22902126278201596</v>
      </c>
      <c r="G23">
        <v>0</v>
      </c>
      <c r="H23">
        <f t="shared" si="4"/>
        <v>0.27051885516420493</v>
      </c>
      <c r="I23">
        <f t="shared" si="5"/>
        <v>-1.0868281233544477</v>
      </c>
      <c r="J23">
        <f t="shared" si="6"/>
        <v>1.0868281233544477</v>
      </c>
      <c r="K23">
        <f t="shared" si="7"/>
        <v>0.47425625911513414</v>
      </c>
      <c r="L23">
        <f t="shared" si="8"/>
        <v>0.52574374088486586</v>
      </c>
      <c r="M23">
        <f t="shared" si="9"/>
        <v>2.1085646858215363</v>
      </c>
      <c r="N23">
        <f t="shared" si="10"/>
        <v>1.9020673423841918</v>
      </c>
    </row>
    <row r="24" spans="1:14" x14ac:dyDescent="0.25">
      <c r="A24" s="4">
        <f>IF('True_Odds_Calculator_2-way'!A25="","",'True_Odds_Calculator_2-way'!A25)</f>
        <v>2.48</v>
      </c>
      <c r="B24" s="4">
        <f>IF('True_Odds_Calculator_2-way'!B25="","",'True_Odds_Calculator_2-way'!B25)</f>
        <v>1.56</v>
      </c>
      <c r="C24" s="4">
        <f t="shared" si="0"/>
        <v>0.40322580645161293</v>
      </c>
      <c r="D24">
        <f t="shared" si="1"/>
        <v>0.64102564102564097</v>
      </c>
      <c r="E24">
        <f t="shared" si="2"/>
        <v>4.4251447477253958E-2</v>
      </c>
      <c r="F24">
        <f t="shared" si="3"/>
        <v>-0.2142266335814722</v>
      </c>
      <c r="G24">
        <v>0</v>
      </c>
      <c r="H24">
        <f t="shared" si="4"/>
        <v>0.25847808105872622</v>
      </c>
      <c r="I24">
        <f t="shared" si="5"/>
        <v>-1.0984369379093673</v>
      </c>
      <c r="J24">
        <f t="shared" si="6"/>
        <v>1.0984369379093673</v>
      </c>
      <c r="K24">
        <f t="shared" si="7"/>
        <v>0.38085275449922101</v>
      </c>
      <c r="L24">
        <f t="shared" si="8"/>
        <v>0.61914724550077893</v>
      </c>
      <c r="M24">
        <f t="shared" si="9"/>
        <v>2.6256866681058635</v>
      </c>
      <c r="N24">
        <f t="shared" si="10"/>
        <v>1.6151246852292456</v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C3" sqref="C3:C2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2.23</v>
      </c>
      <c r="B3">
        <v>1.67</v>
      </c>
      <c r="C3" s="29">
        <f t="shared" ref="C3:C66" si="0">IF(OR($A3="",$B3=""),"",(1/A3)+(1/B3)-1)</f>
        <v>4.7232888483123459E-2</v>
      </c>
      <c r="D3" s="30">
        <f>IF(OR($A3="",$B3=""),"",A3*'MPTO_working_2-way'!$G2)</f>
        <v>2.3353293413173652</v>
      </c>
      <c r="E3" s="32">
        <f>IF(OR($A3="",$B3=""),"",B3*'MPTO_working_2-way'!$G2)</f>
        <v>1.7488789237668161</v>
      </c>
      <c r="F3" s="30">
        <f>IF(OR($A3="",$B3=""),"",'MPTO_working_2-way'!D2)</f>
        <v>2.3539711134287793</v>
      </c>
      <c r="G3" s="32">
        <f>IF(OR($A3="",$B3=""),"",'MPTO_working_2-way'!E2)</f>
        <v>1.7385681940197473</v>
      </c>
      <c r="H3" s="30">
        <f>IF(OR($A3="",$B3=""),"",'OddsRatio_working_2-way'!M2)</f>
        <v>2.3549246826013568</v>
      </c>
      <c r="I3" s="30">
        <f>IF(OR($A3="",$B3=""),"",'OddsRatio_working_2-way'!N2)</f>
        <v>1.7380484043438287</v>
      </c>
      <c r="J3" s="30">
        <f>IF('Log_working_2-way'!$D2="","",A3^('Log_working_2-way'!$D2))</f>
        <v>2.3636503228006438</v>
      </c>
      <c r="K3" s="32">
        <f>IF('Log_working_2-way'!$D2="","",B3^('Log_working_2-way'!$D2))</f>
        <v>1.7333258264811959</v>
      </c>
      <c r="L3" s="37">
        <f>(1/D3)</f>
        <v>0.42820512820512818</v>
      </c>
      <c r="M3" s="37">
        <f>(1/E3)</f>
        <v>0.57179487179487176</v>
      </c>
      <c r="N3" s="38">
        <v>100</v>
      </c>
      <c r="O3" s="38">
        <f>(1/A3)*((N3*A3)-N3)</f>
        <v>55.156950672645742</v>
      </c>
      <c r="P3" s="38">
        <f>(1/B3)*((N3*B3)-N3)</f>
        <v>40.119760479041922</v>
      </c>
      <c r="Q3" s="38">
        <f>(1/B3)*N3</f>
        <v>59.880239520958092</v>
      </c>
      <c r="R3" s="38">
        <f>(1/A3)*N3</f>
        <v>44.843049327354265</v>
      </c>
      <c r="S3" s="39">
        <f>O3-Q3</f>
        <v>-4.7232888483123503</v>
      </c>
      <c r="T3" s="39">
        <f>P3-R3</f>
        <v>-4.7232888483123432</v>
      </c>
      <c r="U3" t="s">
        <v>113</v>
      </c>
      <c r="V3" t="s">
        <v>114</v>
      </c>
      <c r="W3" t="s">
        <v>70</v>
      </c>
      <c r="X3" s="48" t="s">
        <v>117</v>
      </c>
      <c r="Y3" s="41"/>
    </row>
    <row r="4" spans="1:25" s="12" customFormat="1" ht="15" x14ac:dyDescent="0.25">
      <c r="A4">
        <v>1.74</v>
      </c>
      <c r="B4">
        <v>2.12</v>
      </c>
      <c r="C4" s="29">
        <f t="shared" si="0"/>
        <v>4.6410756885707949E-2</v>
      </c>
      <c r="D4" s="30">
        <f>IF(OR($A4="",$B4=""),"",A4*'MPTO_working_2-way'!$G3)</f>
        <v>1.8207547169811318</v>
      </c>
      <c r="E4" s="32">
        <f>IF(OR($A4="",$B4=""),"",B4*'MPTO_working_2-way'!$G3)</f>
        <v>2.2183908045977008</v>
      </c>
      <c r="F4" s="30">
        <f>IF(OR($A4="",$B4=""),"",'MPTO_working_2-way'!D3)</f>
        <v>1.8132127408572549</v>
      </c>
      <c r="G4" s="32">
        <f>IF(OR($A4="",$B4=""),"",'MPTO_working_2-way'!E3)</f>
        <v>2.2296905222437133</v>
      </c>
      <c r="H4" s="30">
        <f>IF(OR($A4="",$B4=""),"",'OddsRatio_working_2-way'!M3)</f>
        <v>1.8128433340529317</v>
      </c>
      <c r="I4" s="30">
        <f>IF(OR($A4="",$B4=""),"",'OddsRatio_working_2-way'!N3)</f>
        <v>2.2302493704584911</v>
      </c>
      <c r="J4" s="30">
        <f>IF('Log_working_2-way'!$D3="","",A4^('Log_working_2-way'!$D3))</f>
        <v>1.8093883298066613</v>
      </c>
      <c r="K4" s="32">
        <f>IF('Log_working_2-way'!$D3="","",B4^('Log_working_2-way'!$D3))</f>
        <v>2.235500887736106</v>
      </c>
      <c r="L4" s="37">
        <f t="shared" ref="L4" si="1">(1/D4)</f>
        <v>0.5492227979274612</v>
      </c>
      <c r="M4" s="37">
        <f t="shared" ref="M4" si="2">(1/E4)</f>
        <v>0.45077720207253896</v>
      </c>
      <c r="N4" s="38">
        <v>100</v>
      </c>
      <c r="O4" s="38">
        <f t="shared" ref="O4" si="3">(1/A4)*((N4*A4)-N4)</f>
        <v>42.528735632183903</v>
      </c>
      <c r="P4" s="38">
        <f t="shared" ref="P4" si="4">(1/B4)*((N4*B4)-N4)</f>
        <v>52.830188679245275</v>
      </c>
      <c r="Q4" s="38">
        <f t="shared" ref="Q4" si="5">(1/B4)*N4</f>
        <v>47.169811320754711</v>
      </c>
      <c r="R4" s="38">
        <f t="shared" ref="R4" si="6">(1/A4)*N4</f>
        <v>57.47126436781609</v>
      </c>
      <c r="S4" s="39">
        <f t="shared" ref="S4" si="7">O4-Q4</f>
        <v>-4.6410756885708082</v>
      </c>
      <c r="T4" s="39">
        <f t="shared" ref="T4" si="8">P4-R4</f>
        <v>-4.6410756885708153</v>
      </c>
      <c r="U4" t="s">
        <v>68</v>
      </c>
      <c r="V4" t="s">
        <v>69</v>
      </c>
      <c r="W4" t="s">
        <v>70</v>
      </c>
      <c r="X4" s="48" t="s">
        <v>117</v>
      </c>
      <c r="Y4" s="41"/>
    </row>
    <row r="5" spans="1:25" s="12" customFormat="1" ht="15" x14ac:dyDescent="0.25">
      <c r="A5">
        <v>2.63</v>
      </c>
      <c r="B5">
        <v>1.52</v>
      </c>
      <c r="C5" s="29">
        <f t="shared" si="0"/>
        <v>3.8122873724234729E-2</v>
      </c>
      <c r="D5" s="30">
        <f>IF(OR($A5="",$B5=""),"",A5*'MPTO_working_2-way'!$G4)</f>
        <v>2.7302631578947372</v>
      </c>
      <c r="E5" s="32">
        <f>IF(OR($A5="",$B5=""),"",B5*'MPTO_working_2-way'!$G4)</f>
        <v>1.5779467680608368</v>
      </c>
      <c r="F5" s="30">
        <f>IF(OR($A5="",$B5=""),"",'MPTO_working_2-way'!D4)</f>
        <v>2.7688045435655915</v>
      </c>
      <c r="G5" s="32">
        <f>IF(OR($A5="",$B5=""),"",'MPTO_working_2-way'!E4)</f>
        <v>1.5653535907275435</v>
      </c>
      <c r="H5" s="30">
        <f>IF(OR($A5="",$B5=""),"",'OddsRatio_working_2-way'!M4)</f>
        <v>2.7704845056129086</v>
      </c>
      <c r="I5" s="30">
        <f>IF(OR($A5="",$B5=""),"",'OddsRatio_working_2-way'!N4)</f>
        <v>1.5648171428949158</v>
      </c>
      <c r="J5" s="30">
        <f>IF('Log_working_2-way'!$D4="","",A5^('Log_working_2-way'!$D4))</f>
        <v>2.7887155103386907</v>
      </c>
      <c r="K5" s="32">
        <f>IF('Log_working_2-way'!$D4="","",B5^('Log_working_2-way'!$D4))</f>
        <v>1.5590603951381059</v>
      </c>
      <c r="L5" s="37">
        <f t="shared" ref="L5:L25" si="9">(1/D5)</f>
        <v>0.36626506024096384</v>
      </c>
      <c r="M5" s="37">
        <f t="shared" ref="M5:M25" si="10">(1/E5)</f>
        <v>0.63373493975903605</v>
      </c>
      <c r="N5" s="38">
        <v>101</v>
      </c>
      <c r="O5" s="38">
        <f t="shared" ref="O5:O25" si="11">(1/A5)*((N5*A5)-N5)</f>
        <v>62.596958174904948</v>
      </c>
      <c r="P5" s="38">
        <f t="shared" ref="P5:P25" si="12">(1/B5)*((N5*B5)-N5)</f>
        <v>34.552631578947377</v>
      </c>
      <c r="Q5" s="38">
        <f t="shared" ref="Q5:Q25" si="13">(1/B5)*N5</f>
        <v>66.44736842105263</v>
      </c>
      <c r="R5" s="38">
        <f t="shared" ref="R5:R25" si="14">(1/A5)*N5</f>
        <v>38.403041825095059</v>
      </c>
      <c r="S5" s="39">
        <f t="shared" ref="S5:S25" si="15">O5-Q5</f>
        <v>-3.8504102461476819</v>
      </c>
      <c r="T5" s="39">
        <f t="shared" ref="T5:T25" si="16">P5-R5</f>
        <v>-3.8504102461476819</v>
      </c>
      <c r="U5" t="s">
        <v>75</v>
      </c>
      <c r="V5" t="s">
        <v>89</v>
      </c>
      <c r="W5" t="s">
        <v>91</v>
      </c>
      <c r="X5" s="48" t="s">
        <v>117</v>
      </c>
      <c r="Y5" s="41"/>
    </row>
    <row r="6" spans="1:25" s="12" customFormat="1" ht="15" x14ac:dyDescent="0.25">
      <c r="A6">
        <v>2.86</v>
      </c>
      <c r="B6">
        <v>1.44</v>
      </c>
      <c r="C6" s="29">
        <f t="shared" si="0"/>
        <v>4.4094794094794221E-2</v>
      </c>
      <c r="D6" s="30">
        <f>IF(OR($A6="",$B6=""),"",A6*'MPTO_working_2-way'!$G5)</f>
        <v>2.9861111111111112</v>
      </c>
      <c r="E6" s="32">
        <f>IF(OR($A6="",$B6=""),"",B6*'MPTO_working_2-way'!$G5)</f>
        <v>1.5034965034965035</v>
      </c>
      <c r="F6" s="30">
        <f>IF(OR($A6="",$B6=""),"",'MPTO_working_2-way'!D5)</f>
        <v>3.0524755410613702</v>
      </c>
      <c r="G6" s="32">
        <f>IF(OR($A6="",$B6=""),"",'MPTO_working_2-way'!E5)</f>
        <v>1.4872165246280515</v>
      </c>
      <c r="H6" s="30">
        <f>IF(OR($A6="",$B6=""),"",'OddsRatio_working_2-way'!M5)</f>
        <v>3.0560332505270256</v>
      </c>
      <c r="I6" s="30">
        <f>IF(OR($A6="",$B6=""),"",'OddsRatio_working_2-way'!N5)</f>
        <v>1.4863734571139202</v>
      </c>
      <c r="J6" s="30">
        <f>IF('Log_working_2-way'!$D5="","",A6^('Log_working_2-way'!$D5))</f>
        <v>3.0882156203394064</v>
      </c>
      <c r="K6" s="32">
        <f>IF('Log_working_2-way'!$D5="","",B6^('Log_working_2-way'!$D5))</f>
        <v>1.4788777510605122</v>
      </c>
      <c r="L6" s="37">
        <f t="shared" si="9"/>
        <v>0.33488372093023255</v>
      </c>
      <c r="M6" s="37">
        <f t="shared" si="10"/>
        <v>0.66511627906976745</v>
      </c>
      <c r="N6" s="38">
        <v>102</v>
      </c>
      <c r="O6" s="38">
        <f t="shared" si="11"/>
        <v>66.335664335664333</v>
      </c>
      <c r="P6" s="38">
        <f t="shared" si="12"/>
        <v>31.166666666666661</v>
      </c>
      <c r="Q6" s="38">
        <f t="shared" si="13"/>
        <v>70.833333333333329</v>
      </c>
      <c r="R6" s="38">
        <f t="shared" si="14"/>
        <v>35.664335664335667</v>
      </c>
      <c r="S6" s="39">
        <f t="shared" si="15"/>
        <v>-4.4976689976689954</v>
      </c>
      <c r="T6" s="39">
        <f t="shared" si="16"/>
        <v>-4.4976689976690061</v>
      </c>
      <c r="U6" t="s">
        <v>115</v>
      </c>
      <c r="V6" t="s">
        <v>88</v>
      </c>
      <c r="W6" t="s">
        <v>91</v>
      </c>
      <c r="X6" s="48" t="s">
        <v>117</v>
      </c>
      <c r="Y6" s="41"/>
    </row>
    <row r="7" spans="1:25" s="12" customFormat="1" ht="15" x14ac:dyDescent="0.25">
      <c r="A7">
        <v>2.54</v>
      </c>
      <c r="B7">
        <v>1.55</v>
      </c>
      <c r="C7" s="29">
        <f t="shared" si="0"/>
        <v>3.8862077724155508E-2</v>
      </c>
      <c r="D7" s="30">
        <f>IF(OR($A7="",$B7=""),"",A7*'MPTO_working_2-way'!$G6)</f>
        <v>2.6387096774193552</v>
      </c>
      <c r="E7" s="32">
        <f>IF(OR($A7="",$B7=""),"",B7*'MPTO_working_2-way'!$G6)</f>
        <v>1.6102362204724412</v>
      </c>
      <c r="F7" s="30">
        <f>IF(OR($A7="",$B7=""),"",'MPTO_working_2-way'!D6)</f>
        <v>2.6718696979979644</v>
      </c>
      <c r="G7" s="32">
        <f>IF(OR($A7="",$B7=""),"",'MPTO_working_2-way'!E6)</f>
        <v>1.5981327379744266</v>
      </c>
      <c r="H7" s="30">
        <f>IF(OR($A7="",$B7=""),"",'OddsRatio_working_2-way'!M6)</f>
        <v>2.673320053068152</v>
      </c>
      <c r="I7" s="30">
        <f>IF(OR($A7="",$B7=""),"",'OddsRatio_working_2-way'!N6)</f>
        <v>1.5976143046671971</v>
      </c>
      <c r="J7" s="30">
        <f>IF('Log_working_2-way'!$D6="","",A7^('Log_working_2-way'!$D6))</f>
        <v>2.6889415019824594</v>
      </c>
      <c r="K7" s="32">
        <f>IF('Log_working_2-way'!$D6="","",B7^('Log_working_2-way'!$D6))</f>
        <v>1.5920868181792243</v>
      </c>
      <c r="L7" s="37">
        <f t="shared" si="9"/>
        <v>0.37897310513447424</v>
      </c>
      <c r="M7" s="37">
        <f t="shared" si="10"/>
        <v>0.62102689486552554</v>
      </c>
      <c r="N7" s="38">
        <v>103</v>
      </c>
      <c r="O7" s="38">
        <f t="shared" si="11"/>
        <v>62.448818897637793</v>
      </c>
      <c r="P7" s="38">
        <f t="shared" si="12"/>
        <v>36.548387096774199</v>
      </c>
      <c r="Q7" s="38">
        <f t="shared" si="13"/>
        <v>66.451612903225808</v>
      </c>
      <c r="R7" s="38">
        <f t="shared" si="14"/>
        <v>40.5511811023622</v>
      </c>
      <c r="S7" s="39">
        <f t="shared" si="15"/>
        <v>-4.0027940055880151</v>
      </c>
      <c r="T7" s="39">
        <f t="shared" si="16"/>
        <v>-4.0027940055880009</v>
      </c>
      <c r="U7" t="s">
        <v>72</v>
      </c>
      <c r="V7" t="s">
        <v>77</v>
      </c>
      <c r="W7" t="s">
        <v>91</v>
      </c>
      <c r="X7" s="48" t="s">
        <v>117</v>
      </c>
      <c r="Y7" s="41"/>
    </row>
    <row r="8" spans="1:25" ht="15" x14ac:dyDescent="0.25">
      <c r="A8">
        <v>2.02</v>
      </c>
      <c r="B8">
        <v>1.88</v>
      </c>
      <c r="C8" s="29">
        <f t="shared" si="0"/>
        <v>2.6964398567516312E-2</v>
      </c>
      <c r="D8" s="30">
        <f>IF(OR($A8="",$B8=""),"",A8*'MPTO_working_2-way'!$G7)</f>
        <v>2.0744680851063828</v>
      </c>
      <c r="E8" s="32">
        <f>IF(OR($A8="",$B8=""),"",B8*'MPTO_working_2-way'!$G7)</f>
        <v>1.9306930693069306</v>
      </c>
      <c r="F8" s="30">
        <f>IF(OR($A8="",$B8=""),"",'MPTO_working_2-way'!D7)</f>
        <v>2.0765529308836395</v>
      </c>
      <c r="G8" s="32">
        <f>IF(OR($A8="",$B8=""),"",'MPTO_working_2-way'!E7)</f>
        <v>1.9288906948394962</v>
      </c>
      <c r="H8" s="30">
        <f>IF(OR($A8="",$B8=""),"",'OddsRatio_working_2-way'!M7)</f>
        <v>2.0766108438479098</v>
      </c>
      <c r="I8" s="30">
        <f>IF(OR($A8="",$B8=""),"",'OddsRatio_working_2-way'!N7)</f>
        <v>1.9288407280256479</v>
      </c>
      <c r="J8" s="30">
        <f>IF('Log_working_2-way'!$D7="","",A8^('Log_working_2-way'!$D7))</f>
        <v>2.0775563029751076</v>
      </c>
      <c r="K8" s="32">
        <f>IF('Log_working_2-way'!$D7="","",B8^('Log_working_2-way'!$D7))</f>
        <v>1.9280257534933587</v>
      </c>
      <c r="L8" s="37">
        <f t="shared" si="9"/>
        <v>0.48205128205128212</v>
      </c>
      <c r="M8" s="37">
        <f t="shared" si="10"/>
        <v>0.517948717948718</v>
      </c>
      <c r="N8" s="38">
        <v>104</v>
      </c>
      <c r="O8" s="38">
        <f t="shared" si="11"/>
        <v>52.514851485148519</v>
      </c>
      <c r="P8" s="38">
        <f t="shared" si="12"/>
        <v>48.680851063829778</v>
      </c>
      <c r="Q8" s="38">
        <f t="shared" si="13"/>
        <v>55.319148936170208</v>
      </c>
      <c r="R8" s="38">
        <f t="shared" si="14"/>
        <v>51.485148514851488</v>
      </c>
      <c r="S8" s="39">
        <f t="shared" si="15"/>
        <v>-2.8042974510216894</v>
      </c>
      <c r="T8" s="39">
        <f t="shared" si="16"/>
        <v>-2.8042974510217107</v>
      </c>
      <c r="U8" t="s">
        <v>95</v>
      </c>
      <c r="V8" t="s">
        <v>105</v>
      </c>
      <c r="W8" t="s">
        <v>112</v>
      </c>
      <c r="X8" s="48" t="s">
        <v>118</v>
      </c>
      <c r="Y8" s="41"/>
    </row>
    <row r="9" spans="1:25" ht="15" x14ac:dyDescent="0.25">
      <c r="A9">
        <v>2.19</v>
      </c>
      <c r="B9">
        <v>1.72</v>
      </c>
      <c r="C9" s="29">
        <f t="shared" si="0"/>
        <v>3.8016353403419467E-2</v>
      </c>
      <c r="D9" s="30">
        <f>IF(OR($A9="",$B9=""),"",A9*'MPTO_working_2-way'!$G8)</f>
        <v>2.2732558139534884</v>
      </c>
      <c r="E9" s="32">
        <f>IF(OR($A9="",$B9=""),"",B9*'MPTO_working_2-way'!$G8)</f>
        <v>1.7853881278538815</v>
      </c>
      <c r="F9" s="30">
        <f>IF(OR($A9="",$B9=""),"",'MPTO_working_2-way'!D8)</f>
        <v>2.2851249696675566</v>
      </c>
      <c r="G9" s="32">
        <f>IF(OR($A9="",$B9=""),"",'MPTO_working_2-way'!E8)</f>
        <v>1.7781344410876134</v>
      </c>
      <c r="H9" s="30">
        <f>IF(OR($A9="",$B9=""),"",'OddsRatio_working_2-way'!M8)</f>
        <v>2.2856040517117928</v>
      </c>
      <c r="I9" s="30">
        <f>IF(OR($A9="",$B9=""),"",'OddsRatio_working_2-way'!N8)</f>
        <v>1.7778444682625973</v>
      </c>
      <c r="J9" s="30">
        <f>IF('Log_working_2-way'!$D8="","",A9^('Log_working_2-way'!$D8))</f>
        <v>2.291085448482058</v>
      </c>
      <c r="K9" s="32">
        <f>IF('Log_working_2-way'!$D8="","",B9^('Log_working_2-way'!$D8))</f>
        <v>1.7745420732419892</v>
      </c>
      <c r="L9" s="37">
        <f t="shared" si="9"/>
        <v>0.43989769820971864</v>
      </c>
      <c r="M9" s="37">
        <f t="shared" si="10"/>
        <v>0.56010230179028131</v>
      </c>
      <c r="N9" s="38">
        <v>105</v>
      </c>
      <c r="O9" s="38">
        <f t="shared" si="11"/>
        <v>57.054794520547944</v>
      </c>
      <c r="P9" s="38">
        <f t="shared" si="12"/>
        <v>43.95348837209302</v>
      </c>
      <c r="Q9" s="38">
        <f t="shared" si="13"/>
        <v>61.04651162790698</v>
      </c>
      <c r="R9" s="38">
        <f t="shared" si="14"/>
        <v>47.945205479452056</v>
      </c>
      <c r="S9" s="39">
        <f t="shared" si="15"/>
        <v>-3.9917171073590367</v>
      </c>
      <c r="T9" s="39">
        <f t="shared" si="16"/>
        <v>-3.9917171073590367</v>
      </c>
      <c r="U9" t="s">
        <v>90</v>
      </c>
      <c r="V9" t="s">
        <v>79</v>
      </c>
      <c r="W9" t="s">
        <v>91</v>
      </c>
      <c r="X9" s="48" t="s">
        <v>118</v>
      </c>
      <c r="Y9" s="41"/>
    </row>
    <row r="10" spans="1:25" ht="14.25" customHeight="1" x14ac:dyDescent="0.25">
      <c r="A10">
        <v>2.75</v>
      </c>
      <c r="B10">
        <v>1.48</v>
      </c>
      <c r="C10" s="29">
        <f t="shared" si="0"/>
        <v>3.9312039312039193E-2</v>
      </c>
      <c r="D10" s="30">
        <f>IF(OR($A10="",$B10=""),"",A10*'MPTO_working_2-way'!$G9)</f>
        <v>2.8581081081081079</v>
      </c>
      <c r="E10" s="32">
        <f>IF(OR($A10="",$B10=""),"",B10*'MPTO_working_2-way'!$G9)</f>
        <v>1.5381818181818181</v>
      </c>
      <c r="F10" s="30">
        <f>IF(OR($A10="",$B10=""),"",'MPTO_working_2-way'!D9)</f>
        <v>2.907142857142857</v>
      </c>
      <c r="G10" s="32">
        <f>IF(OR($A10="",$B10=""),"",'MPTO_working_2-way'!E9)</f>
        <v>1.5243445692883895</v>
      </c>
      <c r="H10" s="30">
        <f>IF(OR($A10="",$B10=""),"",'OddsRatio_working_2-way'!M9)</f>
        <v>2.9094065395649333</v>
      </c>
      <c r="I10" s="30">
        <f>IF(OR($A10="",$B10=""),"",'OddsRatio_working_2-way'!N9)</f>
        <v>1.5237229365663816</v>
      </c>
      <c r="J10" s="30">
        <f>IF('Log_working_2-way'!$D9="","",A10^('Log_working_2-way'!$D9))</f>
        <v>2.9328148836151597</v>
      </c>
      <c r="K10" s="32">
        <f>IF('Log_working_2-way'!$D9="","",B10^('Log_working_2-way'!$D9))</f>
        <v>1.5173801218505167</v>
      </c>
      <c r="L10" s="37">
        <f t="shared" si="9"/>
        <v>0.34988179669030733</v>
      </c>
      <c r="M10" s="37">
        <f t="shared" si="10"/>
        <v>0.65011820330969272</v>
      </c>
      <c r="N10" s="38">
        <v>106</v>
      </c>
      <c r="O10" s="38">
        <f t="shared" si="11"/>
        <v>67.454545454545453</v>
      </c>
      <c r="P10" s="38">
        <f t="shared" si="12"/>
        <v>34.378378378378372</v>
      </c>
      <c r="Q10" s="38">
        <f t="shared" si="13"/>
        <v>71.621621621621614</v>
      </c>
      <c r="R10" s="38">
        <f t="shared" si="14"/>
        <v>38.545454545454547</v>
      </c>
      <c r="S10" s="39">
        <f t="shared" si="15"/>
        <v>-4.1670761670761607</v>
      </c>
      <c r="T10" s="39">
        <f t="shared" si="16"/>
        <v>-4.1670761670761749</v>
      </c>
      <c r="U10" t="s">
        <v>76</v>
      </c>
      <c r="V10" t="s">
        <v>81</v>
      </c>
      <c r="W10" t="s">
        <v>91</v>
      </c>
      <c r="X10" s="48" t="s">
        <v>118</v>
      </c>
      <c r="Y10" s="41"/>
    </row>
    <row r="11" spans="1:25" ht="15" x14ac:dyDescent="0.25">
      <c r="A11">
        <v>2.93</v>
      </c>
      <c r="B11">
        <v>1.42</v>
      </c>
      <c r="C11" s="29">
        <f t="shared" si="0"/>
        <v>4.552228044032125E-2</v>
      </c>
      <c r="D11" s="30">
        <f>IF(OR($A11="",$B11=""),"",A11*'MPTO_working_2-way'!$G10)</f>
        <v>3.0633802816901414</v>
      </c>
      <c r="E11" s="32">
        <f>IF(OR($A11="",$B11=""),"",B11*'MPTO_working_2-way'!$G10)</f>
        <v>1.4846416382252561</v>
      </c>
      <c r="F11" s="30">
        <f>IF(OR($A11="",$B11=""),"",'MPTO_working_2-way'!D10)</f>
        <v>3.1393646721497031</v>
      </c>
      <c r="G11" s="32">
        <f>IF(OR($A11="",$B11=""),"",'MPTO_working_2-way'!E10)</f>
        <v>1.4674284908122597</v>
      </c>
      <c r="H11" s="30">
        <f>IF(OR($A11="",$B11=""),"",'OddsRatio_working_2-way'!M10)</f>
        <v>3.1436506467328345</v>
      </c>
      <c r="I11" s="30">
        <f>IF(OR($A11="",$B11=""),"",'OddsRatio_working_2-way'!N10)</f>
        <v>1.4664939231232073</v>
      </c>
      <c r="J11" s="30">
        <f>IF('Log_working_2-way'!$D10="","",A11^('Log_working_2-way'!$D10))</f>
        <v>3.1807750995182968</v>
      </c>
      <c r="K11" s="32">
        <f>IF('Log_working_2-way'!$D10="","",B11^('Log_working_2-way'!$D10))</f>
        <v>1.4585525578575369</v>
      </c>
      <c r="L11" s="37">
        <f t="shared" si="9"/>
        <v>0.32643678160919531</v>
      </c>
      <c r="M11" s="37">
        <f t="shared" si="10"/>
        <v>0.67356321839080457</v>
      </c>
      <c r="N11" s="38">
        <v>107</v>
      </c>
      <c r="O11" s="38">
        <f t="shared" si="11"/>
        <v>70.481228668941966</v>
      </c>
      <c r="P11" s="38">
        <f t="shared" si="12"/>
        <v>31.647887323943664</v>
      </c>
      <c r="Q11" s="38">
        <f t="shared" si="13"/>
        <v>75.35211267605635</v>
      </c>
      <c r="R11" s="38">
        <f t="shared" si="14"/>
        <v>36.518771331058019</v>
      </c>
      <c r="S11" s="39">
        <f t="shared" si="15"/>
        <v>-4.870884007114384</v>
      </c>
      <c r="T11" s="39">
        <f t="shared" si="16"/>
        <v>-4.8708840071143555</v>
      </c>
      <c r="U11" t="s">
        <v>116</v>
      </c>
      <c r="V11" t="s">
        <v>84</v>
      </c>
      <c r="W11" t="s">
        <v>91</v>
      </c>
      <c r="X11" s="48" t="s">
        <v>118</v>
      </c>
      <c r="Y11" s="41"/>
    </row>
    <row r="12" spans="1:25" ht="15" x14ac:dyDescent="0.25">
      <c r="A12">
        <v>2.11</v>
      </c>
      <c r="B12">
        <v>1.79</v>
      </c>
      <c r="C12" s="29">
        <f t="shared" si="0"/>
        <v>3.2592867166194583E-2</v>
      </c>
      <c r="D12" s="30">
        <f>IF(OR($A12="",$B12=""),"",A12*'MPTO_working_2-way'!$G11)</f>
        <v>2.1787709497206706</v>
      </c>
      <c r="E12" s="32">
        <f>IF(OR($A12="",$B12=""),"",B12*'MPTO_working_2-way'!$G11)</f>
        <v>1.8483412322274884</v>
      </c>
      <c r="F12" s="30">
        <f>IF(OR($A12="",$B12=""),"",'MPTO_working_2-way'!D11)</f>
        <v>2.1851369724319478</v>
      </c>
      <c r="G12" s="32">
        <f>IF(OR($A12="",$B12=""),"",'MPTO_working_2-way'!E11)</f>
        <v>1.8437843247333352</v>
      </c>
      <c r="H12" s="30">
        <f>IF(OR($A12="",$B12=""),"",'OddsRatio_working_2-way'!M11)</f>
        <v>2.1853536565680476</v>
      </c>
      <c r="I12" s="30">
        <f>IF(OR($A12="",$B12=""),"",'OddsRatio_working_2-way'!N11)</f>
        <v>1.8436300798997822</v>
      </c>
      <c r="J12" s="30">
        <f>IF('Log_working_2-way'!$D11="","",A12^('Log_working_2-way'!$D11))</f>
        <v>2.1882656756587764</v>
      </c>
      <c r="K12" s="32">
        <f>IF('Log_working_2-way'!$D11="","",B12^('Log_working_2-way'!$D11))</f>
        <v>1.8415626408173078</v>
      </c>
      <c r="L12" s="37">
        <f t="shared" si="9"/>
        <v>0.4589743589743589</v>
      </c>
      <c r="M12" s="37">
        <f t="shared" si="10"/>
        <v>0.54102564102564099</v>
      </c>
      <c r="N12" s="38">
        <v>108</v>
      </c>
      <c r="O12" s="38">
        <f t="shared" si="11"/>
        <v>56.81516587677725</v>
      </c>
      <c r="P12" s="38">
        <f t="shared" si="12"/>
        <v>47.664804469273733</v>
      </c>
      <c r="Q12" s="38">
        <f t="shared" si="13"/>
        <v>60.335195530726253</v>
      </c>
      <c r="R12" s="38">
        <f t="shared" si="14"/>
        <v>51.18483412322275</v>
      </c>
      <c r="S12" s="39">
        <f t="shared" si="15"/>
        <v>-3.5200296539490026</v>
      </c>
      <c r="T12" s="39">
        <f t="shared" si="16"/>
        <v>-3.5200296539490168</v>
      </c>
      <c r="U12" t="s">
        <v>92</v>
      </c>
      <c r="V12" t="s">
        <v>97</v>
      </c>
      <c r="W12" t="s">
        <v>112</v>
      </c>
      <c r="X12" s="48" t="s">
        <v>119</v>
      </c>
      <c r="Y12" s="41"/>
    </row>
    <row r="13" spans="1:25" ht="15" x14ac:dyDescent="0.25">
      <c r="A13">
        <v>2.46</v>
      </c>
      <c r="B13">
        <v>1.6</v>
      </c>
      <c r="C13" s="29">
        <f t="shared" si="0"/>
        <v>3.1504065040650397E-2</v>
      </c>
      <c r="D13" s="30">
        <f>IF(OR($A13="",$B13=""),"",A13*'MPTO_working_2-way'!$G12)</f>
        <v>2.5375000000000001</v>
      </c>
      <c r="E13" s="32">
        <f>IF(OR($A13="",$B13=""),"",B13*'MPTO_working_2-way'!$G12)</f>
        <v>1.6504065040650406</v>
      </c>
      <c r="F13" s="30">
        <f>IF(OR($A13="",$B13=""),"",'MPTO_working_2-way'!D12)</f>
        <v>2.5591677503250976</v>
      </c>
      <c r="G13" s="32">
        <f>IF(OR($A13="",$B13=""),"",'MPTO_working_2-way'!E12)</f>
        <v>1.6413678065054211</v>
      </c>
      <c r="H13" s="30">
        <f>IF(OR($A13="",$B13=""),"",'OddsRatio_working_2-way'!M12)</f>
        <v>2.5599145275730124</v>
      </c>
      <c r="I13" s="30">
        <f>IF(OR($A13="",$B13=""),"",'OddsRatio_working_2-way'!N12)</f>
        <v>1.6410607647560327</v>
      </c>
      <c r="J13" s="30">
        <f>IF('Log_working_2-way'!$D12="","",A13^('Log_working_2-way'!$D12))</f>
        <v>2.5699693865556159</v>
      </c>
      <c r="K13" s="32">
        <f>IF('Log_working_2-way'!$D12="","",B13^('Log_working_2-way'!$D12))</f>
        <v>1.6369550951524368</v>
      </c>
      <c r="L13" s="37">
        <f t="shared" si="9"/>
        <v>0.39408866995073888</v>
      </c>
      <c r="M13" s="37">
        <f t="shared" si="10"/>
        <v>0.60591133004926112</v>
      </c>
      <c r="N13" s="38">
        <v>109</v>
      </c>
      <c r="O13" s="38">
        <f t="shared" si="11"/>
        <v>64.691056910569102</v>
      </c>
      <c r="P13" s="38">
        <f t="shared" si="12"/>
        <v>40.875</v>
      </c>
      <c r="Q13" s="38">
        <f t="shared" si="13"/>
        <v>68.125</v>
      </c>
      <c r="R13" s="38">
        <f t="shared" si="14"/>
        <v>44.30894308943089</v>
      </c>
      <c r="S13" s="39">
        <f t="shared" si="15"/>
        <v>-3.4339430894308975</v>
      </c>
      <c r="T13" s="39">
        <f t="shared" si="16"/>
        <v>-3.4339430894308904</v>
      </c>
      <c r="U13" t="s">
        <v>100</v>
      </c>
      <c r="V13" t="s">
        <v>103</v>
      </c>
      <c r="W13" t="s">
        <v>112</v>
      </c>
      <c r="X13" s="48" t="s">
        <v>119</v>
      </c>
      <c r="Y13" s="41"/>
    </row>
    <row r="14" spans="1:25" s="35" customFormat="1" ht="15" x14ac:dyDescent="0.25">
      <c r="A14">
        <v>2.25</v>
      </c>
      <c r="B14">
        <v>1.69</v>
      </c>
      <c r="C14" s="29">
        <f t="shared" si="0"/>
        <v>3.6160420775805502E-2</v>
      </c>
      <c r="D14" s="30">
        <f>IF(OR($A14="",$B14=""),"",A14*'MPTO_working_2-way'!$G13)</f>
        <v>2.3313609467455625</v>
      </c>
      <c r="E14" s="32">
        <f>IF(OR($A14="",$B14=""),"",B14*'MPTO_working_2-way'!$G13)</f>
        <v>1.7511111111111113</v>
      </c>
      <c r="F14" s="30">
        <f>IF(OR($A14="",$B14=""),"",'MPTO_working_2-way'!D13)</f>
        <v>2.3454124903623752</v>
      </c>
      <c r="G14" s="32">
        <f>IF(OR($A14="",$B14=""),"",'MPTO_working_2-way'!E13)</f>
        <v>1.7432664756446994</v>
      </c>
      <c r="H14" s="30">
        <f>IF(OR($A14="",$B14=""),"",'OddsRatio_working_2-way'!M13)</f>
        <v>2.3459547551454145</v>
      </c>
      <c r="I14" s="30">
        <f>IF(OR($A14="",$B14=""),"",'OddsRatio_working_2-way'!N13)</f>
        <v>1.7429670248402687</v>
      </c>
      <c r="J14" s="30">
        <f>IF('Log_working_2-way'!$D13="","",A14^('Log_working_2-way'!$D13))</f>
        <v>2.3524481110664444</v>
      </c>
      <c r="K14" s="32">
        <f>IF('Log_working_2-way'!$D13="","",B14^('Log_working_2-way'!$D13))</f>
        <v>1.7393999014212567</v>
      </c>
      <c r="L14" s="37">
        <f t="shared" si="9"/>
        <v>0.42893401015228422</v>
      </c>
      <c r="M14" s="37">
        <f t="shared" si="10"/>
        <v>0.57106598984771573</v>
      </c>
      <c r="N14" s="38">
        <v>110</v>
      </c>
      <c r="O14" s="38">
        <f t="shared" si="11"/>
        <v>61.111111111111107</v>
      </c>
      <c r="P14" s="38">
        <f t="shared" si="12"/>
        <v>44.911242603550299</v>
      </c>
      <c r="Q14" s="38">
        <f t="shared" si="13"/>
        <v>65.088757396449708</v>
      </c>
      <c r="R14" s="38">
        <f t="shared" si="14"/>
        <v>48.888888888888886</v>
      </c>
      <c r="S14" s="39">
        <f t="shared" si="15"/>
        <v>-3.9776462853386008</v>
      </c>
      <c r="T14" s="39">
        <f t="shared" si="16"/>
        <v>-3.9776462853385866</v>
      </c>
      <c r="U14" t="s">
        <v>101</v>
      </c>
      <c r="V14" t="s">
        <v>98</v>
      </c>
      <c r="W14" t="s">
        <v>112</v>
      </c>
      <c r="X14" s="48" t="s">
        <v>119</v>
      </c>
      <c r="Y14" s="41"/>
    </row>
    <row r="15" spans="1:25" ht="15" x14ac:dyDescent="0.25">
      <c r="A15">
        <v>2.08</v>
      </c>
      <c r="B15">
        <v>1.83</v>
      </c>
      <c r="C15" s="29">
        <f t="shared" si="0"/>
        <v>2.7217318200924545E-2</v>
      </c>
      <c r="D15" s="30">
        <f>IF(OR($A15="",$B15=""),"",A15*'MPTO_working_2-way'!$G14)</f>
        <v>2.136612021857923</v>
      </c>
      <c r="E15" s="32">
        <f>IF(OR($A15="",$B15=""),"",B15*'MPTO_working_2-way'!$G14)</f>
        <v>1.8798076923076921</v>
      </c>
      <c r="F15" s="30">
        <f>IF(OR($A15="",$B15=""),"",'MPTO_working_2-way'!D14)</f>
        <v>2.1405916094927453</v>
      </c>
      <c r="G15" s="32">
        <f>IF(OR($A15="",$B15=""),"",'MPTO_working_2-way'!E14)</f>
        <v>1.8767379942806428</v>
      </c>
      <c r="H15" s="30">
        <f>IF(OR($A15="",$B15=""),"",'OddsRatio_working_2-way'!M14)</f>
        <v>2.1407036509440598</v>
      </c>
      <c r="I15" s="30">
        <f>IF(OR($A15="",$B15=""),"",'OddsRatio_working_2-way'!N14)</f>
        <v>1.8766518798921943</v>
      </c>
      <c r="J15" s="30">
        <f>IF('Log_working_2-way'!$D14="","",A15^('Log_working_2-way'!$D14))</f>
        <v>2.1425119645428072</v>
      </c>
      <c r="K15" s="32">
        <f>IF('Log_working_2-way'!$D14="","",B15^('Log_working_2-way'!$D14))</f>
        <v>1.875264356990918</v>
      </c>
      <c r="L15" s="37">
        <f t="shared" si="9"/>
        <v>0.46803069053708451</v>
      </c>
      <c r="M15" s="37">
        <f t="shared" si="10"/>
        <v>0.53196930946291565</v>
      </c>
      <c r="N15" s="38">
        <v>111</v>
      </c>
      <c r="O15" s="38">
        <f t="shared" si="11"/>
        <v>57.63461538461538</v>
      </c>
      <c r="P15" s="38">
        <f t="shared" si="12"/>
        <v>50.344262295081961</v>
      </c>
      <c r="Q15" s="38">
        <f t="shared" si="13"/>
        <v>60.655737704918025</v>
      </c>
      <c r="R15" s="38">
        <f t="shared" si="14"/>
        <v>53.365384615384613</v>
      </c>
      <c r="S15" s="39">
        <f t="shared" si="15"/>
        <v>-3.0211223203026449</v>
      </c>
      <c r="T15" s="39">
        <f t="shared" si="16"/>
        <v>-3.021122320302652</v>
      </c>
      <c r="U15" t="s">
        <v>107</v>
      </c>
      <c r="V15" t="s">
        <v>108</v>
      </c>
      <c r="W15" t="s">
        <v>112</v>
      </c>
      <c r="X15" s="48" t="s">
        <v>119</v>
      </c>
      <c r="Y15" s="41"/>
    </row>
    <row r="16" spans="1:25" ht="15" x14ac:dyDescent="0.25">
      <c r="A16">
        <v>2.0499999999999998</v>
      </c>
      <c r="B16">
        <v>1.85</v>
      </c>
      <c r="C16" s="29">
        <f t="shared" si="0"/>
        <v>2.8345418589321048E-2</v>
      </c>
      <c r="D16" s="30">
        <f>IF(OR($A16="",$B16=""),"",A16*'MPTO_working_2-way'!$G15)</f>
        <v>2.1081081081081079</v>
      </c>
      <c r="E16" s="32">
        <f>IF(OR($A16="",$B16=""),"",B16*'MPTO_working_2-way'!$G15)</f>
        <v>1.902439024390244</v>
      </c>
      <c r="F16" s="30">
        <f>IF(OR($A16="",$B16=""),"",'MPTO_working_2-way'!D15)</f>
        <v>2.1113430758524703</v>
      </c>
      <c r="G16" s="32">
        <f>IF(OR($A16="",$B16=""),"",'MPTO_working_2-way'!E15)</f>
        <v>1.8998121477770822</v>
      </c>
      <c r="H16" s="30">
        <f>IF(OR($A16="",$B16=""),"",'OddsRatio_working_2-way'!M15)</f>
        <v>2.1114378604524222</v>
      </c>
      <c r="I16" s="30">
        <f>IF(OR($A16="",$B16=""),"",'OddsRatio_working_2-way'!N15)</f>
        <v>1.8997354108424378</v>
      </c>
      <c r="J16" s="30">
        <f>IF('Log_working_2-way'!$D15="","",A16^('Log_working_2-way'!$D15))</f>
        <v>2.1129081281913611</v>
      </c>
      <c r="K16" s="32">
        <f>IF('Log_working_2-way'!$D15="","",B16^('Log_working_2-way'!$D15))</f>
        <v>1.8985467665018629</v>
      </c>
      <c r="L16" s="37">
        <f t="shared" si="9"/>
        <v>0.47435897435897439</v>
      </c>
      <c r="M16" s="37">
        <f t="shared" si="10"/>
        <v>0.52564102564102555</v>
      </c>
      <c r="N16" s="38">
        <v>112</v>
      </c>
      <c r="O16" s="38">
        <f t="shared" si="11"/>
        <v>57.365853658536572</v>
      </c>
      <c r="P16" s="38">
        <f t="shared" si="12"/>
        <v>51.45945945945946</v>
      </c>
      <c r="Q16" s="38">
        <f t="shared" si="13"/>
        <v>60.540540540540533</v>
      </c>
      <c r="R16" s="38">
        <f t="shared" si="14"/>
        <v>54.634146341463421</v>
      </c>
      <c r="S16" s="39">
        <f t="shared" si="15"/>
        <v>-3.1746868820039609</v>
      </c>
      <c r="T16" s="39">
        <f t="shared" si="16"/>
        <v>-3.1746868820039609</v>
      </c>
      <c r="U16" t="s">
        <v>93</v>
      </c>
      <c r="V16" t="s">
        <v>111</v>
      </c>
      <c r="W16" t="s">
        <v>112</v>
      </c>
      <c r="X16" s="48" t="s">
        <v>119</v>
      </c>
      <c r="Y16" s="41"/>
    </row>
    <row r="17" spans="1:25" ht="15" x14ac:dyDescent="0.25">
      <c r="A17">
        <v>2.2200000000000002</v>
      </c>
      <c r="B17">
        <v>1.71</v>
      </c>
      <c r="C17" s="29">
        <f t="shared" si="0"/>
        <v>3.5245772087877381E-2</v>
      </c>
      <c r="D17" s="30">
        <f>IF(OR($A17="",$B17=""),"",A17*'MPTO_working_2-way'!$G16)</f>
        <v>2.2982456140350882</v>
      </c>
      <c r="E17" s="32">
        <f>IF(OR($A17="",$B17=""),"",B17*'MPTO_working_2-way'!$G16)</f>
        <v>1.7702702702702702</v>
      </c>
      <c r="F17" s="30">
        <f>IF(OR($A17="",$B17=""),"",'MPTO_working_2-way'!D16)</f>
        <v>2.3103888990323171</v>
      </c>
      <c r="G17" s="32">
        <f>IF(OR($A17="",$B17=""),"",'MPTO_working_2-way'!E16)</f>
        <v>1.7631322279503969</v>
      </c>
      <c r="H17" s="30">
        <f>IF(OR($A17="",$B17=""),"",'OddsRatio_working_2-way'!M16)</f>
        <v>2.310843186332725</v>
      </c>
      <c r="I17" s="30">
        <f>IF(OR($A17="",$B17=""),"",'OddsRatio_working_2-way'!N16)</f>
        <v>1.7628677559805201</v>
      </c>
      <c r="J17" s="30">
        <f>IF('Log_working_2-way'!$D16="","",A17^('Log_working_2-way'!$D16))</f>
        <v>2.3164405926032319</v>
      </c>
      <c r="K17" s="32">
        <f>IF('Log_working_2-way'!$D16="","",B17^('Log_working_2-way'!$D16))</f>
        <v>1.7596240997267032</v>
      </c>
      <c r="L17" s="37">
        <f t="shared" si="9"/>
        <v>0.43511450381679379</v>
      </c>
      <c r="M17" s="37">
        <f t="shared" si="10"/>
        <v>0.56488549618320616</v>
      </c>
      <c r="N17" s="38">
        <v>113</v>
      </c>
      <c r="O17" s="38">
        <f t="shared" si="11"/>
        <v>62.099099099099099</v>
      </c>
      <c r="P17" s="38">
        <f t="shared" si="12"/>
        <v>46.918128654970751</v>
      </c>
      <c r="Q17" s="38">
        <f t="shared" si="13"/>
        <v>66.081871345029242</v>
      </c>
      <c r="R17" s="38">
        <f t="shared" si="14"/>
        <v>50.900900900900893</v>
      </c>
      <c r="S17" s="39">
        <f t="shared" si="15"/>
        <v>-3.9827722459301427</v>
      </c>
      <c r="T17" s="39">
        <f t="shared" si="16"/>
        <v>-3.9827722459301427</v>
      </c>
      <c r="U17" t="s">
        <v>106</v>
      </c>
      <c r="V17" t="s">
        <v>99</v>
      </c>
      <c r="W17" t="s">
        <v>112</v>
      </c>
      <c r="X17" s="48" t="s">
        <v>119</v>
      </c>
      <c r="Y17" s="41"/>
    </row>
    <row r="18" spans="1:25" ht="15" x14ac:dyDescent="0.25">
      <c r="A18">
        <v>2.27</v>
      </c>
      <c r="B18">
        <v>1.69</v>
      </c>
      <c r="C18" s="29">
        <f t="shared" si="0"/>
        <v>3.2244610692594433E-2</v>
      </c>
      <c r="D18" s="30">
        <f>IF(OR($A18="",$B18=""),"",A18*'MPTO_working_2-way'!$G17)</f>
        <v>2.3431952662721893</v>
      </c>
      <c r="E18" s="32">
        <f>IF(OR($A18="",$B18=""),"",B18*'MPTO_working_2-way'!$G17)</f>
        <v>1.7444933920704846</v>
      </c>
      <c r="F18" s="30">
        <f>IF(OR($A18="",$B18=""),"",'MPTO_working_2-way'!D17)</f>
        <v>2.3562325338574457</v>
      </c>
      <c r="G18" s="32">
        <f>IF(OR($A18="",$B18=""),"",'MPTO_working_2-way'!E17)</f>
        <v>1.7373366845549443</v>
      </c>
      <c r="H18" s="30">
        <f>IF(OR($A18="",$B18=""),"",'OddsRatio_working_2-way'!M17)</f>
        <v>2.3566796637913199</v>
      </c>
      <c r="I18" s="30">
        <f>IF(OR($A18="",$B18=""),"",'OddsRatio_working_2-way'!N17)</f>
        <v>1.7370936756031574</v>
      </c>
      <c r="J18" s="30">
        <f>IF('Log_working_2-way'!$D17="","",A18^('Log_working_2-way'!$D17))</f>
        <v>2.3626810133503287</v>
      </c>
      <c r="K18" s="32">
        <f>IF('Log_working_2-way'!$D17="","",B18^('Log_working_2-way'!$D17))</f>
        <v>1.733847459679009</v>
      </c>
      <c r="L18" s="37">
        <f t="shared" si="9"/>
        <v>0.4267676767676768</v>
      </c>
      <c r="M18" s="37">
        <f t="shared" si="10"/>
        <v>0.5732323232323232</v>
      </c>
      <c r="N18" s="38">
        <v>114</v>
      </c>
      <c r="O18" s="38">
        <f t="shared" si="11"/>
        <v>63.779735682819393</v>
      </c>
      <c r="P18" s="38">
        <f t="shared" si="12"/>
        <v>46.544378698224854</v>
      </c>
      <c r="Q18" s="38">
        <f t="shared" si="13"/>
        <v>67.455621301775153</v>
      </c>
      <c r="R18" s="38">
        <f t="shared" si="14"/>
        <v>50.220264317180614</v>
      </c>
      <c r="S18" s="39">
        <f t="shared" si="15"/>
        <v>-3.6758856189557605</v>
      </c>
      <c r="T18" s="39">
        <f t="shared" si="16"/>
        <v>-3.6758856189557605</v>
      </c>
      <c r="U18" t="s">
        <v>96</v>
      </c>
      <c r="V18" t="s">
        <v>104</v>
      </c>
      <c r="W18" t="s">
        <v>112</v>
      </c>
      <c r="X18" s="48" t="s">
        <v>119</v>
      </c>
      <c r="Y18" s="41"/>
    </row>
    <row r="19" spans="1:25" ht="15" x14ac:dyDescent="0.25">
      <c r="A19">
        <v>2.31</v>
      </c>
      <c r="B19">
        <v>1.67</v>
      </c>
      <c r="C19" s="29">
        <f t="shared" si="0"/>
        <v>3.1702828110013792E-2</v>
      </c>
      <c r="D19" s="30">
        <f>IF(OR($A19="",$B19=""),"",A19*'MPTO_working_2-way'!$G18)</f>
        <v>2.3832335329341321</v>
      </c>
      <c r="E19" s="32">
        <f>IF(OR($A19="",$B19=""),"",B19*'MPTO_working_2-way'!$G18)</f>
        <v>1.722943722943723</v>
      </c>
      <c r="F19" s="30">
        <f>IF(OR($A19="",$B19=""),"",'MPTO_working_2-way'!D18)</f>
        <v>2.397799670572148</v>
      </c>
      <c r="G19" s="32">
        <f>IF(OR($A19="",$B19=""),"",'MPTO_working_2-way'!E18)</f>
        <v>1.7154100984947862</v>
      </c>
      <c r="H19" s="30">
        <f>IF(OR($A19="",$B19=""),"",'OddsRatio_working_2-way'!M18)</f>
        <v>2.3982932026570873</v>
      </c>
      <c r="I19" s="30">
        <f>IF(OR($A19="",$B19=""),"",'OddsRatio_working_2-way'!N18)</f>
        <v>1.7151575921986633</v>
      </c>
      <c r="J19" s="30">
        <f>IF('Log_working_2-way'!$D18="","",A19^('Log_working_2-way'!$D18))</f>
        <v>2.4050060096166201</v>
      </c>
      <c r="K19" s="32">
        <f>IF('Log_working_2-way'!$D18="","",B19^('Log_working_2-way'!$D18))</f>
        <v>1.7117407279082215</v>
      </c>
      <c r="L19" s="37">
        <f t="shared" si="9"/>
        <v>0.41959798994974867</v>
      </c>
      <c r="M19" s="37">
        <f t="shared" si="10"/>
        <v>0.58040201005025127</v>
      </c>
      <c r="N19" s="38">
        <v>115</v>
      </c>
      <c r="O19" s="38">
        <f t="shared" si="11"/>
        <v>65.216450216450227</v>
      </c>
      <c r="P19" s="38">
        <f t="shared" si="12"/>
        <v>46.137724550898199</v>
      </c>
      <c r="Q19" s="38">
        <f t="shared" si="13"/>
        <v>68.862275449101801</v>
      </c>
      <c r="R19" s="38">
        <f t="shared" si="14"/>
        <v>49.78354978354978</v>
      </c>
      <c r="S19" s="39">
        <f t="shared" si="15"/>
        <v>-3.6458252326515748</v>
      </c>
      <c r="T19" s="39">
        <f t="shared" si="16"/>
        <v>-3.6458252326515819</v>
      </c>
      <c r="U19" t="s">
        <v>94</v>
      </c>
      <c r="V19" t="s">
        <v>109</v>
      </c>
      <c r="W19" t="s">
        <v>112</v>
      </c>
      <c r="X19" s="48" t="s">
        <v>119</v>
      </c>
      <c r="Y19" s="41"/>
    </row>
    <row r="20" spans="1:25" ht="15" x14ac:dyDescent="0.25">
      <c r="A20">
        <v>2.0299999999999998</v>
      </c>
      <c r="B20">
        <v>1.86</v>
      </c>
      <c r="C20" s="29">
        <f t="shared" si="0"/>
        <v>3.0245246040574214E-2</v>
      </c>
      <c r="D20" s="30">
        <f>IF(OR($A20="",$B20=""),"",A20*'MPTO_working_2-way'!$G19)</f>
        <v>2.0913978494623655</v>
      </c>
      <c r="E20" s="32">
        <f>IF(OR($A20="",$B20=""),"",B20*'MPTO_working_2-way'!$G19)</f>
        <v>1.9162561576354682</v>
      </c>
      <c r="F20" s="30">
        <f>IF(OR($A20="",$B20=""),"",'MPTO_working_2-way'!D19)</f>
        <v>2.0942925287037548</v>
      </c>
      <c r="G20" s="32">
        <f>IF(OR($A20="",$B20=""),"",'MPTO_working_2-way'!E19)</f>
        <v>1.9138324294186226</v>
      </c>
      <c r="H20" s="30">
        <f>IF(OR($A20="",$B20=""),"",'OddsRatio_working_2-way'!M19)</f>
        <v>2.0943831224048783</v>
      </c>
      <c r="I20" s="30">
        <f>IF(OR($A20="",$B20=""),"",'OddsRatio_working_2-way'!N19)</f>
        <v>1.9137567818137824</v>
      </c>
      <c r="J20" s="30">
        <f>IF('Log_working_2-way'!$D19="","",A20^('Log_working_2-way'!$D19))</f>
        <v>2.0957003958101184</v>
      </c>
      <c r="K20" s="32">
        <f>IF('Log_working_2-way'!$D19="","",B20^('Log_working_2-way'!$D19))</f>
        <v>1.9126582447390832</v>
      </c>
      <c r="L20" s="37">
        <f t="shared" si="9"/>
        <v>0.47814910025706941</v>
      </c>
      <c r="M20" s="37">
        <f t="shared" si="10"/>
        <v>0.52185089974293053</v>
      </c>
      <c r="N20" s="38">
        <v>116</v>
      </c>
      <c r="O20" s="38">
        <f t="shared" si="11"/>
        <v>58.857142857142861</v>
      </c>
      <c r="P20" s="38">
        <f t="shared" si="12"/>
        <v>53.634408602150543</v>
      </c>
      <c r="Q20" s="38">
        <f t="shared" si="13"/>
        <v>62.365591397849457</v>
      </c>
      <c r="R20" s="38">
        <f t="shared" si="14"/>
        <v>57.142857142857153</v>
      </c>
      <c r="S20" s="39">
        <f t="shared" si="15"/>
        <v>-3.5084485407065955</v>
      </c>
      <c r="T20" s="39">
        <f t="shared" si="16"/>
        <v>-3.5084485407066097</v>
      </c>
      <c r="U20" t="s">
        <v>110</v>
      </c>
      <c r="V20" t="s">
        <v>102</v>
      </c>
      <c r="W20" t="s">
        <v>112</v>
      </c>
      <c r="X20" s="48" t="s">
        <v>119</v>
      </c>
      <c r="Y20" s="41"/>
    </row>
    <row r="21" spans="1:25" ht="15" x14ac:dyDescent="0.25">
      <c r="A21">
        <v>2.76</v>
      </c>
      <c r="B21">
        <v>1.46</v>
      </c>
      <c r="C21" s="29">
        <f t="shared" si="0"/>
        <v>4.7250347429025119E-2</v>
      </c>
      <c r="D21" s="30">
        <f>IF(OR($A21="",$B21=""),"",A21*'MPTO_working_2-way'!$G20)</f>
        <v>2.8904109589041092</v>
      </c>
      <c r="E21" s="32">
        <f>IF(OR($A21="",$B21=""),"",B21*'MPTO_working_2-way'!$G20)</f>
        <v>1.5289855072463767</v>
      </c>
      <c r="F21" s="30">
        <f>IF(OR($A21="",$B21=""),"",'MPTO_working_2-way'!D20)</f>
        <v>2.9525205158264942</v>
      </c>
      <c r="G21" s="32">
        <f>IF(OR($A21="",$B21=""),"",'MPTO_working_2-way'!E20)</f>
        <v>1.5121585109576703</v>
      </c>
      <c r="H21" s="30">
        <f>IF(OR($A21="",$B21=""),"",'OddsRatio_working_2-way'!M20)</f>
        <v>2.9560385876873023</v>
      </c>
      <c r="I21" s="30">
        <f>IF(OR($A21="",$B21=""),"",'OddsRatio_working_2-way'!N20)</f>
        <v>1.5112373581455452</v>
      </c>
      <c r="J21" s="30">
        <f>IF('Log_working_2-way'!$D20="","",A21^('Log_working_2-way'!$D20))</f>
        <v>2.986129702020961</v>
      </c>
      <c r="K21" s="32">
        <f>IF('Log_working_2-way'!$D20="","",B21^('Log_working_2-way'!$D20))</f>
        <v>1.5034917905810425</v>
      </c>
      <c r="L21" s="37">
        <f t="shared" si="9"/>
        <v>0.34597156398104273</v>
      </c>
      <c r="M21" s="37">
        <f t="shared" si="10"/>
        <v>0.65402843601895744</v>
      </c>
      <c r="N21" s="38">
        <v>117</v>
      </c>
      <c r="O21" s="38">
        <f t="shared" si="11"/>
        <v>74.608695652173907</v>
      </c>
      <c r="P21" s="38">
        <f t="shared" si="12"/>
        <v>36.863013698630134</v>
      </c>
      <c r="Q21" s="38">
        <f t="shared" si="13"/>
        <v>80.136986301369859</v>
      </c>
      <c r="R21" s="38">
        <f t="shared" si="14"/>
        <v>42.391304347826093</v>
      </c>
      <c r="S21" s="39">
        <f t="shared" si="15"/>
        <v>-5.5282906491959523</v>
      </c>
      <c r="T21" s="39">
        <f t="shared" si="16"/>
        <v>-5.5282906491959594</v>
      </c>
      <c r="U21" t="s">
        <v>86</v>
      </c>
      <c r="V21" t="s">
        <v>83</v>
      </c>
      <c r="W21" t="s">
        <v>91</v>
      </c>
      <c r="X21" s="48" t="s">
        <v>119</v>
      </c>
      <c r="Y21" s="41"/>
    </row>
    <row r="22" spans="1:25" ht="15" x14ac:dyDescent="0.25">
      <c r="A22">
        <v>2.5299999999999998</v>
      </c>
      <c r="B22">
        <v>1.53</v>
      </c>
      <c r="C22" s="29">
        <f t="shared" si="0"/>
        <v>4.8851688237877555E-2</v>
      </c>
      <c r="D22" s="30">
        <f>IF(OR($A22="",$B22=""),"",A22*'MPTO_working_2-way'!$G21)</f>
        <v>2.65359477124183</v>
      </c>
      <c r="E22" s="32">
        <f>IF(OR($A22="",$B22=""),"",B22*'MPTO_working_2-way'!$G21)</f>
        <v>1.6047430830039526</v>
      </c>
      <c r="F22" s="30">
        <f>IF(OR($A22="",$B22=""),"",'MPTO_working_2-way'!D21)</f>
        <v>2.6966456511895225</v>
      </c>
      <c r="G22" s="32">
        <f>IF(OR($A22="",$B22=""),"",'MPTO_working_2-way'!E21)</f>
        <v>1.5893982631546533</v>
      </c>
      <c r="H22" s="30">
        <f>IF(OR($A22="",$B22=""),"",'OddsRatio_working_2-way'!M21)</f>
        <v>2.6990563418645621</v>
      </c>
      <c r="I22" s="30">
        <f>IF(OR($A22="",$B22=""),"",'OddsRatio_working_2-way'!N21)</f>
        <v>1.5885620007766132</v>
      </c>
      <c r="J22" s="30">
        <f>IF('Log_working_2-way'!$D21="","",A22^('Log_working_2-way'!$D21))</f>
        <v>2.7196434514119039</v>
      </c>
      <c r="K22" s="32">
        <f>IF('Log_working_2-way'!$D21="","",B22^('Log_working_2-way'!$D21))</f>
        <v>1.5815158945749188</v>
      </c>
      <c r="L22" s="37">
        <f t="shared" si="9"/>
        <v>0.37684729064039413</v>
      </c>
      <c r="M22" s="37">
        <f t="shared" si="10"/>
        <v>0.62315270935960587</v>
      </c>
      <c r="N22" s="38">
        <v>118</v>
      </c>
      <c r="O22" s="38">
        <f t="shared" si="11"/>
        <v>71.359683794466392</v>
      </c>
      <c r="P22" s="38">
        <f t="shared" si="12"/>
        <v>40.875816993464049</v>
      </c>
      <c r="Q22" s="38">
        <f t="shared" si="13"/>
        <v>77.124183006535944</v>
      </c>
      <c r="R22" s="38">
        <f t="shared" si="14"/>
        <v>46.640316205533601</v>
      </c>
      <c r="S22" s="39">
        <f t="shared" si="15"/>
        <v>-5.764499212069552</v>
      </c>
      <c r="T22" s="39">
        <f t="shared" si="16"/>
        <v>-5.764499212069552</v>
      </c>
      <c r="U22" t="s">
        <v>82</v>
      </c>
      <c r="V22" t="s">
        <v>74</v>
      </c>
      <c r="W22" t="s">
        <v>91</v>
      </c>
      <c r="X22" s="48" t="s">
        <v>119</v>
      </c>
      <c r="Y22" s="41"/>
    </row>
    <row r="23" spans="1:25" ht="15" x14ac:dyDescent="0.25">
      <c r="A23">
        <v>2.64</v>
      </c>
      <c r="B23">
        <v>1.5</v>
      </c>
      <c r="C23" s="29">
        <f t="shared" si="0"/>
        <v>4.5454545454545414E-2</v>
      </c>
      <c r="D23" s="30">
        <f>IF(OR($A23="",$B23=""),"",A23*'MPTO_working_2-way'!$G22)</f>
        <v>2.7600000000000002</v>
      </c>
      <c r="E23" s="32">
        <f>IF(OR($A23="",$B23=""),"",B23*'MPTO_working_2-way'!$G22)</f>
        <v>1.5681818181818181</v>
      </c>
      <c r="F23" s="30">
        <f>IF(OR($A23="",$B23=""),"",'MPTO_working_2-way'!D22)</f>
        <v>2.8085106382978724</v>
      </c>
      <c r="G23" s="32">
        <f>IF(OR($A23="",$B23=""),"",'MPTO_working_2-way'!E22)</f>
        <v>1.5529411764705883</v>
      </c>
      <c r="H23" s="30">
        <f>IF(OR($A23="",$B23=""),"",'OddsRatio_working_2-way'!M22)</f>
        <v>2.811077027627483</v>
      </c>
      <c r="I23" s="30">
        <f>IF(OR($A23="",$B23=""),"",'OddsRatio_working_2-way'!N22)</f>
        <v>1.5521576303742324</v>
      </c>
      <c r="J23" s="30">
        <f>IF('Log_working_2-way'!$D22="","",A23^('Log_working_2-way'!$D22))</f>
        <v>2.8343166972166882</v>
      </c>
      <c r="K23" s="32">
        <f>IF('Log_working_2-way'!$D22="","",B23^('Log_working_2-way'!$D22))</f>
        <v>1.5451621312261112</v>
      </c>
      <c r="L23" s="37">
        <f t="shared" si="9"/>
        <v>0.36231884057971009</v>
      </c>
      <c r="M23" s="37">
        <f t="shared" si="10"/>
        <v>0.63768115942028991</v>
      </c>
      <c r="N23" s="38">
        <v>119</v>
      </c>
      <c r="O23" s="38">
        <f t="shared" si="11"/>
        <v>73.924242424242436</v>
      </c>
      <c r="P23" s="38">
        <f t="shared" si="12"/>
        <v>39.666666666666664</v>
      </c>
      <c r="Q23" s="38">
        <f t="shared" si="13"/>
        <v>79.333333333333329</v>
      </c>
      <c r="R23" s="38">
        <f t="shared" si="14"/>
        <v>45.075757575757578</v>
      </c>
      <c r="S23" s="39">
        <f t="shared" si="15"/>
        <v>-5.4090909090908923</v>
      </c>
      <c r="T23" s="39">
        <f t="shared" si="16"/>
        <v>-5.4090909090909136</v>
      </c>
      <c r="U23" t="s">
        <v>80</v>
      </c>
      <c r="V23" t="s">
        <v>85</v>
      </c>
      <c r="W23" t="s">
        <v>91</v>
      </c>
      <c r="X23" s="48" t="s">
        <v>119</v>
      </c>
      <c r="Y23" s="41"/>
    </row>
    <row r="24" spans="1:25" ht="15" x14ac:dyDescent="0.25">
      <c r="A24">
        <v>2.02</v>
      </c>
      <c r="B24">
        <v>1.83</v>
      </c>
      <c r="C24" s="29">
        <f t="shared" si="0"/>
        <v>4.1497592382188975E-2</v>
      </c>
      <c r="D24" s="30">
        <f>IF(OR($A24="",$B24=""),"",A24*'MPTO_working_2-way'!$G23)</f>
        <v>2.1038251366120218</v>
      </c>
      <c r="E24" s="32">
        <f>IF(OR($A24="",$B24=""),"",B24*'MPTO_working_2-way'!$G23)</f>
        <v>1.9059405940594059</v>
      </c>
      <c r="F24" s="30">
        <f>IF(OR($A24="",$B24=""),"",'MPTO_working_2-way'!D23)</f>
        <v>2.1083670792220381</v>
      </c>
      <c r="G24" s="32">
        <f>IF(OR($A24="",$B24=""),"",'MPTO_working_2-way'!E23)</f>
        <v>1.9022281685792208</v>
      </c>
      <c r="H24" s="30">
        <f>IF(OR($A24="",$B24=""),"",'OddsRatio_working_2-way'!M23)</f>
        <v>2.1085646858215363</v>
      </c>
      <c r="I24" s="30">
        <f>IF(OR($A24="",$B24=""),"",'OddsRatio_working_2-way'!N23)</f>
        <v>1.9020673423841918</v>
      </c>
      <c r="J24" s="30">
        <f>IF('Log_working_2-way'!$D23="","",A24^('Log_working_2-way'!$D23))</f>
        <v>2.1106543395875321</v>
      </c>
      <c r="K24" s="32">
        <f>IF('Log_working_2-way'!$D23="","",B24^('Log_working_2-way'!$D23))</f>
        <v>1.9003701370951678</v>
      </c>
      <c r="L24" s="37">
        <f t="shared" si="9"/>
        <v>0.47532467532467537</v>
      </c>
      <c r="M24" s="37">
        <f t="shared" si="10"/>
        <v>0.52467532467532474</v>
      </c>
      <c r="N24" s="38">
        <v>120</v>
      </c>
      <c r="O24" s="38">
        <f t="shared" si="11"/>
        <v>60.594059405940598</v>
      </c>
      <c r="P24" s="38">
        <f t="shared" si="12"/>
        <v>54.426229508196727</v>
      </c>
      <c r="Q24" s="38">
        <f t="shared" si="13"/>
        <v>65.573770491803273</v>
      </c>
      <c r="R24" s="38">
        <f t="shared" si="14"/>
        <v>59.405940594059402</v>
      </c>
      <c r="S24" s="39">
        <f t="shared" si="15"/>
        <v>-4.9797110858626752</v>
      </c>
      <c r="T24" s="39">
        <f t="shared" si="16"/>
        <v>-4.9797110858626752</v>
      </c>
      <c r="U24" t="s">
        <v>87</v>
      </c>
      <c r="V24" t="s">
        <v>73</v>
      </c>
      <c r="W24" t="s">
        <v>91</v>
      </c>
      <c r="X24" s="48" t="s">
        <v>119</v>
      </c>
      <c r="Y24" s="41"/>
    </row>
    <row r="25" spans="1:25" ht="15" x14ac:dyDescent="0.25">
      <c r="A25">
        <v>2.48</v>
      </c>
      <c r="B25">
        <v>1.56</v>
      </c>
      <c r="C25" s="29">
        <f t="shared" si="0"/>
        <v>4.4251447477253958E-2</v>
      </c>
      <c r="D25" s="30">
        <f>IF(OR($A25="",$B25=""),"",A25*'MPTO_working_2-way'!$G24)</f>
        <v>2.5897435897435899</v>
      </c>
      <c r="E25" s="32">
        <f>IF(OR($A25="",$B25=""),"",B25*'MPTO_working_2-way'!$G24)</f>
        <v>1.6290322580645162</v>
      </c>
      <c r="F25" s="30">
        <f>IF(OR($A25="",$B25=""),"",'MPTO_working_2-way'!D24)</f>
        <v>2.6239826370048833</v>
      </c>
      <c r="G25" s="32">
        <f>IF(OR($A25="",$B25=""),"",'MPTO_working_2-way'!E24)</f>
        <v>1.6157701303040428</v>
      </c>
      <c r="H25" s="30">
        <f>IF(OR($A25="",$B25=""),"",'OddsRatio_working_2-way'!M24)</f>
        <v>2.6256866681058635</v>
      </c>
      <c r="I25" s="30">
        <f>IF(OR($A25="",$B25=""),"",'OddsRatio_working_2-way'!N24)</f>
        <v>1.6151246852292456</v>
      </c>
      <c r="J25" s="30">
        <f>IF('Log_working_2-way'!$D24="","",A25^('Log_working_2-way'!$D24))</f>
        <v>2.6418905094818519</v>
      </c>
      <c r="K25" s="32">
        <f>IF('Log_working_2-way'!$D24="","",B25^('Log_working_2-way'!$D24))</f>
        <v>1.6090540107419686</v>
      </c>
      <c r="L25" s="37">
        <f t="shared" si="9"/>
        <v>0.38613861386138609</v>
      </c>
      <c r="M25" s="37">
        <f t="shared" si="10"/>
        <v>0.61386138613861385</v>
      </c>
      <c r="N25" s="38">
        <v>121</v>
      </c>
      <c r="O25" s="38">
        <f t="shared" si="11"/>
        <v>72.209677419354833</v>
      </c>
      <c r="P25" s="38">
        <f t="shared" si="12"/>
        <v>43.435897435897445</v>
      </c>
      <c r="Q25" s="38">
        <f t="shared" si="13"/>
        <v>77.564102564102555</v>
      </c>
      <c r="R25" s="38">
        <f t="shared" si="14"/>
        <v>48.790322580645167</v>
      </c>
      <c r="S25" s="39">
        <f t="shared" si="15"/>
        <v>-5.3544251447477222</v>
      </c>
      <c r="T25" s="39">
        <f t="shared" si="16"/>
        <v>-5.3544251447477222</v>
      </c>
      <c r="U25" t="s">
        <v>78</v>
      </c>
      <c r="V25" t="s">
        <v>71</v>
      </c>
      <c r="W25" t="s">
        <v>91</v>
      </c>
      <c r="X25" s="48" t="s">
        <v>119</v>
      </c>
      <c r="Y25" s="41"/>
    </row>
    <row r="26" spans="1:25" ht="15" x14ac:dyDescent="0.25">
      <c r="A26"/>
      <c r="B26"/>
      <c r="C26" s="29"/>
      <c r="D26" s="30"/>
      <c r="E26" s="32"/>
      <c r="F26" s="30"/>
      <c r="G26" s="32"/>
      <c r="H26" s="30"/>
      <c r="I26" s="30"/>
      <c r="J26" s="30"/>
      <c r="K26" s="32"/>
      <c r="L26" s="37"/>
      <c r="M26" s="37"/>
      <c r="N26" s="38"/>
      <c r="O26" s="38"/>
      <c r="P26" s="38"/>
      <c r="Q26" s="38"/>
      <c r="R26" s="38"/>
      <c r="S26" s="39"/>
      <c r="T26" s="39"/>
      <c r="U26"/>
      <c r="V26"/>
      <c r="W26"/>
      <c r="X26" s="48"/>
      <c r="Y26" s="41"/>
    </row>
    <row r="27" spans="1:25" ht="15" x14ac:dyDescent="0.25">
      <c r="A27"/>
      <c r="B27"/>
      <c r="C27" s="29"/>
      <c r="D27" s="30"/>
      <c r="E27" s="32"/>
      <c r="F27" s="30"/>
      <c r="G27" s="32"/>
      <c r="H27" s="30"/>
      <c r="I27" s="30"/>
      <c r="J27" s="30"/>
      <c r="K27" s="32"/>
      <c r="L27" s="37"/>
      <c r="M27" s="37"/>
      <c r="N27" s="38"/>
      <c r="O27" s="38"/>
      <c r="P27" s="38"/>
      <c r="Q27" s="38"/>
      <c r="R27" s="38"/>
      <c r="S27" s="39"/>
      <c r="T27" s="39"/>
      <c r="U27"/>
      <c r="V27"/>
      <c r="W27"/>
      <c r="X27" s="48"/>
      <c r="Y27" s="41"/>
    </row>
    <row r="28" spans="1:25" ht="15" x14ac:dyDescent="0.25">
      <c r="A28"/>
      <c r="B28"/>
      <c r="C28" s="29"/>
      <c r="D28" s="30"/>
      <c r="E28" s="32"/>
      <c r="F28" s="30"/>
      <c r="G28" s="32"/>
      <c r="H28" s="30"/>
      <c r="I28" s="30"/>
      <c r="J28" s="30"/>
      <c r="K28" s="32"/>
      <c r="L28" s="37"/>
      <c r="M28" s="37"/>
      <c r="N28" s="38"/>
      <c r="O28" s="38"/>
      <c r="P28" s="38"/>
      <c r="Q28" s="38"/>
      <c r="R28" s="38"/>
      <c r="S28" s="39"/>
      <c r="T28" s="39"/>
      <c r="U28"/>
      <c r="V28"/>
      <c r="W28"/>
      <c r="X28" s="48"/>
      <c r="Y28" s="41"/>
    </row>
    <row r="29" spans="1:25" ht="15" x14ac:dyDescent="0.25">
      <c r="A29"/>
      <c r="B29"/>
      <c r="C29" s="29"/>
      <c r="D29" s="30"/>
      <c r="E29" s="32"/>
      <c r="F29" s="30"/>
      <c r="G29" s="32"/>
      <c r="H29" s="30"/>
      <c r="I29" s="30"/>
      <c r="J29" s="30"/>
      <c r="K29" s="32"/>
      <c r="L29" s="37"/>
      <c r="M29" s="37"/>
      <c r="N29" s="38"/>
      <c r="O29" s="38"/>
      <c r="P29" s="38"/>
      <c r="Q29" s="38"/>
      <c r="R29" s="38"/>
      <c r="S29" s="39"/>
      <c r="T29" s="39"/>
      <c r="U29"/>
      <c r="V29"/>
      <c r="W29"/>
      <c r="X29" s="48"/>
      <c r="Y29" s="41"/>
    </row>
    <row r="30" spans="1:25" s="35" customFormat="1" ht="15" x14ac:dyDescent="0.25">
      <c r="A30"/>
      <c r="B30"/>
      <c r="C30" s="29"/>
      <c r="D30" s="30"/>
      <c r="E30" s="32"/>
      <c r="F30" s="30"/>
      <c r="G30" s="32"/>
      <c r="H30" s="30"/>
      <c r="I30" s="30"/>
      <c r="J30" s="30"/>
      <c r="K30" s="32"/>
      <c r="L30" s="37"/>
      <c r="M30" s="37"/>
      <c r="N30" s="38"/>
      <c r="O30" s="38"/>
      <c r="P30" s="38"/>
      <c r="Q30" s="38"/>
      <c r="R30" s="38"/>
      <c r="S30" s="39"/>
      <c r="T30" s="39"/>
      <c r="U30"/>
      <c r="V30"/>
      <c r="W30"/>
      <c r="X30" s="48"/>
      <c r="Y30" s="41"/>
    </row>
    <row r="31" spans="1:25" ht="15" x14ac:dyDescent="0.25">
      <c r="A31"/>
      <c r="B31"/>
      <c r="C31" s="29"/>
      <c r="D31" s="30"/>
      <c r="E31" s="32"/>
      <c r="F31" s="30"/>
      <c r="G31" s="32"/>
      <c r="H31" s="30"/>
      <c r="I31" s="30"/>
      <c r="J31" s="30"/>
      <c r="K31" s="32"/>
      <c r="L31" s="37"/>
      <c r="M31" s="37"/>
      <c r="N31" s="38"/>
      <c r="O31" s="38"/>
      <c r="P31" s="38"/>
      <c r="Q31" s="38"/>
      <c r="R31" s="38"/>
      <c r="S31" s="39"/>
      <c r="T31" s="39"/>
      <c r="U31"/>
      <c r="V31"/>
      <c r="W31"/>
      <c r="X31" s="48"/>
      <c r="Y31" s="41"/>
    </row>
    <row r="32" spans="1:25" ht="15" x14ac:dyDescent="0.25">
      <c r="A32"/>
      <c r="B32"/>
      <c r="C32" s="29"/>
      <c r="D32" s="30"/>
      <c r="E32" s="32"/>
      <c r="F32" s="30"/>
      <c r="G32" s="32"/>
      <c r="H32" s="30"/>
      <c r="I32" s="30"/>
      <c r="J32" s="30"/>
      <c r="K32" s="32"/>
      <c r="L32" s="37"/>
      <c r="M32" s="37"/>
      <c r="N32" s="38"/>
      <c r="O32" s="38"/>
      <c r="P32" s="38"/>
      <c r="Q32" s="38"/>
      <c r="R32" s="38"/>
      <c r="S32" s="39"/>
      <c r="T32" s="39"/>
      <c r="U32"/>
      <c r="V32"/>
      <c r="W32"/>
      <c r="X32" s="48"/>
      <c r="Y32" s="41"/>
    </row>
    <row r="33" spans="1:25" ht="15" x14ac:dyDescent="0.25">
      <c r="A33"/>
      <c r="B33"/>
      <c r="C33" s="29"/>
      <c r="D33" s="30"/>
      <c r="E33" s="32"/>
      <c r="F33" s="30"/>
      <c r="G33" s="32"/>
      <c r="H33" s="30"/>
      <c r="I33" s="30"/>
      <c r="J33" s="30"/>
      <c r="K33" s="32"/>
      <c r="L33" s="37"/>
      <c r="M33" s="37"/>
      <c r="N33" s="38"/>
      <c r="O33" s="38"/>
      <c r="P33" s="38"/>
      <c r="Q33" s="38"/>
      <c r="R33" s="38"/>
      <c r="S33" s="39"/>
      <c r="T33" s="39"/>
      <c r="U33"/>
      <c r="V33"/>
      <c r="W33"/>
      <c r="X33" s="48"/>
      <c r="Y33" s="41"/>
    </row>
    <row r="34" spans="1:25" ht="15" x14ac:dyDescent="0.25">
      <c r="A34"/>
      <c r="B34"/>
      <c r="C34" s="29"/>
      <c r="D34" s="30"/>
      <c r="E34" s="32"/>
      <c r="F34" s="30"/>
      <c r="G34" s="32"/>
      <c r="H34" s="30"/>
      <c r="I34" s="30"/>
      <c r="J34" s="30"/>
      <c r="K34" s="32"/>
      <c r="L34" s="37"/>
      <c r="M34" s="37"/>
      <c r="N34" s="38"/>
      <c r="O34" s="38"/>
      <c r="P34" s="38"/>
      <c r="Q34" s="38"/>
      <c r="R34" s="38"/>
      <c r="S34" s="39"/>
      <c r="T34" s="39"/>
      <c r="U34"/>
      <c r="V34"/>
      <c r="W34"/>
      <c r="X34" s="48"/>
      <c r="Y34" s="41"/>
    </row>
    <row r="35" spans="1:25" ht="15" x14ac:dyDescent="0.25">
      <c r="A35"/>
      <c r="B35"/>
      <c r="C35" s="29"/>
      <c r="D35" s="30"/>
      <c r="E35" s="32"/>
      <c r="F35" s="30"/>
      <c r="G35" s="32"/>
      <c r="H35" s="30"/>
      <c r="I35" s="30"/>
      <c r="J35" s="30"/>
      <c r="K35" s="32"/>
      <c r="L35" s="37"/>
      <c r="M35" s="37"/>
      <c r="N35" s="38"/>
      <c r="O35" s="38"/>
      <c r="P35" s="38"/>
      <c r="Q35" s="38"/>
      <c r="R35" s="38"/>
      <c r="S35" s="39"/>
      <c r="T35" s="39"/>
      <c r="U35"/>
      <c r="V35"/>
      <c r="W35"/>
      <c r="X35" s="48"/>
      <c r="Y35" s="41"/>
    </row>
    <row r="36" spans="1:25" ht="15" x14ac:dyDescent="0.25">
      <c r="A36"/>
      <c r="B36"/>
      <c r="C36" s="29"/>
      <c r="D36" s="30"/>
      <c r="E36" s="32"/>
      <c r="F36" s="30"/>
      <c r="G36" s="32"/>
      <c r="H36" s="30"/>
      <c r="I36" s="30"/>
      <c r="J36" s="30"/>
      <c r="K36" s="32"/>
      <c r="L36" s="37"/>
      <c r="M36" s="37"/>
      <c r="N36" s="38"/>
      <c r="O36" s="38"/>
      <c r="P36" s="38"/>
      <c r="Q36" s="38"/>
      <c r="R36" s="38"/>
      <c r="S36" s="39"/>
      <c r="T36" s="39"/>
      <c r="U36"/>
      <c r="V36"/>
      <c r="W36"/>
      <c r="X36" s="48"/>
      <c r="Y36" s="41"/>
    </row>
    <row r="37" spans="1:25" ht="15" x14ac:dyDescent="0.25">
      <c r="A37"/>
      <c r="B37"/>
      <c r="C37" s="29"/>
      <c r="D37" s="30"/>
      <c r="E37" s="32"/>
      <c r="F37" s="30"/>
      <c r="G37" s="32"/>
      <c r="H37" s="30"/>
      <c r="I37" s="30"/>
      <c r="J37" s="30"/>
      <c r="K37" s="32"/>
      <c r="L37" s="37"/>
      <c r="M37" s="37"/>
      <c r="N37" s="38"/>
      <c r="O37" s="38"/>
      <c r="P37" s="38"/>
      <c r="Q37" s="38"/>
      <c r="R37" s="38"/>
      <c r="S37" s="39"/>
      <c r="T37" s="39"/>
      <c r="U37"/>
      <c r="V37"/>
      <c r="W37"/>
      <c r="X37" s="48"/>
      <c r="Y37" s="41"/>
    </row>
    <row r="38" spans="1:25" ht="15" x14ac:dyDescent="0.25">
      <c r="A38"/>
      <c r="B38"/>
      <c r="C38" s="29"/>
      <c r="D38" s="30"/>
      <c r="E38" s="32"/>
      <c r="F38" s="30"/>
      <c r="G38" s="32"/>
      <c r="H38" s="30"/>
      <c r="I38" s="30"/>
      <c r="J38" s="30"/>
      <c r="K38" s="32"/>
      <c r="L38" s="37"/>
      <c r="M38" s="37"/>
      <c r="N38" s="38"/>
      <c r="O38" s="38"/>
      <c r="P38" s="38"/>
      <c r="Q38" s="38"/>
      <c r="R38" s="38"/>
      <c r="S38" s="39"/>
      <c r="T38" s="39"/>
      <c r="U38"/>
      <c r="V38"/>
      <c r="W38"/>
      <c r="X38" s="48"/>
      <c r="Y38" s="41"/>
    </row>
    <row r="39" spans="1:25" ht="15" x14ac:dyDescent="0.25">
      <c r="A39"/>
      <c r="B39"/>
      <c r="C39" s="29"/>
      <c r="D39" s="30"/>
      <c r="E39" s="32"/>
      <c r="F39" s="30"/>
      <c r="G39" s="32"/>
      <c r="H39" s="30"/>
      <c r="I39" s="30"/>
      <c r="J39" s="30"/>
      <c r="K39" s="32"/>
      <c r="L39" s="37"/>
      <c r="M39" s="37"/>
      <c r="N39" s="38"/>
      <c r="O39" s="38"/>
      <c r="P39" s="38"/>
      <c r="Q39" s="38"/>
      <c r="R39" s="38"/>
      <c r="S39" s="39"/>
      <c r="T39" s="39"/>
      <c r="U39"/>
      <c r="V39"/>
      <c r="W39"/>
      <c r="X39" s="48"/>
      <c r="Y39" s="41"/>
    </row>
    <row r="40" spans="1:25" ht="15" x14ac:dyDescent="0.25">
      <c r="A40"/>
      <c r="B40"/>
      <c r="C40" s="29"/>
      <c r="D40" s="30"/>
      <c r="E40" s="32"/>
      <c r="F40" s="30"/>
      <c r="G40" s="32"/>
      <c r="H40" s="30"/>
      <c r="I40" s="30"/>
      <c r="J40" s="30"/>
      <c r="K40" s="32"/>
      <c r="L40" s="37"/>
      <c r="M40" s="37"/>
      <c r="N40" s="38"/>
      <c r="O40" s="38"/>
      <c r="P40" s="38"/>
      <c r="Q40" s="38"/>
      <c r="R40" s="38"/>
      <c r="S40" s="39"/>
      <c r="T40" s="39"/>
      <c r="U40"/>
      <c r="V40"/>
      <c r="W40"/>
      <c r="X40" s="48"/>
      <c r="Y40" s="41"/>
    </row>
    <row r="41" spans="1:25" s="35" customFormat="1" ht="15" x14ac:dyDescent="0.25">
      <c r="A41"/>
      <c r="B41"/>
      <c r="C41" s="29"/>
      <c r="D41" s="30"/>
      <c r="E41" s="32"/>
      <c r="F41" s="30"/>
      <c r="G41" s="32"/>
      <c r="H41" s="30"/>
      <c r="I41" s="30"/>
      <c r="J41" s="30"/>
      <c r="K41" s="32"/>
      <c r="L41" s="37"/>
      <c r="M41" s="37"/>
      <c r="N41" s="38"/>
      <c r="O41" s="38"/>
      <c r="P41" s="38"/>
      <c r="Q41" s="38"/>
      <c r="R41" s="38"/>
      <c r="S41" s="39"/>
      <c r="T41" s="39"/>
      <c r="U41"/>
      <c r="V41"/>
      <c r="W41"/>
      <c r="X41" s="48"/>
      <c r="Y41" s="41"/>
    </row>
    <row r="42" spans="1:25" ht="15" x14ac:dyDescent="0.25">
      <c r="A42"/>
      <c r="B42"/>
      <c r="C42" s="29"/>
      <c r="D42" s="30"/>
      <c r="E42" s="32"/>
      <c r="F42" s="30"/>
      <c r="G42" s="32"/>
      <c r="H42" s="30"/>
      <c r="I42" s="30"/>
      <c r="J42" s="30"/>
      <c r="K42" s="32"/>
      <c r="L42" s="37"/>
      <c r="M42" s="37"/>
      <c r="N42" s="38"/>
      <c r="O42" s="38"/>
      <c r="P42" s="38"/>
      <c r="Q42" s="38"/>
      <c r="R42" s="38"/>
      <c r="S42" s="39"/>
      <c r="T42" s="39"/>
      <c r="U42"/>
      <c r="V42"/>
      <c r="W42"/>
      <c r="X42" s="48"/>
      <c r="Y42" s="41"/>
    </row>
    <row r="43" spans="1:25" ht="15" x14ac:dyDescent="0.25">
      <c r="A43"/>
      <c r="B43"/>
      <c r="C43" s="29"/>
      <c r="D43" s="30"/>
      <c r="E43" s="32"/>
      <c r="F43" s="30"/>
      <c r="G43" s="32"/>
      <c r="H43" s="30"/>
      <c r="I43" s="30"/>
      <c r="J43" s="30"/>
      <c r="K43" s="32"/>
      <c r="L43" s="37"/>
      <c r="M43" s="37"/>
      <c r="N43" s="38"/>
      <c r="O43" s="38"/>
      <c r="P43" s="38"/>
      <c r="Q43" s="38"/>
      <c r="R43" s="38"/>
      <c r="S43" s="39"/>
      <c r="T43" s="39"/>
      <c r="U43"/>
      <c r="V43"/>
      <c r="W43"/>
      <c r="X43" s="48"/>
      <c r="Y43" s="41"/>
    </row>
    <row r="44" spans="1:25" ht="15" x14ac:dyDescent="0.25">
      <c r="A44"/>
      <c r="B44"/>
      <c r="C44" s="29"/>
      <c r="D44" s="30"/>
      <c r="E44" s="32"/>
      <c r="F44" s="30"/>
      <c r="G44" s="32"/>
      <c r="H44" s="30"/>
      <c r="I44" s="30"/>
      <c r="J44" s="30"/>
      <c r="K44" s="32"/>
      <c r="L44" s="37"/>
      <c r="M44" s="37"/>
      <c r="N44" s="38"/>
      <c r="O44" s="38"/>
      <c r="P44" s="38"/>
      <c r="Q44" s="38"/>
      <c r="R44" s="38"/>
      <c r="S44" s="39"/>
      <c r="T44" s="39"/>
      <c r="U44"/>
      <c r="V44"/>
      <c r="W44"/>
      <c r="X44" s="48"/>
      <c r="Y44" s="41"/>
    </row>
    <row r="45" spans="1:25" ht="15" x14ac:dyDescent="0.25">
      <c r="A45"/>
      <c r="B45"/>
      <c r="C45" s="29"/>
      <c r="D45" s="30"/>
      <c r="E45" s="32"/>
      <c r="F45" s="30"/>
      <c r="G45" s="32"/>
      <c r="H45" s="30"/>
      <c r="I45" s="30"/>
      <c r="J45" s="30"/>
      <c r="K45" s="32"/>
      <c r="L45" s="37"/>
      <c r="M45" s="37"/>
      <c r="N45" s="38"/>
      <c r="O45" s="38"/>
      <c r="P45" s="38"/>
      <c r="Q45" s="38"/>
      <c r="R45" s="38"/>
      <c r="S45" s="39"/>
      <c r="T45" s="39"/>
      <c r="U45"/>
      <c r="V45"/>
      <c r="W45"/>
      <c r="X45" s="48"/>
      <c r="Y45" s="41"/>
    </row>
    <row r="46" spans="1:25" s="35" customFormat="1" ht="15" x14ac:dyDescent="0.25">
      <c r="A46"/>
      <c r="B46"/>
      <c r="C46" s="29"/>
      <c r="D46" s="30"/>
      <c r="E46" s="32"/>
      <c r="F46" s="30"/>
      <c r="G46" s="32"/>
      <c r="H46" s="30"/>
      <c r="I46" s="30"/>
      <c r="J46" s="30"/>
      <c r="K46" s="32"/>
      <c r="L46" s="37"/>
      <c r="M46" s="37"/>
      <c r="N46" s="38"/>
      <c r="O46" s="38"/>
      <c r="P46" s="38"/>
      <c r="Q46" s="38"/>
      <c r="R46" s="38"/>
      <c r="S46" s="39"/>
      <c r="T46" s="39"/>
      <c r="U46"/>
      <c r="V46"/>
      <c r="W46"/>
      <c r="X46" s="48"/>
      <c r="Y46" s="41"/>
    </row>
    <row r="47" spans="1:25" ht="15" x14ac:dyDescent="0.25">
      <c r="A47"/>
      <c r="B47"/>
      <c r="C47" s="29"/>
      <c r="D47" s="30"/>
      <c r="E47" s="32"/>
      <c r="F47" s="30"/>
      <c r="G47" s="32"/>
      <c r="H47" s="30"/>
      <c r="I47" s="30"/>
      <c r="J47" s="30"/>
      <c r="K47" s="32"/>
      <c r="L47" s="37"/>
      <c r="M47" s="37"/>
      <c r="N47" s="38"/>
      <c r="O47" s="38"/>
      <c r="P47" s="38"/>
      <c r="Q47" s="38"/>
      <c r="R47" s="38"/>
      <c r="S47" s="39"/>
      <c r="T47" s="39"/>
      <c r="U47"/>
      <c r="V47"/>
      <c r="W47"/>
      <c r="X47" s="48"/>
      <c r="Y47" s="41"/>
    </row>
    <row r="48" spans="1:25" ht="15" x14ac:dyDescent="0.25">
      <c r="A48"/>
      <c r="B48"/>
      <c r="C48" s="29"/>
      <c r="D48" s="30"/>
      <c r="E48" s="32"/>
      <c r="F48" s="30"/>
      <c r="G48" s="32"/>
      <c r="H48" s="30"/>
      <c r="I48" s="30"/>
      <c r="J48" s="30"/>
      <c r="K48" s="32"/>
      <c r="L48" s="37"/>
      <c r="M48" s="37"/>
      <c r="N48" s="38"/>
      <c r="O48" s="38"/>
      <c r="P48" s="38"/>
      <c r="Q48" s="38"/>
      <c r="R48" s="38"/>
      <c r="S48" s="39"/>
      <c r="T48" s="39"/>
      <c r="U48"/>
      <c r="V48"/>
      <c r="W48"/>
      <c r="X48" s="48"/>
      <c r="Y48" s="41"/>
    </row>
    <row r="49" spans="1:25" ht="15" x14ac:dyDescent="0.25">
      <c r="A49"/>
      <c r="B49"/>
      <c r="C49" s="29"/>
      <c r="D49" s="30"/>
      <c r="E49" s="32"/>
      <c r="F49" s="30"/>
      <c r="G49" s="32"/>
      <c r="H49" s="30"/>
      <c r="I49" s="30"/>
      <c r="J49" s="30"/>
      <c r="K49" s="32"/>
      <c r="L49" s="37"/>
      <c r="M49" s="37"/>
      <c r="N49" s="38"/>
      <c r="O49" s="38"/>
      <c r="P49" s="38"/>
      <c r="Q49" s="38"/>
      <c r="R49" s="38"/>
      <c r="S49" s="39"/>
      <c r="T49" s="39"/>
      <c r="U49"/>
      <c r="V49"/>
      <c r="W49"/>
      <c r="X49" s="48"/>
      <c r="Y49" s="41"/>
    </row>
    <row r="50" spans="1:25" ht="15" x14ac:dyDescent="0.25">
      <c r="A50"/>
      <c r="B50"/>
      <c r="C50" s="29"/>
      <c r="D50" s="30"/>
      <c r="E50" s="32"/>
      <c r="F50" s="30"/>
      <c r="G50" s="32"/>
      <c r="H50" s="30"/>
      <c r="I50" s="30"/>
      <c r="J50" s="30"/>
      <c r="K50" s="32"/>
      <c r="L50" s="37"/>
      <c r="M50" s="37"/>
      <c r="N50" s="38"/>
      <c r="O50" s="38"/>
      <c r="P50" s="38"/>
      <c r="Q50" s="38"/>
      <c r="R50" s="38"/>
      <c r="S50" s="39"/>
      <c r="T50" s="39"/>
      <c r="U50"/>
      <c r="V50"/>
      <c r="W50"/>
      <c r="X50" s="48"/>
      <c r="Y50" s="41"/>
    </row>
    <row r="51" spans="1:25" ht="15" x14ac:dyDescent="0.25">
      <c r="A51"/>
      <c r="B51"/>
      <c r="C51" s="29"/>
      <c r="D51" s="30"/>
      <c r="E51" s="32"/>
      <c r="F51" s="30"/>
      <c r="G51" s="32"/>
      <c r="H51" s="30"/>
      <c r="I51" s="30"/>
      <c r="J51" s="30"/>
      <c r="K51" s="32"/>
      <c r="L51" s="37"/>
      <c r="M51" s="37"/>
      <c r="N51" s="38"/>
      <c r="O51" s="38"/>
      <c r="P51" s="38"/>
      <c r="Q51" s="38"/>
      <c r="R51" s="38"/>
      <c r="S51" s="39"/>
      <c r="T51" s="39"/>
      <c r="U51"/>
      <c r="V51"/>
      <c r="W51"/>
      <c r="X51" s="48"/>
      <c r="Y51" s="41"/>
    </row>
    <row r="52" spans="1:25" ht="15" x14ac:dyDescent="0.25">
      <c r="A52"/>
      <c r="B52"/>
      <c r="C52" s="29"/>
      <c r="D52" s="30"/>
      <c r="E52" s="32"/>
      <c r="F52" s="30"/>
      <c r="G52" s="32"/>
      <c r="H52" s="30"/>
      <c r="I52" s="30"/>
      <c r="J52" s="30"/>
      <c r="K52" s="32"/>
      <c r="L52" s="37"/>
      <c r="M52" s="37"/>
      <c r="N52" s="38"/>
      <c r="O52" s="38"/>
      <c r="P52" s="38"/>
      <c r="Q52" s="38"/>
      <c r="R52" s="38"/>
      <c r="S52" s="39"/>
      <c r="T52" s="39"/>
      <c r="U52"/>
      <c r="V52"/>
      <c r="W52"/>
      <c r="X52" s="48"/>
      <c r="Y52" s="41"/>
    </row>
    <row r="53" spans="1:25" s="35" customFormat="1" ht="15" x14ac:dyDescent="0.25">
      <c r="A53"/>
      <c r="B53"/>
      <c r="C53" s="29"/>
      <c r="D53" s="30"/>
      <c r="E53" s="32"/>
      <c r="F53" s="30"/>
      <c r="G53" s="32"/>
      <c r="H53" s="30"/>
      <c r="I53" s="30"/>
      <c r="J53" s="30"/>
      <c r="K53" s="32"/>
      <c r="L53" s="37"/>
      <c r="M53" s="37"/>
      <c r="N53" s="38"/>
      <c r="O53" s="38"/>
      <c r="P53" s="38"/>
      <c r="Q53" s="38"/>
      <c r="R53" s="38"/>
      <c r="S53" s="39"/>
      <c r="T53" s="39"/>
      <c r="U53"/>
      <c r="V53"/>
      <c r="W53"/>
      <c r="X53" s="48"/>
      <c r="Y53" s="41"/>
    </row>
    <row r="54" spans="1:25" ht="15" x14ac:dyDescent="0.25">
      <c r="A54"/>
      <c r="B54"/>
      <c r="C54" s="29"/>
      <c r="D54" s="30"/>
      <c r="E54" s="32"/>
      <c r="F54" s="30"/>
      <c r="G54" s="32"/>
      <c r="H54" s="30"/>
      <c r="I54" s="30"/>
      <c r="J54" s="30"/>
      <c r="K54" s="32"/>
      <c r="L54" s="37"/>
      <c r="M54" s="37"/>
      <c r="N54" s="38"/>
      <c r="O54" s="38"/>
      <c r="P54" s="38"/>
      <c r="Q54" s="38"/>
      <c r="R54" s="38"/>
      <c r="S54" s="39"/>
      <c r="T54" s="39"/>
      <c r="U54"/>
      <c r="V54"/>
      <c r="W54"/>
      <c r="X54" s="48"/>
      <c r="Y54" s="41"/>
    </row>
    <row r="55" spans="1:25" ht="15" x14ac:dyDescent="0.25">
      <c r="A55"/>
      <c r="B55"/>
      <c r="C55" s="29"/>
      <c r="D55" s="30"/>
      <c r="E55" s="32"/>
      <c r="F55" s="30"/>
      <c r="G55" s="32"/>
      <c r="H55" s="30"/>
      <c r="I55" s="30"/>
      <c r="J55" s="30"/>
      <c r="K55" s="32"/>
      <c r="L55" s="37"/>
      <c r="M55" s="37"/>
      <c r="N55" s="38"/>
      <c r="O55" s="38"/>
      <c r="P55" s="38"/>
      <c r="Q55" s="38"/>
      <c r="R55" s="38"/>
      <c r="S55" s="39"/>
      <c r="T55" s="39"/>
      <c r="U55"/>
      <c r="V55"/>
      <c r="W55"/>
      <c r="X55" s="48"/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 s="48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 s="48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 s="4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 s="48"/>
      <c r="Y59" s="41"/>
    </row>
    <row r="60" spans="1:25" s="35" customFormat="1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 s="48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 s="48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 s="48"/>
      <c r="Y62" s="41"/>
    </row>
    <row r="63" spans="1:25" s="50" customFormat="1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 s="48"/>
      <c r="Y63" s="5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 s="48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 s="48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 s="48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 s="48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 s="4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 s="48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 s="48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 s="48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 s="48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 s="48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 s="48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 s="48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 s="48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 s="48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 s="4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48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3" activePane="bottomLeft" state="frozen"/>
      <selection pane="bottomLeft" activeCell="S3" sqref="S3:S2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2.0699999999999998</v>
      </c>
      <c r="B3">
        <v>3.42</v>
      </c>
      <c r="C3">
        <v>3.71</v>
      </c>
      <c r="D3" s="20">
        <f>IF(OR($A3="",$B3="",$C3=""),"",(1/A3)+(1/B3)+(1/C3)-1)</f>
        <v>4.5031227234068272E-2</v>
      </c>
      <c r="E3" s="17">
        <f>IF(OR($A3="",$B3="",$C3=""),"",A3*'MPTO_working_3-way'!$I2)</f>
        <v>2.1632146403745209</v>
      </c>
      <c r="F3" s="21">
        <f>IF(OR($A3="",$B3="",$C3=""),"",B3*'MPTO_working_3-way'!$I2)</f>
        <v>3.5740067971405134</v>
      </c>
      <c r="G3" s="22">
        <f>IF(OR($A3="",$B3="",$C3=""),"",C3*'MPTO_working_3-way'!$I2)</f>
        <v>3.8770658530383932</v>
      </c>
      <c r="H3" s="17">
        <f>IF(OR($A3="",$B3="",$C3=""),"",'MPTO_working_3-way'!E2)</f>
        <v>2.1363806513736256</v>
      </c>
      <c r="I3" s="21">
        <f>IF(OR($A3="",$B3="",$C3=""),"",'MPTO_working_3-way'!F2)</f>
        <v>3.6050683429923005</v>
      </c>
      <c r="J3" s="22">
        <f>IF(OR($A3="",$B3="",$C3=""),"",'MPTO_working_3-way'!G2)</f>
        <v>3.9287888184542532</v>
      </c>
      <c r="K3" s="17">
        <f>IF(OR($A3="",$B3="",$C3=""),"",'OddsRatio_working_3-way'!H2)</f>
        <v>2.1471376964385045</v>
      </c>
      <c r="L3" s="21">
        <f>IF(OR($A3="",$B3="",$C3=""),"",'OddsRatio_working_3-way'!I2)</f>
        <v>3.5944609583001697</v>
      </c>
      <c r="M3" s="22">
        <f>IF(OR($A3="",$B3="",$C3=""),"",'OddsRatio_working_3-way'!J2)</f>
        <v>3.9053674367741582</v>
      </c>
      <c r="N3" s="23">
        <f>(1/E3)* 100</f>
        <v>46.227497786667548</v>
      </c>
      <c r="O3" s="24">
        <f>(1/F3)* 100</f>
        <v>27.97980129193035</v>
      </c>
      <c r="P3" s="24">
        <f>(1/G3)* 100</f>
        <v>25.792700921402105</v>
      </c>
      <c r="Q3" t="s">
        <v>113</v>
      </c>
      <c r="R3" t="s">
        <v>114</v>
      </c>
      <c r="S3" s="48" t="s">
        <v>117</v>
      </c>
      <c r="T3" s="35">
        <v>100</v>
      </c>
      <c r="U3" s="35">
        <f>(1/A4)*((T3*A4)-T3)</f>
        <v>51.219512195121943</v>
      </c>
      <c r="V3" s="35">
        <f>(1/B4)*((T3*B4)-T3)</f>
        <v>73.68421052631578</v>
      </c>
      <c r="W3" s="35">
        <f>(1/C4)*((T3*C4)-T3)</f>
        <v>70.501474926253692</v>
      </c>
      <c r="X3" s="35">
        <f>((1/B4)+(1/C4))*T3</f>
        <v>55.81431454743052</v>
      </c>
      <c r="Y3" s="35">
        <f>((1/A4)+(1/C4))*T3</f>
        <v>78.279012878624371</v>
      </c>
      <c r="Z3" s="35">
        <f>((1/A4)+(1/B4))*T3</f>
        <v>75.096277278562269</v>
      </c>
      <c r="AA3" s="35">
        <f t="shared" ref="AA3" si="0">U3-X3</f>
        <v>-4.5948023523085766</v>
      </c>
      <c r="AB3" s="35">
        <f t="shared" ref="AB3" si="1">V3-Y3</f>
        <v>-4.5948023523085908</v>
      </c>
      <c r="AC3" s="35">
        <f t="shared" ref="AC3" si="2">W3-Z3</f>
        <v>-4.5948023523085766</v>
      </c>
      <c r="AD3" s="27"/>
      <c r="AE3" s="27"/>
      <c r="AF3">
        <v>2.23</v>
      </c>
      <c r="AG3">
        <v>1.67</v>
      </c>
      <c r="AH3" s="41"/>
      <c r="AI3" s="27"/>
      <c r="AJ3" t="s">
        <v>70</v>
      </c>
    </row>
    <row r="4" spans="1:36" ht="15" x14ac:dyDescent="0.25">
      <c r="A4">
        <v>2.0499999999999998</v>
      </c>
      <c r="B4">
        <v>3.8</v>
      </c>
      <c r="C4">
        <v>3.39</v>
      </c>
      <c r="D4" s="20">
        <f t="shared" ref="D4:D67" si="3">IF(OR($A4="",$B4="",$C4=""),"",(1/A4)+(1/B4)+(1/C4)-1)</f>
        <v>4.5948023523085801E-2</v>
      </c>
      <c r="E4" s="17">
        <f>IF(OR($A4="",$B4="",$C4=""),"",A4*'MPTO_working_3-way'!$I3)</f>
        <v>2.1441934482223255</v>
      </c>
      <c r="F4" s="21">
        <f>IF(OR($A4="",$B4="",$C4=""),"",B4*'MPTO_working_3-way'!$I3)</f>
        <v>3.9746024893877259</v>
      </c>
      <c r="G4" s="22">
        <f>IF(OR($A4="",$B4="",$C4=""),"",C4*'MPTO_working_3-way'!$I3)</f>
        <v>3.5457637997432609</v>
      </c>
      <c r="H4" s="17">
        <f>IF(OR($A4="",$B4="",$C4=""),"",'MPTO_working_3-way'!E3)</f>
        <v>2.1164519696734931</v>
      </c>
      <c r="I4" s="21">
        <f>IF(OR($A4="",$B4="",$C4=""),"",'MPTO_working_3-way'!F3)</f>
        <v>4.0348304821467673</v>
      </c>
      <c r="J4" s="22">
        <f>IF(OR($A4="",$B4="",$C4=""),"",'MPTO_working_3-way'!G3)</f>
        <v>3.575652401541753</v>
      </c>
      <c r="K4" s="17">
        <f>IF(OR($A4="",$B4="",$C4=""),"",'OddsRatio_working_3-way'!H3)</f>
        <v>2.1275242065277324</v>
      </c>
      <c r="L4" s="21">
        <f>IF(OR($A4="",$B4="",$C4=""),"",'OddsRatio_working_3-way'!I3)</f>
        <v>4.0067312174072871</v>
      </c>
      <c r="M4" s="22">
        <f>IF(OR($A4="",$B4="",$C4=""),"",'OddsRatio_working_3-way'!J3)</f>
        <v>3.5664598605726483</v>
      </c>
      <c r="N4" s="23">
        <f t="shared" ref="N4" si="4">(1/E4)* 100</f>
        <v>46.637583042195395</v>
      </c>
      <c r="O4" s="24">
        <f t="shared" ref="O4" si="5">(1/F4)* 100</f>
        <v>25.159748746447512</v>
      </c>
      <c r="P4" s="24">
        <f t="shared" ref="P4" si="6">(1/G4)* 100</f>
        <v>28.202668211357089</v>
      </c>
      <c r="Q4" t="s">
        <v>68</v>
      </c>
      <c r="R4" t="s">
        <v>69</v>
      </c>
      <c r="S4" s="48" t="s">
        <v>117</v>
      </c>
      <c r="T4" s="35">
        <v>100</v>
      </c>
      <c r="U4" s="35">
        <f t="shared" ref="U4" si="7">(1/A5)*((T4*A5)-T4)</f>
        <v>50.248756218905463</v>
      </c>
      <c r="V4" s="35">
        <f t="shared" ref="V4" si="8">(1/B5)*((T4*B5)-T4)</f>
        <v>68.35443037974683</v>
      </c>
      <c r="W4" s="35">
        <f t="shared" ref="W4" si="9">(1/C5)*((T4*C5)-T4)</f>
        <v>77.924944812362028</v>
      </c>
      <c r="X4" s="35">
        <f t="shared" ref="X4" si="10">((1/B5)+(1/C5))*T4</f>
        <v>53.720624807891127</v>
      </c>
      <c r="Y4" s="35">
        <f t="shared" ref="Y4" si="11">((1/A5)+(1/C5))*T4</f>
        <v>71.826298968732502</v>
      </c>
      <c r="Z4" s="35">
        <f t="shared" ref="Z4" si="12">((1/A5)+(1/B5))*T4</f>
        <v>81.3968134013477</v>
      </c>
      <c r="AA4" s="35">
        <f t="shared" ref="AA4" si="13">U4-X4</f>
        <v>-3.4718685889856644</v>
      </c>
      <c r="AB4" s="35">
        <f t="shared" ref="AB4" si="14">V4-Y4</f>
        <v>-3.4718685889856715</v>
      </c>
      <c r="AC4" s="35">
        <f t="shared" ref="AC4" si="15">W4-Z4</f>
        <v>-3.4718685889856715</v>
      </c>
      <c r="AD4" s="4"/>
      <c r="AE4" s="4"/>
      <c r="AF4">
        <v>1.74</v>
      </c>
      <c r="AG4">
        <v>2.12</v>
      </c>
      <c r="AH4" s="4"/>
      <c r="AI4" s="4"/>
      <c r="AJ4" t="s">
        <v>70</v>
      </c>
    </row>
    <row r="5" spans="1:36" s="12" customFormat="1" ht="15" x14ac:dyDescent="0.25">
      <c r="A5">
        <v>2.0099999999999998</v>
      </c>
      <c r="B5">
        <v>3.16</v>
      </c>
      <c r="C5">
        <v>4.53</v>
      </c>
      <c r="D5" s="20">
        <f t="shared" si="3"/>
        <v>3.4718685889856715E-2</v>
      </c>
      <c r="E5" s="17">
        <f>IF(OR($A5="",$B5="",$C5=""),"",A5*'MPTO_working_3-way'!$I4)</f>
        <v>2.0797845586386119</v>
      </c>
      <c r="F5" s="21">
        <f>IF(OR($A5="",$B5="",$C5=""),"",B5*'MPTO_working_3-way'!$I4)</f>
        <v>3.2697110474119473</v>
      </c>
      <c r="G5" s="22">
        <f>IF(OR($A5="",$B5="",$C5=""),"",C5*'MPTO_working_3-way'!$I4)</f>
        <v>4.6872756470810515</v>
      </c>
      <c r="H5" s="17">
        <f>IF(OR($A5="",$B5="",$C5=""),"",'MPTO_working_3-way'!E4)</f>
        <v>2.0578691637767226</v>
      </c>
      <c r="I5" s="21">
        <f>IF(OR($A5="",$B5="",$C5=""),"",'MPTO_working_3-way'!F4)</f>
        <v>3.279948875530704</v>
      </c>
      <c r="J5" s="22">
        <f>IF(OR($A5="",$B5="",$C5=""),"",'MPTO_working_3-way'!G4)</f>
        <v>4.7806253131949275</v>
      </c>
      <c r="K5" s="17">
        <f>IF(OR($A5="",$B5="",$C5=""),"",'OddsRatio_working_3-way'!H4)</f>
        <v>2.0669080455279696</v>
      </c>
      <c r="L5" s="21">
        <f>IF(OR($A5="",$B5="",$C5=""),"",'OddsRatio_working_3-way'!I4)</f>
        <v>3.2817043349905108</v>
      </c>
      <c r="M5" s="22">
        <f>IF(OR($A5="",$B5="",$C5=""),"",'OddsRatio_working_3-way'!J4)</f>
        <v>4.7288964363502322</v>
      </c>
      <c r="N5" s="23">
        <f t="shared" ref="N5:N25" si="16">(1/E5)* 100</f>
        <v>48.081903283991174</v>
      </c>
      <c r="O5" s="24">
        <f t="shared" ref="O5:O25" si="17">(1/F5)* 100</f>
        <v>30.583742278741216</v>
      </c>
      <c r="P5" s="24">
        <f t="shared" ref="P5:P25" si="18">(1/G5)* 100</f>
        <v>21.334354437267603</v>
      </c>
      <c r="Q5" t="s">
        <v>75</v>
      </c>
      <c r="R5" t="s">
        <v>89</v>
      </c>
      <c r="S5" s="48" t="s">
        <v>117</v>
      </c>
      <c r="T5" s="35">
        <v>100</v>
      </c>
      <c r="U5" s="35">
        <f t="shared" ref="U5:U25" si="19">(1/A6)*((T5*A6)-T5)</f>
        <v>69.879518072289159</v>
      </c>
      <c r="V5" s="35">
        <f t="shared" ref="V5:V25" si="20">(1/B6)*((T5*B6)-T5)</f>
        <v>65.517241379310349</v>
      </c>
      <c r="W5" s="35">
        <f t="shared" ref="W5:W25" si="21">(1/C6)*((T5*C6)-T5)</f>
        <v>61.240310077519375</v>
      </c>
      <c r="X5" s="35">
        <f t="shared" ref="X5:X25" si="22">((1/B6)+(1/C6))*T5</f>
        <v>73.242448543170283</v>
      </c>
      <c r="Y5" s="35">
        <f t="shared" ref="Y5:Y25" si="23">((1/A6)+(1/C6))*T5</f>
        <v>68.880171850191459</v>
      </c>
      <c r="Z5" s="35">
        <f t="shared" ref="Z5:Z25" si="24">((1/A6)+(1/B6))*T5</f>
        <v>64.603240548400493</v>
      </c>
      <c r="AA5" s="35">
        <f t="shared" ref="AA5:AA25" si="25">U5-X5</f>
        <v>-3.3629304708811247</v>
      </c>
      <c r="AB5" s="35">
        <f t="shared" ref="AB5:AB25" si="26">V5-Y5</f>
        <v>-3.3629304708811105</v>
      </c>
      <c r="AC5" s="35">
        <f t="shared" ref="AC5:AC25" si="27">W5-Z5</f>
        <v>-3.3629304708811176</v>
      </c>
      <c r="AD5" s="27"/>
      <c r="AE5" s="27"/>
      <c r="AF5">
        <v>2.63</v>
      </c>
      <c r="AG5">
        <v>1.52</v>
      </c>
      <c r="AH5" s="36"/>
      <c r="AI5" s="27"/>
      <c r="AJ5" t="s">
        <v>91</v>
      </c>
    </row>
    <row r="6" spans="1:36" s="12" customFormat="1" ht="15" x14ac:dyDescent="0.25">
      <c r="A6">
        <v>3.32</v>
      </c>
      <c r="B6">
        <v>2.9</v>
      </c>
      <c r="C6">
        <v>2.58</v>
      </c>
      <c r="D6" s="20">
        <f t="shared" si="3"/>
        <v>3.3629304708811203E-2</v>
      </c>
      <c r="E6" s="17">
        <f>IF(OR($A6="",$B6="",$C6=""),"",A6*'MPTO_working_3-way'!$I5)</f>
        <v>3.4316492916332528</v>
      </c>
      <c r="F6" s="21">
        <f>IF(OR($A6="",$B6="",$C6=""),"",B6*'MPTO_working_3-way'!$I5)</f>
        <v>2.9975249836555524</v>
      </c>
      <c r="G6" s="22">
        <f>IF(OR($A6="",$B6="",$C6=""),"",C6*'MPTO_working_3-way'!$I5)</f>
        <v>2.666763606148733</v>
      </c>
      <c r="H6" s="17">
        <f>IF(OR($A6="",$B6="",$C6=""),"",'MPTO_working_3-way'!E5)</f>
        <v>3.4483347091988015</v>
      </c>
      <c r="I6" s="21">
        <f>IF(OR($A6="",$B6="",$C6=""),"",'MPTO_working_3-way'!F5)</f>
        <v>2.9974418215517682</v>
      </c>
      <c r="J6" s="22">
        <f>IF(OR($A6="",$B6="",$C6=""),"",'MPTO_working_3-way'!G5)</f>
        <v>2.6568389768630496</v>
      </c>
      <c r="K6" s="17">
        <f>IF(OR($A6="",$B6="",$C6=""),"",'OddsRatio_working_3-way'!H5)</f>
        <v>3.4397020197484318</v>
      </c>
      <c r="L6" s="21">
        <f>IF(OR($A6="",$B6="",$C6=""),"",'OddsRatio_working_3-way'!I5)</f>
        <v>2.9980318265181123</v>
      </c>
      <c r="M6" s="22">
        <f>IF(OR($A6="",$B6="",$C6=""),"",'OddsRatio_working_3-way'!J5)</f>
        <v>2.6615212031045359</v>
      </c>
      <c r="N6" s="23">
        <f t="shared" si="16"/>
        <v>29.140506940441512</v>
      </c>
      <c r="O6" s="24">
        <f t="shared" si="17"/>
        <v>33.360856221470968</v>
      </c>
      <c r="P6" s="24">
        <f t="shared" si="18"/>
        <v>37.498636838087521</v>
      </c>
      <c r="Q6" t="s">
        <v>115</v>
      </c>
      <c r="R6" t="s">
        <v>88</v>
      </c>
      <c r="S6" s="48" t="s">
        <v>117</v>
      </c>
      <c r="T6" s="35">
        <v>100</v>
      </c>
      <c r="U6" s="35">
        <f t="shared" si="19"/>
        <v>61.685823754789276</v>
      </c>
      <c r="V6" s="35">
        <f t="shared" si="20"/>
        <v>67.426710097719877</v>
      </c>
      <c r="W6" s="35">
        <f t="shared" si="21"/>
        <v>67.637540453074436</v>
      </c>
      <c r="X6" s="35">
        <f t="shared" si="22"/>
        <v>64.935749449205701</v>
      </c>
      <c r="Y6" s="35">
        <f t="shared" si="23"/>
        <v>70.676635792136295</v>
      </c>
      <c r="Z6" s="35">
        <f t="shared" si="24"/>
        <v>70.887466147490869</v>
      </c>
      <c r="AA6" s="35">
        <f t="shared" si="25"/>
        <v>-3.2499256944164259</v>
      </c>
      <c r="AB6" s="35">
        <f t="shared" si="26"/>
        <v>-3.2499256944164188</v>
      </c>
      <c r="AC6" s="35">
        <f t="shared" si="27"/>
        <v>-3.249925694416433</v>
      </c>
      <c r="AD6" s="27"/>
      <c r="AE6" s="27"/>
      <c r="AF6">
        <v>2.86</v>
      </c>
      <c r="AG6">
        <v>1.44</v>
      </c>
      <c r="AH6" s="36"/>
      <c r="AI6" s="27"/>
      <c r="AJ6" t="s">
        <v>91</v>
      </c>
    </row>
    <row r="7" spans="1:36" s="12" customFormat="1" ht="15" x14ac:dyDescent="0.25">
      <c r="A7">
        <v>2.61</v>
      </c>
      <c r="B7">
        <v>3.07</v>
      </c>
      <c r="C7">
        <v>3.09</v>
      </c>
      <c r="D7" s="20">
        <f t="shared" si="3"/>
        <v>3.2499256944164223E-2</v>
      </c>
      <c r="E7" s="17">
        <f>IF(OR($A7="",$B7="",$C7=""),"",A7*'MPTO_working_3-way'!$I6)</f>
        <v>2.6948230606242687</v>
      </c>
      <c r="F7" s="21">
        <f>IF(OR($A7="",$B7="",$C7=""),"",B7*'MPTO_working_3-way'!$I6)</f>
        <v>3.1697727188185838</v>
      </c>
      <c r="G7" s="22">
        <f>IF(OR($A7="",$B7="",$C7=""),"",C7*'MPTO_working_3-way'!$I6)</f>
        <v>3.1904227039574673</v>
      </c>
      <c r="H7" s="17">
        <f>IF(OR($A7="",$B7="",$C7=""),"",'MPTO_working_3-way'!E6)</f>
        <v>2.6859433107606669</v>
      </c>
      <c r="I7" s="21">
        <f>IF(OR($A7="",$B7="",$C7=""),"",'MPTO_working_3-way'!F6)</f>
        <v>3.175613187201066</v>
      </c>
      <c r="J7" s="22">
        <f>IF(OR($A7="",$B7="",$C7=""),"",'MPTO_working_3-way'!G6)</f>
        <v>3.1970177213941127</v>
      </c>
      <c r="K7" s="17">
        <f>IF(OR($A7="",$B7="",$C7=""),"",'OddsRatio_working_3-way'!H6)</f>
        <v>2.6900564863500249</v>
      </c>
      <c r="L7" s="21">
        <f>IF(OR($A7="",$B7="",$C7=""),"",'OddsRatio_working_3-way'!I6)</f>
        <v>3.1729297681643174</v>
      </c>
      <c r="M7" s="22">
        <f>IF(OR($A7="",$B7="",$C7=""),"",'OddsRatio_working_3-way'!J6)</f>
        <v>3.1939242586779821</v>
      </c>
      <c r="N7" s="23">
        <f t="shared" si="16"/>
        <v>37.108187717836486</v>
      </c>
      <c r="O7" s="24">
        <f t="shared" si="17"/>
        <v>31.548003238942417</v>
      </c>
      <c r="P7" s="24">
        <f t="shared" si="18"/>
        <v>31.343809043221103</v>
      </c>
      <c r="Q7" t="s">
        <v>72</v>
      </c>
      <c r="R7" t="s">
        <v>77</v>
      </c>
      <c r="S7" s="48" t="s">
        <v>117</v>
      </c>
      <c r="T7" s="35">
        <v>100</v>
      </c>
      <c r="U7" s="35">
        <f t="shared" si="19"/>
        <v>61.977186311787079</v>
      </c>
      <c r="V7" s="35">
        <f t="shared" si="20"/>
        <v>68.152866242038215</v>
      </c>
      <c r="W7" s="35">
        <f t="shared" si="21"/>
        <v>67.21311475409837</v>
      </c>
      <c r="X7" s="35">
        <f t="shared" si="22"/>
        <v>64.634019003863429</v>
      </c>
      <c r="Y7" s="35">
        <f t="shared" si="23"/>
        <v>70.809698934114579</v>
      </c>
      <c r="Z7" s="35">
        <f t="shared" si="24"/>
        <v>69.86994744617472</v>
      </c>
      <c r="AA7" s="35">
        <f t="shared" si="25"/>
        <v>-2.6568326920763496</v>
      </c>
      <c r="AB7" s="35">
        <f t="shared" si="26"/>
        <v>-2.6568326920763639</v>
      </c>
      <c r="AC7" s="35">
        <f t="shared" si="27"/>
        <v>-2.6568326920763496</v>
      </c>
      <c r="AD7" s="27"/>
      <c r="AE7" s="27"/>
      <c r="AF7">
        <v>2.54</v>
      </c>
      <c r="AG7">
        <v>1.55</v>
      </c>
      <c r="AH7" s="36"/>
      <c r="AI7" s="27"/>
      <c r="AJ7" t="s">
        <v>91</v>
      </c>
    </row>
    <row r="8" spans="1:36" ht="15" x14ac:dyDescent="0.25">
      <c r="A8">
        <v>2.63</v>
      </c>
      <c r="B8">
        <v>3.14</v>
      </c>
      <c r="C8">
        <v>3.05</v>
      </c>
      <c r="D8" s="20">
        <f t="shared" si="3"/>
        <v>2.6568326920763496E-2</v>
      </c>
      <c r="E8" s="17">
        <f>IF(OR($A8="",$B8="",$C8=""),"",A8*'MPTO_working_3-way'!$I7)</f>
        <v>2.6998746998016081</v>
      </c>
      <c r="F8" s="21">
        <f>IF(OR($A8="",$B8="",$C8=""),"",B8*'MPTO_working_3-way'!$I7)</f>
        <v>3.2234245465311977</v>
      </c>
      <c r="G8" s="22">
        <f>IF(OR($A8="",$B8="",$C8=""),"",C8*'MPTO_working_3-way'!$I7)</f>
        <v>3.1310333971083284</v>
      </c>
      <c r="H8" s="17">
        <f>IF(OR($A8="",$B8="",$C8=""),"",'MPTO_working_3-way'!E7)</f>
        <v>2.692717611586708</v>
      </c>
      <c r="I8" s="21">
        <f>IF(OR($A8="",$B8="",$C8=""),"",'MPTO_working_3-way'!F7)</f>
        <v>3.229815292039302</v>
      </c>
      <c r="J8" s="22">
        <f>IF(OR($A8="",$B8="",$C8=""),"",'MPTO_working_3-way'!G7)</f>
        <v>3.1346710136853089</v>
      </c>
      <c r="K8" s="17">
        <f>IF(OR($A8="",$B8="",$C8=""),"",'OddsRatio_working_3-way'!H7)</f>
        <v>2.6960537892765126</v>
      </c>
      <c r="L8" s="21">
        <f>IF(OR($A8="",$B8="",$C8=""),"",'OddsRatio_working_3-way'!I7)</f>
        <v>3.2267209257986109</v>
      </c>
      <c r="M8" s="22">
        <f>IF(OR($A8="",$B8="",$C8=""),"",'OddsRatio_working_3-way'!J7)</f>
        <v>3.1330737840594169</v>
      </c>
      <c r="N8" s="23">
        <f t="shared" si="16"/>
        <v>37.03875591239408</v>
      </c>
      <c r="O8" s="24">
        <f t="shared" si="17"/>
        <v>31.022907022164464</v>
      </c>
      <c r="P8" s="24">
        <f t="shared" si="18"/>
        <v>31.938337065441459</v>
      </c>
      <c r="Q8" t="s">
        <v>95</v>
      </c>
      <c r="R8" t="s">
        <v>105</v>
      </c>
      <c r="S8" s="48" t="s">
        <v>118</v>
      </c>
      <c r="T8" s="35">
        <v>100</v>
      </c>
      <c r="U8" s="35">
        <f t="shared" si="19"/>
        <v>44.444444444444443</v>
      </c>
      <c r="V8" s="35">
        <f t="shared" si="20"/>
        <v>70.760233918128648</v>
      </c>
      <c r="W8" s="35">
        <f t="shared" si="21"/>
        <v>81.238273921200744</v>
      </c>
      <c r="X8" s="35">
        <f t="shared" si="22"/>
        <v>48.001492160670587</v>
      </c>
      <c r="Y8" s="35">
        <f t="shared" si="23"/>
        <v>74.317281634354799</v>
      </c>
      <c r="Z8" s="35">
        <f t="shared" si="24"/>
        <v>84.795321637426895</v>
      </c>
      <c r="AA8" s="35">
        <f t="shared" si="25"/>
        <v>-3.557047716226144</v>
      </c>
      <c r="AB8" s="35">
        <f t="shared" si="26"/>
        <v>-3.5570477162261511</v>
      </c>
      <c r="AC8" s="35">
        <f t="shared" si="27"/>
        <v>-3.5570477162261511</v>
      </c>
      <c r="AF8">
        <v>2.02</v>
      </c>
      <c r="AG8">
        <v>1.88</v>
      </c>
      <c r="AJ8" t="s">
        <v>112</v>
      </c>
    </row>
    <row r="9" spans="1:36" ht="15" x14ac:dyDescent="0.25">
      <c r="A9">
        <v>1.8</v>
      </c>
      <c r="B9">
        <v>3.42</v>
      </c>
      <c r="C9">
        <v>5.33</v>
      </c>
      <c r="D9" s="20">
        <f t="shared" si="3"/>
        <v>3.5570477162261582E-2</v>
      </c>
      <c r="E9" s="17">
        <f>IF(OR($A9="",$B9="",$C9=""),"",A9*'MPTO_working_3-way'!$I8)</f>
        <v>1.864026858892071</v>
      </c>
      <c r="F9" s="21">
        <f>IF(OR($A9="",$B9="",$C9=""),"",B9*'MPTO_working_3-way'!$I8)</f>
        <v>3.5416510318949346</v>
      </c>
      <c r="G9" s="22">
        <f>IF(OR($A9="",$B9="",$C9=""),"",C9*'MPTO_working_3-way'!$I8)</f>
        <v>5.5195906432748547</v>
      </c>
      <c r="H9" s="17">
        <f>IF(OR($A9="",$B9="",$C9=""),"",'MPTO_working_3-way'!E8)</f>
        <v>1.8392538829433016</v>
      </c>
      <c r="I9" s="21">
        <f>IF(OR($A9="",$B9="",$C9=""),"",'MPTO_working_3-way'!F8)</f>
        <v>3.5645434635240134</v>
      </c>
      <c r="J9" s="22">
        <f>IF(OR($A9="",$B9="",$C9=""),"",'MPTO_working_3-way'!G8)</f>
        <v>5.689562611844023</v>
      </c>
      <c r="K9" s="17">
        <f>IF(OR($A9="",$B9="",$C9=""),"",'OddsRatio_working_3-way'!H8)</f>
        <v>1.8487276273436313</v>
      </c>
      <c r="L9" s="21">
        <f>IF(OR($A9="",$B9="",$C9=""),"",'OddsRatio_working_3-way'!I8)</f>
        <v>3.567401072714484</v>
      </c>
      <c r="M9" s="22">
        <f>IF(OR($A9="",$B9="",$C9=""),"",'OddsRatio_working_3-way'!J8)</f>
        <v>5.5937382829974043</v>
      </c>
      <c r="N9" s="23">
        <f t="shared" si="16"/>
        <v>53.64729565079196</v>
      </c>
      <c r="O9" s="24">
        <f t="shared" si="17"/>
        <v>28.235418763574721</v>
      </c>
      <c r="P9" s="24">
        <f t="shared" si="18"/>
        <v>18.117285585633308</v>
      </c>
      <c r="Q9" t="s">
        <v>90</v>
      </c>
      <c r="R9" t="s">
        <v>79</v>
      </c>
      <c r="S9" s="48" t="s">
        <v>118</v>
      </c>
      <c r="T9" s="35">
        <v>100</v>
      </c>
      <c r="U9" s="35">
        <f t="shared" si="19"/>
        <v>63.63636363636364</v>
      </c>
      <c r="V9" s="35">
        <f t="shared" si="20"/>
        <v>65.397923875432525</v>
      </c>
      <c r="W9" s="35">
        <f t="shared" si="21"/>
        <v>67.741935483870961</v>
      </c>
      <c r="X9" s="35">
        <f t="shared" si="22"/>
        <v>66.8601406406965</v>
      </c>
      <c r="Y9" s="35">
        <f t="shared" si="23"/>
        <v>68.621700879765399</v>
      </c>
      <c r="Z9" s="35">
        <f t="shared" si="24"/>
        <v>70.965712488203835</v>
      </c>
      <c r="AA9" s="35">
        <f t="shared" si="25"/>
        <v>-3.2237770043328595</v>
      </c>
      <c r="AB9" s="35">
        <f t="shared" si="26"/>
        <v>-3.2237770043328737</v>
      </c>
      <c r="AC9" s="35">
        <f t="shared" si="27"/>
        <v>-3.2237770043328737</v>
      </c>
      <c r="AF9">
        <v>2.19</v>
      </c>
      <c r="AG9">
        <v>1.72</v>
      </c>
      <c r="AJ9" t="s">
        <v>91</v>
      </c>
    </row>
    <row r="10" spans="1:36" ht="15" x14ac:dyDescent="0.25">
      <c r="A10">
        <v>2.75</v>
      </c>
      <c r="B10">
        <v>2.89</v>
      </c>
      <c r="C10">
        <v>3.1</v>
      </c>
      <c r="D10" s="20">
        <f t="shared" si="3"/>
        <v>3.2237770043328728E-2</v>
      </c>
      <c r="E10" s="17">
        <f>IF(OR($A10="",$B10="",$C10=""),"",A10*'MPTO_working_3-way'!$I9)</f>
        <v>2.8386538676191542</v>
      </c>
      <c r="F10" s="21">
        <f>IF(OR($A10="",$B10="",$C10=""),"",B10*'MPTO_working_3-way'!$I9)</f>
        <v>2.9831671554252202</v>
      </c>
      <c r="G10" s="22">
        <f>IF(OR($A10="",$B10="",$C10=""),"",C10*'MPTO_working_3-way'!$I9)</f>
        <v>3.1999370871343191</v>
      </c>
      <c r="H10" s="17">
        <f>IF(OR($A10="",$B10="",$C10=""),"",'MPTO_working_3-way'!E9)</f>
        <v>2.8337406906863736</v>
      </c>
      <c r="I10" s="21">
        <f>IF(OR($A10="",$B10="",$C10=""),"",'MPTO_working_3-way'!F9)</f>
        <v>2.9826276444417541</v>
      </c>
      <c r="J10" s="22">
        <f>IF(OR($A10="",$B10="",$C10=""),"",'MPTO_working_3-way'!G9)</f>
        <v>3.2068269825257887</v>
      </c>
      <c r="K10" s="17">
        <f>IF(OR($A10="",$B10="",$C10=""),"",'OddsRatio_working_3-way'!H9)</f>
        <v>2.8361202095484459</v>
      </c>
      <c r="L10" s="21">
        <f>IF(OR($A10="",$B10="",$C10=""),"",'OddsRatio_working_3-way'!I9)</f>
        <v>2.9830098263123217</v>
      </c>
      <c r="M10" s="22">
        <f>IF(OR($A10="",$B10="",$C10=""),"",'OddsRatio_working_3-way'!J9)</f>
        <v>3.2033442514581347</v>
      </c>
      <c r="N10" s="23">
        <f t="shared" si="16"/>
        <v>35.227965318600944</v>
      </c>
      <c r="O10" s="24">
        <f t="shared" si="17"/>
        <v>33.52142028586595</v>
      </c>
      <c r="P10" s="24">
        <f t="shared" si="18"/>
        <v>31.250614395533098</v>
      </c>
      <c r="Q10" t="s">
        <v>76</v>
      </c>
      <c r="R10" t="s">
        <v>81</v>
      </c>
      <c r="S10" s="48" t="s">
        <v>118</v>
      </c>
      <c r="T10" s="35">
        <v>100</v>
      </c>
      <c r="U10" s="35">
        <f t="shared" si="19"/>
        <v>58.333333333333336</v>
      </c>
      <c r="V10" s="35">
        <f t="shared" si="20"/>
        <v>66.101694915254228</v>
      </c>
      <c r="W10" s="35">
        <f t="shared" si="21"/>
        <v>72.222222222222229</v>
      </c>
      <c r="X10" s="35">
        <f t="shared" si="22"/>
        <v>61.676082862523543</v>
      </c>
      <c r="Y10" s="35">
        <f t="shared" si="23"/>
        <v>69.444444444444443</v>
      </c>
      <c r="Z10" s="35">
        <f t="shared" si="24"/>
        <v>75.564971751412429</v>
      </c>
      <c r="AA10" s="35">
        <f t="shared" si="25"/>
        <v>-3.3427495291902076</v>
      </c>
      <c r="AB10" s="35">
        <f t="shared" si="26"/>
        <v>-3.3427495291902147</v>
      </c>
      <c r="AC10" s="35">
        <f t="shared" si="27"/>
        <v>-3.3427495291902005</v>
      </c>
      <c r="AF10">
        <v>2.75</v>
      </c>
      <c r="AG10">
        <v>1.48</v>
      </c>
      <c r="AJ10" t="s">
        <v>91</v>
      </c>
    </row>
    <row r="11" spans="1:36" ht="15" x14ac:dyDescent="0.25">
      <c r="A11">
        <v>2.4</v>
      </c>
      <c r="B11">
        <v>2.95</v>
      </c>
      <c r="C11">
        <v>3.6</v>
      </c>
      <c r="D11" s="20">
        <f t="shared" si="3"/>
        <v>3.3427495291902254E-2</v>
      </c>
      <c r="E11" s="17">
        <f>IF(OR($A11="",$B11="",$C11=""),"",A11*'MPTO_working_3-way'!$I10)</f>
        <v>2.4802259887005653</v>
      </c>
      <c r="F11" s="21">
        <f>IF(OR($A11="",$B11="",$C11=""),"",B11*'MPTO_working_3-way'!$I10)</f>
        <v>3.048611111111112</v>
      </c>
      <c r="G11" s="22">
        <f>IF(OR($A11="",$B11="",$C11=""),"",C11*'MPTO_working_3-way'!$I10)</f>
        <v>3.7203389830508482</v>
      </c>
      <c r="H11" s="17">
        <f>IF(OR($A11="",$B11="",$C11=""),"",'MPTO_working_3-way'!E10)</f>
        <v>2.4659442724458205</v>
      </c>
      <c r="I11" s="21">
        <f>IF(OR($A11="",$B11="",$C11=""),"",'MPTO_working_3-way'!F10)</f>
        <v>3.05026328386788</v>
      </c>
      <c r="J11" s="22">
        <f>IF(OR($A11="",$B11="",$C11=""),"",'MPTO_working_3-way'!G10)</f>
        <v>3.7504414361389062</v>
      </c>
      <c r="K11" s="17">
        <f>IF(OR($A11="",$B11="",$C11=""),"",'OddsRatio_working_3-way'!H10)</f>
        <v>2.4724450399007716</v>
      </c>
      <c r="L11" s="21">
        <f>IF(OR($A11="",$B11="",$C11=""),"",'OddsRatio_working_3-way'!I10)</f>
        <v>3.0509055912903609</v>
      </c>
      <c r="M11" s="22">
        <f>IF(OR($A11="",$B11="",$C11=""),"",'OddsRatio_working_3-way'!J10)</f>
        <v>3.7345407883871471</v>
      </c>
      <c r="N11" s="23">
        <f t="shared" si="16"/>
        <v>40.318906605922542</v>
      </c>
      <c r="O11" s="24">
        <f t="shared" si="17"/>
        <v>32.801822323462403</v>
      </c>
      <c r="P11" s="24">
        <f t="shared" si="18"/>
        <v>26.87927107061503</v>
      </c>
      <c r="Q11" t="s">
        <v>116</v>
      </c>
      <c r="R11" t="s">
        <v>84</v>
      </c>
      <c r="S11" s="48" t="s">
        <v>118</v>
      </c>
      <c r="T11" s="35">
        <v>100</v>
      </c>
      <c r="U11" s="35">
        <f t="shared" si="19"/>
        <v>47.916666666666671</v>
      </c>
      <c r="V11" s="35">
        <f t="shared" si="20"/>
        <v>71.83098591549296</v>
      </c>
      <c r="W11" s="35">
        <f t="shared" si="21"/>
        <v>77.375565610859724</v>
      </c>
      <c r="X11" s="35">
        <f t="shared" si="22"/>
        <v>50.793448473647317</v>
      </c>
      <c r="Y11" s="35">
        <f t="shared" si="23"/>
        <v>74.707767722473605</v>
      </c>
      <c r="Z11" s="35">
        <f t="shared" si="24"/>
        <v>80.252347417840369</v>
      </c>
      <c r="AA11" s="35">
        <f t="shared" si="25"/>
        <v>-2.8767818069806452</v>
      </c>
      <c r="AB11" s="35">
        <f t="shared" si="26"/>
        <v>-2.8767818069806452</v>
      </c>
      <c r="AC11" s="35">
        <f t="shared" si="27"/>
        <v>-2.8767818069806452</v>
      </c>
      <c r="AF11">
        <v>2.93</v>
      </c>
      <c r="AG11">
        <v>1.42</v>
      </c>
      <c r="AJ11" t="s">
        <v>91</v>
      </c>
    </row>
    <row r="12" spans="1:36" ht="15" x14ac:dyDescent="0.25">
      <c r="A12">
        <v>1.92</v>
      </c>
      <c r="B12">
        <v>3.55</v>
      </c>
      <c r="C12">
        <v>4.42</v>
      </c>
      <c r="D12" s="20">
        <f t="shared" si="3"/>
        <v>2.876781806980655E-2</v>
      </c>
      <c r="E12" s="17">
        <f>IF(OR($A12="",$B12="",$C12=""),"",A12*'MPTO_working_3-way'!$I11)</f>
        <v>1.9752342106940286</v>
      </c>
      <c r="F12" s="21">
        <f>IF(OR($A12="",$B12="",$C12=""),"",B12*'MPTO_working_3-way'!$I11)</f>
        <v>3.6521257541478129</v>
      </c>
      <c r="G12" s="22">
        <f>IF(OR($A12="",$B12="",$C12=""),"",C12*'MPTO_working_3-way'!$I11)</f>
        <v>4.5471537558685453</v>
      </c>
      <c r="H12" s="17">
        <f>IF(OR($A12="",$B12="",$C12=""),"",'MPTO_working_3-way'!E11)</f>
        <v>1.9560129436838942</v>
      </c>
      <c r="I12" s="21">
        <f>IF(OR($A12="",$B12="",$C12=""),"",'MPTO_working_3-way'!F11)</f>
        <v>3.6751077156794012</v>
      </c>
      <c r="J12" s="22">
        <f>IF(OR($A12="",$B12="",$C12=""),"",'MPTO_working_3-way'!G11)</f>
        <v>4.6156316325967817</v>
      </c>
      <c r="K12" s="17">
        <f>IF(OR($A12="",$B12="",$C12=""),"",'OddsRatio_working_3-way'!H11)</f>
        <v>1.9634861673491986</v>
      </c>
      <c r="L12" s="21">
        <f>IF(OR($A12="",$B12="",$C12=""),"",'OddsRatio_working_3-way'!I11)</f>
        <v>3.6705323116744095</v>
      </c>
      <c r="M12" s="22">
        <f>IF(OR($A12="",$B12="",$C12=""),"",'OddsRatio_working_3-way'!J11)</f>
        <v>4.5816551003633252</v>
      </c>
      <c r="N12" s="23">
        <f t="shared" si="16"/>
        <v>50.626907664212375</v>
      </c>
      <c r="O12" s="24">
        <f t="shared" si="17"/>
        <v>27.381313440926132</v>
      </c>
      <c r="P12" s="24">
        <f t="shared" si="18"/>
        <v>21.991778894861483</v>
      </c>
      <c r="Q12" t="s">
        <v>92</v>
      </c>
      <c r="R12" t="s">
        <v>97</v>
      </c>
      <c r="S12" s="48" t="s">
        <v>119</v>
      </c>
      <c r="T12" s="35">
        <v>100</v>
      </c>
      <c r="U12" s="35">
        <f t="shared" si="19"/>
        <v>60.474308300395251</v>
      </c>
      <c r="V12" s="35">
        <f t="shared" si="20"/>
        <v>66.101694915254228</v>
      </c>
      <c r="W12" s="35">
        <f t="shared" si="21"/>
        <v>70.674486803519059</v>
      </c>
      <c r="X12" s="35">
        <f t="shared" si="22"/>
        <v>63.223818281226698</v>
      </c>
      <c r="Y12" s="35">
        <f t="shared" si="23"/>
        <v>68.851204896085676</v>
      </c>
      <c r="Z12" s="35">
        <f t="shared" si="24"/>
        <v>73.423996784350507</v>
      </c>
      <c r="AA12" s="35">
        <f t="shared" si="25"/>
        <v>-2.7495099808314478</v>
      </c>
      <c r="AB12" s="35">
        <f t="shared" si="26"/>
        <v>-2.7495099808314478</v>
      </c>
      <c r="AC12" s="35">
        <f t="shared" si="27"/>
        <v>-2.7495099808314478</v>
      </c>
      <c r="AF12">
        <v>2.11</v>
      </c>
      <c r="AG12">
        <v>1.79</v>
      </c>
      <c r="AJ12" t="s">
        <v>112</v>
      </c>
    </row>
    <row r="13" spans="1:36" ht="15" x14ac:dyDescent="0.25">
      <c r="A13">
        <v>2.5299999999999998</v>
      </c>
      <c r="B13">
        <v>2.95</v>
      </c>
      <c r="C13">
        <v>3.41</v>
      </c>
      <c r="D13" s="20">
        <f t="shared" si="3"/>
        <v>2.7495099808314549E-2</v>
      </c>
      <c r="E13" s="17">
        <f>IF(OR($A13="",$B13="",$C13=""),"",A13*'MPTO_working_3-way'!$I12)</f>
        <v>2.5995626025150358</v>
      </c>
      <c r="F13" s="21">
        <f>IF(OR($A13="",$B13="",$C13=""),"",B13*'MPTO_working_3-way'!$I12)</f>
        <v>3.0311105444345281</v>
      </c>
      <c r="G13" s="22">
        <f>IF(OR($A13="",$B13="",$C13=""),"",C13*'MPTO_working_3-way'!$I12)</f>
        <v>3.5037582903463527</v>
      </c>
      <c r="H13" s="17">
        <f>IF(OR($A13="",$B13="",$C13=""),"",'MPTO_working_3-way'!E12)</f>
        <v>2.5900570360295316</v>
      </c>
      <c r="I13" s="21">
        <f>IF(OR($A13="",$B13="",$C13=""),"",'MPTO_working_3-way'!F12)</f>
        <v>3.0319750489781754</v>
      </c>
      <c r="J13" s="22">
        <f>IF(OR($A13="",$B13="",$C13=""),"",'MPTO_working_3-way'!G12)</f>
        <v>3.5200100411535162</v>
      </c>
      <c r="K13" s="17">
        <f>IF(OR($A13="",$B13="",$C13=""),"",'OddsRatio_working_3-way'!H12)</f>
        <v>2.5944861713846055</v>
      </c>
      <c r="L13" s="21">
        <f>IF(OR($A13="",$B13="",$C13=""),"",'OddsRatio_working_3-way'!I12)</f>
        <v>3.0321882576470465</v>
      </c>
      <c r="M13" s="22">
        <f>IF(OR($A13="",$B13="",$C13=""),"",'OddsRatio_working_3-way'!J12)</f>
        <v>3.5115762568868636</v>
      </c>
      <c r="N13" s="23">
        <f t="shared" si="16"/>
        <v>38.468009927228366</v>
      </c>
      <c r="O13" s="24">
        <f t="shared" si="17"/>
        <v>32.991208513860251</v>
      </c>
      <c r="P13" s="24">
        <f t="shared" si="18"/>
        <v>28.540781558911366</v>
      </c>
      <c r="Q13" t="s">
        <v>100</v>
      </c>
      <c r="R13" t="s">
        <v>103</v>
      </c>
      <c r="S13" s="48" t="s">
        <v>119</v>
      </c>
      <c r="T13" s="35">
        <v>100</v>
      </c>
      <c r="U13" s="35">
        <f t="shared" si="19"/>
        <v>72.067039106145245</v>
      </c>
      <c r="V13" s="35">
        <f t="shared" si="20"/>
        <v>68.051118210862612</v>
      </c>
      <c r="W13" s="35">
        <f t="shared" si="21"/>
        <v>57.081545064377686</v>
      </c>
      <c r="X13" s="35">
        <f t="shared" si="22"/>
        <v>74.867336724759696</v>
      </c>
      <c r="Y13" s="35">
        <f t="shared" si="23"/>
        <v>70.851415829477077</v>
      </c>
      <c r="Z13" s="35">
        <f t="shared" si="24"/>
        <v>59.881842682992129</v>
      </c>
      <c r="AA13" s="35">
        <f t="shared" si="25"/>
        <v>-2.8002976186144508</v>
      </c>
      <c r="AB13" s="35">
        <f t="shared" si="26"/>
        <v>-2.800297618614465</v>
      </c>
      <c r="AC13" s="35">
        <f t="shared" si="27"/>
        <v>-2.8002976186144437</v>
      </c>
      <c r="AF13">
        <v>2.46</v>
      </c>
      <c r="AG13">
        <v>1.6</v>
      </c>
      <c r="AJ13" t="s">
        <v>112</v>
      </c>
    </row>
    <row r="14" spans="1:36" ht="15" x14ac:dyDescent="0.25">
      <c r="A14">
        <v>3.58</v>
      </c>
      <c r="B14">
        <v>3.13</v>
      </c>
      <c r="C14">
        <v>2.33</v>
      </c>
      <c r="D14" s="20">
        <f t="shared" si="3"/>
        <v>2.8002976186144446E-2</v>
      </c>
      <c r="E14" s="17">
        <f>IF(OR($A14="",$B14="",$C14=""),"",A14*'MPTO_working_3-way'!$I13)</f>
        <v>3.6802506547463971</v>
      </c>
      <c r="F14" s="21">
        <f>IF(OR($A14="",$B14="",$C14=""),"",B14*'MPTO_working_3-way'!$I13)</f>
        <v>3.2176493154626322</v>
      </c>
      <c r="G14" s="22">
        <f>IF(OR($A14="",$B14="",$C14=""),"",C14*'MPTO_working_3-way'!$I13)</f>
        <v>2.3952469345137168</v>
      </c>
      <c r="H14" s="17">
        <f>IF(OR($A14="",$B14="",$C14=""),"",'MPTO_working_3-way'!E13)</f>
        <v>3.7037684024584938</v>
      </c>
      <c r="I14" s="21">
        <f>IF(OR($A14="",$B14="",$C14=""),"",'MPTO_working_3-way'!F13)</f>
        <v>3.2241996301663169</v>
      </c>
      <c r="J14" s="22">
        <f>IF(OR($A14="",$B14="",$C14=""),"",'MPTO_working_3-way'!G13)</f>
        <v>2.3818017543638788</v>
      </c>
      <c r="K14" s="17">
        <f>IF(OR($A14="",$B14="",$C14=""),"",'OddsRatio_working_3-way'!H13)</f>
        <v>3.6919343703509946</v>
      </c>
      <c r="L14" s="21">
        <f>IF(OR($A14="",$B14="",$C14=""),"",'OddsRatio_working_3-way'!I13)</f>
        <v>3.2224109336618669</v>
      </c>
      <c r="M14" s="22">
        <f>IF(OR($A14="",$B14="",$C14=""),"",'OddsRatio_working_3-way'!J13)</f>
        <v>2.3877026017700858</v>
      </c>
      <c r="N14" s="23">
        <f t="shared" si="16"/>
        <v>27.172062280874975</v>
      </c>
      <c r="O14" s="24">
        <f t="shared" si="17"/>
        <v>31.07858880687936</v>
      </c>
      <c r="P14" s="24">
        <f t="shared" si="18"/>
        <v>41.749348912245658</v>
      </c>
      <c r="Q14" t="s">
        <v>101</v>
      </c>
      <c r="R14" t="s">
        <v>98</v>
      </c>
      <c r="S14" s="48" t="s">
        <v>119</v>
      </c>
      <c r="T14" s="35">
        <v>100</v>
      </c>
      <c r="U14" s="35">
        <f t="shared" si="19"/>
        <v>35.897435897435898</v>
      </c>
      <c r="V14" s="35">
        <f t="shared" si="20"/>
        <v>75.903614457831324</v>
      </c>
      <c r="W14" s="35">
        <f t="shared" si="21"/>
        <v>84.962406015037587</v>
      </c>
      <c r="X14" s="35">
        <f t="shared" si="22"/>
        <v>39.133979527131082</v>
      </c>
      <c r="Y14" s="35">
        <f t="shared" si="23"/>
        <v>79.140158087526501</v>
      </c>
      <c r="Z14" s="35">
        <f t="shared" si="24"/>
        <v>88.198949644732778</v>
      </c>
      <c r="AA14" s="35">
        <f t="shared" si="25"/>
        <v>-3.2365436296951842</v>
      </c>
      <c r="AB14" s="35">
        <f t="shared" si="26"/>
        <v>-3.2365436296951771</v>
      </c>
      <c r="AC14" s="35">
        <f t="shared" si="27"/>
        <v>-3.2365436296951913</v>
      </c>
      <c r="AF14">
        <v>2.25</v>
      </c>
      <c r="AG14">
        <v>1.69</v>
      </c>
      <c r="AJ14" t="s">
        <v>112</v>
      </c>
    </row>
    <row r="15" spans="1:36" ht="15" x14ac:dyDescent="0.25">
      <c r="A15">
        <v>1.56</v>
      </c>
      <c r="B15">
        <v>4.1500000000000004</v>
      </c>
      <c r="C15">
        <v>6.65</v>
      </c>
      <c r="D15" s="20">
        <f t="shared" si="3"/>
        <v>3.2365436296951877E-2</v>
      </c>
      <c r="E15" s="17">
        <f>IF(OR($A15="",$B15="",$C15=""),"",A15*'MPTO_working_3-way'!$I14)</f>
        <v>1.6104900806232449</v>
      </c>
      <c r="F15" s="21">
        <f>IF(OR($A15="",$B15="",$C15=""),"",B15*'MPTO_working_3-way'!$I14)</f>
        <v>4.2843165606323508</v>
      </c>
      <c r="G15" s="22">
        <f>IF(OR($A15="",$B15="",$C15=""),"",C15*'MPTO_working_3-way'!$I14)</f>
        <v>6.86523015137473</v>
      </c>
      <c r="H15" s="17">
        <f>IF(OR($A15="",$B15="",$C15=""),"",'MPTO_working_3-way'!E14)</f>
        <v>1.5867042756000986</v>
      </c>
      <c r="I15" s="21">
        <f>IF(OR($A15="",$B15="",$C15=""),"",'MPTO_working_3-way'!F14)</f>
        <v>4.3445133642351141</v>
      </c>
      <c r="J15" s="22">
        <f>IF(OR($A15="",$B15="",$C15=""),"",'MPTO_working_3-way'!G14)</f>
        <v>7.163967252032883</v>
      </c>
      <c r="K15" s="17">
        <f>IF(OR($A15="",$B15="",$C15=""),"",'OddsRatio_working_3-way'!H14)</f>
        <v>1.5947802674152094</v>
      </c>
      <c r="L15" s="21">
        <f>IF(OR($A15="",$B15="",$C15=""),"",'OddsRatio_working_3-way'!I14)</f>
        <v>4.345639004210553</v>
      </c>
      <c r="M15" s="22">
        <f>IF(OR($A15="",$B15="",$C15=""),"",'OddsRatio_working_3-way'!J14)</f>
        <v>7.0009080551713092</v>
      </c>
      <c r="N15" s="23">
        <f t="shared" si="16"/>
        <v>62.092900293618023</v>
      </c>
      <c r="O15" s="24">
        <f t="shared" si="17"/>
        <v>23.34094565254075</v>
      </c>
      <c r="P15" s="24">
        <f t="shared" si="18"/>
        <v>14.56615405384122</v>
      </c>
      <c r="Q15" t="s">
        <v>107</v>
      </c>
      <c r="R15" t="s">
        <v>108</v>
      </c>
      <c r="S15" s="48" t="s">
        <v>119</v>
      </c>
      <c r="T15" s="35">
        <v>100</v>
      </c>
      <c r="U15" s="35">
        <f t="shared" si="19"/>
        <v>59.183673469387763</v>
      </c>
      <c r="V15" s="35">
        <f t="shared" si="20"/>
        <v>68.454258675078862</v>
      </c>
      <c r="W15" s="35">
        <f t="shared" si="21"/>
        <v>69.6048632218845</v>
      </c>
      <c r="X15" s="35">
        <f t="shared" si="22"/>
        <v>61.940878103036631</v>
      </c>
      <c r="Y15" s="35">
        <f t="shared" si="23"/>
        <v>71.211463308727744</v>
      </c>
      <c r="Z15" s="35">
        <f t="shared" si="24"/>
        <v>72.362067855533368</v>
      </c>
      <c r="AA15" s="35">
        <f t="shared" si="25"/>
        <v>-2.7572046336488683</v>
      </c>
      <c r="AB15" s="35">
        <f t="shared" si="26"/>
        <v>-2.7572046336488825</v>
      </c>
      <c r="AC15" s="35">
        <f t="shared" si="27"/>
        <v>-2.7572046336488683</v>
      </c>
      <c r="AF15">
        <v>2.08</v>
      </c>
      <c r="AG15">
        <v>1.83</v>
      </c>
      <c r="AJ15" t="s">
        <v>112</v>
      </c>
    </row>
    <row r="16" spans="1:36" ht="15" x14ac:dyDescent="0.25">
      <c r="A16">
        <v>2.4500000000000002</v>
      </c>
      <c r="B16">
        <v>3.17</v>
      </c>
      <c r="C16">
        <v>3.29</v>
      </c>
      <c r="D16" s="20">
        <f t="shared" si="3"/>
        <v>2.7572046336488798E-2</v>
      </c>
      <c r="E16" s="17">
        <f>IF(OR($A16="",$B16="",$C16=""),"",A16*'MPTO_working_3-way'!$I15)</f>
        <v>2.5175515135243978</v>
      </c>
      <c r="F16" s="21">
        <f>IF(OR($A16="",$B16="",$C16=""),"",B16*'MPTO_working_3-way'!$I15)</f>
        <v>3.2574033868866694</v>
      </c>
      <c r="G16" s="22">
        <f>IF(OR($A16="",$B16="",$C16=""),"",C16*'MPTO_working_3-way'!$I15)</f>
        <v>3.3807120324470481</v>
      </c>
      <c r="H16" s="17">
        <f>IF(OR($A16="",$B16="",$C16=""),"",'MPTO_working_3-way'!E15)</f>
        <v>2.5064378910313558</v>
      </c>
      <c r="I16" s="21">
        <f>IF(OR($A16="",$B16="",$C16=""),"",'MPTO_working_3-way'!F15)</f>
        <v>3.2651277410621509</v>
      </c>
      <c r="J16" s="22">
        <f>IF(OR($A16="",$B16="",$C16=""),"",'MPTO_working_3-way'!G15)</f>
        <v>3.3925826903624854</v>
      </c>
      <c r="K16" s="17">
        <f>IF(OR($A16="",$B16="",$C16=""),"",'OddsRatio_working_3-way'!H15)</f>
        <v>2.5114099530658098</v>
      </c>
      <c r="L16" s="21">
        <f>IF(OR($A16="",$B16="",$C16=""),"",'OddsRatio_working_3-way'!I15)</f>
        <v>3.2619031711398669</v>
      </c>
      <c r="M16" s="22">
        <f>IF(OR($A16="",$B16="",$C16=""),"",'OddsRatio_working_3-way'!J15)</f>
        <v>3.3869853741522085</v>
      </c>
      <c r="N16" s="23">
        <f t="shared" si="16"/>
        <v>39.721133594603955</v>
      </c>
      <c r="O16" s="24">
        <f t="shared" si="17"/>
        <v>30.69929883494628</v>
      </c>
      <c r="P16" s="24">
        <f t="shared" si="18"/>
        <v>29.579567570449761</v>
      </c>
      <c r="Q16" t="s">
        <v>93</v>
      </c>
      <c r="R16" t="s">
        <v>111</v>
      </c>
      <c r="S16" s="48" t="s">
        <v>119</v>
      </c>
      <c r="T16" s="35">
        <v>100</v>
      </c>
      <c r="U16" s="35">
        <f t="shared" si="19"/>
        <v>50.73891625615763</v>
      </c>
      <c r="V16" s="35">
        <f t="shared" si="20"/>
        <v>69.512195121951223</v>
      </c>
      <c r="W16" s="35">
        <f t="shared" si="21"/>
        <v>76.905311778290994</v>
      </c>
      <c r="X16" s="35">
        <f t="shared" si="22"/>
        <v>53.582493099757791</v>
      </c>
      <c r="Y16" s="35">
        <f t="shared" si="23"/>
        <v>72.355771965551369</v>
      </c>
      <c r="Z16" s="35">
        <f t="shared" si="24"/>
        <v>79.748888621891155</v>
      </c>
      <c r="AA16" s="35">
        <f t="shared" si="25"/>
        <v>-2.8435768436001609</v>
      </c>
      <c r="AB16" s="35">
        <f t="shared" si="26"/>
        <v>-2.8435768436001467</v>
      </c>
      <c r="AC16" s="35">
        <f t="shared" si="27"/>
        <v>-2.8435768436001609</v>
      </c>
      <c r="AF16">
        <v>2.0499999999999998</v>
      </c>
      <c r="AG16">
        <v>1.85</v>
      </c>
      <c r="AJ16" t="s">
        <v>112</v>
      </c>
    </row>
    <row r="17" spans="1:36" ht="15" x14ac:dyDescent="0.25">
      <c r="A17">
        <v>2.0299999999999998</v>
      </c>
      <c r="B17">
        <v>3.28</v>
      </c>
      <c r="C17">
        <v>4.33</v>
      </c>
      <c r="D17" s="20">
        <f t="shared" si="3"/>
        <v>2.8435768436001707E-2</v>
      </c>
      <c r="E17" s="17">
        <f>IF(OR($A17="",$B17="",$C17=""),"",A17*'MPTO_working_3-way'!$I16)</f>
        <v>2.0877246099250835</v>
      </c>
      <c r="F17" s="21">
        <f>IF(OR($A17="",$B17="",$C17=""),"",B17*'MPTO_working_3-way'!$I16)</f>
        <v>3.3732693204700852</v>
      </c>
      <c r="G17" s="22">
        <f>IF(OR($A17="",$B17="",$C17=""),"",C17*'MPTO_working_3-way'!$I16)</f>
        <v>4.4531268773278878</v>
      </c>
      <c r="H17" s="17">
        <f>IF(OR($A17="",$B17="",$C17=""),"",'MPTO_working_3-way'!E16)</f>
        <v>2.0698266452362692</v>
      </c>
      <c r="I17" s="21">
        <f>IF(OR($A17="",$B17="",$C17=""),"",'MPTO_working_3-way'!F16)</f>
        <v>3.3852465483975815</v>
      </c>
      <c r="J17" s="22">
        <f>IF(OR($A17="",$B17="",$C17=""),"",'MPTO_working_3-way'!G16)</f>
        <v>4.5153190447045359</v>
      </c>
      <c r="K17" s="17">
        <f>IF(OR($A17="",$B17="",$C17=""),"",'OddsRatio_working_3-way'!H16)</f>
        <v>2.0771461271111087</v>
      </c>
      <c r="L17" s="21">
        <f>IF(OR($A17="",$B17="",$C17=""),"",'OddsRatio_working_3-way'!I16)</f>
        <v>3.3843623007896411</v>
      </c>
      <c r="M17" s="22">
        <f>IF(OR($A17="",$B17="",$C17=""),"",'OddsRatio_working_3-way'!J16)</f>
        <v>4.482423886679606</v>
      </c>
      <c r="N17" s="23">
        <f t="shared" si="16"/>
        <v>47.899037796746782</v>
      </c>
      <c r="O17" s="24">
        <f t="shared" si="17"/>
        <v>29.644831319328041</v>
      </c>
      <c r="P17" s="24">
        <f t="shared" si="18"/>
        <v>22.456130883925162</v>
      </c>
      <c r="Q17" t="s">
        <v>106</v>
      </c>
      <c r="R17" t="s">
        <v>99</v>
      </c>
      <c r="S17" s="48" t="s">
        <v>119</v>
      </c>
      <c r="T17" s="35">
        <v>100</v>
      </c>
      <c r="U17" s="35">
        <f t="shared" si="19"/>
        <v>62.825278810408925</v>
      </c>
      <c r="V17" s="35">
        <f t="shared" si="20"/>
        <v>66.666666666666657</v>
      </c>
      <c r="W17" s="35">
        <f t="shared" si="21"/>
        <v>67.741935483870961</v>
      </c>
      <c r="X17" s="35">
        <f t="shared" si="22"/>
        <v>65.591397849462368</v>
      </c>
      <c r="Y17" s="35">
        <f t="shared" si="23"/>
        <v>69.432785705720107</v>
      </c>
      <c r="Z17" s="35">
        <f t="shared" si="24"/>
        <v>70.508054522924411</v>
      </c>
      <c r="AA17" s="35">
        <f t="shared" si="25"/>
        <v>-2.7661190390534429</v>
      </c>
      <c r="AB17" s="35">
        <f t="shared" si="26"/>
        <v>-2.76611903905345</v>
      </c>
      <c r="AC17" s="35">
        <f t="shared" si="27"/>
        <v>-2.76611903905345</v>
      </c>
      <c r="AF17">
        <v>2.2200000000000002</v>
      </c>
      <c r="AG17">
        <v>1.71</v>
      </c>
      <c r="AJ17" t="s">
        <v>112</v>
      </c>
    </row>
    <row r="18" spans="1:36" ht="15" x14ac:dyDescent="0.25">
      <c r="A18">
        <v>2.69</v>
      </c>
      <c r="B18">
        <v>3</v>
      </c>
      <c r="C18">
        <v>3.1</v>
      </c>
      <c r="D18" s="20">
        <f t="shared" si="3"/>
        <v>2.7661190390534385E-2</v>
      </c>
      <c r="E18" s="17">
        <f>IF(OR($A18="",$B18="",$C18=""),"",A18*'MPTO_working_3-way'!$I17)</f>
        <v>2.7644086021505374</v>
      </c>
      <c r="F18" s="21">
        <f>IF(OR($A18="",$B18="",$C18=""),"",B18*'MPTO_working_3-way'!$I17)</f>
        <v>3.0829835711716029</v>
      </c>
      <c r="G18" s="22">
        <f>IF(OR($A18="",$B18="",$C18=""),"",C18*'MPTO_working_3-way'!$I17)</f>
        <v>3.1857496902106566</v>
      </c>
      <c r="H18" s="17">
        <f>IF(OR($A18="",$B18="",$C18=""),"",'MPTO_working_3-way'!E17)</f>
        <v>2.7584166421640695</v>
      </c>
      <c r="I18" s="21">
        <f>IF(OR($A18="",$B18="",$C18=""),"",'MPTO_working_3-way'!F17)</f>
        <v>3.0853442959917774</v>
      </c>
      <c r="J18" s="22">
        <f>IF(OR($A18="",$B18="",$C18=""),"",'MPTO_working_3-way'!G17)</f>
        <v>3.1912152393911049</v>
      </c>
      <c r="K18" s="17">
        <f>IF(OR($A18="",$B18="",$C18=""),"",'OddsRatio_working_3-way'!H17)</f>
        <v>2.7612474852203928</v>
      </c>
      <c r="L18" s="21">
        <f>IF(OR($A18="",$B18="",$C18=""),"",'OddsRatio_working_3-way'!I17)</f>
        <v>3.0843165505566779</v>
      </c>
      <c r="M18" s="22">
        <f>IF(OR($A18="",$B18="",$C18=""),"",'OddsRatio_working_3-way'!J17)</f>
        <v>3.1885323780845121</v>
      </c>
      <c r="N18" s="23">
        <f t="shared" si="16"/>
        <v>36.174102454393406</v>
      </c>
      <c r="O18" s="24">
        <f t="shared" si="17"/>
        <v>32.436111867439422</v>
      </c>
      <c r="P18" s="24">
        <f t="shared" si="18"/>
        <v>31.389785678167183</v>
      </c>
      <c r="Q18" t="s">
        <v>96</v>
      </c>
      <c r="R18" t="s">
        <v>104</v>
      </c>
      <c r="S18" s="48" t="s">
        <v>119</v>
      </c>
      <c r="T18" s="35">
        <v>100</v>
      </c>
      <c r="U18" s="35">
        <f t="shared" si="19"/>
        <v>53.051643192488264</v>
      </c>
      <c r="V18" s="35">
        <f t="shared" si="20"/>
        <v>69.512195121951223</v>
      </c>
      <c r="W18" s="35">
        <f t="shared" si="21"/>
        <v>74.683544303797461</v>
      </c>
      <c r="X18" s="35">
        <f t="shared" si="22"/>
        <v>55.804260574251309</v>
      </c>
      <c r="Y18" s="35">
        <f t="shared" si="23"/>
        <v>72.264812503714253</v>
      </c>
      <c r="Z18" s="35">
        <f t="shared" si="24"/>
        <v>77.436161685560506</v>
      </c>
      <c r="AA18" s="35">
        <f t="shared" si="25"/>
        <v>-2.752617381763045</v>
      </c>
      <c r="AB18" s="35">
        <f t="shared" si="26"/>
        <v>-2.7526173817630308</v>
      </c>
      <c r="AC18" s="35">
        <f t="shared" si="27"/>
        <v>-2.752617381763045</v>
      </c>
      <c r="AF18">
        <v>2.27</v>
      </c>
      <c r="AG18">
        <v>1.69</v>
      </c>
      <c r="AJ18" t="s">
        <v>112</v>
      </c>
    </row>
    <row r="19" spans="1:36" ht="15" x14ac:dyDescent="0.25">
      <c r="A19">
        <v>2.13</v>
      </c>
      <c r="B19">
        <v>3.28</v>
      </c>
      <c r="C19">
        <v>3.95</v>
      </c>
      <c r="D19" s="20">
        <f t="shared" si="3"/>
        <v>2.752617381763045E-2</v>
      </c>
      <c r="E19" s="17">
        <f>IF(OR($A19="",$B19="",$C19=""),"",A19*'MPTO_working_3-way'!$I18)</f>
        <v>2.1886307502315527</v>
      </c>
      <c r="F19" s="21">
        <f>IF(OR($A19="",$B19="",$C19=""),"",B19*'MPTO_working_3-way'!$I18)</f>
        <v>3.3702858501218276</v>
      </c>
      <c r="G19" s="22">
        <f>IF(OR($A19="",$B19="",$C19=""),"",C19*'MPTO_working_3-way'!$I18)</f>
        <v>4.0587283865796406</v>
      </c>
      <c r="H19" s="17">
        <f>IF(OR($A19="",$B19="",$C19=""),"",'MPTO_working_3-way'!E18)</f>
        <v>2.1724576064372192</v>
      </c>
      <c r="I19" s="21">
        <f>IF(OR($A19="",$B19="",$C19=""),"",'MPTO_working_3-way'!F18)</f>
        <v>3.3817754917306893</v>
      </c>
      <c r="J19" s="22">
        <f>IF(OR($A19="",$B19="",$C19=""),"",'MPTO_working_3-way'!G18)</f>
        <v>4.0985426429658443</v>
      </c>
      <c r="K19" s="17">
        <f>IF(OR($A19="",$B19="",$C19=""),"",'OddsRatio_working_3-way'!H18)</f>
        <v>2.1791953413872953</v>
      </c>
      <c r="L19" s="21">
        <f>IF(OR($A19="",$B19="",$C19=""),"",'OddsRatio_working_3-way'!I18)</f>
        <v>3.3792613967814455</v>
      </c>
      <c r="M19" s="22">
        <f>IF(OR($A19="",$B19="",$C19=""),"",'OddsRatio_working_3-way'!J18)</f>
        <v>4.0784303160110822</v>
      </c>
      <c r="N19" s="23">
        <f t="shared" si="16"/>
        <v>45.690667550668472</v>
      </c>
      <c r="O19" s="24">
        <f t="shared" si="17"/>
        <v>29.671073744793858</v>
      </c>
      <c r="P19" s="24">
        <f t="shared" si="18"/>
        <v>24.63825870453768</v>
      </c>
      <c r="Q19" t="s">
        <v>94</v>
      </c>
      <c r="R19" t="s">
        <v>109</v>
      </c>
      <c r="S19" s="48" t="s">
        <v>119</v>
      </c>
      <c r="T19" s="35">
        <v>100</v>
      </c>
      <c r="U19" s="35">
        <f t="shared" si="19"/>
        <v>55.752212389380524</v>
      </c>
      <c r="V19" s="35">
        <f t="shared" si="20"/>
        <v>69.6048632218845</v>
      </c>
      <c r="W19" s="35">
        <f t="shared" si="21"/>
        <v>71.910112359550567</v>
      </c>
      <c r="X19" s="35">
        <f t="shared" si="22"/>
        <v>58.485024418564933</v>
      </c>
      <c r="Y19" s="35">
        <f t="shared" si="23"/>
        <v>72.337675251068916</v>
      </c>
      <c r="Z19" s="35">
        <f t="shared" si="24"/>
        <v>74.642924388734968</v>
      </c>
      <c r="AA19" s="35">
        <f t="shared" si="25"/>
        <v>-2.7328120291844087</v>
      </c>
      <c r="AB19" s="35">
        <f t="shared" si="26"/>
        <v>-2.7328120291844158</v>
      </c>
      <c r="AC19" s="35">
        <f t="shared" si="27"/>
        <v>-2.7328120291844016</v>
      </c>
      <c r="AF19">
        <v>2.31</v>
      </c>
      <c r="AG19">
        <v>1.67</v>
      </c>
      <c r="AJ19" t="s">
        <v>112</v>
      </c>
    </row>
    <row r="20" spans="1:36" ht="15" x14ac:dyDescent="0.25">
      <c r="A20">
        <v>2.2599999999999998</v>
      </c>
      <c r="B20">
        <v>3.29</v>
      </c>
      <c r="C20">
        <v>3.56</v>
      </c>
      <c r="D20" s="20">
        <f t="shared" si="3"/>
        <v>2.732812029184406E-2</v>
      </c>
      <c r="E20" s="17">
        <f>IF(OR($A20="",$B20="",$C20=""),"",A20*'MPTO_working_3-way'!$I19)</f>
        <v>2.3217615518595673</v>
      </c>
      <c r="F20" s="21">
        <f>IF(OR($A20="",$B20="",$C20=""),"",B20*'MPTO_working_3-way'!$I19)</f>
        <v>3.3799095157601671</v>
      </c>
      <c r="G20" s="22">
        <f>IF(OR($A20="",$B20="",$C20=""),"",C20*'MPTO_working_3-way'!$I19)</f>
        <v>3.6572881082389648</v>
      </c>
      <c r="H20" s="17">
        <f>IF(OR($A20="",$B20="",$C20=""),"",'MPTO_working_3-way'!E19)</f>
        <v>2.3075050305365656</v>
      </c>
      <c r="I20" s="21">
        <f>IF(OR($A20="",$B20="",$C20=""),"",'MPTO_working_3-way'!F19)</f>
        <v>3.3916471166284783</v>
      </c>
      <c r="J20" s="22">
        <f>IF(OR($A20="",$B20="",$C20=""),"",'MPTO_working_3-way'!G19)</f>
        <v>3.6793179613566784</v>
      </c>
      <c r="K20" s="17">
        <f>IF(OR($A20="",$B20="",$C20=""),"",'OddsRatio_working_3-way'!H19)</f>
        <v>2.3135964855359412</v>
      </c>
      <c r="L20" s="21">
        <f>IF(OR($A20="",$B20="",$C20=""),"",'OddsRatio_working_3-way'!I19)</f>
        <v>3.3874094856169088</v>
      </c>
      <c r="M20" s="22">
        <f>IF(OR($A20="",$B20="",$C20=""),"",'OddsRatio_working_3-way'!J19)</f>
        <v>3.6688944468031823</v>
      </c>
      <c r="N20" s="23">
        <f t="shared" si="16"/>
        <v>43.070745107268685</v>
      </c>
      <c r="O20" s="24">
        <f t="shared" si="17"/>
        <v>29.586590863959639</v>
      </c>
      <c r="P20" s="24">
        <f t="shared" si="18"/>
        <v>27.34266402877169</v>
      </c>
      <c r="Q20" t="s">
        <v>110</v>
      </c>
      <c r="R20" t="s">
        <v>102</v>
      </c>
      <c r="S20" s="48" t="s">
        <v>119</v>
      </c>
      <c r="T20" s="35">
        <v>100</v>
      </c>
      <c r="U20" s="35">
        <f t="shared" si="19"/>
        <v>69.696969696969703</v>
      </c>
      <c r="V20" s="35">
        <f t="shared" si="20"/>
        <v>64.157706093189958</v>
      </c>
      <c r="W20" s="35">
        <f t="shared" si="21"/>
        <v>61.832061068702288</v>
      </c>
      <c r="X20" s="35">
        <f t="shared" si="22"/>
        <v>74.010232838107754</v>
      </c>
      <c r="Y20" s="35">
        <f t="shared" si="23"/>
        <v>68.47096923432801</v>
      </c>
      <c r="Z20" s="35">
        <f t="shared" si="24"/>
        <v>66.145324209840339</v>
      </c>
      <c r="AA20" s="35">
        <f t="shared" si="25"/>
        <v>-4.3132631411380515</v>
      </c>
      <c r="AB20" s="35">
        <f t="shared" si="26"/>
        <v>-4.3132631411380515</v>
      </c>
      <c r="AC20" s="35">
        <f t="shared" si="27"/>
        <v>-4.3132631411380515</v>
      </c>
      <c r="AF20">
        <v>2.0299999999999998</v>
      </c>
      <c r="AG20">
        <v>1.86</v>
      </c>
      <c r="AJ20" t="s">
        <v>112</v>
      </c>
    </row>
    <row r="21" spans="1:36" ht="15" x14ac:dyDescent="0.25">
      <c r="A21">
        <v>3.3</v>
      </c>
      <c r="B21">
        <v>2.79</v>
      </c>
      <c r="C21">
        <v>2.62</v>
      </c>
      <c r="D21" s="20">
        <f t="shared" si="3"/>
        <v>4.3132631411380462E-2</v>
      </c>
      <c r="E21" s="17">
        <f>IF(OR($A21="",$B21="",$C21=""),"",A21*'MPTO_working_3-way'!$I20)</f>
        <v>3.4423376836575552</v>
      </c>
      <c r="F21" s="21">
        <f>IF(OR($A21="",$B21="",$C21=""),"",B21*'MPTO_working_3-way'!$I20)</f>
        <v>2.9103400416377516</v>
      </c>
      <c r="G21" s="22">
        <f>IF(OR($A21="",$B21="",$C21=""),"",C21*'MPTO_working_3-way'!$I20)</f>
        <v>2.7330074942978171</v>
      </c>
      <c r="H21" s="17">
        <f>IF(OR($A21="",$B21="",$C21=""),"",'MPTO_working_3-way'!E20)</f>
        <v>3.4643701403709324</v>
      </c>
      <c r="I21" s="21">
        <f>IF(OR($A21="",$B21="",$C21=""),"",'MPTO_working_3-way'!F20)</f>
        <v>2.9065931814950394</v>
      </c>
      <c r="J21" s="22">
        <f>IF(OR($A21="",$B21="",$C21=""),"",'MPTO_working_3-way'!G20)</f>
        <v>2.7225564266188726</v>
      </c>
      <c r="K21" s="17">
        <f>IF(OR($A21="",$B21="",$C21=""),"",'OddsRatio_working_3-way'!H20)</f>
        <v>3.4528362998309139</v>
      </c>
      <c r="L21" s="21">
        <f>IF(OR($A21="",$B21="",$C21=""),"",'OddsRatio_working_3-way'!I20)</f>
        <v>2.9089465116075379</v>
      </c>
      <c r="M21" s="22">
        <f>IF(OR($A21="",$B21="",$C21=""),"",'OddsRatio_working_3-way'!J20)</f>
        <v>2.7276499155330796</v>
      </c>
      <c r="N21" s="23">
        <f t="shared" si="16"/>
        <v>29.050026229195481</v>
      </c>
      <c r="O21" s="24">
        <f t="shared" si="17"/>
        <v>34.360246077543039</v>
      </c>
      <c r="P21" s="24">
        <f t="shared" si="18"/>
        <v>36.58972769326148</v>
      </c>
      <c r="Q21" t="s">
        <v>86</v>
      </c>
      <c r="R21" t="s">
        <v>83</v>
      </c>
      <c r="S21" s="48" t="s">
        <v>119</v>
      </c>
      <c r="T21" s="35">
        <v>100</v>
      </c>
      <c r="U21" s="35">
        <f t="shared" si="19"/>
        <v>69.78851963746223</v>
      </c>
      <c r="V21" s="35">
        <f t="shared" si="20"/>
        <v>67.845659163987136</v>
      </c>
      <c r="W21" s="35">
        <f t="shared" si="21"/>
        <v>57.983193277310924</v>
      </c>
      <c r="X21" s="35">
        <f t="shared" si="22"/>
        <v>74.171147558701932</v>
      </c>
      <c r="Y21" s="35">
        <f t="shared" si="23"/>
        <v>72.228287085226839</v>
      </c>
      <c r="Z21" s="35">
        <f t="shared" si="24"/>
        <v>62.365821198550634</v>
      </c>
      <c r="AA21" s="35">
        <f t="shared" si="25"/>
        <v>-4.3826279212397026</v>
      </c>
      <c r="AB21" s="35">
        <f t="shared" si="26"/>
        <v>-4.3826279212397026</v>
      </c>
      <c r="AC21" s="35">
        <f t="shared" si="27"/>
        <v>-4.3826279212397097</v>
      </c>
      <c r="AF21">
        <v>2.76</v>
      </c>
      <c r="AG21">
        <v>1.46</v>
      </c>
      <c r="AJ21" t="s">
        <v>91</v>
      </c>
    </row>
    <row r="22" spans="1:36" ht="15" x14ac:dyDescent="0.25">
      <c r="A22">
        <v>3.31</v>
      </c>
      <c r="B22">
        <v>3.11</v>
      </c>
      <c r="C22">
        <v>2.38</v>
      </c>
      <c r="D22" s="20">
        <f t="shared" si="3"/>
        <v>4.3826279212397123E-2</v>
      </c>
      <c r="E22" s="17">
        <f>IF(OR($A22="",$B22="",$C22=""),"",A22*'MPTO_working_3-way'!$I21)</f>
        <v>3.4550649841930343</v>
      </c>
      <c r="F22" s="21">
        <f>IF(OR($A22="",$B22="",$C22=""),"",B22*'MPTO_working_3-way'!$I21)</f>
        <v>3.246299728350555</v>
      </c>
      <c r="G22" s="22">
        <f>IF(OR($A22="",$B22="",$C22=""),"",C22*'MPTO_working_3-way'!$I21)</f>
        <v>2.4843065445255053</v>
      </c>
      <c r="H22" s="17">
        <f>IF(OR($A22="",$B22="",$C22=""),"",'MPTO_working_3-way'!E21)</f>
        <v>3.4781877503412182</v>
      </c>
      <c r="I22" s="21">
        <f>IF(OR($A22="",$B22="",$C22=""),"",'MPTO_working_3-way'!F21)</f>
        <v>3.2580225285330129</v>
      </c>
      <c r="J22" s="22">
        <f>IF(OR($A22="",$B22="",$C22=""),"",'MPTO_working_3-way'!G21)</f>
        <v>2.4657306133359422</v>
      </c>
      <c r="K22" s="17">
        <f>IF(OR($A22="",$B22="",$C22=""),"",'OddsRatio_working_3-way'!H21)</f>
        <v>3.4671556399225629</v>
      </c>
      <c r="L22" s="21">
        <f>IF(OR($A22="",$B22="",$C22=""),"",'OddsRatio_working_3-way'!I21)</f>
        <v>3.2535490910115188</v>
      </c>
      <c r="M22" s="22">
        <f>IF(OR($A22="",$B22="",$C22=""),"",'OddsRatio_working_3-way'!J21)</f>
        <v>2.4738851874862067</v>
      </c>
      <c r="N22" s="23">
        <f t="shared" si="16"/>
        <v>28.943015676261158</v>
      </c>
      <c r="O22" s="24">
        <f t="shared" si="17"/>
        <v>30.804302858014289</v>
      </c>
      <c r="P22" s="24">
        <f t="shared" si="18"/>
        <v>40.25268146572455</v>
      </c>
      <c r="Q22" t="s">
        <v>82</v>
      </c>
      <c r="R22" t="s">
        <v>74</v>
      </c>
      <c r="S22" s="48" t="s">
        <v>119</v>
      </c>
      <c r="T22" s="35">
        <v>100</v>
      </c>
      <c r="U22" s="35">
        <f t="shared" si="19"/>
        <v>63.235294117647051</v>
      </c>
      <c r="V22" s="35">
        <f t="shared" si="20"/>
        <v>65.03496503496504</v>
      </c>
      <c r="W22" s="35">
        <f t="shared" si="21"/>
        <v>67.21311475409837</v>
      </c>
      <c r="X22" s="35">
        <f t="shared" si="22"/>
        <v>67.751920210936618</v>
      </c>
      <c r="Y22" s="35">
        <f t="shared" si="23"/>
        <v>69.551591128254572</v>
      </c>
      <c r="Z22" s="35">
        <f t="shared" si="24"/>
        <v>71.729740847387902</v>
      </c>
      <c r="AA22" s="35">
        <f t="shared" si="25"/>
        <v>-4.5166260932895668</v>
      </c>
      <c r="AB22" s="35">
        <f t="shared" si="26"/>
        <v>-4.5166260932895312</v>
      </c>
      <c r="AC22" s="35">
        <f t="shared" si="27"/>
        <v>-4.5166260932895312</v>
      </c>
      <c r="AF22">
        <v>2.5299999999999998</v>
      </c>
      <c r="AG22">
        <v>1.53</v>
      </c>
      <c r="AJ22" t="s">
        <v>91</v>
      </c>
    </row>
    <row r="23" spans="1:36" ht="15" x14ac:dyDescent="0.25">
      <c r="A23">
        <v>2.72</v>
      </c>
      <c r="B23">
        <v>2.86</v>
      </c>
      <c r="C23">
        <v>3.05</v>
      </c>
      <c r="D23" s="20">
        <f t="shared" si="3"/>
        <v>4.516626093289533E-2</v>
      </c>
      <c r="E23" s="17">
        <f>IF(OR($A23="",$B23="",$C23=""),"",A23*'MPTO_working_3-way'!$I22)</f>
        <v>2.8428522297374754</v>
      </c>
      <c r="F23" s="21">
        <f>IF(OR($A23="",$B23="",$C23=""),"",B23*'MPTO_working_3-way'!$I22)</f>
        <v>2.9891755062680807</v>
      </c>
      <c r="G23" s="22">
        <f>IF(OR($A23="",$B23="",$C23=""),"",C23*'MPTO_working_3-way'!$I22)</f>
        <v>3.1877570958453307</v>
      </c>
      <c r="H23" s="17">
        <f>IF(OR($A23="",$B23="",$C23=""),"",'MPTO_working_3-way'!E22)</f>
        <v>2.8361421280963413</v>
      </c>
      <c r="I23" s="21">
        <f>IF(OR($A23="",$B23="",$C23=""),"",'MPTO_working_3-way'!F22)</f>
        <v>2.9886884477728755</v>
      </c>
      <c r="J23" s="22">
        <f>IF(OR($A23="",$B23="",$C23=""),"",'MPTO_working_3-way'!G22)</f>
        <v>3.1967936706973328</v>
      </c>
      <c r="K23" s="17">
        <f>IF(OR($A23="",$B23="",$C23=""),"",'OddsRatio_working_3-way'!H22)</f>
        <v>2.8393636173450316</v>
      </c>
      <c r="L23" s="21">
        <f>IF(OR($A23="",$B23="",$C23=""),"",'OddsRatio_working_3-way'!I22)</f>
        <v>2.9890792606173004</v>
      </c>
      <c r="M23" s="22">
        <f>IF(OR($A23="",$B23="",$C23=""),"",'OddsRatio_working_3-way'!J22)</f>
        <v>3.1922647764868093</v>
      </c>
      <c r="N23" s="23">
        <f t="shared" si="16"/>
        <v>35.175940189207282</v>
      </c>
      <c r="O23" s="24">
        <f t="shared" si="17"/>
        <v>33.454041019106228</v>
      </c>
      <c r="P23" s="24">
        <f t="shared" si="18"/>
        <v>31.370018791686498</v>
      </c>
      <c r="Q23" t="s">
        <v>80</v>
      </c>
      <c r="R23" t="s">
        <v>85</v>
      </c>
      <c r="S23" s="48" t="s">
        <v>119</v>
      </c>
      <c r="T23" s="35">
        <v>100</v>
      </c>
      <c r="U23" s="35">
        <f t="shared" si="19"/>
        <v>32.885906040268459</v>
      </c>
      <c r="V23" s="35">
        <f t="shared" si="20"/>
        <v>76.133651551312653</v>
      </c>
      <c r="W23" s="35">
        <f t="shared" si="21"/>
        <v>85.974754558204765</v>
      </c>
      <c r="X23" s="35">
        <f t="shared" si="22"/>
        <v>37.891593890482575</v>
      </c>
      <c r="Y23" s="35">
        <f t="shared" si="23"/>
        <v>81.139339401526783</v>
      </c>
      <c r="Z23" s="35">
        <f t="shared" si="24"/>
        <v>90.980442408418895</v>
      </c>
      <c r="AA23" s="35">
        <f t="shared" si="25"/>
        <v>-5.005687850214116</v>
      </c>
      <c r="AB23" s="35">
        <f t="shared" si="26"/>
        <v>-5.0056878502141302</v>
      </c>
      <c r="AC23" s="35">
        <f t="shared" si="27"/>
        <v>-5.0056878502141302</v>
      </c>
      <c r="AF23">
        <v>2.64</v>
      </c>
      <c r="AG23">
        <v>1.5</v>
      </c>
      <c r="AJ23" t="s">
        <v>91</v>
      </c>
    </row>
    <row r="24" spans="1:36" ht="15" x14ac:dyDescent="0.25">
      <c r="A24">
        <v>1.49</v>
      </c>
      <c r="B24">
        <v>4.1900000000000004</v>
      </c>
      <c r="C24">
        <v>7.13</v>
      </c>
      <c r="D24" s="20">
        <f t="shared" si="3"/>
        <v>5.0056878502141355E-2</v>
      </c>
      <c r="E24" s="17">
        <f>IF(OR($A24="",$B24="",$C24=""),"",A24*'MPTO_working_3-way'!$I23)</f>
        <v>1.5645847489681906</v>
      </c>
      <c r="F24" s="21">
        <f>IF(OR($A24="",$B24="",$C24=""),"",B24*'MPTO_working_3-way'!$I23)</f>
        <v>4.3997383209239729</v>
      </c>
      <c r="G24" s="22">
        <f>IF(OR($A24="",$B24="",$C24=""),"",C24*'MPTO_working_3-way'!$I23)</f>
        <v>7.4869055437202681</v>
      </c>
      <c r="H24" s="17">
        <f>IF(OR($A24="",$B24="",$C24=""),"",'MPTO_working_3-way'!E23)</f>
        <v>1.5279882055798428</v>
      </c>
      <c r="I24" s="21">
        <f>IF(OR($A24="",$B24="",$C24=""),"",'MPTO_working_3-way'!F23)</f>
        <v>4.5049538164328924</v>
      </c>
      <c r="J24" s="22">
        <f>IF(OR($A24="",$B24="",$C24=""),"",'MPTO_working_3-way'!G23)</f>
        <v>8.0927868276441899</v>
      </c>
      <c r="K24" s="17">
        <f>IF(OR($A24="",$B24="",$C24=""),"",'OddsRatio_working_3-way'!H23)</f>
        <v>1.5397367810317457</v>
      </c>
      <c r="L24" s="21">
        <f>IF(OR($A24="",$B24="",$C24=""),"",'OddsRatio_working_3-way'!I23)</f>
        <v>4.5137965948801426</v>
      </c>
      <c r="M24" s="22">
        <f>IF(OR($A24="",$B24="",$C24=""),"",'OddsRatio_working_3-way'!J23)</f>
        <v>7.7522172810706191</v>
      </c>
      <c r="N24" s="23">
        <f t="shared" si="16"/>
        <v>63.91472246290769</v>
      </c>
      <c r="O24" s="24">
        <f t="shared" si="17"/>
        <v>22.7286244557834</v>
      </c>
      <c r="P24" s="24">
        <f t="shared" si="18"/>
        <v>13.356653081308901</v>
      </c>
      <c r="Q24" t="s">
        <v>87</v>
      </c>
      <c r="R24" t="s">
        <v>73</v>
      </c>
      <c r="S24" s="48" t="s">
        <v>119</v>
      </c>
      <c r="T24" s="35">
        <v>100</v>
      </c>
      <c r="U24" s="35">
        <f t="shared" si="19"/>
        <v>70.845481049562679</v>
      </c>
      <c r="V24" s="35">
        <f t="shared" si="20"/>
        <v>67.637540453074436</v>
      </c>
      <c r="W24" s="35">
        <f t="shared" si="21"/>
        <v>57.081545064377686</v>
      </c>
      <c r="X24" s="35">
        <f t="shared" si="22"/>
        <v>75.280914482547885</v>
      </c>
      <c r="Y24" s="35">
        <f t="shared" si="23"/>
        <v>72.072973886059629</v>
      </c>
      <c r="Z24" s="35">
        <f t="shared" si="24"/>
        <v>61.516978497362885</v>
      </c>
      <c r="AA24" s="35">
        <f t="shared" si="25"/>
        <v>-4.4354334329852065</v>
      </c>
      <c r="AB24" s="35">
        <f t="shared" si="26"/>
        <v>-4.4354334329851923</v>
      </c>
      <c r="AC24" s="35">
        <f t="shared" si="27"/>
        <v>-4.4354334329851994</v>
      </c>
      <c r="AF24">
        <v>2.02</v>
      </c>
      <c r="AG24">
        <v>1.83</v>
      </c>
      <c r="AJ24" t="s">
        <v>91</v>
      </c>
    </row>
    <row r="25" spans="1:36" ht="15" x14ac:dyDescent="0.25">
      <c r="A25">
        <v>3.43</v>
      </c>
      <c r="B25">
        <v>3.09</v>
      </c>
      <c r="C25">
        <v>2.33</v>
      </c>
      <c r="D25" s="20">
        <f t="shared" si="3"/>
        <v>4.435433432985203E-2</v>
      </c>
      <c r="E25" s="17">
        <f>IF(OR($A25="",$B25="",$C25=""),"",A25*'MPTO_working_3-way'!$I24)</f>
        <v>3.5821353667513924</v>
      </c>
      <c r="F25" s="21">
        <f>IF(OR($A25="",$B25="",$C25=""),"",B25*'MPTO_working_3-way'!$I24)</f>
        <v>3.2270548930792424</v>
      </c>
      <c r="G25" s="22">
        <f>IF(OR($A25="",$B25="",$C25=""),"",C25*'MPTO_working_3-way'!$I24)</f>
        <v>2.4333455989885553</v>
      </c>
      <c r="H25" s="17">
        <f>IF(OR($A25="",$B25="",$C25=""),"",'MPTO_working_3-way'!E24)</f>
        <v>3.6132335364065469</v>
      </c>
      <c r="I25" s="21">
        <f>IF(OR($A25="",$B25="",$C25=""),"",'MPTO_working_3-way'!F24)</f>
        <v>3.237924463724823</v>
      </c>
      <c r="J25" s="22">
        <f>IF(OR($A25="",$B25="",$C25=""),"",'MPTO_working_3-way'!G24)</f>
        <v>2.4131287452031742</v>
      </c>
      <c r="K25" s="17">
        <f>IF(OR($A25="",$B25="",$C25=""),"",'OddsRatio_working_3-way'!H24)</f>
        <v>3.5979600593757564</v>
      </c>
      <c r="L25" s="21">
        <f>IF(OR($A25="",$B25="",$C25=""),"",'OddsRatio_working_3-way'!I24)</f>
        <v>3.2344594749363487</v>
      </c>
      <c r="M25" s="22">
        <f>IF(OR($A25="",$B25="",$C25=""),"",'OddsRatio_working_3-way'!J24)</f>
        <v>2.4219287567776764</v>
      </c>
      <c r="N25" s="23">
        <f t="shared" si="16"/>
        <v>27.916309620283599</v>
      </c>
      <c r="O25" s="24">
        <f t="shared" si="17"/>
        <v>30.988007118955579</v>
      </c>
      <c r="P25" s="24">
        <f t="shared" si="18"/>
        <v>41.095683260760829</v>
      </c>
      <c r="Q25" t="s">
        <v>78</v>
      </c>
      <c r="R25" t="s">
        <v>71</v>
      </c>
      <c r="S25" s="48" t="s">
        <v>119</v>
      </c>
      <c r="T25" s="35">
        <v>100</v>
      </c>
      <c r="U25" s="35" t="e">
        <f t="shared" si="19"/>
        <v>#DIV/0!</v>
      </c>
      <c r="V25" s="35" t="e">
        <f t="shared" si="20"/>
        <v>#DIV/0!</v>
      </c>
      <c r="W25" s="35" t="e">
        <f t="shared" si="21"/>
        <v>#DIV/0!</v>
      </c>
      <c r="X25" s="35" t="e">
        <f t="shared" si="22"/>
        <v>#DIV/0!</v>
      </c>
      <c r="Y25" s="35" t="e">
        <f t="shared" si="23"/>
        <v>#DIV/0!</v>
      </c>
      <c r="Z25" s="35" t="e">
        <f t="shared" si="24"/>
        <v>#DIV/0!</v>
      </c>
      <c r="AA25" s="35" t="e">
        <f t="shared" si="25"/>
        <v>#DIV/0!</v>
      </c>
      <c r="AB25" s="35" t="e">
        <f t="shared" si="26"/>
        <v>#DIV/0!</v>
      </c>
      <c r="AC25" s="35" t="e">
        <f t="shared" si="27"/>
        <v>#DIV/0!</v>
      </c>
      <c r="AF25">
        <v>2.48</v>
      </c>
      <c r="AG25">
        <v>1.56</v>
      </c>
      <c r="AJ25" t="s">
        <v>91</v>
      </c>
    </row>
    <row r="26" spans="1:36" ht="15" x14ac:dyDescent="0.25">
      <c r="A26"/>
      <c r="B26"/>
      <c r="C26"/>
      <c r="D26" s="20"/>
      <c r="E26" s="17"/>
      <c r="F26" s="21"/>
      <c r="G26" s="22"/>
      <c r="H26" s="17"/>
      <c r="I26" s="21"/>
      <c r="J26" s="22"/>
      <c r="K26" s="17"/>
      <c r="L26" s="21"/>
      <c r="M26" s="22"/>
      <c r="N26" s="23"/>
      <c r="O26" s="24"/>
      <c r="P26" s="24"/>
      <c r="Q26"/>
      <c r="R26"/>
      <c r="S26" s="48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F26"/>
      <c r="AG26"/>
      <c r="AJ26"/>
    </row>
    <row r="27" spans="1:36" ht="15" x14ac:dyDescent="0.25">
      <c r="A27"/>
      <c r="B27"/>
      <c r="C27"/>
      <c r="D27" s="20"/>
      <c r="E27" s="17"/>
      <c r="F27" s="21"/>
      <c r="G27" s="22"/>
      <c r="H27" s="17"/>
      <c r="I27" s="21"/>
      <c r="J27" s="22"/>
      <c r="K27" s="17"/>
      <c r="L27" s="21"/>
      <c r="M27" s="22"/>
      <c r="N27" s="23"/>
      <c r="O27" s="24"/>
      <c r="P27" s="24"/>
      <c r="Q27"/>
      <c r="R27"/>
      <c r="S27" s="48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F27"/>
      <c r="AG27"/>
      <c r="AJ27"/>
    </row>
    <row r="28" spans="1:36" ht="15" x14ac:dyDescent="0.25">
      <c r="A28"/>
      <c r="B28"/>
      <c r="C28"/>
      <c r="D28" s="20"/>
      <c r="E28" s="17"/>
      <c r="F28" s="21"/>
      <c r="G28" s="22"/>
      <c r="H28" s="17"/>
      <c r="I28" s="21"/>
      <c r="J28" s="22"/>
      <c r="K28" s="17"/>
      <c r="L28" s="21"/>
      <c r="M28" s="22"/>
      <c r="N28" s="23"/>
      <c r="O28" s="24"/>
      <c r="P28" s="24"/>
      <c r="Q28"/>
      <c r="R28"/>
      <c r="S28" s="48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F28"/>
      <c r="AG28"/>
      <c r="AJ28"/>
    </row>
    <row r="29" spans="1:36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 s="48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F29"/>
      <c r="AG29"/>
      <c r="AJ29"/>
    </row>
    <row r="30" spans="1:36" s="35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 s="48"/>
      <c r="AD30" s="36"/>
      <c r="AE30" s="36"/>
      <c r="AF30"/>
      <c r="AG30"/>
      <c r="AH30" s="36"/>
      <c r="AI30" s="36"/>
      <c r="AJ30"/>
    </row>
    <row r="31" spans="1:36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48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F31"/>
      <c r="AG31"/>
      <c r="AJ31"/>
    </row>
    <row r="32" spans="1:36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48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F32"/>
      <c r="AG32"/>
      <c r="AJ32"/>
    </row>
    <row r="33" spans="1:36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48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F33"/>
      <c r="AG33"/>
      <c r="AJ33"/>
    </row>
    <row r="34" spans="1:36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48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F34"/>
      <c r="AG34"/>
      <c r="AJ34"/>
    </row>
    <row r="35" spans="1:36" s="35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48"/>
      <c r="AD35" s="36"/>
      <c r="AE35" s="36"/>
      <c r="AF35"/>
      <c r="AG35"/>
      <c r="AH35" s="36"/>
      <c r="AI35" s="36"/>
      <c r="AJ35"/>
    </row>
    <row r="36" spans="1:36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48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F36"/>
      <c r="AG36"/>
      <c r="AJ36"/>
    </row>
    <row r="37" spans="1:36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48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F37"/>
      <c r="AG37"/>
      <c r="AJ37"/>
    </row>
    <row r="38" spans="1:36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48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F38"/>
      <c r="AG38"/>
      <c r="AJ38"/>
    </row>
    <row r="39" spans="1:36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48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F39"/>
      <c r="AG39"/>
      <c r="AJ39"/>
    </row>
    <row r="40" spans="1:36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48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F40"/>
      <c r="AG40"/>
      <c r="AJ40"/>
    </row>
    <row r="41" spans="1:36" s="35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48"/>
      <c r="AD41" s="36"/>
      <c r="AE41" s="36"/>
      <c r="AF41"/>
      <c r="AG41"/>
      <c r="AH41" s="36"/>
      <c r="AI41" s="36"/>
      <c r="AJ41"/>
    </row>
    <row r="42" spans="1:36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48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F42"/>
      <c r="AG42"/>
      <c r="AJ42"/>
    </row>
    <row r="43" spans="1:36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48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F43"/>
      <c r="AG43"/>
      <c r="AJ43"/>
    </row>
    <row r="44" spans="1:36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48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F44"/>
      <c r="AG44"/>
      <c r="AJ44"/>
    </row>
    <row r="45" spans="1:36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48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F45"/>
      <c r="AG45"/>
      <c r="AJ45"/>
    </row>
    <row r="46" spans="1:36" s="35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48"/>
      <c r="AD46" s="36"/>
      <c r="AE46" s="36"/>
      <c r="AF46"/>
      <c r="AG46"/>
      <c r="AH46" s="36"/>
      <c r="AI46" s="36"/>
      <c r="AJ46"/>
    </row>
    <row r="47" spans="1:36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48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F47"/>
      <c r="AG47"/>
      <c r="AJ47"/>
    </row>
    <row r="48" spans="1:36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48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F48"/>
      <c r="AG48"/>
      <c r="AJ48"/>
    </row>
    <row r="49" spans="1:36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48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F49"/>
      <c r="AG49"/>
      <c r="AJ49"/>
    </row>
    <row r="50" spans="1:36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48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F50"/>
      <c r="AG50"/>
      <c r="AJ50"/>
    </row>
    <row r="51" spans="1:36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48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F51"/>
      <c r="AG51"/>
      <c r="AJ51"/>
    </row>
    <row r="52" spans="1:36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48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F52"/>
      <c r="AG52"/>
      <c r="AJ52"/>
    </row>
    <row r="53" spans="1:36" s="35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48"/>
      <c r="AD53" s="36"/>
      <c r="AE53" s="36"/>
      <c r="AF53"/>
      <c r="AG53"/>
      <c r="AH53" s="36"/>
      <c r="AI53" s="36"/>
      <c r="AJ53"/>
    </row>
    <row r="54" spans="1:36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48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/>
      <c r="AG54"/>
      <c r="AJ54"/>
    </row>
    <row r="55" spans="1:36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48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/>
      <c r="AG55"/>
      <c r="AJ55"/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48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48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4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48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s="35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48"/>
      <c r="AD60" s="36"/>
      <c r="AE60" s="36"/>
      <c r="AF60"/>
      <c r="AG60"/>
      <c r="AH60" s="36"/>
      <c r="AI60" s="36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48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48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s="35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48"/>
      <c r="AD63" s="36"/>
      <c r="AE63" s="36"/>
      <c r="AF63"/>
      <c r="AG63"/>
      <c r="AH63" s="36"/>
      <c r="AI63" s="36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48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48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48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48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4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48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48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48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48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48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48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48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48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48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4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2022-12-07T10:58:42Z</dcterms:modified>
</cp:coreProperties>
</file>