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S26" i="8" s="1"/>
  <c r="P26" i="8"/>
  <c r="Q26" i="8"/>
  <c r="R26" i="8"/>
  <c r="T26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J28" i="8"/>
  <c r="K28" i="8"/>
  <c r="L28" i="8"/>
  <c r="M28" i="8"/>
  <c r="O28" i="8"/>
  <c r="S28" i="8" s="1"/>
  <c r="P28" i="8"/>
  <c r="Q28" i="8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J30" i="8"/>
  <c r="K30" i="8"/>
  <c r="L30" i="8"/>
  <c r="M30" i="8"/>
  <c r="O30" i="8"/>
  <c r="S30" i="8" s="1"/>
  <c r="P30" i="8"/>
  <c r="Q30" i="8"/>
  <c r="R30" i="8"/>
  <c r="T3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AB8" i="2" s="1"/>
  <c r="W8" i="2"/>
  <c r="X8" i="2"/>
  <c r="Y8" i="2"/>
  <c r="Z8" i="2"/>
  <c r="AC8" i="2"/>
  <c r="U9" i="2"/>
  <c r="AA9" i="2" s="1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AC11" i="2" s="1"/>
  <c r="X11" i="2"/>
  <c r="Y11" i="2"/>
  <c r="Z11" i="2"/>
  <c r="AA11" i="2"/>
  <c r="U12" i="2"/>
  <c r="AA12" i="2" s="1"/>
  <c r="V12" i="2"/>
  <c r="AB12" i="2" s="1"/>
  <c r="W12" i="2"/>
  <c r="X12" i="2"/>
  <c r="Y12" i="2"/>
  <c r="Z12" i="2"/>
  <c r="AC12" i="2"/>
  <c r="U13" i="2"/>
  <c r="AA13" i="2" s="1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AC15" i="2" s="1"/>
  <c r="X15" i="2"/>
  <c r="Y15" i="2"/>
  <c r="Z15" i="2"/>
  <c r="AA15" i="2"/>
  <c r="U16" i="2"/>
  <c r="AA16" i="2" s="1"/>
  <c r="V16" i="2"/>
  <c r="AB16" i="2" s="1"/>
  <c r="W16" i="2"/>
  <c r="X16" i="2"/>
  <c r="Y16" i="2"/>
  <c r="Z16" i="2"/>
  <c r="AC16" i="2"/>
  <c r="U17" i="2"/>
  <c r="AA17" i="2" s="1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AC19" i="2" s="1"/>
  <c r="X19" i="2"/>
  <c r="Y19" i="2"/>
  <c r="Z19" i="2"/>
  <c r="AA19" i="2"/>
  <c r="U20" i="2"/>
  <c r="AA20" i="2" s="1"/>
  <c r="V20" i="2"/>
  <c r="AB20" i="2" s="1"/>
  <c r="W20" i="2"/>
  <c r="X20" i="2"/>
  <c r="Y20" i="2"/>
  <c r="Z20" i="2"/>
  <c r="AC20" i="2"/>
  <c r="U21" i="2"/>
  <c r="AA21" i="2" s="1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AC23" i="2" s="1"/>
  <c r="X23" i="2"/>
  <c r="Y23" i="2"/>
  <c r="Z23" i="2"/>
  <c r="AA23" i="2"/>
  <c r="U24" i="2"/>
  <c r="AA24" i="2" s="1"/>
  <c r="V24" i="2"/>
  <c r="AB24" i="2" s="1"/>
  <c r="W24" i="2"/>
  <c r="X24" i="2"/>
  <c r="Y24" i="2"/>
  <c r="Z24" i="2"/>
  <c r="AC24" i="2"/>
  <c r="U25" i="2"/>
  <c r="AA25" i="2" s="1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AC27" i="2" s="1"/>
  <c r="X27" i="2"/>
  <c r="Y27" i="2"/>
  <c r="Z27" i="2"/>
  <c r="AA27" i="2"/>
  <c r="U28" i="2"/>
  <c r="AA28" i="2" s="1"/>
  <c r="V28" i="2"/>
  <c r="AB28" i="2" s="1"/>
  <c r="W28" i="2"/>
  <c r="X28" i="2"/>
  <c r="Y28" i="2"/>
  <c r="Z28" i="2"/>
  <c r="AC28" i="2"/>
  <c r="U29" i="2"/>
  <c r="AA29" i="2" s="1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O23" i="2" s="1"/>
  <c r="G23" i="2"/>
  <c r="H23" i="2"/>
  <c r="I23" i="2"/>
  <c r="J23" i="2"/>
  <c r="K23" i="2"/>
  <c r="L23" i="2"/>
  <c r="M23" i="2"/>
  <c r="P23" i="2"/>
  <c r="E24" i="2"/>
  <c r="N24" i="2" s="1"/>
  <c r="F24" i="2"/>
  <c r="O24" i="2" s="1"/>
  <c r="G24" i="2"/>
  <c r="H24" i="2"/>
  <c r="I24" i="2"/>
  <c r="J24" i="2"/>
  <c r="K24" i="2"/>
  <c r="L24" i="2"/>
  <c r="M24" i="2"/>
  <c r="P24" i="2"/>
  <c r="E25" i="2"/>
  <c r="N25" i="2" s="1"/>
  <c r="F25" i="2"/>
  <c r="O25" i="2" s="1"/>
  <c r="G25" i="2"/>
  <c r="H25" i="2"/>
  <c r="I25" i="2"/>
  <c r="J25" i="2"/>
  <c r="K25" i="2"/>
  <c r="L25" i="2"/>
  <c r="M25" i="2"/>
  <c r="P25" i="2"/>
  <c r="E26" i="2"/>
  <c r="N26" i="2" s="1"/>
  <c r="F26" i="2"/>
  <c r="O26" i="2" s="1"/>
  <c r="G26" i="2"/>
  <c r="H26" i="2"/>
  <c r="I26" i="2"/>
  <c r="J26" i="2"/>
  <c r="K26" i="2"/>
  <c r="L26" i="2"/>
  <c r="M26" i="2"/>
  <c r="P26" i="2"/>
  <c r="E27" i="2"/>
  <c r="N27" i="2" s="1"/>
  <c r="F27" i="2"/>
  <c r="O27" i="2" s="1"/>
  <c r="G27" i="2"/>
  <c r="H27" i="2"/>
  <c r="I27" i="2"/>
  <c r="J27" i="2"/>
  <c r="K27" i="2"/>
  <c r="L27" i="2"/>
  <c r="M27" i="2"/>
  <c r="P27" i="2"/>
  <c r="E28" i="2"/>
  <c r="N28" i="2" s="1"/>
  <c r="F28" i="2"/>
  <c r="O28" i="2" s="1"/>
  <c r="G28" i="2"/>
  <c r="H28" i="2"/>
  <c r="I28" i="2"/>
  <c r="J28" i="2"/>
  <c r="K28" i="2"/>
  <c r="L28" i="2"/>
  <c r="M28" i="2"/>
  <c r="P28" i="2"/>
  <c r="E29" i="2"/>
  <c r="N29" i="2" s="1"/>
  <c r="F29" i="2"/>
  <c r="O29" i="2" s="1"/>
  <c r="G29" i="2"/>
  <c r="H29" i="2"/>
  <c r="I29" i="2"/>
  <c r="J29" i="2"/>
  <c r="K29" i="2"/>
  <c r="L29" i="2"/>
  <c r="M29" i="2"/>
  <c r="P29" i="2"/>
  <c r="E30" i="2"/>
  <c r="N30" i="2" s="1"/>
  <c r="F30" i="2"/>
  <c r="O30" i="2" s="1"/>
  <c r="G30" i="2"/>
  <c r="H30" i="2"/>
  <c r="I30" i="2"/>
  <c r="J30" i="2"/>
  <c r="K30" i="2"/>
  <c r="L30" i="2"/>
  <c r="M30" i="2"/>
  <c r="P3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O4" i="8" l="1"/>
  <c r="P4" i="8"/>
  <c r="Q4" i="8"/>
  <c r="R4" i="8"/>
  <c r="T4" i="8" s="1"/>
  <c r="S4" i="8"/>
  <c r="C4" i="8"/>
  <c r="U4" i="2"/>
  <c r="V4" i="2"/>
  <c r="W4" i="2"/>
  <c r="X4" i="2"/>
  <c r="Y4" i="2"/>
  <c r="Z4" i="2"/>
  <c r="D4" i="2"/>
  <c r="AA4" i="2" l="1"/>
  <c r="AC4" i="2"/>
  <c r="AB4" i="2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T80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36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30" i="5"/>
  <c r="F122" i="5"/>
  <c r="F114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F6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I17" i="5"/>
  <c r="G42" i="5"/>
  <c r="E71" i="5"/>
  <c r="I71" i="5"/>
  <c r="E103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P158" i="4"/>
  <c r="P118" i="4"/>
  <c r="G71" i="5"/>
  <c r="E717" i="5"/>
  <c r="Q74" i="4"/>
  <c r="T12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I27" i="5"/>
  <c r="F40" i="5"/>
  <c r="G40" i="5"/>
  <c r="E47" i="5"/>
  <c r="I47" i="5"/>
  <c r="F73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93" i="5"/>
  <c r="I93" i="5"/>
  <c r="E101" i="5"/>
  <c r="I101" i="5"/>
  <c r="E107" i="5"/>
  <c r="G19" i="5"/>
  <c r="Q5" i="4"/>
  <c r="E550" i="5"/>
  <c r="F550" i="5"/>
  <c r="G563" i="5"/>
  <c r="G161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I178" i="5"/>
  <c r="E176" i="5"/>
  <c r="D175" i="5"/>
  <c r="F175" i="5" s="1"/>
  <c r="D174" i="5"/>
  <c r="G174" i="5" s="1"/>
  <c r="G172" i="5"/>
  <c r="E172" i="5"/>
  <c r="D170" i="5"/>
  <c r="E170" i="5" s="1"/>
  <c r="F169" i="5"/>
  <c r="E168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4" i="5"/>
  <c r="I144" i="5"/>
  <c r="G143" i="5"/>
  <c r="E143" i="5"/>
  <c r="E142" i="5"/>
  <c r="G141" i="5"/>
  <c r="I141" i="5"/>
  <c r="E141" i="5"/>
  <c r="E140" i="5"/>
  <c r="E138" i="5"/>
  <c r="E136" i="5"/>
  <c r="G135" i="5"/>
  <c r="E135" i="5"/>
  <c r="G133" i="5"/>
  <c r="I133" i="5"/>
  <c r="E133" i="5"/>
  <c r="E131" i="5"/>
  <c r="E130" i="5"/>
  <c r="G127" i="5"/>
  <c r="E127" i="5"/>
  <c r="E126" i="5"/>
  <c r="G125" i="5"/>
  <c r="I125" i="5"/>
  <c r="E125" i="5"/>
  <c r="E124" i="5"/>
  <c r="E122" i="5"/>
  <c r="E120" i="5"/>
  <c r="G119" i="5"/>
  <c r="E119" i="5"/>
  <c r="E118" i="5"/>
  <c r="G117" i="5"/>
  <c r="I117" i="5"/>
  <c r="E117" i="5"/>
  <c r="G115" i="5"/>
  <c r="E115" i="5"/>
  <c r="E114" i="5"/>
  <c r="E112" i="5"/>
  <c r="G111" i="5"/>
  <c r="E111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D18" i="5"/>
  <c r="D16" i="5"/>
  <c r="F16" i="5" s="1"/>
  <c r="D10" i="5"/>
  <c r="G8" i="5"/>
  <c r="I8" i="5"/>
  <c r="E8" i="5"/>
  <c r="E6" i="5"/>
  <c r="I6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49" i="10"/>
  <c r="D255" i="10"/>
  <c r="D273" i="10"/>
  <c r="D240" i="10"/>
  <c r="D211" i="10"/>
  <c r="D205" i="10"/>
  <c r="D245" i="10"/>
  <c r="D250" i="10"/>
  <c r="D274" i="10"/>
  <c r="D236" i="10"/>
  <c r="D208" i="10"/>
  <c r="D209" i="10"/>
  <c r="D272" i="10"/>
  <c r="D228" i="10"/>
  <c r="D212" i="10"/>
  <c r="D218" i="10"/>
  <c r="D262" i="10"/>
  <c r="D281" i="10"/>
  <c r="D231" i="10"/>
  <c r="D220" i="10"/>
  <c r="D219" i="10"/>
  <c r="D283" i="10"/>
  <c r="D270" i="10"/>
  <c r="D253" i="10"/>
  <c r="D241" i="10"/>
  <c r="D215" i="10"/>
  <c r="D257" i="10"/>
  <c r="D247" i="10"/>
  <c r="D251" i="10"/>
  <c r="D252" i="10"/>
  <c r="D226" i="10"/>
  <c r="D203" i="10"/>
  <c r="D267" i="10"/>
  <c r="D266" i="10"/>
  <c r="D227" i="10"/>
  <c r="D204" i="10"/>
  <c r="D254" i="10"/>
  <c r="D269" i="10"/>
  <c r="D271" i="10"/>
  <c r="D242" i="10"/>
  <c r="D210" i="10"/>
  <c r="D259" i="10"/>
  <c r="D265" i="10"/>
  <c r="D243" i="10"/>
  <c r="D232" i="10"/>
  <c r="D214" i="10"/>
  <c r="D276" i="10"/>
  <c r="D256" i="10"/>
  <c r="D280" i="10"/>
  <c r="D233" i="10"/>
  <c r="D235" i="10"/>
  <c r="D222" i="10"/>
  <c r="D275" i="10"/>
  <c r="D229" i="10"/>
  <c r="D217" i="10"/>
  <c r="D225" i="10"/>
  <c r="D268" i="10"/>
  <c r="D246" i="10"/>
  <c r="D258" i="10"/>
  <c r="D239" i="10"/>
  <c r="D224" i="10"/>
  <c r="D282" i="10"/>
  <c r="D277" i="10"/>
  <c r="D264" i="10"/>
  <c r="D238" i="10"/>
  <c r="D223" i="10"/>
  <c r="D221" i="10"/>
  <c r="D263" i="10"/>
  <c r="D278" i="10"/>
  <c r="D260" i="10"/>
  <c r="D237" i="10"/>
  <c r="D206" i="10"/>
  <c r="D207" i="10"/>
  <c r="D279" i="10"/>
  <c r="D234" i="10"/>
  <c r="D213" i="10"/>
  <c r="D261" i="10"/>
  <c r="D248" i="10"/>
  <c r="D244" i="10"/>
  <c r="D230" i="10"/>
  <c r="D216" i="10"/>
  <c r="D238" i="3"/>
  <c r="D247" i="3"/>
  <c r="D279" i="3"/>
  <c r="D248" i="3"/>
  <c r="D208" i="3"/>
  <c r="D221" i="3"/>
  <c r="D235" i="3"/>
  <c r="D243" i="3"/>
  <c r="D256" i="3"/>
  <c r="D203" i="3"/>
  <c r="D236" i="3"/>
  <c r="D230" i="3"/>
  <c r="D260" i="3"/>
  <c r="D269" i="3"/>
  <c r="D207" i="3"/>
  <c r="D205" i="3"/>
  <c r="D241" i="3"/>
  <c r="D275" i="3"/>
  <c r="D249" i="3"/>
  <c r="D212" i="3"/>
  <c r="D215" i="3"/>
  <c r="D233" i="3"/>
  <c r="D257" i="3"/>
  <c r="D262" i="3"/>
  <c r="D253" i="3"/>
  <c r="D213" i="3"/>
  <c r="D240" i="3"/>
  <c r="D271" i="3"/>
  <c r="D261" i="3"/>
  <c r="D276" i="3"/>
  <c r="D214" i="3"/>
  <c r="D227" i="3"/>
  <c r="D264" i="3"/>
  <c r="D265" i="3"/>
  <c r="D252" i="3"/>
  <c r="D224" i="3"/>
  <c r="D211" i="3"/>
  <c r="D231" i="3"/>
  <c r="D263" i="3"/>
  <c r="D255" i="3"/>
  <c r="D232" i="3"/>
  <c r="D274" i="3"/>
  <c r="D254" i="3"/>
  <c r="D267" i="3"/>
  <c r="D218" i="3"/>
  <c r="D239" i="3"/>
  <c r="D244" i="3"/>
  <c r="D273" i="3"/>
  <c r="D217" i="3"/>
  <c r="D223" i="3"/>
  <c r="D226" i="3"/>
  <c r="D268" i="3"/>
  <c r="D283" i="3"/>
  <c r="D270" i="3"/>
  <c r="D222" i="3"/>
  <c r="D210" i="3"/>
  <c r="D234" i="3"/>
  <c r="D259" i="3"/>
  <c r="D280" i="3"/>
  <c r="D225" i="3"/>
  <c r="D242" i="3"/>
  <c r="D251" i="3"/>
  <c r="D258" i="3"/>
  <c r="D246" i="3"/>
  <c r="D245" i="3"/>
  <c r="D204" i="3"/>
  <c r="D229" i="3"/>
  <c r="D266" i="3"/>
  <c r="D278" i="3"/>
  <c r="D216" i="3"/>
  <c r="D209" i="3"/>
  <c r="D228" i="3"/>
  <c r="D277" i="3"/>
  <c r="D282" i="3"/>
  <c r="D281" i="3"/>
  <c r="D206" i="3"/>
  <c r="D237" i="3"/>
  <c r="D250" i="3"/>
  <c r="D272" i="3"/>
  <c r="D220" i="3"/>
  <c r="D219" i="3"/>
  <c r="D3" i="10"/>
  <c r="D2" i="10"/>
  <c r="D2" i="3"/>
  <c r="D3" i="3"/>
  <c r="D17" i="10"/>
  <c r="D57" i="10"/>
  <c r="D30" i="10"/>
  <c r="D102" i="10"/>
  <c r="D95" i="10"/>
  <c r="D41" i="10"/>
  <c r="D155" i="10"/>
  <c r="D182" i="10"/>
  <c r="D79" i="10"/>
  <c r="D122" i="10"/>
  <c r="D109" i="10"/>
  <c r="D137" i="10"/>
  <c r="D55" i="10"/>
  <c r="D110" i="10"/>
  <c r="D80" i="10"/>
  <c r="D113" i="10"/>
  <c r="D67" i="10"/>
  <c r="D147" i="10"/>
  <c r="D105" i="10"/>
  <c r="D139" i="10"/>
  <c r="D177" i="10"/>
  <c r="D193" i="10"/>
  <c r="D81" i="10"/>
  <c r="D87" i="10"/>
  <c r="D33" i="10"/>
  <c r="D154" i="10"/>
  <c r="D160" i="10"/>
  <c r="D82" i="10"/>
  <c r="D77" i="10"/>
  <c r="D123" i="10"/>
  <c r="D93" i="10"/>
  <c r="D54" i="10"/>
  <c r="D126" i="10"/>
  <c r="D188" i="10"/>
  <c r="D134" i="10"/>
  <c r="D201" i="10"/>
  <c r="D46" i="10"/>
  <c r="D89" i="10"/>
  <c r="D178" i="10"/>
  <c r="D96" i="10"/>
  <c r="D184" i="10"/>
  <c r="D73" i="10"/>
  <c r="D85" i="10"/>
  <c r="D35" i="10"/>
  <c r="D101" i="10"/>
  <c r="D29" i="10"/>
  <c r="D84" i="10"/>
  <c r="D14" i="10"/>
  <c r="D144" i="10"/>
  <c r="D13" i="10"/>
  <c r="D183" i="10"/>
  <c r="D59" i="10"/>
  <c r="D159" i="10"/>
  <c r="D90" i="10"/>
  <c r="D131" i="10"/>
  <c r="D12" i="10"/>
  <c r="D153" i="10"/>
  <c r="D24" i="10"/>
  <c r="D120" i="10"/>
  <c r="D164" i="10"/>
  <c r="D180" i="10"/>
  <c r="D166" i="10"/>
  <c r="D107" i="10"/>
  <c r="D132" i="10"/>
  <c r="D149" i="10"/>
  <c r="D118" i="10"/>
  <c r="D26" i="10"/>
  <c r="D185" i="10"/>
  <c r="D53" i="10"/>
  <c r="D156" i="10"/>
  <c r="D69" i="10"/>
  <c r="D99" i="10"/>
  <c r="D115" i="10"/>
  <c r="D37" i="10"/>
  <c r="D167" i="10"/>
  <c r="D28" i="10"/>
  <c r="D127" i="10"/>
  <c r="D136" i="10"/>
  <c r="D61" i="10"/>
  <c r="D34" i="10"/>
  <c r="D192" i="10"/>
  <c r="D64" i="10"/>
  <c r="D125" i="10"/>
  <c r="D43" i="10"/>
  <c r="D114" i="10"/>
  <c r="D16" i="10"/>
  <c r="D98" i="10"/>
  <c r="D191" i="10"/>
  <c r="D74" i="10"/>
  <c r="D9" i="10"/>
  <c r="D94" i="10"/>
  <c r="D106" i="10"/>
  <c r="D52" i="10"/>
  <c r="D36" i="10"/>
  <c r="D130" i="10"/>
  <c r="D161" i="10"/>
  <c r="D88" i="10"/>
  <c r="D66" i="10"/>
  <c r="D103" i="10"/>
  <c r="D163" i="10"/>
  <c r="D189" i="10"/>
  <c r="D121" i="10"/>
  <c r="D97" i="10"/>
  <c r="D100" i="10"/>
  <c r="D31" i="10"/>
  <c r="D200" i="10"/>
  <c r="D19" i="10"/>
  <c r="D76" i="10"/>
  <c r="D171" i="10"/>
  <c r="D108" i="10"/>
  <c r="D83" i="10"/>
  <c r="D72" i="10"/>
  <c r="D58" i="10"/>
  <c r="D174" i="10"/>
  <c r="D169" i="10"/>
  <c r="D119" i="10"/>
  <c r="D145" i="10"/>
  <c r="D124" i="10"/>
  <c r="D91" i="10"/>
  <c r="D92" i="10"/>
  <c r="D39" i="10"/>
  <c r="D197" i="10"/>
  <c r="D179" i="10"/>
  <c r="D40" i="10"/>
  <c r="D141" i="10"/>
  <c r="D10" i="10"/>
  <c r="D62" i="10"/>
  <c r="D56" i="10"/>
  <c r="D186" i="10"/>
  <c r="D173" i="10"/>
  <c r="D63" i="10"/>
  <c r="D135" i="10"/>
  <c r="D6" i="10"/>
  <c r="D165" i="10"/>
  <c r="D104" i="10"/>
  <c r="D198" i="10"/>
  <c r="D38" i="10"/>
  <c r="D70" i="10"/>
  <c r="D21" i="10"/>
  <c r="D11" i="10"/>
  <c r="D117" i="10"/>
  <c r="D4" i="10"/>
  <c r="D162" i="10"/>
  <c r="D5" i="10"/>
  <c r="D151" i="10"/>
  <c r="D86" i="10"/>
  <c r="D138" i="10"/>
  <c r="D148" i="10"/>
  <c r="D202" i="10"/>
  <c r="D140" i="10"/>
  <c r="D194" i="10"/>
  <c r="D129" i="10"/>
  <c r="D8" i="10"/>
  <c r="D27" i="10"/>
  <c r="D32" i="10"/>
  <c r="D143" i="10"/>
  <c r="D128" i="10"/>
  <c r="D170" i="10"/>
  <c r="D44" i="10"/>
  <c r="D7" i="10"/>
  <c r="D172" i="10"/>
  <c r="D75" i="10"/>
  <c r="D18" i="10"/>
  <c r="D175" i="10"/>
  <c r="D199" i="10"/>
  <c r="D23" i="10"/>
  <c r="D60" i="10"/>
  <c r="D150" i="10"/>
  <c r="D195" i="10"/>
  <c r="D152" i="10"/>
  <c r="D181" i="10"/>
  <c r="D158" i="10"/>
  <c r="D49" i="10"/>
  <c r="D111" i="10"/>
  <c r="D48" i="10"/>
  <c r="D68" i="10"/>
  <c r="D190" i="10"/>
  <c r="D157" i="10"/>
  <c r="D176" i="10"/>
  <c r="D45" i="10"/>
  <c r="D146" i="10"/>
  <c r="D42" i="10"/>
  <c r="D65" i="10"/>
  <c r="D25" i="10"/>
  <c r="D116" i="10"/>
  <c r="D71" i="10"/>
  <c r="D51" i="10"/>
  <c r="D50" i="10"/>
  <c r="D142" i="10"/>
  <c r="D20" i="10"/>
  <c r="D168" i="10"/>
  <c r="D187" i="10"/>
  <c r="D196" i="10"/>
  <c r="D133" i="10"/>
  <c r="D47" i="10"/>
  <c r="D15" i="10"/>
  <c r="D78" i="10"/>
  <c r="D112" i="10"/>
  <c r="D22" i="10"/>
  <c r="D113" i="3"/>
  <c r="D84" i="3"/>
  <c r="D148" i="3"/>
  <c r="D77" i="3"/>
  <c r="D153" i="3"/>
  <c r="D67" i="3"/>
  <c r="D117" i="3"/>
  <c r="D90" i="3"/>
  <c r="D43" i="3"/>
  <c r="D139" i="3"/>
  <c r="D195" i="3"/>
  <c r="D14" i="3"/>
  <c r="D72" i="3"/>
  <c r="D186" i="3"/>
  <c r="D64" i="3"/>
  <c r="D200" i="3"/>
  <c r="D68" i="3"/>
  <c r="D22" i="3"/>
  <c r="D88" i="3"/>
  <c r="D118" i="3"/>
  <c r="D172" i="3"/>
  <c r="D23" i="3"/>
  <c r="D62" i="3"/>
  <c r="D61" i="3"/>
  <c r="D149" i="3"/>
  <c r="D79" i="3"/>
  <c r="D49" i="3"/>
  <c r="D150" i="3"/>
  <c r="D105" i="3"/>
  <c r="D197" i="3"/>
  <c r="D151" i="3"/>
  <c r="D121" i="3"/>
  <c r="D159" i="3"/>
  <c r="D175" i="3"/>
  <c r="D183" i="3"/>
  <c r="D29" i="3"/>
  <c r="D52" i="3"/>
  <c r="D15" i="3"/>
  <c r="D198" i="3"/>
  <c r="D91" i="3"/>
  <c r="D136" i="3"/>
  <c r="D47" i="3"/>
  <c r="D53" i="3"/>
  <c r="D37" i="3"/>
  <c r="D30" i="3"/>
  <c r="D155" i="3"/>
  <c r="D187" i="3"/>
  <c r="D25" i="3"/>
  <c r="D80" i="3"/>
  <c r="D7" i="3"/>
  <c r="D73" i="3"/>
  <c r="D98" i="3"/>
  <c r="D196" i="3"/>
  <c r="D146" i="3"/>
  <c r="D158" i="3"/>
  <c r="D40" i="3"/>
  <c r="D189" i="3"/>
  <c r="D26" i="3"/>
  <c r="D163" i="3"/>
  <c r="D177" i="3"/>
  <c r="D190" i="3"/>
  <c r="D99" i="3"/>
  <c r="D170" i="3"/>
  <c r="D164" i="3"/>
  <c r="D173" i="3"/>
  <c r="D138" i="3"/>
  <c r="D161" i="3"/>
  <c r="D56" i="3"/>
  <c r="D100" i="3"/>
  <c r="D112" i="3"/>
  <c r="D102" i="3"/>
  <c r="D111" i="3"/>
  <c r="D41" i="3"/>
  <c r="D24" i="3"/>
  <c r="D194" i="3"/>
  <c r="D202" i="3"/>
  <c r="D171" i="3"/>
  <c r="D28" i="3"/>
  <c r="D184" i="3"/>
  <c r="D45" i="3"/>
  <c r="D21" i="3"/>
  <c r="D66" i="3"/>
  <c r="D162" i="3"/>
  <c r="D176" i="3"/>
  <c r="D16" i="3"/>
  <c r="D36" i="3"/>
  <c r="D6" i="3"/>
  <c r="D71" i="3"/>
  <c r="D97" i="3"/>
  <c r="D95" i="3"/>
  <c r="D156" i="3"/>
  <c r="D124" i="3"/>
  <c r="D119" i="3"/>
  <c r="D107" i="3"/>
  <c r="D54" i="3"/>
  <c r="D193" i="3"/>
  <c r="D20" i="3"/>
  <c r="D130" i="3"/>
  <c r="D101" i="3"/>
  <c r="D116" i="3"/>
  <c r="D70" i="3"/>
  <c r="D93" i="3"/>
  <c r="D38" i="3"/>
  <c r="D106" i="3"/>
  <c r="D128" i="3"/>
  <c r="D114" i="3"/>
  <c r="D42" i="3"/>
  <c r="D122" i="3"/>
  <c r="D174" i="3"/>
  <c r="D201" i="3"/>
  <c r="D55" i="3"/>
  <c r="D51" i="3"/>
  <c r="D145" i="3"/>
  <c r="D46" i="3"/>
  <c r="D11" i="3"/>
  <c r="D59" i="3"/>
  <c r="D65" i="3"/>
  <c r="D9" i="3"/>
  <c r="D129" i="3"/>
  <c r="D13" i="3"/>
  <c r="D50" i="3"/>
  <c r="D81" i="3"/>
  <c r="D78" i="3"/>
  <c r="D167" i="3"/>
  <c r="D152" i="3"/>
  <c r="D154" i="3"/>
  <c r="D10" i="3"/>
  <c r="D96" i="3"/>
  <c r="D8" i="3"/>
  <c r="D165" i="3"/>
  <c r="D39" i="3"/>
  <c r="D131" i="3"/>
  <c r="D31" i="3"/>
  <c r="D94" i="3"/>
  <c r="D144" i="3"/>
  <c r="D141" i="3"/>
  <c r="D74" i="3"/>
  <c r="D147" i="3"/>
  <c r="D76" i="3"/>
  <c r="D133" i="3"/>
  <c r="D17" i="3"/>
  <c r="D160" i="3"/>
  <c r="D5" i="3"/>
  <c r="D69" i="3"/>
  <c r="D137" i="3"/>
  <c r="D48" i="3"/>
  <c r="D44" i="3"/>
  <c r="D82" i="3"/>
  <c r="D12" i="3"/>
  <c r="D87" i="3"/>
  <c r="D169" i="3"/>
  <c r="D126" i="3"/>
  <c r="D168" i="3"/>
  <c r="D188" i="3"/>
  <c r="D192" i="3"/>
  <c r="D103" i="3"/>
  <c r="D83" i="3"/>
  <c r="D75" i="3"/>
  <c r="D85" i="3"/>
  <c r="D132" i="3"/>
  <c r="D110" i="3"/>
  <c r="D32" i="3"/>
  <c r="D57" i="3"/>
  <c r="D135" i="3"/>
  <c r="D35" i="3"/>
  <c r="D143" i="3"/>
  <c r="D157" i="3"/>
  <c r="D108" i="3"/>
  <c r="D33" i="3"/>
  <c r="D127" i="3"/>
  <c r="D180" i="3"/>
  <c r="D185" i="3"/>
  <c r="D199" i="3"/>
  <c r="D120" i="3"/>
  <c r="D60" i="3"/>
  <c r="D86" i="3"/>
  <c r="D134" i="3"/>
  <c r="D18" i="3"/>
  <c r="D4" i="3"/>
  <c r="D182" i="3"/>
  <c r="D115" i="3"/>
  <c r="D181" i="3"/>
  <c r="D92" i="3"/>
  <c r="D109" i="3"/>
  <c r="D104" i="3"/>
  <c r="D34" i="3"/>
  <c r="D140" i="3"/>
  <c r="D58" i="3"/>
  <c r="D89" i="3"/>
  <c r="D19" i="3"/>
  <c r="D125" i="3"/>
  <c r="D166" i="3"/>
  <c r="D142" i="3"/>
  <c r="D191" i="3"/>
  <c r="D27" i="3"/>
  <c r="D178" i="3"/>
  <c r="D63" i="3"/>
  <c r="D179" i="3"/>
  <c r="D123" i="3"/>
  <c r="E29" i="5" l="1"/>
  <c r="I29" i="5"/>
  <c r="T112" i="4"/>
  <c r="K4" i="8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V140" i="4" s="1"/>
  <c r="W140" i="4" s="1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U59" i="4" s="1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U69" i="4" s="1"/>
  <c r="T139" i="4"/>
  <c r="S170" i="4"/>
  <c r="S181" i="4"/>
  <c r="S160" i="4"/>
  <c r="T5" i="4"/>
  <c r="T170" i="4"/>
  <c r="T129" i="4"/>
  <c r="T145" i="4"/>
  <c r="V145" i="4" s="1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V22" i="4" s="1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I536" i="3"/>
  <c r="T4" i="4"/>
  <c r="S6" i="4"/>
  <c r="S15" i="4"/>
  <c r="T15" i="4"/>
  <c r="T19" i="4"/>
  <c r="S26" i="4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U41" i="4"/>
  <c r="V41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U108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U34" i="4"/>
  <c r="R748" i="4"/>
  <c r="T748" i="4"/>
  <c r="S681" i="4"/>
  <c r="S927" i="4"/>
  <c r="S58" i="4"/>
  <c r="U10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V11" i="4"/>
  <c r="R589" i="4"/>
  <c r="S589" i="4"/>
  <c r="U6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V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120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I90" i="11"/>
  <c r="J90" i="11"/>
  <c r="K167" i="11"/>
  <c r="M167" i="11" s="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117" i="11"/>
  <c r="N117" i="11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22" i="4" l="1"/>
  <c r="U20" i="4"/>
  <c r="V5" i="4"/>
  <c r="W5" i="4" s="1"/>
  <c r="X5" i="4" s="1"/>
  <c r="Y5" i="4" s="1"/>
  <c r="V10" i="4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V6" i="4"/>
  <c r="V79" i="4"/>
  <c r="V118" i="4"/>
  <c r="V27" i="4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M9" i="4" s="1"/>
  <c r="AS9" i="4" s="1"/>
  <c r="AF9" i="4"/>
  <c r="AD9" i="4"/>
  <c r="U15" i="4"/>
  <c r="V163" i="4"/>
  <c r="V113" i="4"/>
  <c r="AK9" i="4"/>
  <c r="Z9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W109" i="4"/>
  <c r="X109" i="4" s="1"/>
  <c r="Y109" i="4" s="1"/>
  <c r="V963" i="4"/>
  <c r="I99" i="3"/>
  <c r="AE241" i="4"/>
  <c r="AA241" i="4"/>
  <c r="AM241" i="4" s="1"/>
  <c r="AS241" i="4" s="1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R172" i="4" s="1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AB152" i="4"/>
  <c r="AH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L128" i="4" s="1"/>
  <c r="AB128" i="4"/>
  <c r="AN128" i="4" s="1"/>
  <c r="AT128" i="4" s="1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Y191" i="4" l="1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M172" i="4" s="1"/>
  <c r="AS172" i="4" s="1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112" i="4" l="1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L112" i="4" s="1"/>
  <c r="AR112" i="4" s="1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AT149" i="4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10" i="4" l="1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88" i="4" l="1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186" i="4" l="1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D83" i="4"/>
  <c r="H83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Q2" i="4" l="1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<sst xmlns="http://schemas.openxmlformats.org/spreadsheetml/2006/main" count="354" uniqueCount="130">
  <si>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</si>
  <si>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</si>
  <si>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</si>
  <si>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</si>
  <si>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</si>
  <si>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</si>
  <si>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</si>
  <si>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</si>
  <si>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</si>
  <si>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</si>
  <si>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</si>
  <si>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</si>
  <si>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</si>
  <si>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</si>
  <si>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</si>
  <si>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</si>
  <si>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</si>
  <si>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</si>
  <si>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</si>
  <si>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</si>
  <si>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</si>
  <si>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</si>
  <si>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</si>
  <si>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</si>
  <si>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</si>
  <si>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</si>
  <si>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</si>
  <si>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</si>
  <si>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</si>
  <si>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</si>
  <si>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</si>
  <si>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</si>
  <si>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</si>
  <si>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</si>
  <si>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Fulham</t>
  </si>
  <si>
    <t>Charlton</t>
  </si>
  <si>
    <t>Luton</t>
  </si>
  <si>
    <t>Barnsley</t>
  </si>
  <si>
    <t>Reading</t>
  </si>
  <si>
    <t>Huddersfield</t>
  </si>
  <si>
    <t>Cardiff</t>
  </si>
  <si>
    <t>Blackburn</t>
  </si>
  <si>
    <t>Sheffield United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</si>
  <si>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</si>
  <si>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</si>
  <si>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</si>
  <si>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</si>
  <si>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</si>
  <si>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</si>
  <si>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</si>
  <si>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</si>
  <si>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</si>
  <si>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</si>
  <si>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</si>
  <si>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</si>
  <si>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Bournemouth</t>
  </si>
  <si>
    <t>Stoke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</si>
  <si>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</si>
  <si>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</si>
  <si>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</si>
  <si>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</si>
  <si>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</si>
  <si>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</si>
  <si>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</si>
  <si>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</si>
  <si>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</si>
  <si>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</si>
  <si>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</si>
  <si>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</si>
  <si>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</si>
  <si>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</si>
  <si>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</si>
  <si>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</si>
  <si>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</si>
  <si>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</si>
  <si>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</si>
  <si>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</si>
  <si>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</si>
  <si>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</si>
  <si>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</si>
  <si>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</si>
  <si>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</si>
  <si>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</si>
  <si>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</si>
  <si>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</si>
  <si>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</si>
  <si>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</si>
  <si>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</si>
  <si>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</si>
  <si>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</si>
  <si>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</si>
  <si>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</si>
  <si>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</si>
  <si>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</si>
  <si>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</si>
  <si>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</si>
  <si>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</si>
  <si>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</si>
  <si>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</si>
  <si>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Ipswich</t>
  </si>
  <si>
    <t>Lincoln</t>
  </si>
  <si>
    <t>Doncaster</t>
  </si>
  <si>
    <t>Fleetwood Town</t>
  </si>
  <si>
    <t>Plymouth</t>
  </si>
  <si>
    <t>Accrington</t>
  </si>
  <si>
    <t>Shrewsbury</t>
  </si>
  <si>
    <t>Peterboro</t>
  </si>
  <si>
    <t>Bolton</t>
  </si>
  <si>
    <t>Cambridge</t>
  </si>
  <si>
    <t>Cheltenham</t>
  </si>
  <si>
    <t>Morecambe</t>
  </si>
  <si>
    <t>E1</t>
  </si>
  <si>
    <t>E2</t>
  </si>
  <si>
    <t>Blackpool</t>
  </si>
  <si>
    <t>Burton</t>
  </si>
  <si>
    <t>Portsmouth</t>
  </si>
  <si>
    <t>Oxford</t>
  </si>
  <si>
    <t>Crewe</t>
  </si>
  <si>
    <t>Dunfermline</t>
  </si>
  <si>
    <t>Chesterfield</t>
  </si>
  <si>
    <t>SC1</t>
  </si>
  <si>
    <t>EC</t>
  </si>
  <si>
    <t>Bromley</t>
  </si>
  <si>
    <t>Grimsby</t>
  </si>
  <si>
    <t>Raith Rvs</t>
  </si>
  <si>
    <t>Altrincham</t>
  </si>
  <si>
    <t>Woking</t>
  </si>
  <si>
    <t>Kings Lynn</t>
  </si>
  <si>
    <t>28/09/2021</t>
  </si>
  <si>
    <t>29/09/2021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</si>
</sst>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1.042106143326367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1.0449864577049268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1.0513686083765104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1.0537461604267786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1.048418440111401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1.0420112422030368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1.0575635508862022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1.0567609363032806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1.0545823209780971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1.056895036351561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1.0503245504598744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1.0500631329117833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1.056895036351561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1.0513726059103246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1.0501502456550436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1.0611367580726192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1.0500631329117833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1.0597968244159457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1.06243870990235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1.0671330848711666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1.0633092374354824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1.0526045231274919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1.050186013602848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1.0490547245227648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1.0484438729518561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1.0512150176064545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1.0427733349764023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1.0806907986103451</v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1.0277419305224469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4.0927458184687469</v>
      </c>
      <c r="I2" s="6">
        <f>IF('Log_working_3-way'!$D2="","",'True_Odds_Calculator_3-way'!O3/'True_Odds_Calculator_3-way'!B3-1)</f>
        <v>6.5461594510219365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2.8217817311839699E-2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1.0259599806964821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13.062724021146282</v>
      </c>
      <c r="I3" s="6">
        <f>IF('Log_working_3-way'!$D3="","",'True_Odds_Calculator_3-way'!O4/'True_Odds_Calculator_3-way'!B4-1)</f>
        <v>7.7194284289385351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2.80613902360487E-2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1.0260425746793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16.616470761884436</v>
      </c>
      <c r="I4" s="6">
        <f>IF('Log_working_3-way'!$D4="","",'True_Odds_Calculator_3-way'!O5/'True_Odds_Calculator_3-way'!B5-1)</f>
        <v>8.5006796662604298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2.788698735738504E-2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1.0249761554186694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9.2635116764948169</v>
      </c>
      <c r="I5" s="6">
        <f>IF('Log_working_3-way'!$D5="","",'True_Odds_Calculator_3-way'!O6/'True_Odds_Calculator_3-way'!B6-1)</f>
        <v>9.4664098003655397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2.7076012340333744E-2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1.0250533138598226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11.506662072177466</v>
      </c>
      <c r="I6" s="6">
        <f>IF('Log_working_3-way'!$D6="","",'True_Odds_Calculator_3-way'!O7/'True_Odds_Calculator_3-way'!B7-1)</f>
        <v>9.0653537738481429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2.7188569650451022E-2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1.0282317205391893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23.049553597097667</v>
      </c>
      <c r="I7" s="6">
        <f>IF('Log_working_3-way'!$D7="","",'True_Odds_Calculator_3-way'!O8/'True_Odds_Calculator_3-way'!B8-1)</f>
        <v>6.7097878585704622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2.9202578656015721E-2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1.0301846072676322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12.482911739146582</v>
      </c>
      <c r="I8" s="6">
        <f>IF('Log_working_3-way'!$D8="","",'True_Odds_Calculator_3-way'!O9/'True_Odds_Calculator_3-way'!B9-1)</f>
        <v>8.5163830224984469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3.2634713428335127E-2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1.0312822963508801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16.672005398711967</v>
      </c>
      <c r="I9" s="6">
        <f>IF('Log_working_3-way'!$D9="","",'True_Odds_Calculator_3-way'!O10/'True_Odds_Calculator_3-way'!B10-1)</f>
        <v>7.7789258928352467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3.3433295408023644E-2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1.0300737318307756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11.9958180193549</v>
      </c>
      <c r="I10" s="6">
        <f>IF('Log_working_3-way'!$D10="","",'True_Odds_Calculator_3-way'!O11/'True_Odds_Calculator_3-way'!B11-1)</f>
        <v>7.6305664617019477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3.2454887810462907E-2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1.0398568122490011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31.558850544316854</v>
      </c>
      <c r="I11" s="6">
        <f>IF('Log_working_3-way'!$D11="","",'True_Odds_Calculator_3-way'!O12/'True_Odds_Calculator_3-way'!B12-1)</f>
        <v>6.2300321599029465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3.8183308066880528E-2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1.0354698321913693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26.613123679102589</v>
      </c>
      <c r="I12" s="6">
        <f>IF('Log_working_3-way'!$D12="","",'True_Odds_Calculator_3-way'!O13/'True_Odds_Calculator_3-way'!B13-1)</f>
        <v>6.5763899436993505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3.5621954983076742E-2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1.0316836591139329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9.7446113651208339</v>
      </c>
      <c r="I13" s="6">
        <f>IF('Log_working_3-way'!$D13="","",'True_Odds_Calculator_3-way'!O14/'True_Odds_Calculator_3-way'!B14-1)</f>
        <v>7.9339069563370188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3.4110097939885176E-2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1.0370956082425442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30.879528854880824</v>
      </c>
      <c r="I14" s="6">
        <f>IF('Log_working_3-way'!$D14="","",'True_Odds_Calculator_3-way'!O15/'True_Odds_Calculator_3-way'!B15-1)</f>
        <v>4.942925672902188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3.607121769922883E-2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1.0359996390370505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29.140241970674658</v>
      </c>
      <c r="I15" s="6">
        <f>IF('Log_working_3-way'!$D15="","",'True_Odds_Calculator_3-way'!O16/'True_Odds_Calculator_3-way'!B16-1)</f>
        <v>5.6179894532934052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3.5493086029997123E-2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1.0375243082353571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33.215805732993637</v>
      </c>
      <c r="I16" s="6">
        <f>IF('Log_working_3-way'!$D16="","",'True_Odds_Calculator_3-way'!O17/'True_Odds_Calculator_3-way'!B17-1)</f>
        <v>5.5491190660808138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3.5510877012675524E-2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1.031036562701841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7.9955516839545453</v>
      </c>
      <c r="I17" s="6">
        <f>IF('Log_working_3-way'!$D17="","",'True_Odds_Calculator_3-way'!O18/'True_Odds_Calculator_3-way'!B18-1)</f>
        <v>8.5102979763029634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3.3295431941038789E-2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1.0401553276167845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32.325067967726021</v>
      </c>
      <c r="I18" s="6">
        <f>IF('Log_working_3-way'!$D18="","",'True_Odds_Calculator_3-way'!O19/'True_Odds_Calculator_3-way'!B19-1)</f>
        <v>5.6346640231693224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3.8319746506689345E-2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1.0318832892624825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17.442788505691876</v>
      </c>
      <c r="I19" s="6">
        <f>IF('Log_working_3-way'!$D19="","",'True_Odds_Calculator_3-way'!O20/'True_Odds_Calculator_3-way'!B20-1)</f>
        <v>7.9897965499236658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3.3956932306624665E-2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1.0469299724503607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24.096261530519119</v>
      </c>
      <c r="I20" s="6">
        <f>IF('Log_working_3-way'!$D20="","",'True_Odds_Calculator_3-way'!O21/'True_Odds_Calculator_3-way'!B21-1)</f>
        <v>6.4458143058736423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4.7904597462385068E-2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1.0415126604074005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14.197137519422522</v>
      </c>
      <c r="I21" s="6">
        <f>IF('Log_working_3-way'!$D21="","",'True_Odds_Calculator_3-way'!O22/'True_Odds_Calculator_3-way'!B22-1)</f>
        <v>7.4806801025823599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4.4457477870168516E-2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1.0431004569730027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7.4744834206101576</v>
      </c>
      <c r="I22" s="6">
        <f>IF('Log_working_3-way'!$D22="","",'True_Odds_Calculator_3-way'!O23/'True_Odds_Calculator_3-way'!B23-1)</f>
        <v>6.6345820186824032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4.5221202395029803E-2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1.0253883075169192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14.086706338937949</v>
      </c>
      <c r="I23" s="6">
        <f>IF('Log_working_3-way'!$D23="","",'True_Odds_Calculator_3-way'!O24/'True_Odds_Calculator_3-way'!B24-1)</f>
        <v>10.109089049522012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2.739661340509314E-2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1.025952977511644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17.077527239915749</v>
      </c>
      <c r="I24" s="6">
        <f>IF('Log_working_3-way'!$D24="","",'True_Odds_Calculator_3-way'!O25/'True_Odds_Calculator_3-way'!B25-1)</f>
        <v>8.2118800109938466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2.7744131491390878E-2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1.0372836543528972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46.46382541927629</v>
      </c>
      <c r="I25" s="6">
        <f>IF('Log_working_3-way'!$D25="","",'True_Odds_Calculator_3-way'!O26/'True_Odds_Calculator_3-way'!B26-1)</f>
        <v>3.2657760812853782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3.0303528471691266E-2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1.0256458695022026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11.772566941602703</v>
      </c>
      <c r="I26" s="6">
        <f>IF('Log_working_3-way'!$D26="","",'True_Odds_Calculator_3-way'!O27/'True_Odds_Calculator_3-way'!B27-1)</f>
        <v>8.3259118686417715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2.7788249920520869E-2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1.0279014496041357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20.825064033320839</v>
      </c>
      <c r="I27" s="6">
        <f>IF('Log_working_3-way'!$D27="","",'True_Odds_Calculator_3-way'!O28/'True_Odds_Calculator_3-way'!B28-1)</f>
        <v>8.4890007405027035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2.9152095891041174E-2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1.0317121883206146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2.629446947466608</v>
      </c>
      <c r="I28" s="6">
        <f>IF('Log_working_3-way'!$D28="","",'True_Odds_Calculator_3-way'!O29/'True_Odds_Calculator_3-way'!B29-1)</f>
        <v>5.8619231350540559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3.0809615915998734E-2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1.0517997858532253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16.920925004235762</v>
      </c>
      <c r="I29" s="6">
        <f>IF('Log_working_3-way'!$D29="","",'True_Odds_Calculator_3-way'!O30/'True_Odds_Calculator_3-way'!B30-1)</f>
        <v>7.4474665424287974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5.4833479742347979E-2</v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str">
        <f>solve_for_c('True_Odds_Calculator_3-way'!A39,'True_Odds_Calculator_3-way'!B39,'True_Odds_Calculator_3-way'!C39,'Log_working_3-way'!B$1,'Log_working_3-way'!B$2)</f>
        <v/>
      </c>
      <c r="F38" s="6" t="str">
        <f>IF('Log_working_3-way'!D38="","",1/'True_Odds_Calculator_3-way'!N39+1/'True_Odds_Calculator_3-way'!O39+1/'True_Odds_Calculator_3-way'!#REF!-1)</f>
        <v/>
      </c>
      <c r="H38" s="6" t="str">
        <f>IF('Log_working_3-way'!$D38="","",'True_Odds_Calculator_3-way'!N39/'True_Odds_Calculator_3-way'!A39-1)</f>
        <v/>
      </c>
      <c r="I38" s="6" t="str">
        <f>IF('Log_working_3-way'!$D38="","",'True_Odds_Calculator_3-way'!O39/'True_Odds_Calculator_3-way'!B39-1)</f>
        <v/>
      </c>
      <c r="J38" s="6" t="str">
        <f>IF('Log_working_3-way'!$D38="","",'True_Odds_Calculator_3-way'!#REF!/'True_Odds_Calculator_3-way'!C39-1)</f>
        <v/>
      </c>
      <c r="K38" s="6" t="str">
        <f>IF('Log_working_3-way'!$D38="","",1/'True_Odds_Calculator_3-way'!A39+1/'True_Odds_Calculator_3-way'!B39+1/'True_Odds_Calculator_3-way'!C39-1)</f>
        <v/>
      </c>
    </row>
    <row r="39" spans="4:11" x14ac:dyDescent="0.25">
      <c r="D39" t="str">
        <f>solve_for_c('True_Odds_Calculator_3-way'!A40,'True_Odds_Calculator_3-way'!B40,'True_Odds_Calculator_3-way'!C40,'Log_working_3-way'!B$1,'Log_working_3-way'!B$2)</f>
        <v/>
      </c>
      <c r="F39" s="6" t="str">
        <f>IF('Log_working_3-way'!D39="","",1/'True_Odds_Calculator_3-way'!N40+1/'True_Odds_Calculator_3-way'!O40+1/'True_Odds_Calculator_3-way'!#REF!-1)</f>
        <v/>
      </c>
      <c r="H39" s="6" t="str">
        <f>IF('Log_working_3-way'!$D39="","",'True_Odds_Calculator_3-way'!N40/'True_Odds_Calculator_3-way'!A40-1)</f>
        <v/>
      </c>
      <c r="I39" s="6" t="str">
        <f>IF('Log_working_3-way'!$D39="","",'True_Odds_Calculator_3-way'!O40/'True_Odds_Calculator_3-way'!B40-1)</f>
        <v/>
      </c>
      <c r="J39" s="6" t="str">
        <f>IF('Log_working_3-way'!$D39="","",'True_Odds_Calculator_3-way'!#REF!/'True_Odds_Calculator_3-way'!C40-1)</f>
        <v/>
      </c>
      <c r="K39" s="6" t="str">
        <f>IF('Log_working_3-way'!$D39="","",1/'True_Odds_Calculator_3-way'!A40+1/'True_Odds_Calculator_3-way'!B40+1/'True_Odds_Calculator_3-way'!C40-1)</f>
        <v/>
      </c>
    </row>
    <row r="40" spans="4:11" x14ac:dyDescent="0.25">
      <c r="D40" t="str">
        <f>solve_for_c('True_Odds_Calculator_3-way'!A41,'True_Odds_Calculator_3-way'!B41,'True_Odds_Calculator_3-way'!C41,'Log_working_3-way'!B$1,'Log_working_3-way'!B$2)</f>
        <v/>
      </c>
      <c r="F40" s="6" t="str">
        <f>IF('Log_working_3-way'!D40="","",1/'True_Odds_Calculator_3-way'!N41+1/'True_Odds_Calculator_3-way'!O41+1/'True_Odds_Calculator_3-way'!#REF!-1)</f>
        <v/>
      </c>
      <c r="H40" s="6" t="str">
        <f>IF('Log_working_3-way'!$D40="","",'True_Odds_Calculator_3-way'!N41/'True_Odds_Calculator_3-way'!A41-1)</f>
        <v/>
      </c>
      <c r="I40" s="6" t="str">
        <f>IF('Log_working_3-way'!$D40="","",'True_Odds_Calculator_3-way'!O41/'True_Odds_Calculator_3-way'!B41-1)</f>
        <v/>
      </c>
      <c r="J40" s="6" t="str">
        <f>IF('Log_working_3-way'!$D40="","",'True_Odds_Calculator_3-way'!#REF!/'True_Odds_Calculator_3-way'!C41-1)</f>
        <v/>
      </c>
      <c r="K40" s="6" t="str">
        <f>IF('Log_working_3-way'!$D40="","",1/'True_Odds_Calculator_3-way'!A41+1/'True_Odds_Calculator_3-way'!B41+1/'True_Odds_Calculator_3-way'!C41-1)</f>
        <v/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IF('Log_working_3-way'!D41="","",1/'True_Odds_Calculator_3-way'!N42+1/'True_Odds_Calculator_3-way'!O42+1/'True_Odds_Calculator_3-way'!#REF!-1)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IF('Log_working_3-way'!$D41="","",'True_Odds_Calculator_3-way'!#REF!/'True_Odds_Calculator_3-way'!C42-1)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IF('Log_working_3-way'!D42="","",1/'True_Odds_Calculator_3-way'!N43+1/'True_Odds_Calculator_3-way'!O43+1/'True_Odds_Calculator_3-way'!#REF!-1)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IF('Log_working_3-way'!$D42="","",'True_Odds_Calculator_3-way'!#REF!/'True_Odds_Calculator_3-way'!C43-1)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IF('Log_working_3-way'!D43="","",1/'True_Odds_Calculator_3-way'!N44+1/'True_Odds_Calculator_3-way'!O44+1/'True_Odds_Calculator_3-way'!#REF!-1)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IF('Log_working_3-way'!$D43="","",'True_Odds_Calculator_3-way'!#REF!/'True_Odds_Calculator_3-way'!C44-1)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IF('Log_working_3-way'!D44="","",1/'True_Odds_Calculator_3-way'!N45+1/'True_Odds_Calculator_3-way'!O45+1/'True_Odds_Calculator_3-way'!#REF!-1)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IF('Log_working_3-way'!$D44="","",'True_Odds_Calculator_3-way'!#REF!/'True_Odds_Calculator_3-way'!C45-1)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IF('Log_working_3-way'!D45="","",1/'True_Odds_Calculator_3-way'!N46+1/'True_Odds_Calculator_3-way'!O46+1/'True_Odds_Calculator_3-way'!#REF!-1)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IF('Log_working_3-way'!$D45="","",'True_Odds_Calculator_3-way'!#REF!/'True_Odds_Calculator_3-way'!C46-1)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4.37</v>
      </c>
      <c r="B2" s="4">
        <f>IF('True_Odds_Calculator_3-way'!B3="","",'True_Odds_Calculator_3-way'!B3)</f>
        <v>3.59</v>
      </c>
      <c r="C2" s="4">
        <f>IF('True_Odds_Calculator_3-way'!C3="","",'True_Odds_Calculator_3-way'!C3)</f>
        <v>1.92</v>
      </c>
      <c r="D2" s="9">
        <f>(K2/(AR2+K2-(AR2*K2)))</f>
        <v>0.22093824971080395</v>
      </c>
      <c r="E2" s="9">
        <f>(L2/(AR2+L2-(AR2*L2)))</f>
        <v>0.26954107835715924</v>
      </c>
      <c r="F2" s="9">
        <f>(M2/(AR2+M2-(AR2*M2)))</f>
        <v>0.50952067193203676</v>
      </c>
      <c r="G2" s="9">
        <f>AR2</f>
        <v>1.0463357696560966</v>
      </c>
      <c r="H2" s="9">
        <f>IF(A2="","",1/D2)</f>
        <v>4.5261515437410464</v>
      </c>
      <c r="I2" s="9">
        <f>IF(B2="","",1/E2)</f>
        <v>3.7100096434092906</v>
      </c>
      <c r="J2" s="9">
        <f>IF(C2="","",1/F2)</f>
        <v>1.9626289080836088</v>
      </c>
      <c r="K2" s="11">
        <f>1/A2</f>
        <v>0.22883295194508008</v>
      </c>
      <c r="L2" s="11">
        <f>1/B2</f>
        <v>0.2785515320334262</v>
      </c>
      <c r="M2" s="11">
        <f>1/C2</f>
        <v>0.52083333333333337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-0.26658786590431505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0.22840800681611986</v>
      </c>
      <c r="Q2" s="11">
        <f>2*'OddsRatio_working_3-way'!K2*'OddsRatio_working_3-way'!L2*'OddsRatio_working_3-way'!M2</f>
        <v>6.6397676400034841E-2</v>
      </c>
      <c r="R2" s="11">
        <f>O2/N2</f>
        <v>0</v>
      </c>
      <c r="S2" s="11">
        <f>P2/N2</f>
        <v>-0.85678320744763803</v>
      </c>
      <c r="T2" s="11">
        <f>Q2/N2</f>
        <v>-0.24906488588594128</v>
      </c>
      <c r="U2" s="11">
        <f>'OddsRatio_working_3-way'!S2-'OddsRatio_working_3-way'!R2^2/3</f>
        <v>-0.85678320744763803</v>
      </c>
      <c r="V2" s="11">
        <f>'OddsRatio_working_3-way'!S2*'OddsRatio_working_3-way'!R2/3-2*'OddsRatio_working_3-way'!R2^3/27-'OddsRatio_working_3-way'!T2</f>
        <v>0.24906488588594128</v>
      </c>
      <c r="W2" s="11">
        <f>'OddsRatio_working_3-way'!V2^2+4*'OddsRatio_working_3-way'!U2^3/27</f>
        <v>-3.1143755893348765E-2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0.15262459932357375</v>
      </c>
      <c r="Y2" s="11">
        <f>IF('OddsRatio_working_3-way'!W2&gt;=0,IF('OddsRatio_working_3-way'!V2+SQRT('OddsRatio_working_3-way'!W2)&gt;0,0,PI()),ACOS('OddsRatio_working_3-way'!V2/(2*'OddsRatio_working_3-way'!X2)))</f>
        <v>0.61644390211683497</v>
      </c>
      <c r="Z2" s="11">
        <f>'OddsRatio_working_3-way'!X2^(1/3)*COS('OddsRatio_working_3-way'!Y2/3)</f>
        <v>0.52316788482804832</v>
      </c>
      <c r="AA2" s="11">
        <f>'OddsRatio_working_3-way'!X2^(1/3)*COS(('OddsRatio_working_3-way'!Y2+2*PI())/3)</f>
        <v>-0.35601553180718726</v>
      </c>
      <c r="AB2" s="11">
        <f>'OddsRatio_working_3-way'!X2^(1/3)*COS(('OddsRatio_working_3-way'!Y2+4*PI())/3)</f>
        <v>-0.16715235302086096</v>
      </c>
      <c r="AC2" s="11">
        <f>'OddsRatio_working_3-way'!X2^(1/3)*SIN('OddsRatio_working_3-way'!Y2/3)</f>
        <v>0.10904020711229394</v>
      </c>
      <c r="AD2" s="11">
        <f>'OddsRatio_working_3-way'!X2^(1/3)*SIN(('OddsRatio_working_3-way'!Y2+2*PI())/3)</f>
        <v>0.39855657514911436</v>
      </c>
      <c r="AE2" s="11">
        <f>'OddsRatio_working_3-way'!X2^(1/3)*SIN(('OddsRatio_working_3-way'!Y2+4*PI())/3)</f>
        <v>-0.50759678226140825</v>
      </c>
      <c r="AF2" s="11">
        <f>-'OddsRatio_working_3-way'!U2/(3*'OddsRatio_working_3-way'!X2^(1/3))*COS(('OddsRatio_working_3-way'!Y2)/3)</f>
        <v>0.52316788482804832</v>
      </c>
      <c r="AG2" s="11">
        <f>-'OddsRatio_working_3-way'!U2/(3*'OddsRatio_working_3-way'!X2^(1/3))*COS(('OddsRatio_working_3-way'!Y2+2*PI())/3)</f>
        <v>-0.35601553180718726</v>
      </c>
      <c r="AH2" s="11">
        <f>-'OddsRatio_working_3-way'!U2/(3*'OddsRatio_working_3-way'!X2^(1/3))*COS(('OddsRatio_working_3-way'!Y2+4*PI())/3)</f>
        <v>-0.16715235302086096</v>
      </c>
      <c r="AI2" s="11">
        <f>'OddsRatio_working_3-way'!U2/(3*'OddsRatio_working_3-way'!X2^(1/3))*SIN(('OddsRatio_working_3-way'!Y2)/3)</f>
        <v>-0.10904020711229394</v>
      </c>
      <c r="AJ2" s="11">
        <f>'OddsRatio_working_3-way'!U2/(3*'OddsRatio_working_3-way'!X2^(1/3))*SIN(('OddsRatio_working_3-way'!Y2+2*PI())/3)</f>
        <v>-0.39855657514911436</v>
      </c>
      <c r="AK2" s="11">
        <f>'OddsRatio_working_3-way'!U2/(3*'OddsRatio_working_3-way'!X2^(1/3))*SIN(('OddsRatio_working_3-way'!Y2+4*PI())/3)</f>
        <v>0.50759678226140825</v>
      </c>
      <c r="AL2" s="11">
        <f>'OddsRatio_working_3-way'!Z2+'OddsRatio_working_3-way'!AF2</f>
        <v>1.0463357696560966</v>
      </c>
      <c r="AM2" s="11">
        <f>'OddsRatio_working_3-way'!AA2+'OddsRatio_working_3-way'!AG2</f>
        <v>-0.71203106361437452</v>
      </c>
      <c r="AN2" s="11">
        <f>'OddsRatio_working_3-way'!AB2+'OddsRatio_working_3-way'!AH2</f>
        <v>-0.33430470604172191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1.0463357696560966</v>
      </c>
      <c r="AS2" s="11">
        <f>IF(('OddsRatio_working_3-way'!X2=0),IF(Q2&gt;0,-Q2^(1/3),(-Q2)^(1/3)),'OddsRatio_working_3-way'!AM2-'OddsRatio_working_3-way'!R2/3)</f>
        <v>-0.71203106361437452</v>
      </c>
      <c r="AT2" s="11">
        <f>IF(('OddsRatio_working_3-way'!X2=0),IF(Q2&gt;0,-Q2^(1/3),(-Q2)^(1/3)),'OddsRatio_working_3-way'!AN2-'OddsRatio_working_3-way'!R2/3)</f>
        <v>-0.33430470604172191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2.63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2.87</v>
      </c>
      <c r="D3" s="9">
        <f t="shared" ref="D3" si="0">(K3/(AR3+K3-(AR3*K3)))</f>
        <v>0.37037937506131435</v>
      </c>
      <c r="E3" s="9">
        <f t="shared" ref="E3" si="1">(L3/(AR3+L3-(AR3*L3)))</f>
        <v>0.2906641667417123</v>
      </c>
      <c r="F3" s="9">
        <f t="shared" ref="F3" si="2">(M3/(AR3+M3-(AR3*M3)))</f>
        <v>0.3389564581969734</v>
      </c>
      <c r="G3" s="9">
        <f t="shared" ref="G3" si="3">AR3</f>
        <v>1.0429045137416963</v>
      </c>
      <c r="H3" s="9">
        <f t="shared" ref="H3" si="4">IF(A3="","",1/D3)</f>
        <v>2.6999343573989649</v>
      </c>
      <c r="I3" s="9">
        <f t="shared" ref="I3" si="5">IF(B3="","",1/E3)</f>
        <v>3.4403965621555685</v>
      </c>
      <c r="J3" s="9">
        <f t="shared" ref="J3" si="6">IF(C3="","",1/F3)</f>
        <v>2.9502314406969727</v>
      </c>
      <c r="K3" s="11">
        <f t="shared" ref="K3" si="7">1/A3</f>
        <v>0.38022813688212931</v>
      </c>
      <c r="L3" s="11">
        <f t="shared" ref="L3" si="8">1/B3</f>
        <v>0.29940119760479045</v>
      </c>
      <c r="M3" s="11">
        <f t="shared" ref="M3" si="9">1/C3</f>
        <v>0.34843205574912889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-0.28291824559569134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0.23164809607874515</v>
      </c>
      <c r="Q3" s="11">
        <f>2*'OddsRatio_working_3-way'!K3*'OddsRatio_working_3-way'!L3*'OddsRatio_working_3-way'!M3</f>
        <v>7.9331539752994909E-2</v>
      </c>
      <c r="R3" s="11">
        <f t="shared" ref="R3" si="10">O3/N3</f>
        <v>0</v>
      </c>
      <c r="S3" s="11">
        <f t="shared" ref="S3" si="11">P3/N3</f>
        <v>-0.81878104252698292</v>
      </c>
      <c r="T3" s="11">
        <f t="shared" ref="T3" si="12">Q3/N3</f>
        <v>-0.28040446661882973</v>
      </c>
      <c r="U3" s="11">
        <f>'OddsRatio_working_3-way'!S3-'OddsRatio_working_3-way'!R3^2/3</f>
        <v>-0.81878104252698292</v>
      </c>
      <c r="V3" s="11">
        <f>'OddsRatio_working_3-way'!S3*'OddsRatio_working_3-way'!R3/3-2*'OddsRatio_working_3-way'!R3^3/27-'OddsRatio_working_3-way'!T3</f>
        <v>0.28040446661882973</v>
      </c>
      <c r="W3" s="11">
        <f>'OddsRatio_working_3-way'!V3^2+4*'OddsRatio_working_3-way'!U3^3/27</f>
        <v>-2.6937458236529765E-3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0.14258366905386058</v>
      </c>
      <c r="Y3" s="11">
        <f>IF('OddsRatio_working_3-way'!W3&gt;=0,IF('OddsRatio_working_3-way'!V3+SQRT('OddsRatio_working_3-way'!W3)&gt;0,0,PI()),ACOS('OddsRatio_working_3-way'!V3/(2*'OddsRatio_working_3-way'!X3)))</f>
        <v>0.1830230821142691</v>
      </c>
      <c r="Z3" s="11">
        <f>'OddsRatio_working_3-way'!X3^(1/3)*COS('OddsRatio_working_3-way'!Y3/3)</f>
        <v>0.52145225687084829</v>
      </c>
      <c r="AA3" s="11">
        <f>'OddsRatio_working_3-way'!X3^(1/3)*COS(('OddsRatio_working_3-way'!Y3+2*PI())/3)</f>
        <v>-0.2883108793853581</v>
      </c>
      <c r="AB3" s="11">
        <f>'OddsRatio_working_3-way'!X3^(1/3)*COS(('OddsRatio_working_3-way'!Y3+4*PI())/3)</f>
        <v>-0.23314137748549033</v>
      </c>
      <c r="AC3" s="11">
        <f>'OddsRatio_working_3-way'!X3^(1/3)*SIN('OddsRatio_working_3-way'!Y3/3)</f>
        <v>3.1852126772946174E-2</v>
      </c>
      <c r="AD3" s="11">
        <f>'OddsRatio_working_3-way'!X3^(1/3)*SIN(('OddsRatio_working_3-way'!Y3+2*PI())/3)</f>
        <v>0.43566483792441008</v>
      </c>
      <c r="AE3" s="11">
        <f>'OddsRatio_working_3-way'!X3^(1/3)*SIN(('OddsRatio_working_3-way'!Y3+4*PI())/3)</f>
        <v>-0.46751696469735632</v>
      </c>
      <c r="AF3" s="11">
        <f>-'OddsRatio_working_3-way'!U3/(3*'OddsRatio_working_3-way'!X3^(1/3))*COS(('OddsRatio_working_3-way'!Y3)/3)</f>
        <v>0.52145225687084817</v>
      </c>
      <c r="AG3" s="11">
        <f>-'OddsRatio_working_3-way'!U3/(3*'OddsRatio_working_3-way'!X3^(1/3))*COS(('OddsRatio_working_3-way'!Y3+2*PI())/3)</f>
        <v>-0.28831087938535804</v>
      </c>
      <c r="AH3" s="11">
        <f>-'OddsRatio_working_3-way'!U3/(3*'OddsRatio_working_3-way'!X3^(1/3))*COS(('OddsRatio_working_3-way'!Y3+4*PI())/3)</f>
        <v>-0.23314137748549027</v>
      </c>
      <c r="AI3" s="11">
        <f>'OddsRatio_working_3-way'!U3/(3*'OddsRatio_working_3-way'!X3^(1/3))*SIN(('OddsRatio_working_3-way'!Y3)/3)</f>
        <v>-3.1852126772946167E-2</v>
      </c>
      <c r="AJ3" s="11">
        <f>'OddsRatio_working_3-way'!U3/(3*'OddsRatio_working_3-way'!X3^(1/3))*SIN(('OddsRatio_working_3-way'!Y3+2*PI())/3)</f>
        <v>-0.43566483792440996</v>
      </c>
      <c r="AK3" s="11">
        <f>'OddsRatio_working_3-way'!U3/(3*'OddsRatio_working_3-way'!X3^(1/3))*SIN(('OddsRatio_working_3-way'!Y3+4*PI())/3)</f>
        <v>0.46751696469735621</v>
      </c>
      <c r="AL3" s="11">
        <f>'OddsRatio_working_3-way'!Z3+'OddsRatio_working_3-way'!AF3</f>
        <v>1.0429045137416963</v>
      </c>
      <c r="AM3" s="11">
        <f>'OddsRatio_working_3-way'!AA3+'OddsRatio_working_3-way'!AG3</f>
        <v>-0.57662175877071609</v>
      </c>
      <c r="AN3" s="11">
        <f>'OddsRatio_working_3-way'!AB3+'OddsRatio_working_3-way'!AH3</f>
        <v>-0.4662827549709806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1.0429045137416963</v>
      </c>
      <c r="AS3" s="11">
        <f>IF(('OddsRatio_working_3-way'!X3=0),IF(Q3&gt;0,-Q3^(1/3),(-Q3)^(1/3)),'OddsRatio_working_3-way'!AM3-'OddsRatio_working_3-way'!R3/3)</f>
        <v>-0.57662175877071609</v>
      </c>
      <c r="AT3" s="11">
        <f>IF(('OddsRatio_working_3-way'!X3=0),IF(Q3&gt;0,-Q3^(1/3),(-Q3)^(1/3)),'OddsRatio_working_3-way'!AN3-'OddsRatio_working_3-way'!R3/3)</f>
        <v>-0.4662827549709806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2.35</v>
      </c>
      <c r="B4" s="4">
        <f>IF('True_Odds_Calculator_3-way'!B5="","",'True_Odds_Calculator_3-way'!B5)</f>
        <v>3.2</v>
      </c>
      <c r="C4" s="4">
        <f>IF('True_Odds_Calculator_3-way'!C5="","",'True_Odds_Calculator_3-way'!C5)</f>
        <v>3.45</v>
      </c>
      <c r="D4" s="9">
        <f t="shared" ref="D4:D67" si="13">(K4/(AR4+K4-(AR4*K4)))</f>
        <v>0.41524897786724152</v>
      </c>
      <c r="E4" s="9">
        <f t="shared" ref="E4:E67" si="14">(L4/(AR4+L4-(AR4*L4)))</f>
        <v>0.30350540063825748</v>
      </c>
      <c r="F4" s="9">
        <f t="shared" ref="F4:F67" si="15">(M4/(AR4+M4-(AR4*M4)))</f>
        <v>0.28124562149450111</v>
      </c>
      <c r="G4" s="9">
        <f t="shared" ref="G4:G67" si="16">AR4</f>
        <v>1.0431064936227394</v>
      </c>
      <c r="H4" s="9">
        <f t="shared" ref="H4:H67" si="17">IF(A4="","",1/D4)</f>
        <v>2.4081937663906983</v>
      </c>
      <c r="I4" s="9">
        <f t="shared" ref="I4:I67" si="18">IF(B4="","",1/E4)</f>
        <v>3.2948342859700266</v>
      </c>
      <c r="J4" s="9">
        <f t="shared" ref="J4:J67" si="19">IF(C4="","",1/F4)</f>
        <v>3.5556109093757104</v>
      </c>
      <c r="K4" s="11">
        <f t="shared" ref="K4:K67" si="20">1/A4</f>
        <v>0.42553191489361702</v>
      </c>
      <c r="L4" s="11">
        <f t="shared" ref="L4:L67" si="21">1/B4</f>
        <v>0.3125</v>
      </c>
      <c r="M4" s="11">
        <f t="shared" ref="M4:M67" si="22">1/C4</f>
        <v>0.28985507246376813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-0.2804694727104533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0.23126734505087884</v>
      </c>
      <c r="Q4" s="11">
        <f>2*'OddsRatio_working_3-way'!K4*'OddsRatio_working_3-way'!L4*'OddsRatio_working_3-way'!M4</f>
        <v>7.70891150169596E-2</v>
      </c>
      <c r="R4" s="11">
        <f t="shared" ref="R4:R67" si="23">O4/N4</f>
        <v>0</v>
      </c>
      <c r="S4" s="11">
        <f t="shared" ref="S4:S67" si="24">P4/N4</f>
        <v>-0.82457225314368177</v>
      </c>
      <c r="T4" s="11">
        <f t="shared" ref="T4:T67" si="25">Q4/N4</f>
        <v>-0.27485741771456051</v>
      </c>
      <c r="U4" s="11">
        <f>'OddsRatio_working_3-way'!S4-'OddsRatio_working_3-way'!R4^2/3</f>
        <v>-0.82457225314368177</v>
      </c>
      <c r="V4" s="11">
        <f>'OddsRatio_working_3-way'!S4*'OddsRatio_working_3-way'!R4/3-2*'OddsRatio_working_3-way'!R4^3/27-'OddsRatio_working_3-way'!T4</f>
        <v>0.27485741771456051</v>
      </c>
      <c r="W4" s="11">
        <f>'OddsRatio_working_3-way'!V4^2+4*'OddsRatio_working_3-way'!U4^3/27</f>
        <v>-7.5115735796894983E-3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0.14409907499044355</v>
      </c>
      <c r="Y4" s="11">
        <f>IF('OddsRatio_working_3-way'!W4&gt;=0,IF('OddsRatio_working_3-way'!V4+SQRT('OddsRatio_working_3-way'!W4)&gt;0,0,PI()),ACOS('OddsRatio_working_3-way'!V4/(2*'OddsRatio_working_3-way'!X4)))</f>
        <v>0.30545619344481523</v>
      </c>
      <c r="Z4" s="11">
        <f>'OddsRatio_working_3-way'!X4^(1/3)*COS('OddsRatio_working_3-way'!Y4/3)</f>
        <v>0.52155324681136972</v>
      </c>
      <c r="AA4" s="11">
        <f>'OddsRatio_working_3-way'!X4^(1/3)*COS(('OddsRatio_working_3-way'!Y4+2*PI())/3)</f>
        <v>-0.3069255274155232</v>
      </c>
      <c r="AB4" s="11">
        <f>'OddsRatio_working_3-way'!X4^(1/3)*COS(('OddsRatio_working_3-way'!Y4+4*PI())/3)</f>
        <v>-0.21462771939584649</v>
      </c>
      <c r="AC4" s="11">
        <f>'OddsRatio_working_3-way'!X4^(1/3)*SIN('OddsRatio_working_3-way'!Y4/3)</f>
        <v>5.3288164305772732E-2</v>
      </c>
      <c r="AD4" s="11">
        <f>'OddsRatio_working_3-way'!X4^(1/3)*SIN(('OddsRatio_working_3-way'!Y4+2*PI())/3)</f>
        <v>0.42503427901201513</v>
      </c>
      <c r="AE4" s="11">
        <f>'OddsRatio_working_3-way'!X4^(1/3)*SIN(('OddsRatio_working_3-way'!Y4+4*PI())/3)</f>
        <v>-0.47832244331778789</v>
      </c>
      <c r="AF4" s="11">
        <f>-'OddsRatio_working_3-way'!U4/(3*'OddsRatio_working_3-way'!X4^(1/3))*COS(('OddsRatio_working_3-way'!Y4)/3)</f>
        <v>0.52155324681136972</v>
      </c>
      <c r="AG4" s="11">
        <f>-'OddsRatio_working_3-way'!U4/(3*'OddsRatio_working_3-way'!X4^(1/3))*COS(('OddsRatio_working_3-way'!Y4+2*PI())/3)</f>
        <v>-0.3069255274155232</v>
      </c>
      <c r="AH4" s="11">
        <f>-'OddsRatio_working_3-way'!U4/(3*'OddsRatio_working_3-way'!X4^(1/3))*COS(('OddsRatio_working_3-way'!Y4+4*PI())/3)</f>
        <v>-0.21462771939584649</v>
      </c>
      <c r="AI4" s="11">
        <f>'OddsRatio_working_3-way'!U4/(3*'OddsRatio_working_3-way'!X4^(1/3))*SIN(('OddsRatio_working_3-way'!Y4)/3)</f>
        <v>-5.3288164305772732E-2</v>
      </c>
      <c r="AJ4" s="11">
        <f>'OddsRatio_working_3-way'!U4/(3*'OddsRatio_working_3-way'!X4^(1/3))*SIN(('OddsRatio_working_3-way'!Y4+2*PI())/3)</f>
        <v>-0.42503427901201513</v>
      </c>
      <c r="AK4" s="11">
        <f>'OddsRatio_working_3-way'!U4/(3*'OddsRatio_working_3-way'!X4^(1/3))*SIN(('OddsRatio_working_3-way'!Y4+4*PI())/3)</f>
        <v>0.47832244331778789</v>
      </c>
      <c r="AL4" s="11">
        <f>'OddsRatio_working_3-way'!Z4+'OddsRatio_working_3-way'!AF4</f>
        <v>1.0431064936227394</v>
      </c>
      <c r="AM4" s="11">
        <f>'OddsRatio_working_3-way'!AA4+'OddsRatio_working_3-way'!AG4</f>
        <v>-0.61385105483104641</v>
      </c>
      <c r="AN4" s="11">
        <f>'OddsRatio_working_3-way'!AB4+'OddsRatio_working_3-way'!AH4</f>
        <v>-0.42925543879169298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1.0431064936227394</v>
      </c>
      <c r="AS4" s="11">
        <f>IF(('OddsRatio_working_3-way'!X4=0),IF(Q4&gt;0,-Q4^(1/3),(-Q4)^(1/3)),'OddsRatio_working_3-way'!AM4-'OddsRatio_working_3-way'!R4/3)</f>
        <v>-0.61385105483104641</v>
      </c>
      <c r="AT4" s="11">
        <f>IF(('OddsRatio_working_3-way'!X4=0),IF(Q4&gt;0,-Q4^(1/3),(-Q4)^(1/3)),'OddsRatio_working_3-way'!AN4-'OddsRatio_working_3-way'!R4/3)</f>
        <v>-0.42925543879169298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3.08</v>
      </c>
      <c r="B5" s="4">
        <f>IF('True_Odds_Calculator_3-way'!B6="","",'True_Odds_Calculator_3-way'!B6)</f>
        <v>3.05</v>
      </c>
      <c r="C5" s="4">
        <f>IF('True_Odds_Calculator_3-way'!C6="","",'True_Odds_Calculator_3-way'!C6)</f>
        <v>2.67</v>
      </c>
      <c r="D5" s="9">
        <f t="shared" si="13"/>
        <v>0.31587220134093652</v>
      </c>
      <c r="E5" s="9">
        <f t="shared" si="14"/>
        <v>0.31902004481673346</v>
      </c>
      <c r="F5" s="9">
        <f t="shared" si="15"/>
        <v>0.36510775384232996</v>
      </c>
      <c r="G5" s="9">
        <f t="shared" si="16"/>
        <v>1.0412679372002063</v>
      </c>
      <c r="H5" s="9">
        <f t="shared" si="17"/>
        <v>3.1658373093764287</v>
      </c>
      <c r="I5" s="9">
        <f t="shared" si="18"/>
        <v>3.1345992712604223</v>
      </c>
      <c r="J5" s="9">
        <f t="shared" si="19"/>
        <v>2.7389174551243447</v>
      </c>
      <c r="K5" s="11">
        <f t="shared" si="20"/>
        <v>0.32467532467532467</v>
      </c>
      <c r="L5" s="11">
        <f t="shared" si="21"/>
        <v>0.32786885245901642</v>
      </c>
      <c r="M5" s="11">
        <f t="shared" si="22"/>
        <v>0.37453183520599254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-0.28390422127758641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0.23124171217742778</v>
      </c>
      <c r="Q5" s="11">
        <f>2*'OddsRatio_working_3-way'!K5*'OddsRatio_working_3-way'!L5*'OddsRatio_working_3-way'!M5</f>
        <v>7.9738521440492344E-2</v>
      </c>
      <c r="R5" s="11">
        <f t="shared" si="23"/>
        <v>0</v>
      </c>
      <c r="S5" s="11">
        <f t="shared" si="24"/>
        <v>-0.81450607228320138</v>
      </c>
      <c r="T5" s="11">
        <f t="shared" si="25"/>
        <v>-0.28086416285627636</v>
      </c>
      <c r="U5" s="11">
        <f>'OddsRatio_working_3-way'!S5-'OddsRatio_working_3-way'!R5^2/3</f>
        <v>-0.81450607228320138</v>
      </c>
      <c r="V5" s="11">
        <f>'OddsRatio_working_3-way'!S5*'OddsRatio_working_3-way'!R5/3-2*'OddsRatio_working_3-way'!R5^3/27-'OddsRatio_working_3-way'!T5</f>
        <v>0.28086416285627636</v>
      </c>
      <c r="W5" s="11">
        <f>'OddsRatio_working_3-way'!V5^2+4*'OddsRatio_working_3-way'!U5^3/27</f>
        <v>-1.1686159430206317E-3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0.14146845401005267</v>
      </c>
      <c r="Y5" s="11">
        <f>IF('OddsRatio_working_3-way'!W5&gt;=0,IF('OddsRatio_working_3-way'!V5+SQRT('OddsRatio_working_3-way'!W5)&gt;0,0,PI()),ACOS('OddsRatio_working_3-way'!V5/(2*'OddsRatio_working_3-way'!X5)))</f>
        <v>0.12111798544933072</v>
      </c>
      <c r="Z5" s="11">
        <f>'OddsRatio_working_3-way'!X5^(1/3)*COS('OddsRatio_working_3-way'!Y5/3)</f>
        <v>0.52063396860010314</v>
      </c>
      <c r="AA5" s="11">
        <f>'OddsRatio_working_3-way'!X5^(1/3)*COS(('OddsRatio_working_3-way'!Y5+2*PI())/3)</f>
        <v>-0.27853019723957562</v>
      </c>
      <c r="AB5" s="11">
        <f>'OddsRatio_working_3-way'!X5^(1/3)*COS(('OddsRatio_working_3-way'!Y5+4*PI())/3)</f>
        <v>-0.24210377136052763</v>
      </c>
      <c r="AC5" s="11">
        <f>'OddsRatio_working_3-way'!X5^(1/3)*SIN('OddsRatio_working_3-way'!Y5/3)</f>
        <v>2.1030806786884296E-2</v>
      </c>
      <c r="AD5" s="11">
        <f>'OddsRatio_working_3-way'!X5^(1/3)*SIN(('OddsRatio_working_3-way'!Y5+2*PI())/3)</f>
        <v>0.44036683948735689</v>
      </c>
      <c r="AE5" s="11">
        <f>'OddsRatio_working_3-way'!X5^(1/3)*SIN(('OddsRatio_working_3-way'!Y5+4*PI())/3)</f>
        <v>-0.46139764627424124</v>
      </c>
      <c r="AF5" s="11">
        <f>-'OddsRatio_working_3-way'!U5/(3*'OddsRatio_working_3-way'!X5^(1/3))*COS(('OddsRatio_working_3-way'!Y5)/3)</f>
        <v>0.52063396860010314</v>
      </c>
      <c r="AG5" s="11">
        <f>-'OddsRatio_working_3-way'!U5/(3*'OddsRatio_working_3-way'!X5^(1/3))*COS(('OddsRatio_working_3-way'!Y5+2*PI())/3)</f>
        <v>-0.27853019723957556</v>
      </c>
      <c r="AH5" s="11">
        <f>-'OddsRatio_working_3-way'!U5/(3*'OddsRatio_working_3-way'!X5^(1/3))*COS(('OddsRatio_working_3-way'!Y5+4*PI())/3)</f>
        <v>-0.24210377136052758</v>
      </c>
      <c r="AI5" s="11">
        <f>'OddsRatio_working_3-way'!U5/(3*'OddsRatio_working_3-way'!X5^(1/3))*SIN(('OddsRatio_working_3-way'!Y5)/3)</f>
        <v>-2.1030806786884293E-2</v>
      </c>
      <c r="AJ5" s="11">
        <f>'OddsRatio_working_3-way'!U5/(3*'OddsRatio_working_3-way'!X5^(1/3))*SIN(('OddsRatio_working_3-way'!Y5+2*PI())/3)</f>
        <v>-0.44036683948735683</v>
      </c>
      <c r="AK5" s="11">
        <f>'OddsRatio_working_3-way'!U5/(3*'OddsRatio_working_3-way'!X5^(1/3))*SIN(('OddsRatio_working_3-way'!Y5+4*PI())/3)</f>
        <v>0.46139764627424112</v>
      </c>
      <c r="AL5" s="11">
        <f>'OddsRatio_working_3-way'!Z5+'OddsRatio_working_3-way'!AF5</f>
        <v>1.0412679372002063</v>
      </c>
      <c r="AM5" s="11">
        <f>'OddsRatio_working_3-way'!AA5+'OddsRatio_working_3-way'!AG5</f>
        <v>-0.55706039447915123</v>
      </c>
      <c r="AN5" s="11">
        <f>'OddsRatio_working_3-way'!AB5+'OddsRatio_working_3-way'!AH5</f>
        <v>-0.48420754272105521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1.0412679372002063</v>
      </c>
      <c r="AS5" s="11">
        <f>IF(('OddsRatio_working_3-way'!X5=0),IF(Q5&gt;0,-Q5^(1/3),(-Q5)^(1/3)),'OddsRatio_working_3-way'!AM5-'OddsRatio_working_3-way'!R5/3)</f>
        <v>-0.55706039447915123</v>
      </c>
      <c r="AT5" s="11">
        <f>IF(('OddsRatio_working_3-way'!X5=0),IF(Q5&gt;0,-Q5^(1/3),(-Q5)^(1/3)),'OddsRatio_working_3-way'!AN5-'OddsRatio_working_3-way'!R5/3)</f>
        <v>-0.48420754272105521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2.79</v>
      </c>
      <c r="B6" s="4">
        <f>IF('True_Odds_Calculator_3-way'!B7="","",'True_Odds_Calculator_3-way'!B7)</f>
        <v>3.11</v>
      </c>
      <c r="C6" s="4">
        <f>IF('True_Odds_Calculator_3-way'!C7="","",'True_Odds_Calculator_3-way'!C7)</f>
        <v>2.88</v>
      </c>
      <c r="D6" s="9">
        <f t="shared" si="13"/>
        <v>0.34915142148540562</v>
      </c>
      <c r="E6" s="9">
        <f t="shared" si="14"/>
        <v>0.31276081871039418</v>
      </c>
      <c r="F6" s="9">
        <f t="shared" si="15"/>
        <v>0.33808775980420042</v>
      </c>
      <c r="G6" s="9">
        <f t="shared" si="16"/>
        <v>1.0413893097799711</v>
      </c>
      <c r="H6" s="9">
        <f t="shared" si="17"/>
        <v>2.8640868645061484</v>
      </c>
      <c r="I6" s="9">
        <f t="shared" si="18"/>
        <v>3.1973314436357381</v>
      </c>
      <c r="J6" s="9">
        <f t="shared" si="19"/>
        <v>2.9578119023863461</v>
      </c>
      <c r="K6" s="11">
        <f t="shared" si="20"/>
        <v>0.35842293906810035</v>
      </c>
      <c r="L6" s="11">
        <f t="shared" si="21"/>
        <v>0.32154340836012862</v>
      </c>
      <c r="M6" s="11">
        <f t="shared" si="22"/>
        <v>0.34722222222222221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-0.28414253810564727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0.23129740396275683</v>
      </c>
      <c r="Q6" s="11">
        <f>2*'OddsRatio_working_3-way'!K6*'OddsRatio_working_3-way'!L6*'OddsRatio_working_3-way'!M6</f>
        <v>8.0033703793341446E-2</v>
      </c>
      <c r="R6" s="11">
        <f t="shared" si="23"/>
        <v>0</v>
      </c>
      <c r="S6" s="11">
        <f t="shared" si="24"/>
        <v>-0.81401892692588662</v>
      </c>
      <c r="T6" s="11">
        <f t="shared" si="25"/>
        <v>-0.28166744876328248</v>
      </c>
      <c r="U6" s="11">
        <f>'OddsRatio_working_3-way'!S6-'OddsRatio_working_3-way'!R6^2/3</f>
        <v>-0.81401892692588662</v>
      </c>
      <c r="V6" s="11">
        <f>'OddsRatio_working_3-way'!S6*'OddsRatio_working_3-way'!R6/3-2*'OddsRatio_working_3-way'!R6^3/27-'OddsRatio_working_3-way'!T6</f>
        <v>0.28166744876328248</v>
      </c>
      <c r="W6" s="11">
        <f>'OddsRatio_working_3-way'!V6^2+4*'OddsRatio_working_3-way'!U6^3/27</f>
        <v>-5.7319165399180583E-4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0.14134155735912224</v>
      </c>
      <c r="Y6" s="11">
        <f>IF('OddsRatio_working_3-way'!W6&gt;=0,IF('OddsRatio_working_3-way'!V6+SQRT('OddsRatio_working_3-way'!W6)&gt;0,0,PI()),ACOS('OddsRatio_working_3-way'!V6/(2*'OddsRatio_working_3-way'!X6)))</f>
        <v>8.4795075335690528E-2</v>
      </c>
      <c r="Z6" s="11">
        <f>'OddsRatio_working_3-way'!X6^(1/3)*COS('OddsRatio_working_3-way'!Y6/3)</f>
        <v>0.52069465488998556</v>
      </c>
      <c r="AA6" s="11">
        <f>'OddsRatio_working_3-way'!X6^(1/3)*COS(('OddsRatio_working_3-way'!Y6+2*PI())/3)</f>
        <v>-0.27309640616546549</v>
      </c>
      <c r="AB6" s="11">
        <f>'OddsRatio_working_3-way'!X6^(1/3)*COS(('OddsRatio_working_3-way'!Y6+4*PI())/3)</f>
        <v>-0.24759824872451977</v>
      </c>
      <c r="AC6" s="11">
        <f>'OddsRatio_working_3-way'!X6^(1/3)*SIN('OddsRatio_working_3-way'!Y6/3)</f>
        <v>1.4721368062369443E-2</v>
      </c>
      <c r="AD6" s="11">
        <f>'OddsRatio_working_3-way'!X6^(1/3)*SIN(('OddsRatio_working_3-way'!Y6+2*PI())/3)</f>
        <v>0.44357411471831404</v>
      </c>
      <c r="AE6" s="11">
        <f>'OddsRatio_working_3-way'!X6^(1/3)*SIN(('OddsRatio_working_3-way'!Y6+4*PI())/3)</f>
        <v>-0.45829548278068349</v>
      </c>
      <c r="AF6" s="11">
        <f>-'OddsRatio_working_3-way'!U6/(3*'OddsRatio_working_3-way'!X6^(1/3))*COS(('OddsRatio_working_3-way'!Y6)/3)</f>
        <v>0.52069465488998556</v>
      </c>
      <c r="AG6" s="11">
        <f>-'OddsRatio_working_3-way'!U6/(3*'OddsRatio_working_3-way'!X6^(1/3))*COS(('OddsRatio_working_3-way'!Y6+2*PI())/3)</f>
        <v>-0.27309640616546549</v>
      </c>
      <c r="AH6" s="11">
        <f>-'OddsRatio_working_3-way'!U6/(3*'OddsRatio_working_3-way'!X6^(1/3))*COS(('OddsRatio_working_3-way'!Y6+4*PI())/3)</f>
        <v>-0.24759824872451977</v>
      </c>
      <c r="AI6" s="11">
        <f>'OddsRatio_working_3-way'!U6/(3*'OddsRatio_working_3-way'!X6^(1/3))*SIN(('OddsRatio_working_3-way'!Y6)/3)</f>
        <v>-1.4721368062369443E-2</v>
      </c>
      <c r="AJ6" s="11">
        <f>'OddsRatio_working_3-way'!U6/(3*'OddsRatio_working_3-way'!X6^(1/3))*SIN(('OddsRatio_working_3-way'!Y6+2*PI())/3)</f>
        <v>-0.44357411471831404</v>
      </c>
      <c r="AK6" s="11">
        <f>'OddsRatio_working_3-way'!U6/(3*'OddsRatio_working_3-way'!X6^(1/3))*SIN(('OddsRatio_working_3-way'!Y6+4*PI())/3)</f>
        <v>0.45829548278068349</v>
      </c>
      <c r="AL6" s="11">
        <f>'OddsRatio_working_3-way'!Z6+'OddsRatio_working_3-way'!AF6</f>
        <v>1.0413893097799711</v>
      </c>
      <c r="AM6" s="11">
        <f>'OddsRatio_working_3-way'!AA6+'OddsRatio_working_3-way'!AG6</f>
        <v>-0.54619281233093098</v>
      </c>
      <c r="AN6" s="11">
        <f>'OddsRatio_working_3-way'!AB6+'OddsRatio_working_3-way'!AH6</f>
        <v>-0.49519649744903954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1.0413893097799711</v>
      </c>
      <c r="AS6" s="11">
        <f>IF(('OddsRatio_working_3-way'!X6=0),IF(Q6&gt;0,-Q6^(1/3),(-Q6)^(1/3)),'OddsRatio_working_3-way'!AM6-'OddsRatio_working_3-way'!R6/3)</f>
        <v>-0.54619281233093098</v>
      </c>
      <c r="AT6" s="11">
        <f>IF(('OddsRatio_working_3-way'!X6=0),IF(Q6&gt;0,-Q6^(1/3),(-Q6)^(1/3)),'OddsRatio_working_3-way'!AN6-'OddsRatio_working_3-way'!R6/3)</f>
        <v>-0.49519649744903954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2.0099999999999998</v>
      </c>
      <c r="B7" s="4">
        <f>IF('True_Odds_Calculator_3-way'!B8="","",'True_Odds_Calculator_3-way'!B8)</f>
        <v>3.55</v>
      </c>
      <c r="C7" s="4">
        <f>IF('True_Odds_Calculator_3-way'!C8="","",'True_Odds_Calculator_3-way'!C8)</f>
        <v>4</v>
      </c>
      <c r="D7" s="9">
        <f t="shared" si="13"/>
        <v>0.48602903639645634</v>
      </c>
      <c r="E7" s="9">
        <f t="shared" si="14"/>
        <v>0.27248690651363516</v>
      </c>
      <c r="F7" s="9">
        <f t="shared" si="15"/>
        <v>0.24148405708990864</v>
      </c>
      <c r="G7" s="9">
        <f t="shared" si="16"/>
        <v>1.0470200421660176</v>
      </c>
      <c r="H7" s="9">
        <f t="shared" si="17"/>
        <v>2.0574902425876775</v>
      </c>
      <c r="I7" s="9">
        <f t="shared" si="18"/>
        <v>3.6699011075233456</v>
      </c>
      <c r="J7" s="9">
        <f t="shared" si="19"/>
        <v>4.1410601264980524</v>
      </c>
      <c r="K7" s="11">
        <f t="shared" si="20"/>
        <v>0.49751243781094534</v>
      </c>
      <c r="L7" s="11">
        <f t="shared" si="21"/>
        <v>0.28169014084507044</v>
      </c>
      <c r="M7" s="11">
        <f t="shared" si="22"/>
        <v>0.25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-0.27070632751734292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0.22983673183378889</v>
      </c>
      <c r="Q7" s="11">
        <f>2*'OddsRatio_working_3-way'!K7*'OddsRatio_working_3-way'!L7*'OddsRatio_working_3-way'!M7</f>
        <v>7.0072174339569776E-2</v>
      </c>
      <c r="R7" s="11">
        <f t="shared" si="23"/>
        <v>0</v>
      </c>
      <c r="S7" s="11">
        <f t="shared" si="24"/>
        <v>-0.84902607907849625</v>
      </c>
      <c r="T7" s="11">
        <f t="shared" si="25"/>
        <v>-0.25884941435320002</v>
      </c>
      <c r="U7" s="11">
        <f>'OddsRatio_working_3-way'!S7-'OddsRatio_working_3-way'!R7^2/3</f>
        <v>-0.84902607907849625</v>
      </c>
      <c r="V7" s="11">
        <f>'OddsRatio_working_3-way'!S7*'OddsRatio_working_3-way'!R7/3-2*'OddsRatio_working_3-way'!R7^3/27-'OddsRatio_working_3-way'!T7</f>
        <v>0.25884941435320002</v>
      </c>
      <c r="W7" s="11">
        <f>'OddsRatio_working_3-way'!V7^2+4*'OddsRatio_working_3-way'!U7^3/27</f>
        <v>-2.3666083534910065E-2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0.15055655320003899</v>
      </c>
      <c r="Y7" s="11">
        <f>IF('OddsRatio_working_3-way'!W7&gt;=0,IF('OddsRatio_working_3-way'!V7+SQRT('OddsRatio_working_3-way'!W7)&gt;0,0,PI()),ACOS('OddsRatio_working_3-way'!V7/(2*'OddsRatio_working_3-way'!X7)))</f>
        <v>0.53622817773941778</v>
      </c>
      <c r="Z7" s="11">
        <f>'OddsRatio_working_3-way'!X7^(1/3)*COS('OddsRatio_working_3-way'!Y7/3)</f>
        <v>0.52351002108300881</v>
      </c>
      <c r="AA7" s="11">
        <f>'OddsRatio_working_3-way'!X7^(1/3)*COS(('OddsRatio_working_3-way'!Y7+2*PI())/3)</f>
        <v>-0.34366632318435447</v>
      </c>
      <c r="AB7" s="11">
        <f>'OddsRatio_working_3-way'!X7^(1/3)*COS(('OddsRatio_working_3-way'!Y7+4*PI())/3)</f>
        <v>-0.17984369789865454</v>
      </c>
      <c r="AC7" s="11">
        <f>'OddsRatio_working_3-way'!X7^(1/3)*SIN('OddsRatio_working_3-way'!Y7/3)</f>
        <v>9.4583036808050303E-2</v>
      </c>
      <c r="AD7" s="11">
        <f>'OddsRatio_working_3-way'!X7^(1/3)*SIN(('OddsRatio_working_3-way'!Y7+2*PI())/3)</f>
        <v>0.4060814589895877</v>
      </c>
      <c r="AE7" s="11">
        <f>'OddsRatio_working_3-way'!X7^(1/3)*SIN(('OddsRatio_working_3-way'!Y7+4*PI())/3)</f>
        <v>-0.50066449579763783</v>
      </c>
      <c r="AF7" s="11">
        <f>-'OddsRatio_working_3-way'!U7/(3*'OddsRatio_working_3-way'!X7^(1/3))*COS(('OddsRatio_working_3-way'!Y7)/3)</f>
        <v>0.52351002108300893</v>
      </c>
      <c r="AG7" s="11">
        <f>-'OddsRatio_working_3-way'!U7/(3*'OddsRatio_working_3-way'!X7^(1/3))*COS(('OddsRatio_working_3-way'!Y7+2*PI())/3)</f>
        <v>-0.34366632318435453</v>
      </c>
      <c r="AH7" s="11">
        <f>-'OddsRatio_working_3-way'!U7/(3*'OddsRatio_working_3-way'!X7^(1/3))*COS(('OddsRatio_working_3-way'!Y7+4*PI())/3)</f>
        <v>-0.17984369789865456</v>
      </c>
      <c r="AI7" s="11">
        <f>'OddsRatio_working_3-way'!U7/(3*'OddsRatio_working_3-way'!X7^(1/3))*SIN(('OddsRatio_working_3-way'!Y7)/3)</f>
        <v>-9.458303680805033E-2</v>
      </c>
      <c r="AJ7" s="11">
        <f>'OddsRatio_working_3-way'!U7/(3*'OddsRatio_working_3-way'!X7^(1/3))*SIN(('OddsRatio_working_3-way'!Y7+2*PI())/3)</f>
        <v>-0.40608145898958775</v>
      </c>
      <c r="AK7" s="11">
        <f>'OddsRatio_working_3-way'!U7/(3*'OddsRatio_working_3-way'!X7^(1/3))*SIN(('OddsRatio_working_3-way'!Y7+4*PI())/3)</f>
        <v>0.50066449579763783</v>
      </c>
      <c r="AL7" s="11">
        <f>'OddsRatio_working_3-way'!Z7+'OddsRatio_working_3-way'!AF7</f>
        <v>1.0470200421660176</v>
      </c>
      <c r="AM7" s="11">
        <f>'OddsRatio_working_3-way'!AA7+'OddsRatio_working_3-way'!AG7</f>
        <v>-0.68733264636870905</v>
      </c>
      <c r="AN7" s="11">
        <f>'OddsRatio_working_3-way'!AB7+'OddsRatio_working_3-way'!AH7</f>
        <v>-0.35968739579730913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1.0470200421660176</v>
      </c>
      <c r="AS7" s="11">
        <f>IF(('OddsRatio_working_3-way'!X7=0),IF(Q7&gt;0,-Q7^(1/3),(-Q7)^(1/3)),'OddsRatio_working_3-way'!AM7-'OddsRatio_working_3-way'!R7/3)</f>
        <v>-0.68733264636870905</v>
      </c>
      <c r="AT7" s="11">
        <f>IF(('OddsRatio_working_3-way'!X7=0),IF(Q7&gt;0,-Q7^(1/3),(-Q7)^(1/3)),'OddsRatio_working_3-way'!AN7-'OddsRatio_working_3-way'!R7/3)</f>
        <v>-0.35968739579730913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3.19</v>
      </c>
      <c r="C8" s="4">
        <f>IF('True_Odds_Calculator_3-way'!C9="","",'True_Odds_Calculator_3-way'!C9)</f>
        <v>2.89</v>
      </c>
      <c r="D8" s="9">
        <f t="shared" si="13"/>
        <v>0.36181699470032741</v>
      </c>
      <c r="E8" s="9">
        <f t="shared" si="14"/>
        <v>0.30309680073248846</v>
      </c>
      <c r="F8" s="9">
        <f t="shared" si="15"/>
        <v>0.33508620456718408</v>
      </c>
      <c r="G8" s="9">
        <f t="shared" si="16"/>
        <v>1.0498977163925809</v>
      </c>
      <c r="H8" s="9">
        <f t="shared" si="17"/>
        <v>2.7638281635395363</v>
      </c>
      <c r="I8" s="9">
        <f t="shared" si="18"/>
        <v>3.299275998899752</v>
      </c>
      <c r="J8" s="9">
        <f t="shared" si="19"/>
        <v>2.9843066839819783</v>
      </c>
      <c r="K8" s="11">
        <f t="shared" si="20"/>
        <v>0.37313432835820892</v>
      </c>
      <c r="L8" s="11">
        <f t="shared" si="21"/>
        <v>0.31347962382445144</v>
      </c>
      <c r="M8" s="11">
        <f t="shared" si="22"/>
        <v>0.34602076124567471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-0.2814439263585965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0.23313053674906262</v>
      </c>
      <c r="Q8" s="11">
        <f>2*'OddsRatio_working_3-way'!K8*'OddsRatio_working_3-way'!L8*'OddsRatio_working_3-way'!M8</f>
        <v>8.0948103037868965E-2</v>
      </c>
      <c r="R8" s="11">
        <f t="shared" si="23"/>
        <v>0</v>
      </c>
      <c r="S8" s="11">
        <f t="shared" si="24"/>
        <v>-0.82833742324936055</v>
      </c>
      <c r="T8" s="11">
        <f t="shared" si="25"/>
        <v>-0.28761716085047245</v>
      </c>
      <c r="U8" s="11">
        <f>'OddsRatio_working_3-way'!S8-'OddsRatio_working_3-way'!R8^2/3</f>
        <v>-0.82833742324936055</v>
      </c>
      <c r="V8" s="11">
        <f>'OddsRatio_working_3-way'!S8*'OddsRatio_working_3-way'!R8/3-2*'OddsRatio_working_3-way'!R8^3/27-'OddsRatio_working_3-way'!T8</f>
        <v>0.28761716085047245</v>
      </c>
      <c r="W8" s="11">
        <f>'OddsRatio_working_3-way'!V8^2+4*'OddsRatio_working_3-way'!U8^3/27</f>
        <v>-1.4775289022153498E-3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0.14508718078960481</v>
      </c>
      <c r="Y8" s="11">
        <f>IF('OddsRatio_working_3-way'!W8&gt;=0,IF('OddsRatio_working_3-way'!V8+SQRT('OddsRatio_working_3-way'!W8)&gt;0,0,PI()),ACOS('OddsRatio_working_3-way'!V8/(2*'OddsRatio_working_3-way'!X8)))</f>
        <v>0.13285788828048206</v>
      </c>
      <c r="Z8" s="11">
        <f>'OddsRatio_working_3-way'!X8^(1/3)*COS('OddsRatio_working_3-way'!Y8/3)</f>
        <v>0.52494885819629045</v>
      </c>
      <c r="AA8" s="11">
        <f>'OddsRatio_working_3-way'!X8^(1/3)*COS(('OddsRatio_working_3-way'!Y8+2*PI())/3)</f>
        <v>-0.28262084369599166</v>
      </c>
      <c r="AB8" s="11">
        <f>'OddsRatio_working_3-way'!X8^(1/3)*COS(('OddsRatio_working_3-way'!Y8+4*PI())/3)</f>
        <v>-0.24232801450029889</v>
      </c>
      <c r="AC8" s="11">
        <f>'OddsRatio_working_3-way'!X8^(1/3)*SIN('OddsRatio_working_3-way'!Y8/3)</f>
        <v>2.326307578254494E-2</v>
      </c>
      <c r="AD8" s="11">
        <f>'OddsRatio_working_3-way'!X8^(1/3)*SIN(('OddsRatio_working_3-way'!Y8+2*PI())/3)</f>
        <v>0.44298750899435002</v>
      </c>
      <c r="AE8" s="11">
        <f>'OddsRatio_working_3-way'!X8^(1/3)*SIN(('OddsRatio_working_3-way'!Y8+4*PI())/3)</f>
        <v>-0.46625058477689485</v>
      </c>
      <c r="AF8" s="11">
        <f>-'OddsRatio_working_3-way'!U8/(3*'OddsRatio_working_3-way'!X8^(1/3))*COS(('OddsRatio_working_3-way'!Y8)/3)</f>
        <v>0.52494885819629056</v>
      </c>
      <c r="AG8" s="11">
        <f>-'OddsRatio_working_3-way'!U8/(3*'OddsRatio_working_3-way'!X8^(1/3))*COS(('OddsRatio_working_3-way'!Y8+2*PI())/3)</f>
        <v>-0.28262084369599172</v>
      </c>
      <c r="AH8" s="11">
        <f>-'OddsRatio_working_3-way'!U8/(3*'OddsRatio_working_3-way'!X8^(1/3))*COS(('OddsRatio_working_3-way'!Y8+4*PI())/3)</f>
        <v>-0.24232801450029895</v>
      </c>
      <c r="AI8" s="11">
        <f>'OddsRatio_working_3-way'!U8/(3*'OddsRatio_working_3-way'!X8^(1/3))*SIN(('OddsRatio_working_3-way'!Y8)/3)</f>
        <v>-2.3263075782544943E-2</v>
      </c>
      <c r="AJ8" s="11">
        <f>'OddsRatio_working_3-way'!U8/(3*'OddsRatio_working_3-way'!X8^(1/3))*SIN(('OddsRatio_working_3-way'!Y8+2*PI())/3)</f>
        <v>-0.44298750899435013</v>
      </c>
      <c r="AK8" s="11">
        <f>'OddsRatio_working_3-way'!U8/(3*'OddsRatio_working_3-way'!X8^(1/3))*SIN(('OddsRatio_working_3-way'!Y8+4*PI())/3)</f>
        <v>0.46625058477689496</v>
      </c>
      <c r="AL8" s="11">
        <f>'OddsRatio_working_3-way'!Z8+'OddsRatio_working_3-way'!AF8</f>
        <v>1.0498977163925809</v>
      </c>
      <c r="AM8" s="11">
        <f>'OddsRatio_working_3-way'!AA8+'OddsRatio_working_3-way'!AG8</f>
        <v>-0.56524168739198344</v>
      </c>
      <c r="AN8" s="11">
        <f>'OddsRatio_working_3-way'!AB8+'OddsRatio_working_3-way'!AH8</f>
        <v>-0.48465602900059784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1.0498977163925809</v>
      </c>
      <c r="AS8" s="11">
        <f>IF(('OddsRatio_working_3-way'!X8=0),IF(Q8&gt;0,-Q8^(1/3),(-Q8)^(1/3)),'OddsRatio_working_3-way'!AM8-'OddsRatio_working_3-way'!R8/3)</f>
        <v>-0.56524168739198344</v>
      </c>
      <c r="AT8" s="11">
        <f>IF(('OddsRatio_working_3-way'!X8=0),IF(Q8&gt;0,-Q8^(1/3),(-Q8)^(1/3)),'OddsRatio_working_3-way'!AN8-'OddsRatio_working_3-way'!R8/3)</f>
        <v>-0.48465602900059784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2.34</v>
      </c>
      <c r="B9" s="4">
        <f>IF('True_Odds_Calculator_3-way'!B10="","",'True_Odds_Calculator_3-way'!B10)</f>
        <v>3.32</v>
      </c>
      <c r="C9" s="4">
        <f>IF('True_Odds_Calculator_3-way'!C10="","",'True_Odds_Calculator_3-way'!C10)</f>
        <v>3.28</v>
      </c>
      <c r="D9" s="9">
        <f t="shared" si="13"/>
        <v>0.41503769957547115</v>
      </c>
      <c r="E9" s="9">
        <f t="shared" si="14"/>
        <v>0.29068167921158045</v>
      </c>
      <c r="F9" s="9">
        <f t="shared" si="15"/>
        <v>0.29428062121294829</v>
      </c>
      <c r="G9" s="9">
        <f t="shared" si="16"/>
        <v>1.0518057290074632</v>
      </c>
      <c r="H9" s="9">
        <f t="shared" si="17"/>
        <v>2.4094196768700002</v>
      </c>
      <c r="I9" s="9">
        <f t="shared" si="18"/>
        <v>3.4401892912973135</v>
      </c>
      <c r="J9" s="9">
        <f t="shared" si="19"/>
        <v>3.3981170621370165</v>
      </c>
      <c r="K9" s="11">
        <f t="shared" si="20"/>
        <v>0.42735042735042739</v>
      </c>
      <c r="L9" s="11">
        <f t="shared" si="21"/>
        <v>0.30120481927710846</v>
      </c>
      <c r="M9" s="11">
        <f t="shared" si="22"/>
        <v>0.3048780487804878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-0.2781633099000127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0.23310879540676782</v>
      </c>
      <c r="Q9" s="11">
        <f>2*'OddsRatio_working_3-way'!K9*'OddsRatio_working_3-way'!L9*'OddsRatio_working_3-way'!M9</f>
        <v>7.8487809901268621E-2</v>
      </c>
      <c r="R9" s="11">
        <f t="shared" si="23"/>
        <v>0</v>
      </c>
      <c r="S9" s="11">
        <f t="shared" si="24"/>
        <v>-0.83802855053227554</v>
      </c>
      <c r="T9" s="11">
        <f t="shared" si="25"/>
        <v>-0.28216449512871228</v>
      </c>
      <c r="U9" s="11">
        <f>'OddsRatio_working_3-way'!S9-'OddsRatio_working_3-way'!R9^2/3</f>
        <v>-0.83802855053227554</v>
      </c>
      <c r="V9" s="11">
        <f>'OddsRatio_working_3-way'!S9*'OddsRatio_working_3-way'!R9/3-2*'OddsRatio_working_3-way'!R9^3/27-'OddsRatio_working_3-way'!T9</f>
        <v>0.28216449512871228</v>
      </c>
      <c r="W9" s="11">
        <f>'OddsRatio_working_3-way'!V9^2+4*'OddsRatio_working_3-way'!U9^3/27</f>
        <v>-7.5744010027188058E-3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0.14764078308004863</v>
      </c>
      <c r="Y9" s="11">
        <f>IF('OddsRatio_working_3-way'!W9&gt;=0,IF('OddsRatio_working_3-way'!V9+SQRT('OddsRatio_working_3-way'!W9)&gt;0,0,PI()),ACOS('OddsRatio_working_3-way'!V9/(2*'OddsRatio_working_3-way'!X9)))</f>
        <v>0.29918251993176037</v>
      </c>
      <c r="Z9" s="11">
        <f>'OddsRatio_working_3-way'!X9^(1/3)*COS('OddsRatio_working_3-way'!Y9/3)</f>
        <v>0.52590286450373158</v>
      </c>
      <c r="AA9" s="11">
        <f>'OddsRatio_working_3-way'!X9^(1/3)*COS(('OddsRatio_working_3-way'!Y9+2*PI())/3)</f>
        <v>-0.30852302936175674</v>
      </c>
      <c r="AB9" s="11">
        <f>'OddsRatio_working_3-way'!X9^(1/3)*COS(('OddsRatio_working_3-way'!Y9+4*PI())/3)</f>
        <v>-0.21737983514197495</v>
      </c>
      <c r="AC9" s="11">
        <f>'OddsRatio_working_3-way'!X9^(1/3)*SIN('OddsRatio_working_3-way'!Y9/3)</f>
        <v>5.2621547717593441E-2</v>
      </c>
      <c r="AD9" s="11">
        <f>'OddsRatio_working_3-way'!X9^(1/3)*SIN(('OddsRatio_working_3-way'!Y9+2*PI())/3)</f>
        <v>0.42913446672444039</v>
      </c>
      <c r="AE9" s="11">
        <f>'OddsRatio_working_3-way'!X9^(1/3)*SIN(('OddsRatio_working_3-way'!Y9+4*PI())/3)</f>
        <v>-0.4817560144420337</v>
      </c>
      <c r="AF9" s="11">
        <f>-'OddsRatio_working_3-way'!U9/(3*'OddsRatio_working_3-way'!X9^(1/3))*COS(('OddsRatio_working_3-way'!Y9)/3)</f>
        <v>0.52590286450373158</v>
      </c>
      <c r="AG9" s="11">
        <f>-'OddsRatio_working_3-way'!U9/(3*'OddsRatio_working_3-way'!X9^(1/3))*COS(('OddsRatio_working_3-way'!Y9+2*PI())/3)</f>
        <v>-0.30852302936175674</v>
      </c>
      <c r="AH9" s="11">
        <f>-'OddsRatio_working_3-way'!U9/(3*'OddsRatio_working_3-way'!X9^(1/3))*COS(('OddsRatio_working_3-way'!Y9+4*PI())/3)</f>
        <v>-0.21737983514197495</v>
      </c>
      <c r="AI9" s="11">
        <f>'OddsRatio_working_3-way'!U9/(3*'OddsRatio_working_3-way'!X9^(1/3))*SIN(('OddsRatio_working_3-way'!Y9)/3)</f>
        <v>-5.2621547717593441E-2</v>
      </c>
      <c r="AJ9" s="11">
        <f>'OddsRatio_working_3-way'!U9/(3*'OddsRatio_working_3-way'!X9^(1/3))*SIN(('OddsRatio_working_3-way'!Y9+2*PI())/3)</f>
        <v>-0.42913446672444039</v>
      </c>
      <c r="AK9" s="11">
        <f>'OddsRatio_working_3-way'!U9/(3*'OddsRatio_working_3-way'!X9^(1/3))*SIN(('OddsRatio_working_3-way'!Y9+4*PI())/3)</f>
        <v>0.4817560144420337</v>
      </c>
      <c r="AL9" s="11">
        <f>'OddsRatio_working_3-way'!Z9+'OddsRatio_working_3-way'!AF9</f>
        <v>1.0518057290074632</v>
      </c>
      <c r="AM9" s="11">
        <f>'OddsRatio_working_3-way'!AA9+'OddsRatio_working_3-way'!AG9</f>
        <v>-0.61704605872351348</v>
      </c>
      <c r="AN9" s="11">
        <f>'OddsRatio_working_3-way'!AB9+'OddsRatio_working_3-way'!AH9</f>
        <v>-0.43475967028394991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1.0518057290074632</v>
      </c>
      <c r="AS9" s="11">
        <f>IF(('OddsRatio_working_3-way'!X9=0),IF(Q9&gt;0,-Q9^(1/3),(-Q9)^(1/3)),'OddsRatio_working_3-way'!AM9-'OddsRatio_working_3-way'!R9/3)</f>
        <v>-0.61704605872351348</v>
      </c>
      <c r="AT9" s="11">
        <f>IF(('OddsRatio_working_3-way'!X9=0),IF(Q9&gt;0,-Q9^(1/3),(-Q9)^(1/3)),'OddsRatio_working_3-way'!AN9-'OddsRatio_working_3-way'!R9/3)</f>
        <v>-0.43475967028394991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2.73</v>
      </c>
      <c r="B10" s="4">
        <f>IF('True_Odds_Calculator_3-way'!B11="","",'True_Odds_Calculator_3-way'!B11)</f>
        <v>3.35</v>
      </c>
      <c r="C10" s="4">
        <f>IF('True_Odds_Calculator_3-way'!C11="","",'True_Odds_Calculator_3-way'!C11)</f>
        <v>2.72</v>
      </c>
      <c r="D10" s="9">
        <f t="shared" si="13"/>
        <v>0.35511202009098142</v>
      </c>
      <c r="E10" s="9">
        <f t="shared" si="14"/>
        <v>0.28844726425111245</v>
      </c>
      <c r="F10" s="9">
        <f t="shared" si="15"/>
        <v>0.35644071565790597</v>
      </c>
      <c r="G10" s="9">
        <f t="shared" si="16"/>
        <v>1.0497183912530319</v>
      </c>
      <c r="H10" s="9">
        <f t="shared" si="17"/>
        <v>2.8160128168677456</v>
      </c>
      <c r="I10" s="9">
        <f t="shared" si="18"/>
        <v>3.4668382194446252</v>
      </c>
      <c r="J10" s="9">
        <f t="shared" si="19"/>
        <v>2.8055156329552151</v>
      </c>
      <c r="K10" s="11">
        <f t="shared" si="20"/>
        <v>0.36630036630036628</v>
      </c>
      <c r="L10" s="11">
        <f t="shared" si="21"/>
        <v>0.29850746268656714</v>
      </c>
      <c r="M10" s="11">
        <f t="shared" si="22"/>
        <v>0.36764705882352938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-0.28110337131408247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0.23315870550286705</v>
      </c>
      <c r="Q10" s="11">
        <f>2*'OddsRatio_working_3-way'!K10*'OddsRatio_working_3-way'!L10*'OddsRatio_working_3-way'!M10</f>
        <v>8.0399553621678277E-2</v>
      </c>
      <c r="R10" s="11">
        <f t="shared" si="23"/>
        <v>0</v>
      </c>
      <c r="S10" s="11">
        <f t="shared" si="24"/>
        <v>-0.82944115687020392</v>
      </c>
      <c r="T10" s="11">
        <f t="shared" si="25"/>
        <v>-0.28601419202420819</v>
      </c>
      <c r="U10" s="11">
        <f>'OddsRatio_working_3-way'!S10-'OddsRatio_working_3-way'!R10^2/3</f>
        <v>-0.82944115687020392</v>
      </c>
      <c r="V10" s="11">
        <f>'OddsRatio_working_3-way'!S10*'OddsRatio_working_3-way'!R10/3-2*'OddsRatio_working_3-way'!R10^3/27-'OddsRatio_working_3-way'!T10</f>
        <v>0.28601419202420819</v>
      </c>
      <c r="W10" s="11">
        <f>'OddsRatio_working_3-way'!V10^2+4*'OddsRatio_working_3-way'!U10^3/27</f>
        <v>-2.7340769785428459E-3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0.14537726354024852</v>
      </c>
      <c r="Y10" s="11">
        <f>IF('OddsRatio_working_3-way'!W10&gt;=0,IF('OddsRatio_working_3-way'!V10+SQRT('OddsRatio_working_3-way'!W10)&gt;0,0,PI()),ACOS('OddsRatio_working_3-way'!V10/(2*'OddsRatio_working_3-way'!X10)))</f>
        <v>0.18082067750545217</v>
      </c>
      <c r="Z10" s="11">
        <f>'OddsRatio_working_3-way'!X10^(1/3)*COS('OddsRatio_working_3-way'!Y10/3)</f>
        <v>0.52485919562651595</v>
      </c>
      <c r="AA10" s="11">
        <f>'OddsRatio_working_3-way'!X10^(1/3)*COS(('OddsRatio_working_3-way'!Y10+2*PI())/3)</f>
        <v>-0.2898596505340606</v>
      </c>
      <c r="AB10" s="11">
        <f>'OddsRatio_working_3-way'!X10^(1/3)*COS(('OddsRatio_working_3-way'!Y10+4*PI())/3)</f>
        <v>-0.23499954509245541</v>
      </c>
      <c r="AC10" s="11">
        <f>'OddsRatio_working_3-way'!X10^(1/3)*SIN('OddsRatio_working_3-way'!Y10/3)</f>
        <v>3.1673496644481998E-2</v>
      </c>
      <c r="AD10" s="11">
        <f>'OddsRatio_working_3-way'!X10^(1/3)*SIN(('OddsRatio_working_3-way'!Y10+2*PI())/3)</f>
        <v>0.43870464850018803</v>
      </c>
      <c r="AE10" s="11">
        <f>'OddsRatio_working_3-way'!X10^(1/3)*SIN(('OddsRatio_working_3-way'!Y10+4*PI())/3)</f>
        <v>-0.47037814514467008</v>
      </c>
      <c r="AF10" s="11">
        <f>-'OddsRatio_working_3-way'!U10/(3*'OddsRatio_working_3-way'!X10^(1/3))*COS(('OddsRatio_working_3-way'!Y10)/3)</f>
        <v>0.52485919562651595</v>
      </c>
      <c r="AG10" s="11">
        <f>-'OddsRatio_working_3-way'!U10/(3*'OddsRatio_working_3-way'!X10^(1/3))*COS(('OddsRatio_working_3-way'!Y10+2*PI())/3)</f>
        <v>-0.2898596505340606</v>
      </c>
      <c r="AH10" s="11">
        <f>-'OddsRatio_working_3-way'!U10/(3*'OddsRatio_working_3-way'!X10^(1/3))*COS(('OddsRatio_working_3-way'!Y10+4*PI())/3)</f>
        <v>-0.23499954509245541</v>
      </c>
      <c r="AI10" s="11">
        <f>'OddsRatio_working_3-way'!U10/(3*'OddsRatio_working_3-way'!X10^(1/3))*SIN(('OddsRatio_working_3-way'!Y10)/3)</f>
        <v>-3.1673496644481998E-2</v>
      </c>
      <c r="AJ10" s="11">
        <f>'OddsRatio_working_3-way'!U10/(3*'OddsRatio_working_3-way'!X10^(1/3))*SIN(('OddsRatio_working_3-way'!Y10+2*PI())/3)</f>
        <v>-0.43870464850018803</v>
      </c>
      <c r="AK10" s="11">
        <f>'OddsRatio_working_3-way'!U10/(3*'OddsRatio_working_3-way'!X10^(1/3))*SIN(('OddsRatio_working_3-way'!Y10+4*PI())/3)</f>
        <v>0.47037814514467008</v>
      </c>
      <c r="AL10" s="11">
        <f>'OddsRatio_working_3-way'!Z10+'OddsRatio_working_3-way'!AF10</f>
        <v>1.0497183912530319</v>
      </c>
      <c r="AM10" s="11">
        <f>'OddsRatio_working_3-way'!AA10+'OddsRatio_working_3-way'!AG10</f>
        <v>-0.5797193010681212</v>
      </c>
      <c r="AN10" s="11">
        <f>'OddsRatio_working_3-way'!AB10+'OddsRatio_working_3-way'!AH10</f>
        <v>-0.46999909018491082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1.0497183912530319</v>
      </c>
      <c r="AS10" s="11">
        <f>IF(('OddsRatio_working_3-way'!X10=0),IF(Q10&gt;0,-Q10^(1/3),(-Q10)^(1/3)),'OddsRatio_working_3-way'!AM10-'OddsRatio_working_3-way'!R10/3)</f>
        <v>-0.5797193010681212</v>
      </c>
      <c r="AT10" s="11">
        <f>IF(('OddsRatio_working_3-way'!X10=0),IF(Q10&gt;0,-Q10^(1/3),(-Q10)^(1/3)),'OddsRatio_working_3-way'!AN10-'OddsRatio_working_3-way'!R10/3)</f>
        <v>-0.46999909018491082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1.72</v>
      </c>
      <c r="B11" s="4">
        <f>IF('True_Odds_Calculator_3-way'!B12="","",'True_Odds_Calculator_3-way'!B12)</f>
        <v>3.65</v>
      </c>
      <c r="C11" s="4">
        <f>IF('True_Odds_Calculator_3-way'!C12="","",'True_Odds_Calculator_3-way'!C12)</f>
        <v>5.47</v>
      </c>
      <c r="D11" s="9">
        <f t="shared" si="13"/>
        <v>0.56548200478937138</v>
      </c>
      <c r="E11" s="9">
        <f t="shared" si="14"/>
        <v>0.26122282132969588</v>
      </c>
      <c r="F11" s="9">
        <f t="shared" si="15"/>
        <v>0.17329517388093277</v>
      </c>
      <c r="G11" s="9">
        <f t="shared" si="16"/>
        <v>1.0672262078350416</v>
      </c>
      <c r="H11" s="9">
        <f t="shared" si="17"/>
        <v>1.7684028696412297</v>
      </c>
      <c r="I11" s="9">
        <f t="shared" si="18"/>
        <v>3.8281494507628602</v>
      </c>
      <c r="J11" s="9">
        <f t="shared" si="19"/>
        <v>5.7705011490226354</v>
      </c>
      <c r="K11" s="11">
        <f t="shared" si="20"/>
        <v>0.58139534883720934</v>
      </c>
      <c r="L11" s="11">
        <f t="shared" si="21"/>
        <v>0.27397260273972601</v>
      </c>
      <c r="M11" s="11">
        <f t="shared" si="22"/>
        <v>0.18281535648994515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-0.24835748643153621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0.2283007956166247</v>
      </c>
      <c r="Q11" s="11">
        <f>2*'OddsRatio_working_3-way'!K11*'OddsRatio_working_3-way'!L11*'OddsRatio_working_3-way'!M11</f>
        <v>5.8239998881792023E-2</v>
      </c>
      <c r="R11" s="11">
        <f t="shared" si="23"/>
        <v>0</v>
      </c>
      <c r="S11" s="11">
        <f t="shared" si="24"/>
        <v>-0.91924265661127769</v>
      </c>
      <c r="T11" s="11">
        <f t="shared" si="25"/>
        <v>-0.23450067770695862</v>
      </c>
      <c r="U11" s="11">
        <f>'OddsRatio_working_3-way'!S11-'OddsRatio_working_3-way'!R11^2/3</f>
        <v>-0.91924265661127769</v>
      </c>
      <c r="V11" s="11">
        <f>'OddsRatio_working_3-way'!S11*'OddsRatio_working_3-way'!R11/3-2*'OddsRatio_working_3-way'!R11^3/27-'OddsRatio_working_3-way'!T11</f>
        <v>0.23450067770695862</v>
      </c>
      <c r="W11" s="11">
        <f>'OddsRatio_working_3-way'!V11^2+4*'OddsRatio_working_3-way'!U11^3/27</f>
        <v>-6.0085956048818744E-2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0.16961465435940495</v>
      </c>
      <c r="Y11" s="11">
        <f>IF('OddsRatio_working_3-way'!W11&gt;=0,IF('OddsRatio_working_3-way'!V11+SQRT('OddsRatio_working_3-way'!W11)&gt;0,0,PI()),ACOS('OddsRatio_working_3-way'!V11/(2*'OddsRatio_working_3-way'!X11)))</f>
        <v>0.80754453380669355</v>
      </c>
      <c r="Z11" s="11">
        <f>'OddsRatio_working_3-way'!X11^(1/3)*COS('OddsRatio_working_3-way'!Y11/3)</f>
        <v>0.53361310391752081</v>
      </c>
      <c r="AA11" s="11">
        <f>'OddsRatio_working_3-way'!X11^(1/3)*COS(('OddsRatio_working_3-way'!Y11+2*PI())/3)</f>
        <v>-0.39429559324643848</v>
      </c>
      <c r="AB11" s="11">
        <f>'OddsRatio_working_3-way'!X11^(1/3)*COS(('OddsRatio_working_3-way'!Y11+4*PI())/3)</f>
        <v>-0.13931751067108245</v>
      </c>
      <c r="AC11" s="11">
        <f>'OddsRatio_working_3-way'!X11^(1/3)*SIN('OddsRatio_working_3-way'!Y11/3)</f>
        <v>0.14721166461233653</v>
      </c>
      <c r="AD11" s="11">
        <f>'OddsRatio_working_3-way'!X11^(1/3)*SIN(('OddsRatio_working_3-way'!Y11+2*PI())/3)</f>
        <v>0.38851667147867036</v>
      </c>
      <c r="AE11" s="11">
        <f>'OddsRatio_working_3-way'!X11^(1/3)*SIN(('OddsRatio_working_3-way'!Y11+4*PI())/3)</f>
        <v>-0.53572833609100678</v>
      </c>
      <c r="AF11" s="11">
        <f>-'OddsRatio_working_3-way'!U11/(3*'OddsRatio_working_3-way'!X11^(1/3))*COS(('OddsRatio_working_3-way'!Y11)/3)</f>
        <v>0.53361310391752081</v>
      </c>
      <c r="AG11" s="11">
        <f>-'OddsRatio_working_3-way'!U11/(3*'OddsRatio_working_3-way'!X11^(1/3))*COS(('OddsRatio_working_3-way'!Y11+2*PI())/3)</f>
        <v>-0.39429559324643848</v>
      </c>
      <c r="AH11" s="11">
        <f>-'OddsRatio_working_3-way'!U11/(3*'OddsRatio_working_3-way'!X11^(1/3))*COS(('OddsRatio_working_3-way'!Y11+4*PI())/3)</f>
        <v>-0.13931751067108245</v>
      </c>
      <c r="AI11" s="11">
        <f>'OddsRatio_working_3-way'!U11/(3*'OddsRatio_working_3-way'!X11^(1/3))*SIN(('OddsRatio_working_3-way'!Y11)/3)</f>
        <v>-0.14721166461233653</v>
      </c>
      <c r="AJ11" s="11">
        <f>'OddsRatio_working_3-way'!U11/(3*'OddsRatio_working_3-way'!X11^(1/3))*SIN(('OddsRatio_working_3-way'!Y11+2*PI())/3)</f>
        <v>-0.38851667147867036</v>
      </c>
      <c r="AK11" s="11">
        <f>'OddsRatio_working_3-way'!U11/(3*'OddsRatio_working_3-way'!X11^(1/3))*SIN(('OddsRatio_working_3-way'!Y11+4*PI())/3)</f>
        <v>0.53572833609100678</v>
      </c>
      <c r="AL11" s="11">
        <f>'OddsRatio_working_3-way'!Z11+'OddsRatio_working_3-way'!AF11</f>
        <v>1.0672262078350416</v>
      </c>
      <c r="AM11" s="11">
        <f>'OddsRatio_working_3-way'!AA11+'OddsRatio_working_3-way'!AG11</f>
        <v>-0.78859118649287696</v>
      </c>
      <c r="AN11" s="11">
        <f>'OddsRatio_working_3-way'!AB11+'OddsRatio_working_3-way'!AH11</f>
        <v>-0.27863502134216489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1.0672262078350416</v>
      </c>
      <c r="AS11" s="11">
        <f>IF(('OddsRatio_working_3-way'!X11=0),IF(Q11&gt;0,-Q11^(1/3),(-Q11)^(1/3)),'OddsRatio_working_3-way'!AM11-'OddsRatio_working_3-way'!R11/3)</f>
        <v>-0.78859118649287696</v>
      </c>
      <c r="AT11" s="11">
        <f>IF(('OddsRatio_working_3-way'!X11=0),IF(Q11&gt;0,-Q11^(1/3),(-Q11)^(1/3)),'OddsRatio_working_3-way'!AN11-'OddsRatio_working_3-way'!R11/3)</f>
        <v>-0.27863502134216489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1.87</v>
      </c>
      <c r="B12" s="4">
        <f>IF('True_Odds_Calculator_3-way'!B13="","",'True_Odds_Calculator_3-way'!B13)</f>
        <v>3.57</v>
      </c>
      <c r="C12" s="4">
        <f>IF('True_Odds_Calculator_3-way'!C13="","",'True_Odds_Calculator_3-way'!C13)</f>
        <v>4.53</v>
      </c>
      <c r="D12" s="9">
        <f t="shared" si="13"/>
        <v>0.52038325852523604</v>
      </c>
      <c r="E12" s="9">
        <f t="shared" si="14"/>
        <v>0.26862897823559534</v>
      </c>
      <c r="F12" s="9">
        <f t="shared" si="15"/>
        <v>0.21098776323916868</v>
      </c>
      <c r="G12" s="9">
        <f t="shared" si="16"/>
        <v>1.0593799893810352</v>
      </c>
      <c r="H12" s="9">
        <f t="shared" si="17"/>
        <v>1.921660590761501</v>
      </c>
      <c r="I12" s="9">
        <f t="shared" si="18"/>
        <v>3.7226065727092603</v>
      </c>
      <c r="J12" s="9">
        <f t="shared" si="19"/>
        <v>4.7396113625150544</v>
      </c>
      <c r="K12" s="11">
        <f t="shared" si="20"/>
        <v>0.53475935828876997</v>
      </c>
      <c r="L12" s="11">
        <f t="shared" si="21"/>
        <v>0.28011204481792717</v>
      </c>
      <c r="M12" s="11">
        <f t="shared" si="22"/>
        <v>0.22075055187637968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-0.26098710901295763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0.23047549342835666</v>
      </c>
      <c r="Q12" s="11">
        <f>2*'OddsRatio_working_3-way'!K12*'OddsRatio_working_3-way'!L12*'OddsRatio_working_3-way'!M12</f>
        <v>6.6133570567677658E-2</v>
      </c>
      <c r="R12" s="11">
        <f t="shared" si="23"/>
        <v>0</v>
      </c>
      <c r="S12" s="11">
        <f t="shared" si="24"/>
        <v>-0.88309148409668725</v>
      </c>
      <c r="T12" s="11">
        <f t="shared" si="25"/>
        <v>-0.25339784335629473</v>
      </c>
      <c r="U12" s="11">
        <f>'OddsRatio_working_3-way'!S12-'OddsRatio_working_3-way'!R12^2/3</f>
        <v>-0.88309148409668725</v>
      </c>
      <c r="V12" s="11">
        <f>'OddsRatio_working_3-way'!S12*'OddsRatio_working_3-way'!R12/3-2*'OddsRatio_working_3-way'!R12^3/27-'OddsRatio_working_3-way'!T12</f>
        <v>0.25339784335629473</v>
      </c>
      <c r="W12" s="11">
        <f>'OddsRatio_working_3-way'!V12^2+4*'OddsRatio_working_3-way'!U12^3/27</f>
        <v>-3.7816110256857702E-2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0.15970799704028521</v>
      </c>
      <c r="Y12" s="11">
        <f>IF('OddsRatio_working_3-way'!W12&gt;=0,IF('OddsRatio_working_3-way'!V12+SQRT('OddsRatio_working_3-way'!W12)&gt;0,0,PI()),ACOS('OddsRatio_working_3-way'!V12/(2*'OddsRatio_working_3-way'!X12)))</f>
        <v>0.65455967869973974</v>
      </c>
      <c r="Z12" s="11">
        <f>'OddsRatio_working_3-way'!X12^(1/3)*COS('OddsRatio_working_3-way'!Y12/3)</f>
        <v>0.52968999469051758</v>
      </c>
      <c r="AA12" s="11">
        <f>'OddsRatio_working_3-way'!X12^(1/3)*COS(('OddsRatio_working_3-way'!Y12+2*PI())/3)</f>
        <v>-0.36655169903074974</v>
      </c>
      <c r="AB12" s="11">
        <f>'OddsRatio_working_3-way'!X12^(1/3)*COS(('OddsRatio_working_3-way'!Y12+4*PI())/3)</f>
        <v>-0.16313829565976803</v>
      </c>
      <c r="AC12" s="11">
        <f>'OddsRatio_working_3-way'!X12^(1/3)*SIN('OddsRatio_working_3-way'!Y12/3)</f>
        <v>0.11744078319301438</v>
      </c>
      <c r="AD12" s="11">
        <f>'OddsRatio_working_3-way'!X12^(1/3)*SIN(('OddsRatio_working_3-way'!Y12+2*PI())/3)</f>
        <v>0.40000459993592552</v>
      </c>
      <c r="AE12" s="11">
        <f>'OddsRatio_working_3-way'!X12^(1/3)*SIN(('OddsRatio_working_3-way'!Y12+4*PI())/3)</f>
        <v>-0.51744538312893973</v>
      </c>
      <c r="AF12" s="11">
        <f>-'OddsRatio_working_3-way'!U12/(3*'OddsRatio_working_3-way'!X12^(1/3))*COS(('OddsRatio_working_3-way'!Y12)/3)</f>
        <v>0.52968999469051747</v>
      </c>
      <c r="AG12" s="11">
        <f>-'OddsRatio_working_3-way'!U12/(3*'OddsRatio_working_3-way'!X12^(1/3))*COS(('OddsRatio_working_3-way'!Y12+2*PI())/3)</f>
        <v>-0.36655169903074963</v>
      </c>
      <c r="AH12" s="11">
        <f>-'OddsRatio_working_3-way'!U12/(3*'OddsRatio_working_3-way'!X12^(1/3))*COS(('OddsRatio_working_3-way'!Y12+4*PI())/3)</f>
        <v>-0.16313829565976801</v>
      </c>
      <c r="AI12" s="11">
        <f>'OddsRatio_working_3-way'!U12/(3*'OddsRatio_working_3-way'!X12^(1/3))*SIN(('OddsRatio_working_3-way'!Y12)/3)</f>
        <v>-0.11744078319301435</v>
      </c>
      <c r="AJ12" s="11">
        <f>'OddsRatio_working_3-way'!U12/(3*'OddsRatio_working_3-way'!X12^(1/3))*SIN(('OddsRatio_working_3-way'!Y12+2*PI())/3)</f>
        <v>-0.40000459993592546</v>
      </c>
      <c r="AK12" s="11">
        <f>'OddsRatio_working_3-way'!U12/(3*'OddsRatio_working_3-way'!X12^(1/3))*SIN(('OddsRatio_working_3-way'!Y12+4*PI())/3)</f>
        <v>0.51744538312893962</v>
      </c>
      <c r="AL12" s="11">
        <f>'OddsRatio_working_3-way'!Z12+'OddsRatio_working_3-way'!AF12</f>
        <v>1.0593799893810352</v>
      </c>
      <c r="AM12" s="11">
        <f>'OddsRatio_working_3-way'!AA12+'OddsRatio_working_3-way'!AG12</f>
        <v>-0.73310339806149938</v>
      </c>
      <c r="AN12" s="11">
        <f>'OddsRatio_working_3-way'!AB12+'OddsRatio_working_3-way'!AH12</f>
        <v>-0.32627659131953601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1.0593799893810352</v>
      </c>
      <c r="AS12" s="11">
        <f>IF(('OddsRatio_working_3-way'!X12=0),IF(Q12&gt;0,-Q12^(1/3),(-Q12)^(1/3)),'OddsRatio_working_3-way'!AM12-'OddsRatio_working_3-way'!R12/3)</f>
        <v>-0.73310339806149938</v>
      </c>
      <c r="AT12" s="11">
        <f>IF(('OddsRatio_working_3-way'!X12=0),IF(Q12&gt;0,-Q12^(1/3),(-Q12)^(1/3)),'OddsRatio_working_3-way'!AN12-'OddsRatio_working_3-way'!R12/3)</f>
        <v>-0.32627659131953601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</v>
      </c>
      <c r="B13" s="4">
        <f>IF('True_Odds_Calculator_3-way'!B14="","",'True_Odds_Calculator_3-way'!B14)</f>
        <v>3.29</v>
      </c>
      <c r="C13" s="4">
        <f>IF('True_Odds_Calculator_3-way'!C14="","",'True_Odds_Calculator_3-way'!C14)</f>
        <v>2.52</v>
      </c>
      <c r="D13" s="9">
        <f t="shared" si="13"/>
        <v>0.32208033004897413</v>
      </c>
      <c r="E13" s="9">
        <f t="shared" si="14"/>
        <v>0.29325395000416837</v>
      </c>
      <c r="F13" s="9">
        <f t="shared" si="15"/>
        <v>0.38466571994685755</v>
      </c>
      <c r="G13" s="9">
        <f t="shared" si="16"/>
        <v>1.0524077484768231</v>
      </c>
      <c r="H13" s="9">
        <f t="shared" si="17"/>
        <v>3.1048154969536461</v>
      </c>
      <c r="I13" s="9">
        <f t="shared" si="18"/>
        <v>3.4100137440119247</v>
      </c>
      <c r="J13" s="9">
        <f t="shared" si="19"/>
        <v>2.5996597776847707</v>
      </c>
      <c r="K13" s="11">
        <f t="shared" si="20"/>
        <v>0.33333333333333331</v>
      </c>
      <c r="L13" s="11">
        <f t="shared" si="21"/>
        <v>0.303951367781155</v>
      </c>
      <c r="M13" s="11">
        <f t="shared" si="22"/>
        <v>0.3968253968253968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-0.27989257168588477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0.2335922548688506</v>
      </c>
      <c r="Q13" s="11">
        <f>2*'OddsRatio_working_3-way'!K13*'OddsRatio_working_3-way'!L13*'OddsRatio_working_3-way'!M13</f>
        <v>8.0410414756919305E-2</v>
      </c>
      <c r="R13" s="11">
        <f t="shared" si="23"/>
        <v>0</v>
      </c>
      <c r="S13" s="11">
        <f t="shared" si="24"/>
        <v>-0.83457825787175355</v>
      </c>
      <c r="T13" s="11">
        <f t="shared" si="25"/>
        <v>-0.28729027809698915</v>
      </c>
      <c r="U13" s="11">
        <f>'OddsRatio_working_3-way'!S13-'OddsRatio_working_3-way'!R13^2/3</f>
        <v>-0.83457825787175355</v>
      </c>
      <c r="V13" s="11">
        <f>'OddsRatio_working_3-way'!S13*'OddsRatio_working_3-way'!R13/3-2*'OddsRatio_working_3-way'!R13^3/27-'OddsRatio_working_3-way'!T13</f>
        <v>0.28729027809698915</v>
      </c>
      <c r="W13" s="11">
        <f>'OddsRatio_working_3-way'!V13^2+4*'OddsRatio_working_3-way'!U13^3/27</f>
        <v>-3.5829884093657866E-3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0.14672993244257557</v>
      </c>
      <c r="Y13" s="11">
        <f>IF('OddsRatio_working_3-way'!W13&gt;=0,IF('OddsRatio_working_3-way'!V13+SQRT('OddsRatio_working_3-way'!W13)&gt;0,0,PI()),ACOS('OddsRatio_working_3-way'!V13/(2*'OddsRatio_working_3-way'!X13)))</f>
        <v>0.20541516364304857</v>
      </c>
      <c r="Z13" s="11">
        <f>'OddsRatio_working_3-way'!X13^(1/3)*COS('OddsRatio_working_3-way'!Y13/3)</f>
        <v>0.52620387423841153</v>
      </c>
      <c r="AA13" s="11">
        <f>'OddsRatio_working_3-way'!X13^(1/3)*COS(('OddsRatio_working_3-way'!Y13+2*PI())/3)</f>
        <v>-0.29435376139080444</v>
      </c>
      <c r="AB13" s="11">
        <f>'OddsRatio_working_3-way'!X13^(1/3)*COS(('OddsRatio_working_3-way'!Y13+4*PI())/3)</f>
        <v>-0.23185011284760745</v>
      </c>
      <c r="AC13" s="11">
        <f>'OddsRatio_working_3-way'!X13^(1/3)*SIN('OddsRatio_working_3-way'!Y13/3)</f>
        <v>3.6086498311748705E-2</v>
      </c>
      <c r="AD13" s="11">
        <f>'OddsRatio_working_3-way'!X13^(1/3)*SIN(('OddsRatio_working_3-way'!Y13+2*PI())/3)</f>
        <v>0.43766267350438198</v>
      </c>
      <c r="AE13" s="11">
        <f>'OddsRatio_working_3-way'!X13^(1/3)*SIN(('OddsRatio_working_3-way'!Y13+4*PI())/3)</f>
        <v>-0.47374917181613052</v>
      </c>
      <c r="AF13" s="11">
        <f>-'OddsRatio_working_3-way'!U13/(3*'OddsRatio_working_3-way'!X13^(1/3))*COS(('OddsRatio_working_3-way'!Y13)/3)</f>
        <v>0.52620387423841153</v>
      </c>
      <c r="AG13" s="11">
        <f>-'OddsRatio_working_3-way'!U13/(3*'OddsRatio_working_3-way'!X13^(1/3))*COS(('OddsRatio_working_3-way'!Y13+2*PI())/3)</f>
        <v>-0.29435376139080444</v>
      </c>
      <c r="AH13" s="11">
        <f>-'OddsRatio_working_3-way'!U13/(3*'OddsRatio_working_3-way'!X13^(1/3))*COS(('OddsRatio_working_3-way'!Y13+4*PI())/3)</f>
        <v>-0.23185011284760745</v>
      </c>
      <c r="AI13" s="11">
        <f>'OddsRatio_working_3-way'!U13/(3*'OddsRatio_working_3-way'!X13^(1/3))*SIN(('OddsRatio_working_3-way'!Y13)/3)</f>
        <v>-3.6086498311748705E-2</v>
      </c>
      <c r="AJ13" s="11">
        <f>'OddsRatio_working_3-way'!U13/(3*'OddsRatio_working_3-way'!X13^(1/3))*SIN(('OddsRatio_working_3-way'!Y13+2*PI())/3)</f>
        <v>-0.43766267350438198</v>
      </c>
      <c r="AK13" s="11">
        <f>'OddsRatio_working_3-way'!U13/(3*'OddsRatio_working_3-way'!X13^(1/3))*SIN(('OddsRatio_working_3-way'!Y13+4*PI())/3)</f>
        <v>0.47374917181613052</v>
      </c>
      <c r="AL13" s="11">
        <f>'OddsRatio_working_3-way'!Z13+'OddsRatio_working_3-way'!AF13</f>
        <v>1.0524077484768231</v>
      </c>
      <c r="AM13" s="11">
        <f>'OddsRatio_working_3-way'!AA13+'OddsRatio_working_3-way'!AG13</f>
        <v>-0.58870752278160887</v>
      </c>
      <c r="AN13" s="11">
        <f>'OddsRatio_working_3-way'!AB13+'OddsRatio_working_3-way'!AH13</f>
        <v>-0.46370022569521491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1.0524077484768231</v>
      </c>
      <c r="AS13" s="11">
        <f>IF(('OddsRatio_working_3-way'!X13=0),IF(Q13&gt;0,-Q13^(1/3),(-Q13)^(1/3)),'OddsRatio_working_3-way'!AM13-'OddsRatio_working_3-way'!R13/3)</f>
        <v>-0.58870752278160887</v>
      </c>
      <c r="AT13" s="11">
        <f>IF(('OddsRatio_working_3-way'!X13=0),IF(Q13&gt;0,-Q13^(1/3),(-Q13)^(1/3)),'OddsRatio_working_3-way'!AN13-'OddsRatio_working_3-way'!R13/3)</f>
        <v>-0.46370022569521491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1.74</v>
      </c>
      <c r="B14" s="4">
        <f>IF('True_Odds_Calculator_3-way'!B15="","",'True_Odds_Calculator_3-way'!B15)</f>
        <v>4.03</v>
      </c>
      <c r="C14" s="4">
        <f>IF('True_Odds_Calculator_3-way'!C15="","",'True_Odds_Calculator_3-way'!C15)</f>
        <v>4.6900000000000004</v>
      </c>
      <c r="D14" s="9">
        <f t="shared" si="13"/>
        <v>0.55980687482914282</v>
      </c>
      <c r="E14" s="9">
        <f t="shared" si="14"/>
        <v>0.2369834515153717</v>
      </c>
      <c r="F14" s="9">
        <f t="shared" si="15"/>
        <v>0.20320967365548537</v>
      </c>
      <c r="G14" s="9">
        <f t="shared" si="16"/>
        <v>1.0626085553821873</v>
      </c>
      <c r="H14" s="9">
        <f t="shared" si="17"/>
        <v>1.7863303309828187</v>
      </c>
      <c r="I14" s="9">
        <f t="shared" si="18"/>
        <v>4.2197039228080273</v>
      </c>
      <c r="J14" s="9">
        <f t="shared" si="19"/>
        <v>4.921025569360272</v>
      </c>
      <c r="K14" s="11">
        <f t="shared" si="20"/>
        <v>0.57471264367816088</v>
      </c>
      <c r="L14" s="11">
        <f t="shared" si="21"/>
        <v>0.24813895781637715</v>
      </c>
      <c r="M14" s="11">
        <f t="shared" si="22"/>
        <v>0.21321961620469082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-0.2515785312092983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0.22683584850503313</v>
      </c>
      <c r="Q14" s="11">
        <f>2*'OddsRatio_working_3-way'!K14*'OddsRatio_working_3-way'!L14*'OddsRatio_working_3-way'!M14</f>
        <v>6.0813900403494131E-2</v>
      </c>
      <c r="R14" s="11">
        <f t="shared" si="23"/>
        <v>0</v>
      </c>
      <c r="S14" s="11">
        <f t="shared" si="24"/>
        <v>-0.90165026170821894</v>
      </c>
      <c r="T14" s="11">
        <f t="shared" si="25"/>
        <v>-0.24172929268316859</v>
      </c>
      <c r="U14" s="11">
        <f>'OddsRatio_working_3-way'!S14-'OddsRatio_working_3-way'!R14^2/3</f>
        <v>-0.90165026170821894</v>
      </c>
      <c r="V14" s="11">
        <f>'OddsRatio_working_3-way'!S14*'OddsRatio_working_3-way'!R14/3-2*'OddsRatio_working_3-way'!R14^3/27-'OddsRatio_working_3-way'!T14</f>
        <v>0.24172929268316859</v>
      </c>
      <c r="W14" s="11">
        <f>'OddsRatio_working_3-way'!V14^2+4*'OddsRatio_working_3-way'!U14^3/27</f>
        <v>-5.0162133285152788E-2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0.16476891714326597</v>
      </c>
      <c r="Y14" s="11">
        <f>IF('OddsRatio_working_3-way'!W14&gt;=0,IF('OddsRatio_working_3-way'!V14+SQRT('OddsRatio_working_3-way'!W14)&gt;0,0,PI()),ACOS('OddsRatio_working_3-way'!V14/(2*'OddsRatio_working_3-way'!X14)))</f>
        <v>0.74727982991154873</v>
      </c>
      <c r="Z14" s="11">
        <f>'OddsRatio_working_3-way'!X14^(1/3)*COS('OddsRatio_working_3-way'!Y14/3)</f>
        <v>0.53130427769109378</v>
      </c>
      <c r="AA14" s="11">
        <f>'OddsRatio_working_3-way'!X14^(1/3)*COS(('OddsRatio_working_3-way'!Y14+2*PI())/3)</f>
        <v>-0.38269652703829055</v>
      </c>
      <c r="AB14" s="11">
        <f>'OddsRatio_working_3-way'!X14^(1/3)*COS(('OddsRatio_working_3-way'!Y14+4*PI())/3)</f>
        <v>-0.14860775065280357</v>
      </c>
      <c r="AC14" s="11">
        <f>'OddsRatio_working_3-way'!X14^(1/3)*SIN('OddsRatio_working_3-way'!Y14/3)</f>
        <v>0.13515121806043123</v>
      </c>
      <c r="AD14" s="11">
        <f>'OddsRatio_working_3-way'!X14^(1/3)*SIN(('OddsRatio_working_3-way'!Y14+2*PI())/3)</f>
        <v>0.39254739258961335</v>
      </c>
      <c r="AE14" s="11">
        <f>'OddsRatio_working_3-way'!X14^(1/3)*SIN(('OddsRatio_working_3-way'!Y14+4*PI())/3)</f>
        <v>-0.52769861065004453</v>
      </c>
      <c r="AF14" s="11">
        <f>-'OddsRatio_working_3-way'!U14/(3*'OddsRatio_working_3-way'!X14^(1/3))*COS(('OddsRatio_working_3-way'!Y14)/3)</f>
        <v>0.53130427769109356</v>
      </c>
      <c r="AG14" s="11">
        <f>-'OddsRatio_working_3-way'!U14/(3*'OddsRatio_working_3-way'!X14^(1/3))*COS(('OddsRatio_working_3-way'!Y14+2*PI())/3)</f>
        <v>-0.38269652703829043</v>
      </c>
      <c r="AH14" s="11">
        <f>-'OddsRatio_working_3-way'!U14/(3*'OddsRatio_working_3-way'!X14^(1/3))*COS(('OddsRatio_working_3-way'!Y14+4*PI())/3)</f>
        <v>-0.14860775065280349</v>
      </c>
      <c r="AI14" s="11">
        <f>'OddsRatio_working_3-way'!U14/(3*'OddsRatio_working_3-way'!X14^(1/3))*SIN(('OddsRatio_working_3-way'!Y14)/3)</f>
        <v>-0.13515121806043118</v>
      </c>
      <c r="AJ14" s="11">
        <f>'OddsRatio_working_3-way'!U14/(3*'OddsRatio_working_3-way'!X14^(1/3))*SIN(('OddsRatio_working_3-way'!Y14+2*PI())/3)</f>
        <v>-0.39254739258961319</v>
      </c>
      <c r="AK14" s="11">
        <f>'OddsRatio_working_3-way'!U14/(3*'OddsRatio_working_3-way'!X14^(1/3))*SIN(('OddsRatio_working_3-way'!Y14+4*PI())/3)</f>
        <v>0.52769861065004431</v>
      </c>
      <c r="AL14" s="11">
        <f>'OddsRatio_working_3-way'!Z14+'OddsRatio_working_3-way'!AF14</f>
        <v>1.0626085553821873</v>
      </c>
      <c r="AM14" s="11">
        <f>'OddsRatio_working_3-way'!AA14+'OddsRatio_working_3-way'!AG14</f>
        <v>-0.76539305407658098</v>
      </c>
      <c r="AN14" s="11">
        <f>'OddsRatio_working_3-way'!AB14+'OddsRatio_working_3-way'!AH14</f>
        <v>-0.29721550130560703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1.0626085553821873</v>
      </c>
      <c r="AS14" s="11">
        <f>IF(('OddsRatio_working_3-way'!X14=0),IF(Q14&gt;0,-Q14^(1/3),(-Q14)^(1/3)),'OddsRatio_working_3-way'!AM14-'OddsRatio_working_3-way'!R14/3)</f>
        <v>-0.76539305407658098</v>
      </c>
      <c r="AT14" s="11">
        <f>IF(('OddsRatio_working_3-way'!X14=0),IF(Q14&gt;0,-Q14^(1/3),(-Q14)^(1/3)),'OddsRatio_working_3-way'!AN14-'OddsRatio_working_3-way'!R14/3)</f>
        <v>-0.29721550130560703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1.79</v>
      </c>
      <c r="B15" s="4">
        <f>IF('True_Odds_Calculator_3-way'!B16="","",'True_Odds_Calculator_3-way'!B16)</f>
        <v>3.82</v>
      </c>
      <c r="C15" s="4">
        <f>IF('True_Odds_Calculator_3-way'!C16="","",'True_Odds_Calculator_3-way'!C16)</f>
        <v>4.6500000000000004</v>
      </c>
      <c r="D15" s="9">
        <f t="shared" si="13"/>
        <v>0.5441209646575218</v>
      </c>
      <c r="E15" s="9">
        <f t="shared" si="14"/>
        <v>0.25058116569125222</v>
      </c>
      <c r="F15" s="9">
        <f t="shared" si="15"/>
        <v>0.20529786965122554</v>
      </c>
      <c r="G15" s="9">
        <f t="shared" si="16"/>
        <v>1.0605400407921817</v>
      </c>
      <c r="H15" s="9">
        <f t="shared" si="17"/>
        <v>1.8378266322258241</v>
      </c>
      <c r="I15" s="9">
        <f t="shared" si="18"/>
        <v>3.9907229150339529</v>
      </c>
      <c r="J15" s="9">
        <f t="shared" si="19"/>
        <v>4.8709711488914635</v>
      </c>
      <c r="K15" s="11">
        <f t="shared" si="20"/>
        <v>0.55865921787709494</v>
      </c>
      <c r="L15" s="11">
        <f t="shared" si="21"/>
        <v>0.26178010471204188</v>
      </c>
      <c r="M15" s="11">
        <f t="shared" si="22"/>
        <v>0.21505376344086019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-0.25574062210161908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0.22833225929109441</v>
      </c>
      <c r="Q15" s="11">
        <f>2*'OddsRatio_working_3-way'!K15*'OddsRatio_working_3-way'!L15*'OddsRatio_working_3-way'!M15</f>
        <v>6.2901448840521859E-2</v>
      </c>
      <c r="R15" s="11">
        <f t="shared" si="23"/>
        <v>0</v>
      </c>
      <c r="S15" s="11">
        <f t="shared" si="24"/>
        <v>-0.89282749613538559</v>
      </c>
      <c r="T15" s="11">
        <f t="shared" si="25"/>
        <v>-0.24595798791608411</v>
      </c>
      <c r="U15" s="11">
        <f>'OddsRatio_working_3-way'!S15-'OddsRatio_working_3-way'!R15^2/3</f>
        <v>-0.89282749613538559</v>
      </c>
      <c r="V15" s="11">
        <f>'OddsRatio_working_3-way'!S15*'OddsRatio_working_3-way'!R15/3-2*'OddsRatio_working_3-way'!R15^3/27-'OddsRatio_working_3-way'!T15</f>
        <v>0.24595798791608411</v>
      </c>
      <c r="W15" s="11">
        <f>'OddsRatio_working_3-way'!V15^2+4*'OddsRatio_working_3-way'!U15^3/27</f>
        <v>-4.494309004878011E-2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0.16235641492447156</v>
      </c>
      <c r="Y15" s="11">
        <f>IF('OddsRatio_working_3-way'!W15&gt;=0,IF('OddsRatio_working_3-way'!V15+SQRT('OddsRatio_working_3-way'!W15)&gt;0,0,PI()),ACOS('OddsRatio_working_3-way'!V15/(2*'OddsRatio_working_3-way'!X15)))</f>
        <v>0.71137773286701556</v>
      </c>
      <c r="Z15" s="11">
        <f>'OddsRatio_working_3-way'!X15^(1/3)*COS('OddsRatio_working_3-way'!Y15/3)</f>
        <v>0.53027002039609084</v>
      </c>
      <c r="AA15" s="11">
        <f>'OddsRatio_working_3-way'!X15^(1/3)*COS(('OddsRatio_working_3-way'!Y15+2*PI())/3)</f>
        <v>-0.37611768062768275</v>
      </c>
      <c r="AB15" s="11">
        <f>'OddsRatio_working_3-way'!X15^(1/3)*COS(('OddsRatio_working_3-way'!Y15+4*PI())/3)</f>
        <v>-0.15415233976840798</v>
      </c>
      <c r="AC15" s="11">
        <f>'OddsRatio_working_3-way'!X15^(1/3)*SIN('OddsRatio_working_3-way'!Y15/3)</f>
        <v>0.12815174929586926</v>
      </c>
      <c r="AD15" s="11">
        <f>'OddsRatio_working_3-way'!X15^(1/3)*SIN(('OddsRatio_working_3-way'!Y15+2*PI())/3)</f>
        <v>0.39515143388037244</v>
      </c>
      <c r="AE15" s="11">
        <f>'OddsRatio_working_3-way'!X15^(1/3)*SIN(('OddsRatio_working_3-way'!Y15+4*PI())/3)</f>
        <v>-0.52330318317624169</v>
      </c>
      <c r="AF15" s="11">
        <f>-'OddsRatio_working_3-way'!U15/(3*'OddsRatio_working_3-way'!X15^(1/3))*COS(('OddsRatio_working_3-way'!Y15)/3)</f>
        <v>0.53027002039609084</v>
      </c>
      <c r="AG15" s="11">
        <f>-'OddsRatio_working_3-way'!U15/(3*'OddsRatio_working_3-way'!X15^(1/3))*COS(('OddsRatio_working_3-way'!Y15+2*PI())/3)</f>
        <v>-0.37611768062768275</v>
      </c>
      <c r="AH15" s="11">
        <f>-'OddsRatio_working_3-way'!U15/(3*'OddsRatio_working_3-way'!X15^(1/3))*COS(('OddsRatio_working_3-way'!Y15+4*PI())/3)</f>
        <v>-0.15415233976840798</v>
      </c>
      <c r="AI15" s="11">
        <f>'OddsRatio_working_3-way'!U15/(3*'OddsRatio_working_3-way'!X15^(1/3))*SIN(('OddsRatio_working_3-way'!Y15)/3)</f>
        <v>-0.12815174929586926</v>
      </c>
      <c r="AJ15" s="11">
        <f>'OddsRatio_working_3-way'!U15/(3*'OddsRatio_working_3-way'!X15^(1/3))*SIN(('OddsRatio_working_3-way'!Y15+2*PI())/3)</f>
        <v>-0.39515143388037244</v>
      </c>
      <c r="AK15" s="11">
        <f>'OddsRatio_working_3-way'!U15/(3*'OddsRatio_working_3-way'!X15^(1/3))*SIN(('OddsRatio_working_3-way'!Y15+4*PI())/3)</f>
        <v>0.52330318317624169</v>
      </c>
      <c r="AL15" s="11">
        <f>'OddsRatio_working_3-way'!Z15+'OddsRatio_working_3-way'!AF15</f>
        <v>1.0605400407921817</v>
      </c>
      <c r="AM15" s="11">
        <f>'OddsRatio_working_3-way'!AA15+'OddsRatio_working_3-way'!AG15</f>
        <v>-0.7522353612553655</v>
      </c>
      <c r="AN15" s="11">
        <f>'OddsRatio_working_3-way'!AB15+'OddsRatio_working_3-way'!AH15</f>
        <v>-0.30830467953681595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1.0605400407921817</v>
      </c>
      <c r="AS15" s="11">
        <f>IF(('OddsRatio_working_3-way'!X15=0),IF(Q15&gt;0,-Q15^(1/3),(-Q15)^(1/3)),'OddsRatio_working_3-way'!AM15-'OddsRatio_working_3-way'!R15/3)</f>
        <v>-0.7522353612553655</v>
      </c>
      <c r="AT15" s="11">
        <f>IF(('OddsRatio_working_3-way'!X15=0),IF(Q15&gt;0,-Q15^(1/3),(-Q15)^(1/3)),'OddsRatio_working_3-way'!AN15-'OddsRatio_working_3-way'!R15/3)</f>
        <v>-0.30830467953681595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1.68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5.56</v>
      </c>
      <c r="D16" s="9">
        <f t="shared" si="13"/>
        <v>0.58031789889541707</v>
      </c>
      <c r="E16" s="9">
        <f t="shared" si="14"/>
        <v>0.24873170726088054</v>
      </c>
      <c r="F16" s="9">
        <f t="shared" si="15"/>
        <v>0.17095039384370242</v>
      </c>
      <c r="G16" s="9">
        <f t="shared" si="16"/>
        <v>1.0635197735976463</v>
      </c>
      <c r="H16" s="9">
        <f t="shared" si="17"/>
        <v>1.7231934460463998</v>
      </c>
      <c r="I16" s="9">
        <f t="shared" si="18"/>
        <v>4.0203961570173155</v>
      </c>
      <c r="J16" s="9">
        <f t="shared" si="19"/>
        <v>5.8496501676052652</v>
      </c>
      <c r="K16" s="11">
        <f t="shared" si="20"/>
        <v>0.59523809523809523</v>
      </c>
      <c r="L16" s="11">
        <f t="shared" si="21"/>
        <v>0.26041666666666669</v>
      </c>
      <c r="M16" s="11">
        <f t="shared" si="22"/>
        <v>0.17985611510791369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-0.24551430284343967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0.22526621559894947</v>
      </c>
      <c r="Q16" s="11">
        <f>2*'OddsRatio_working_3-way'!K16*'OddsRatio_working_3-way'!L16*'OddsRatio_working_3-way'!M16</f>
        <v>5.5758964257165707E-2</v>
      </c>
      <c r="R16" s="11">
        <f t="shared" si="23"/>
        <v>0</v>
      </c>
      <c r="S16" s="11">
        <f t="shared" si="24"/>
        <v>-0.91752787104463696</v>
      </c>
      <c r="T16" s="11">
        <f t="shared" si="25"/>
        <v>-0.22711085916946458</v>
      </c>
      <c r="U16" s="11">
        <f>'OddsRatio_working_3-way'!S16-'OddsRatio_working_3-way'!R16^2/3</f>
        <v>-0.91752787104463696</v>
      </c>
      <c r="V16" s="11">
        <f>'OddsRatio_working_3-way'!S16*'OddsRatio_working_3-way'!R16/3-2*'OddsRatio_working_3-way'!R16^3/27-'OddsRatio_working_3-way'!T16</f>
        <v>0.22711085916946458</v>
      </c>
      <c r="W16" s="11">
        <f>'OddsRatio_working_3-way'!V16^2+4*'OddsRatio_working_3-way'!U16^3/27</f>
        <v>-6.2854379509805172E-2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0.16914026861047723</v>
      </c>
      <c r="Y16" s="11">
        <f>IF('OddsRatio_working_3-way'!W16&gt;=0,IF('OddsRatio_working_3-way'!V16+SQRT('OddsRatio_working_3-way'!W16)&gt;0,0,PI()),ACOS('OddsRatio_working_3-way'!V16/(2*'OddsRatio_working_3-way'!X16)))</f>
        <v>0.83474271002677303</v>
      </c>
      <c r="Z16" s="11">
        <f>'OddsRatio_working_3-way'!X16^(1/3)*COS('OddsRatio_working_3-way'!Y16/3)</f>
        <v>0.53175988679882324</v>
      </c>
      <c r="AA16" s="11">
        <f>'OddsRatio_working_3-way'!X16^(1/3)*COS(('OddsRatio_working_3-way'!Y16+2*PI())/3)</f>
        <v>-0.39743044645788078</v>
      </c>
      <c r="AB16" s="11">
        <f>'OddsRatio_working_3-way'!X16^(1/3)*COS(('OddsRatio_working_3-way'!Y16+4*PI())/3)</f>
        <v>-0.1343294403409423</v>
      </c>
      <c r="AC16" s="11">
        <f>'OddsRatio_working_3-way'!X16^(1/3)*SIN('OddsRatio_working_3-way'!Y16/3)</f>
        <v>0.15190143670567588</v>
      </c>
      <c r="AD16" s="11">
        <f>'OddsRatio_working_3-way'!X16^(1/3)*SIN(('OddsRatio_working_3-way'!Y16+2*PI())/3)</f>
        <v>0.38456685232848037</v>
      </c>
      <c r="AE16" s="11">
        <f>'OddsRatio_working_3-way'!X16^(1/3)*SIN(('OddsRatio_working_3-way'!Y16+4*PI())/3)</f>
        <v>-0.53646828903415622</v>
      </c>
      <c r="AF16" s="11">
        <f>-'OddsRatio_working_3-way'!U16/(3*'OddsRatio_working_3-way'!X16^(1/3))*COS(('OddsRatio_working_3-way'!Y16)/3)</f>
        <v>0.53175988679882313</v>
      </c>
      <c r="AG16" s="11">
        <f>-'OddsRatio_working_3-way'!U16/(3*'OddsRatio_working_3-way'!X16^(1/3))*COS(('OddsRatio_working_3-way'!Y16+2*PI())/3)</f>
        <v>-0.39743044645788073</v>
      </c>
      <c r="AH16" s="11">
        <f>-'OddsRatio_working_3-way'!U16/(3*'OddsRatio_working_3-way'!X16^(1/3))*COS(('OddsRatio_working_3-way'!Y16+4*PI())/3)</f>
        <v>-0.13432944034094227</v>
      </c>
      <c r="AI16" s="11">
        <f>'OddsRatio_working_3-way'!U16/(3*'OddsRatio_working_3-way'!X16^(1/3))*SIN(('OddsRatio_working_3-way'!Y16)/3)</f>
        <v>-0.15190143670567585</v>
      </c>
      <c r="AJ16" s="11">
        <f>'OddsRatio_working_3-way'!U16/(3*'OddsRatio_working_3-way'!X16^(1/3))*SIN(('OddsRatio_working_3-way'!Y16+2*PI())/3)</f>
        <v>-0.38456685232848026</v>
      </c>
      <c r="AK16" s="11">
        <f>'OddsRatio_working_3-way'!U16/(3*'OddsRatio_working_3-way'!X16^(1/3))*SIN(('OddsRatio_working_3-way'!Y16+4*PI())/3)</f>
        <v>0.53646828903415611</v>
      </c>
      <c r="AL16" s="11">
        <f>'OddsRatio_working_3-way'!Z16+'OddsRatio_working_3-way'!AF16</f>
        <v>1.0635197735976463</v>
      </c>
      <c r="AM16" s="11">
        <f>'OddsRatio_working_3-way'!AA16+'OddsRatio_working_3-way'!AG16</f>
        <v>-0.79486089291576145</v>
      </c>
      <c r="AN16" s="11">
        <f>'OddsRatio_working_3-way'!AB16+'OddsRatio_working_3-way'!AH16</f>
        <v>-0.26865888068188459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1.0635197735976463</v>
      </c>
      <c r="AS16" s="11">
        <f>IF(('OddsRatio_working_3-way'!X16=0),IF(Q16&gt;0,-Q16^(1/3),(-Q16)^(1/3)),'OddsRatio_working_3-way'!AM16-'OddsRatio_working_3-way'!R16/3)</f>
        <v>-0.79486089291576145</v>
      </c>
      <c r="AT16" s="11">
        <f>IF(('OddsRatio_working_3-way'!X16=0),IF(Q16&gt;0,-Q16^(1/3),(-Q16)^(1/3)),'OddsRatio_working_3-way'!AN16-'OddsRatio_working_3-way'!R16/3)</f>
        <v>-0.26865888068188459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3.28</v>
      </c>
      <c r="B17" s="4">
        <f>IF('True_Odds_Calculator_3-way'!B18="","",'True_Odds_Calculator_3-way'!B18)</f>
        <v>3.19</v>
      </c>
      <c r="C17" s="4">
        <f>IF('True_Odds_Calculator_3-way'!C18="","",'True_Odds_Calculator_3-way'!C18)</f>
        <v>2.41</v>
      </c>
      <c r="D17" s="9">
        <f t="shared" si="13"/>
        <v>0.29436719056731081</v>
      </c>
      <c r="E17" s="9">
        <f t="shared" si="14"/>
        <v>0.30280139852282972</v>
      </c>
      <c r="F17" s="9">
        <f t="shared" si="15"/>
        <v>0.40283141090985924</v>
      </c>
      <c r="G17" s="9">
        <f t="shared" si="16"/>
        <v>1.0513674221509905</v>
      </c>
      <c r="H17" s="9">
        <f t="shared" si="17"/>
        <v>3.3971177225042588</v>
      </c>
      <c r="I17" s="9">
        <f t="shared" si="18"/>
        <v>3.302494654510669</v>
      </c>
      <c r="J17" s="9">
        <f t="shared" si="19"/>
        <v>2.4824280652328969</v>
      </c>
      <c r="K17" s="11">
        <f t="shared" si="20"/>
        <v>0.3048780487804878</v>
      </c>
      <c r="L17" s="11">
        <f t="shared" si="21"/>
        <v>0.31347962382445144</v>
      </c>
      <c r="M17" s="11">
        <f t="shared" si="22"/>
        <v>0.41493775933609955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-0.27920070151416276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0.23318239399956667</v>
      </c>
      <c r="Q17" s="11">
        <f>2*'OddsRatio_working_3-way'!K17*'OddsRatio_working_3-way'!L17*'OddsRatio_working_3-way'!M17</f>
        <v>7.9313739455634899E-2</v>
      </c>
      <c r="R17" s="11">
        <f t="shared" si="23"/>
        <v>0</v>
      </c>
      <c r="S17" s="11">
        <f t="shared" si="24"/>
        <v>-0.8351783958097907</v>
      </c>
      <c r="T17" s="11">
        <f t="shared" si="25"/>
        <v>-0.28407428428904441</v>
      </c>
      <c r="U17" s="11">
        <f>'OddsRatio_working_3-way'!S17-'OddsRatio_working_3-way'!R17^2/3</f>
        <v>-0.8351783958097907</v>
      </c>
      <c r="V17" s="11">
        <f>'OddsRatio_working_3-way'!S17*'OddsRatio_working_3-way'!R17/3-2*'OddsRatio_working_3-way'!R17^3/27-'OddsRatio_working_3-way'!T17</f>
        <v>0.28407428428904441</v>
      </c>
      <c r="W17" s="11">
        <f>'OddsRatio_working_3-way'!V17^2+4*'OddsRatio_working_3-way'!U17^3/27</f>
        <v>-5.6064085290611215E-3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0.14688822921135813</v>
      </c>
      <c r="Y17" s="11">
        <f>IF('OddsRatio_working_3-way'!W17&gt;=0,IF('OddsRatio_working_3-way'!V17+SQRT('OddsRatio_working_3-way'!W17)&gt;0,0,PI()),ACOS('OddsRatio_working_3-way'!V17/(2*'OddsRatio_working_3-way'!X17)))</f>
        <v>0.25771730331376452</v>
      </c>
      <c r="Z17" s="11">
        <f>'OddsRatio_working_3-way'!X17^(1/3)*COS('OddsRatio_working_3-way'!Y17/3)</f>
        <v>0.52568371107549516</v>
      </c>
      <c r="AA17" s="11">
        <f>'OddsRatio_working_3-way'!X17^(1/3)*COS(('OddsRatio_working_3-way'!Y17+2*PI())/3)</f>
        <v>-0.30204741489951631</v>
      </c>
      <c r="AB17" s="11">
        <f>'OddsRatio_working_3-way'!X17^(1/3)*COS(('OddsRatio_working_3-way'!Y17+4*PI())/3)</f>
        <v>-0.22363629617597888</v>
      </c>
      <c r="AC17" s="11">
        <f>'OddsRatio_working_3-way'!X17^(1/3)*SIN('OddsRatio_working_3-way'!Y17/3)</f>
        <v>4.5270680502494193E-2</v>
      </c>
      <c r="AD17" s="11">
        <f>'OddsRatio_working_3-way'!X17^(1/3)*SIN(('OddsRatio_working_3-way'!Y17+2*PI())/3)</f>
        <v>0.43262010789581079</v>
      </c>
      <c r="AE17" s="11">
        <f>'OddsRatio_working_3-way'!X17^(1/3)*SIN(('OddsRatio_working_3-way'!Y17+4*PI())/3)</f>
        <v>-0.47789078839830484</v>
      </c>
      <c r="AF17" s="11">
        <f>-'OddsRatio_working_3-way'!U17/(3*'OddsRatio_working_3-way'!X17^(1/3))*COS(('OddsRatio_working_3-way'!Y17)/3)</f>
        <v>0.52568371107549527</v>
      </c>
      <c r="AG17" s="11">
        <f>-'OddsRatio_working_3-way'!U17/(3*'OddsRatio_working_3-way'!X17^(1/3))*COS(('OddsRatio_working_3-way'!Y17+2*PI())/3)</f>
        <v>-0.30204741489951642</v>
      </c>
      <c r="AH17" s="11">
        <f>-'OddsRatio_working_3-way'!U17/(3*'OddsRatio_working_3-way'!X17^(1/3))*COS(('OddsRatio_working_3-way'!Y17+4*PI())/3)</f>
        <v>-0.22363629617597894</v>
      </c>
      <c r="AI17" s="11">
        <f>'OddsRatio_working_3-way'!U17/(3*'OddsRatio_working_3-way'!X17^(1/3))*SIN(('OddsRatio_working_3-way'!Y17)/3)</f>
        <v>-4.52706805024942E-2</v>
      </c>
      <c r="AJ17" s="11">
        <f>'OddsRatio_working_3-way'!U17/(3*'OddsRatio_working_3-way'!X17^(1/3))*SIN(('OddsRatio_working_3-way'!Y17+2*PI())/3)</f>
        <v>-0.4326201078958109</v>
      </c>
      <c r="AK17" s="11">
        <f>'OddsRatio_working_3-way'!U17/(3*'OddsRatio_working_3-way'!X17^(1/3))*SIN(('OddsRatio_working_3-way'!Y17+4*PI())/3)</f>
        <v>0.47789078839830496</v>
      </c>
      <c r="AL17" s="11">
        <f>'OddsRatio_working_3-way'!Z17+'OddsRatio_working_3-way'!AF17</f>
        <v>1.0513674221509905</v>
      </c>
      <c r="AM17" s="11">
        <f>'OddsRatio_working_3-way'!AA17+'OddsRatio_working_3-way'!AG17</f>
        <v>-0.60409482979903273</v>
      </c>
      <c r="AN17" s="11">
        <f>'OddsRatio_working_3-way'!AB17+'OddsRatio_working_3-way'!AH17</f>
        <v>-0.44727259235195782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1.0513674221509905</v>
      </c>
      <c r="AS17" s="11">
        <f>IF(('OddsRatio_working_3-way'!X17=0),IF(Q17&gt;0,-Q17^(1/3),(-Q17)^(1/3)),'OddsRatio_working_3-way'!AM17-'OddsRatio_working_3-way'!R17/3)</f>
        <v>-0.60409482979903273</v>
      </c>
      <c r="AT17" s="11">
        <f>IF(('OddsRatio_working_3-way'!X17=0),IF(Q17&gt;0,-Q17^(1/3),(-Q17)^(1/3)),'OddsRatio_working_3-way'!AN17-'OddsRatio_working_3-way'!R17/3)</f>
        <v>-0.44727259235195782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</v>
      </c>
      <c r="B18" s="4">
        <f>IF('True_Odds_Calculator_3-way'!B19="","",'True_Odds_Calculator_3-way'!B19)</f>
        <v>3.81</v>
      </c>
      <c r="C18" s="4">
        <f>IF('True_Odds_Calculator_3-way'!C19="","",'True_Odds_Calculator_3-way'!C19)</f>
        <v>5.33</v>
      </c>
      <c r="D18" s="9">
        <f t="shared" si="13"/>
        <v>0.57223815409221646</v>
      </c>
      <c r="E18" s="9">
        <f t="shared" si="14"/>
        <v>0.2499515369134703</v>
      </c>
      <c r="F18" s="9">
        <f t="shared" si="15"/>
        <v>0.17781030899431338</v>
      </c>
      <c r="G18" s="9">
        <f t="shared" si="16"/>
        <v>1.0678916582663871</v>
      </c>
      <c r="H18" s="9">
        <f t="shared" si="17"/>
        <v>1.7475241607864713</v>
      </c>
      <c r="I18" s="9">
        <f t="shared" si="18"/>
        <v>4.0007755597285479</v>
      </c>
      <c r="J18" s="9">
        <f t="shared" si="19"/>
        <v>5.6239708802934558</v>
      </c>
      <c r="K18" s="11">
        <f t="shared" si="20"/>
        <v>0.58823529411764708</v>
      </c>
      <c r="L18" s="11">
        <f t="shared" si="21"/>
        <v>0.26246719160104987</v>
      </c>
      <c r="M18" s="11">
        <f t="shared" si="22"/>
        <v>0.18761726078799248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-0.24671249776594406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0.22709886129039078</v>
      </c>
      <c r="Q18" s="11">
        <f>2*'OddsRatio_working_3-way'!K18*'OddsRatio_working_3-way'!L18*'OddsRatio_working_3-way'!M18</f>
        <v>5.7933382982242543E-2</v>
      </c>
      <c r="R18" s="11">
        <f t="shared" si="23"/>
        <v>0</v>
      </c>
      <c r="S18" s="11">
        <f t="shared" si="24"/>
        <v>-0.92050002876562531</v>
      </c>
      <c r="T18" s="11">
        <f t="shared" si="25"/>
        <v>-0.23482143590959828</v>
      </c>
      <c r="U18" s="11">
        <f>'OddsRatio_working_3-way'!S18-'OddsRatio_working_3-way'!R18^2/3</f>
        <v>-0.92050002876562531</v>
      </c>
      <c r="V18" s="11">
        <f>'OddsRatio_working_3-way'!S18*'OddsRatio_working_3-way'!R18/3-2*'OddsRatio_working_3-way'!R18^3/27-'OddsRatio_working_3-way'!T18</f>
        <v>0.23482143590959828</v>
      </c>
      <c r="W18" s="11">
        <f>'OddsRatio_working_3-way'!V18^2+4*'OddsRatio_working_3-way'!U18^3/27</f>
        <v>-6.0408280384923733E-2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0.16996278059296491</v>
      </c>
      <c r="Y18" s="11">
        <f>IF('OddsRatio_working_3-way'!W18&gt;=0,IF('OddsRatio_working_3-way'!V18+SQRT('OddsRatio_working_3-way'!W18)&gt;0,0,PI()),ACOS('OddsRatio_working_3-way'!V18/(2*'OddsRatio_working_3-way'!X18)))</f>
        <v>0.80819793564408204</v>
      </c>
      <c r="Z18" s="11">
        <f>'OddsRatio_working_3-way'!X18^(1/3)*COS('OddsRatio_working_3-way'!Y18/3)</f>
        <v>0.53394582913319366</v>
      </c>
      <c r="AA18" s="11">
        <f>'OddsRatio_working_3-way'!X18^(1/3)*COS(('OddsRatio_working_3-way'!Y18+2*PI())/3)</f>
        <v>-0.39464983438711931</v>
      </c>
      <c r="AB18" s="11">
        <f>'OddsRatio_working_3-way'!X18^(1/3)*COS(('OddsRatio_working_3-way'!Y18+4*PI())/3)</f>
        <v>-0.13929599474607457</v>
      </c>
      <c r="AC18" s="11">
        <f>'OddsRatio_working_3-way'!X18^(1/3)*SIN('OddsRatio_working_3-way'!Y18/3)</f>
        <v>0.14742860805536187</v>
      </c>
      <c r="AD18" s="11">
        <f>'OddsRatio_working_3-way'!X18^(1/3)*SIN(('OddsRatio_working_3-way'!Y18+2*PI())/3)</f>
        <v>0.38869634824641014</v>
      </c>
      <c r="AE18" s="11">
        <f>'OddsRatio_working_3-way'!X18^(1/3)*SIN(('OddsRatio_working_3-way'!Y18+4*PI())/3)</f>
        <v>-0.53612495630177182</v>
      </c>
      <c r="AF18" s="11">
        <f>-'OddsRatio_working_3-way'!U18/(3*'OddsRatio_working_3-way'!X18^(1/3))*COS(('OddsRatio_working_3-way'!Y18)/3)</f>
        <v>0.53394582913319355</v>
      </c>
      <c r="AG18" s="11">
        <f>-'OddsRatio_working_3-way'!U18/(3*'OddsRatio_working_3-way'!X18^(1/3))*COS(('OddsRatio_working_3-way'!Y18+2*PI())/3)</f>
        <v>-0.39464983438711915</v>
      </c>
      <c r="AH18" s="11">
        <f>-'OddsRatio_working_3-way'!U18/(3*'OddsRatio_working_3-way'!X18^(1/3))*COS(('OddsRatio_working_3-way'!Y18+4*PI())/3)</f>
        <v>-0.13929599474607451</v>
      </c>
      <c r="AI18" s="11">
        <f>'OddsRatio_working_3-way'!U18/(3*'OddsRatio_working_3-way'!X18^(1/3))*SIN(('OddsRatio_working_3-way'!Y18)/3)</f>
        <v>-0.14742860805536182</v>
      </c>
      <c r="AJ18" s="11">
        <f>'OddsRatio_working_3-way'!U18/(3*'OddsRatio_working_3-way'!X18^(1/3))*SIN(('OddsRatio_working_3-way'!Y18+2*PI())/3)</f>
        <v>-0.38869634824640997</v>
      </c>
      <c r="AK18" s="11">
        <f>'OddsRatio_working_3-way'!U18/(3*'OddsRatio_working_3-way'!X18^(1/3))*SIN(('OddsRatio_working_3-way'!Y18+4*PI())/3)</f>
        <v>0.53612495630177159</v>
      </c>
      <c r="AL18" s="11">
        <f>'OddsRatio_working_3-way'!Z18+'OddsRatio_working_3-way'!AF18</f>
        <v>1.0678916582663871</v>
      </c>
      <c r="AM18" s="11">
        <f>'OddsRatio_working_3-way'!AA18+'OddsRatio_working_3-way'!AG18</f>
        <v>-0.78929966877423841</v>
      </c>
      <c r="AN18" s="11">
        <f>'OddsRatio_working_3-way'!AB18+'OddsRatio_working_3-way'!AH18</f>
        <v>-0.27859198949214908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1.0678916582663871</v>
      </c>
      <c r="AS18" s="11">
        <f>IF(('OddsRatio_working_3-way'!X18=0),IF(Q18&gt;0,-Q18^(1/3),(-Q18)^(1/3)),'OddsRatio_working_3-way'!AM18-'OddsRatio_working_3-way'!R18/3)</f>
        <v>-0.78929966877423841</v>
      </c>
      <c r="AT18" s="11">
        <f>IF(('OddsRatio_working_3-way'!X18=0),IF(Q18&gt;0,-Q18^(1/3),(-Q18)^(1/3)),'OddsRatio_working_3-way'!AN18-'OddsRatio_working_3-way'!R18/3)</f>
        <v>-0.27859198949214908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3.28</v>
      </c>
      <c r="C19" s="4">
        <f>IF('True_Odds_Calculator_3-way'!C20="","",'True_Odds_Calculator_3-way'!C20)</f>
        <v>3.42</v>
      </c>
      <c r="D19" s="9">
        <f t="shared" si="13"/>
        <v>0.4240608911478928</v>
      </c>
      <c r="E19" s="9">
        <f t="shared" si="14"/>
        <v>0.29407833251642085</v>
      </c>
      <c r="F19" s="9">
        <f t="shared" si="15"/>
        <v>0.2818607763356864</v>
      </c>
      <c r="G19" s="9">
        <f t="shared" si="16"/>
        <v>1.052830937222748</v>
      </c>
      <c r="H19" s="9">
        <f t="shared" si="17"/>
        <v>2.3581519090173453</v>
      </c>
      <c r="I19" s="9">
        <f t="shared" si="18"/>
        <v>3.4004545368678656</v>
      </c>
      <c r="J19" s="9">
        <f t="shared" si="19"/>
        <v>3.5478508680790504</v>
      </c>
      <c r="K19" s="11">
        <f t="shared" si="20"/>
        <v>0.4366812227074236</v>
      </c>
      <c r="L19" s="11">
        <f t="shared" si="21"/>
        <v>0.3048780487804878</v>
      </c>
      <c r="M19" s="11">
        <f t="shared" si="22"/>
        <v>0.29239766081871343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-0.2770795611886252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0.23318004956652649</v>
      </c>
      <c r="Q19" s="11">
        <f>2*'OddsRatio_working_3-way'!K19*'OddsRatio_working_3-way'!L19*'OddsRatio_working_3-way'!M19</f>
        <v>7.7856443928723346E-2</v>
      </c>
      <c r="R19" s="11">
        <f t="shared" si="23"/>
        <v>0</v>
      </c>
      <c r="S19" s="11">
        <f t="shared" si="24"/>
        <v>-0.84156351542576036</v>
      </c>
      <c r="T19" s="11">
        <f t="shared" si="25"/>
        <v>-0.28098948762128884</v>
      </c>
      <c r="U19" s="11">
        <f>'OddsRatio_working_3-way'!S19-'OddsRatio_working_3-way'!R19^2/3</f>
        <v>-0.84156351542576036</v>
      </c>
      <c r="V19" s="11">
        <f>'OddsRatio_working_3-way'!S19*'OddsRatio_working_3-way'!R19/3-2*'OddsRatio_working_3-way'!R19^3/27-'OddsRatio_working_3-way'!T19</f>
        <v>0.28098948762128884</v>
      </c>
      <c r="W19" s="11">
        <f>'OddsRatio_working_3-way'!V19^2+4*'OddsRatio_working_3-way'!U19^3/27</f>
        <v>-9.3441394934685174E-3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0.14857593315132078</v>
      </c>
      <c r="Y19" s="11">
        <f>IF('OddsRatio_working_3-way'!W19&gt;=0,IF('OddsRatio_working_3-way'!V19+SQRT('OddsRatio_working_3-way'!W19)&gt;0,0,PI()),ACOS('OddsRatio_working_3-way'!V19/(2*'OddsRatio_working_3-way'!X19)))</f>
        <v>0.33133461467200687</v>
      </c>
      <c r="Z19" s="11">
        <f>'OddsRatio_working_3-way'!X19^(1/3)*COS('OddsRatio_working_3-way'!Y19/3)</f>
        <v>0.526415468611374</v>
      </c>
      <c r="AA19" s="11">
        <f>'OddsRatio_working_3-way'!X19^(1/3)*COS(('OddsRatio_working_3-way'!Y19+2*PI())/3)</f>
        <v>-0.31376408565189073</v>
      </c>
      <c r="AB19" s="11">
        <f>'OddsRatio_working_3-way'!X19^(1/3)*COS(('OddsRatio_working_3-way'!Y19+4*PI())/3)</f>
        <v>-0.21265138295948333</v>
      </c>
      <c r="AC19" s="11">
        <f>'OddsRatio_working_3-way'!X19^(1/3)*SIN('OddsRatio_working_3-way'!Y19/3)</f>
        <v>5.8377446117952106E-2</v>
      </c>
      <c r="AD19" s="11">
        <f>'OddsRatio_working_3-way'!X19^(1/3)*SIN(('OddsRatio_working_3-way'!Y19+2*PI())/3)</f>
        <v>0.42670044570356358</v>
      </c>
      <c r="AE19" s="11">
        <f>'OddsRatio_working_3-way'!X19^(1/3)*SIN(('OddsRatio_working_3-way'!Y19+4*PI())/3)</f>
        <v>-0.48507789182151567</v>
      </c>
      <c r="AF19" s="11">
        <f>-'OddsRatio_working_3-way'!U19/(3*'OddsRatio_working_3-way'!X19^(1/3))*COS(('OddsRatio_working_3-way'!Y19)/3)</f>
        <v>0.52641546861137389</v>
      </c>
      <c r="AG19" s="11">
        <f>-'OddsRatio_working_3-way'!U19/(3*'OddsRatio_working_3-way'!X19^(1/3))*COS(('OddsRatio_working_3-way'!Y19+2*PI())/3)</f>
        <v>-0.31376408565189068</v>
      </c>
      <c r="AH19" s="11">
        <f>-'OddsRatio_working_3-way'!U19/(3*'OddsRatio_working_3-way'!X19^(1/3))*COS(('OddsRatio_working_3-way'!Y19+4*PI())/3)</f>
        <v>-0.2126513829594833</v>
      </c>
      <c r="AI19" s="11">
        <f>'OddsRatio_working_3-way'!U19/(3*'OddsRatio_working_3-way'!X19^(1/3))*SIN(('OddsRatio_working_3-way'!Y19)/3)</f>
        <v>-5.8377446117952092E-2</v>
      </c>
      <c r="AJ19" s="11">
        <f>'OddsRatio_working_3-way'!U19/(3*'OddsRatio_working_3-way'!X19^(1/3))*SIN(('OddsRatio_working_3-way'!Y19+2*PI())/3)</f>
        <v>-0.42670044570356352</v>
      </c>
      <c r="AK19" s="11">
        <f>'OddsRatio_working_3-way'!U19/(3*'OddsRatio_working_3-way'!X19^(1/3))*SIN(('OddsRatio_working_3-way'!Y19+4*PI())/3)</f>
        <v>0.48507789182151556</v>
      </c>
      <c r="AL19" s="11">
        <f>'OddsRatio_working_3-way'!Z19+'OddsRatio_working_3-way'!AF19</f>
        <v>1.052830937222748</v>
      </c>
      <c r="AM19" s="11">
        <f>'OddsRatio_working_3-way'!AA19+'OddsRatio_working_3-way'!AG19</f>
        <v>-0.62752817130378147</v>
      </c>
      <c r="AN19" s="11">
        <f>'OddsRatio_working_3-way'!AB19+'OddsRatio_working_3-way'!AH19</f>
        <v>-0.42530276591896665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1.052830937222748</v>
      </c>
      <c r="AS19" s="11">
        <f>IF(('OddsRatio_working_3-way'!X19=0),IF(Q19&gt;0,-Q19^(1/3),(-Q19)^(1/3)),'OddsRatio_working_3-way'!AM19-'OddsRatio_working_3-way'!R19/3)</f>
        <v>-0.62752817130378147</v>
      </c>
      <c r="AT19" s="11">
        <f>IF(('OddsRatio_working_3-way'!X19=0),IF(Q19&gt;0,-Q19^(1/3),(-Q19)^(1/3)),'OddsRatio_working_3-way'!AN19-'OddsRatio_working_3-way'!R19/3)</f>
        <v>-0.42530276591896665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1.95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3.91</v>
      </c>
      <c r="D20" s="9">
        <f t="shared" si="13"/>
        <v>0.49395416926073005</v>
      </c>
      <c r="E20" s="9">
        <f t="shared" si="14"/>
        <v>0.26439147932073753</v>
      </c>
      <c r="F20" s="9">
        <f t="shared" si="15"/>
        <v>0.24165435141853256</v>
      </c>
      <c r="G20" s="9">
        <f t="shared" si="16"/>
        <v>1.078399282727057</v>
      </c>
      <c r="H20" s="9">
        <f t="shared" si="17"/>
        <v>2.024479318590704</v>
      </c>
      <c r="I20" s="9">
        <f t="shared" si="18"/>
        <v>3.7822701494358069</v>
      </c>
      <c r="J20" s="9">
        <f t="shared" si="19"/>
        <v>4.1381419127357359</v>
      </c>
      <c r="K20" s="11">
        <f t="shared" si="20"/>
        <v>0.51282051282051289</v>
      </c>
      <c r="L20" s="11">
        <f t="shared" si="21"/>
        <v>0.27932960893854747</v>
      </c>
      <c r="M20" s="11">
        <f t="shared" si="22"/>
        <v>0.25575447570332482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-0.26130150122491791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0.23593451132064347</v>
      </c>
      <c r="Q20" s="11">
        <f>2*'OddsRatio_working_3-way'!K20*'OddsRatio_working_3-way'!L20*'OddsRatio_working_3-way'!M20</f>
        <v>7.3271587366659466E-2</v>
      </c>
      <c r="R20" s="11">
        <f t="shared" si="23"/>
        <v>0</v>
      </c>
      <c r="S20" s="11">
        <f t="shared" si="24"/>
        <v>-0.9029206116866525</v>
      </c>
      <c r="T20" s="11">
        <f t="shared" si="25"/>
        <v>-0.28041012785299768</v>
      </c>
      <c r="U20" s="11">
        <f>'OddsRatio_working_3-way'!S20-'OddsRatio_working_3-way'!R20^2/3</f>
        <v>-0.9029206116866525</v>
      </c>
      <c r="V20" s="11">
        <f>'OddsRatio_working_3-way'!S20*'OddsRatio_working_3-way'!R20/3-2*'OddsRatio_working_3-way'!R20^3/27-'OddsRatio_working_3-way'!T20</f>
        <v>0.28041012785299768</v>
      </c>
      <c r="W20" s="11">
        <f>'OddsRatio_working_3-way'!V20^2+4*'OddsRatio_working_3-way'!U20^3/27</f>
        <v>-3.0424996084486039E-2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0.16511725824926701</v>
      </c>
      <c r="Y20" s="11">
        <f>IF('OddsRatio_working_3-way'!W20&gt;=0,IF('OddsRatio_working_3-way'!V20+SQRT('OddsRatio_working_3-way'!W20)&gt;0,0,PI()),ACOS('OddsRatio_working_3-way'!V20/(2*'OddsRatio_working_3-way'!X20)))</f>
        <v>0.5564713077330945</v>
      </c>
      <c r="Z20" s="11">
        <f>'OddsRatio_working_3-way'!X20^(1/3)*COS('OddsRatio_working_3-way'!Y20/3)</f>
        <v>0.53919964136352849</v>
      </c>
      <c r="AA20" s="11">
        <f>'OddsRatio_working_3-way'!X20^(1/3)*COS(('OddsRatio_working_3-way'!Y20+2*PI())/3)</f>
        <v>-0.35722380704819717</v>
      </c>
      <c r="AB20" s="11">
        <f>'OddsRatio_working_3-way'!X20^(1/3)*COS(('OddsRatio_working_3-way'!Y20+4*PI())/3)</f>
        <v>-0.18197583431533149</v>
      </c>
      <c r="AC20" s="11">
        <f>'OddsRatio_working_3-way'!X20^(1/3)*SIN('OddsRatio_working_3-way'!Y20/3)</f>
        <v>0.10117946423225643</v>
      </c>
      <c r="AD20" s="11">
        <f>'OddsRatio_working_3-way'!X20^(1/3)*SIN(('OddsRatio_working_3-way'!Y20+2*PI())/3)</f>
        <v>0.41637085501614618</v>
      </c>
      <c r="AE20" s="11">
        <f>'OddsRatio_working_3-way'!X20^(1/3)*SIN(('OddsRatio_working_3-way'!Y20+4*PI())/3)</f>
        <v>-0.51755031924840245</v>
      </c>
      <c r="AF20" s="11">
        <f>-'OddsRatio_working_3-way'!U20/(3*'OddsRatio_working_3-way'!X20^(1/3))*COS(('OddsRatio_working_3-way'!Y20)/3)</f>
        <v>0.53919964136352838</v>
      </c>
      <c r="AG20" s="11">
        <f>-'OddsRatio_working_3-way'!U20/(3*'OddsRatio_working_3-way'!X20^(1/3))*COS(('OddsRatio_working_3-way'!Y20+2*PI())/3)</f>
        <v>-0.35722380704819712</v>
      </c>
      <c r="AH20" s="11">
        <f>-'OddsRatio_working_3-way'!U20/(3*'OddsRatio_working_3-way'!X20^(1/3))*COS(('OddsRatio_working_3-way'!Y20+4*PI())/3)</f>
        <v>-0.18197583431533143</v>
      </c>
      <c r="AI20" s="11">
        <f>'OddsRatio_working_3-way'!U20/(3*'OddsRatio_working_3-way'!X20^(1/3))*SIN(('OddsRatio_working_3-way'!Y20)/3)</f>
        <v>-0.10117946423225642</v>
      </c>
      <c r="AJ20" s="11">
        <f>'OddsRatio_working_3-way'!U20/(3*'OddsRatio_working_3-way'!X20^(1/3))*SIN(('OddsRatio_working_3-way'!Y20+2*PI())/3)</f>
        <v>-0.41637085501614612</v>
      </c>
      <c r="AK20" s="11">
        <f>'OddsRatio_working_3-way'!U20/(3*'OddsRatio_working_3-way'!X20^(1/3))*SIN(('OddsRatio_working_3-way'!Y20+4*PI())/3)</f>
        <v>0.51755031924840234</v>
      </c>
      <c r="AL20" s="11">
        <f>'OddsRatio_working_3-way'!Z20+'OddsRatio_working_3-way'!AF20</f>
        <v>1.078399282727057</v>
      </c>
      <c r="AM20" s="11">
        <f>'OddsRatio_working_3-way'!AA20+'OddsRatio_working_3-way'!AG20</f>
        <v>-0.71444761409639423</v>
      </c>
      <c r="AN20" s="11">
        <f>'OddsRatio_working_3-way'!AB20+'OddsRatio_working_3-way'!AH20</f>
        <v>-0.36395166863066292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1.078399282727057</v>
      </c>
      <c r="AS20" s="11">
        <f>IF(('OddsRatio_working_3-way'!X20=0),IF(Q20&gt;0,-Q20^(1/3),(-Q20)^(1/3)),'OddsRatio_working_3-way'!AM20-'OddsRatio_working_3-way'!R20/3)</f>
        <v>-0.71444761409639423</v>
      </c>
      <c r="AT20" s="11">
        <f>IF(('OddsRatio_working_3-way'!X20=0),IF(Q20&gt;0,-Q20^(1/3),(-Q20)^(1/3)),'OddsRatio_working_3-way'!AN20-'OddsRatio_working_3-way'!R20/3)</f>
        <v>-0.36395166863066292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2.5099999999999998</v>
      </c>
      <c r="B21" s="4">
        <f>IF('True_Odds_Calculator_3-way'!B22="","",'True_Odds_Calculator_3-way'!B22)</f>
        <v>3.36</v>
      </c>
      <c r="C21" s="4">
        <f>IF('True_Odds_Calculator_3-way'!C22="","",'True_Odds_Calculator_3-way'!C22)</f>
        <v>2.87</v>
      </c>
      <c r="D21" s="9">
        <f t="shared" si="13"/>
        <v>0.38258809623946471</v>
      </c>
      <c r="E21" s="9">
        <f t="shared" si="14"/>
        <v>0.28391389412422635</v>
      </c>
      <c r="F21" s="9">
        <f t="shared" si="15"/>
        <v>0.33349800963630899</v>
      </c>
      <c r="G21" s="9">
        <f t="shared" si="16"/>
        <v>1.068726548184685</v>
      </c>
      <c r="H21" s="9">
        <f t="shared" si="17"/>
        <v>2.6137770877588742</v>
      </c>
      <c r="I21" s="9">
        <f t="shared" si="18"/>
        <v>3.5221946537158573</v>
      </c>
      <c r="J21" s="9">
        <f t="shared" si="19"/>
        <v>2.9985186451053614</v>
      </c>
      <c r="K21" s="11">
        <f t="shared" si="20"/>
        <v>0.39840637450199207</v>
      </c>
      <c r="L21" s="11">
        <f t="shared" si="21"/>
        <v>0.29761904761904762</v>
      </c>
      <c r="M21" s="11">
        <f t="shared" si="22"/>
        <v>0.34843205574912889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-0.27531866891154488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0.23714665148928105</v>
      </c>
      <c r="Q21" s="11">
        <f>2*'OddsRatio_working_3-way'!K21*'OddsRatio_working_3-way'!L21*'OddsRatio_working_3-way'!M21</f>
        <v>8.2629495292432395E-2</v>
      </c>
      <c r="R21" s="11">
        <f t="shared" si="23"/>
        <v>0</v>
      </c>
      <c r="S21" s="11">
        <f t="shared" si="24"/>
        <v>-0.86135332713479074</v>
      </c>
      <c r="T21" s="11">
        <f t="shared" si="25"/>
        <v>-0.30012311049992696</v>
      </c>
      <c r="U21" s="11">
        <f>'OddsRatio_working_3-way'!S21-'OddsRatio_working_3-way'!R21^2/3</f>
        <v>-0.86135332713479074</v>
      </c>
      <c r="V21" s="11">
        <f>'OddsRatio_working_3-way'!S21*'OddsRatio_working_3-way'!R21/3-2*'OddsRatio_working_3-way'!R21^3/27-'OddsRatio_working_3-way'!T21</f>
        <v>0.30012311049992696</v>
      </c>
      <c r="W21" s="11">
        <f>'OddsRatio_working_3-way'!V21^2+4*'OddsRatio_working_3-way'!U21^3/27</f>
        <v>-4.602191133576905E-3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0.15384738589729779</v>
      </c>
      <c r="Y21" s="11">
        <f>IF('OddsRatio_working_3-way'!W21&gt;=0,IF('OddsRatio_working_3-way'!V21+SQRT('OddsRatio_working_3-way'!W21)&gt;0,0,PI()),ACOS('OddsRatio_working_3-way'!V21/(2*'OddsRatio_working_3-way'!X21)))</f>
        <v>0.22230291431393789</v>
      </c>
      <c r="Z21" s="11">
        <f>'OddsRatio_working_3-way'!X21^(1/3)*COS('OddsRatio_working_3-way'!Y21/3)</f>
        <v>0.53436327409234252</v>
      </c>
      <c r="AA21" s="11">
        <f>'OddsRatio_working_3-way'!X21^(1/3)*COS(('OddsRatio_working_3-way'!Y21+2*PI())/3)</f>
        <v>-0.30153640759818667</v>
      </c>
      <c r="AB21" s="11">
        <f>'OddsRatio_working_3-way'!X21^(1/3)*COS(('OddsRatio_working_3-way'!Y21+4*PI())/3)</f>
        <v>-0.23282686649415604</v>
      </c>
      <c r="AC21" s="11">
        <f>'OddsRatio_working_3-way'!X21^(1/3)*SIN('OddsRatio_working_3-way'!Y21/3)</f>
        <v>3.966947205230785E-2</v>
      </c>
      <c r="AD21" s="11">
        <f>'OddsRatio_working_3-way'!X21^(1/3)*SIN(('OddsRatio_working_3-way'!Y21+2*PI())/3)</f>
        <v>0.44293743418724174</v>
      </c>
      <c r="AE21" s="11">
        <f>'OddsRatio_working_3-way'!X21^(1/3)*SIN(('OddsRatio_working_3-way'!Y21+4*PI())/3)</f>
        <v>-0.48260690623954955</v>
      </c>
      <c r="AF21" s="11">
        <f>-'OddsRatio_working_3-way'!U21/(3*'OddsRatio_working_3-way'!X21^(1/3))*COS(('OddsRatio_working_3-way'!Y21)/3)</f>
        <v>0.53436327409234263</v>
      </c>
      <c r="AG21" s="11">
        <f>-'OddsRatio_working_3-way'!U21/(3*'OddsRatio_working_3-way'!X21^(1/3))*COS(('OddsRatio_working_3-way'!Y21+2*PI())/3)</f>
        <v>-0.30153640759818673</v>
      </c>
      <c r="AH21" s="11">
        <f>-'OddsRatio_working_3-way'!U21/(3*'OddsRatio_working_3-way'!X21^(1/3))*COS(('OddsRatio_working_3-way'!Y21+4*PI())/3)</f>
        <v>-0.2328268664941561</v>
      </c>
      <c r="AI21" s="11">
        <f>'OddsRatio_working_3-way'!U21/(3*'OddsRatio_working_3-way'!X21^(1/3))*SIN(('OddsRatio_working_3-way'!Y21)/3)</f>
        <v>-3.9669472052307857E-2</v>
      </c>
      <c r="AJ21" s="11">
        <f>'OddsRatio_working_3-way'!U21/(3*'OddsRatio_working_3-way'!X21^(1/3))*SIN(('OddsRatio_working_3-way'!Y21+2*PI())/3)</f>
        <v>-0.4429374341872418</v>
      </c>
      <c r="AK21" s="11">
        <f>'OddsRatio_working_3-way'!U21/(3*'OddsRatio_working_3-way'!X21^(1/3))*SIN(('OddsRatio_working_3-way'!Y21+4*PI())/3)</f>
        <v>0.4826069062395496</v>
      </c>
      <c r="AL21" s="11">
        <f>'OddsRatio_working_3-way'!Z21+'OddsRatio_working_3-way'!AF21</f>
        <v>1.068726548184685</v>
      </c>
      <c r="AM21" s="11">
        <f>'OddsRatio_working_3-way'!AA21+'OddsRatio_working_3-way'!AG21</f>
        <v>-0.60307281519637335</v>
      </c>
      <c r="AN21" s="11">
        <f>'OddsRatio_working_3-way'!AB21+'OddsRatio_working_3-way'!AH21</f>
        <v>-0.46565373298831214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1.068726548184685</v>
      </c>
      <c r="AS21" s="11">
        <f>IF(('OddsRatio_working_3-way'!X21=0),IF(Q21&gt;0,-Q21^(1/3),(-Q21)^(1/3)),'OddsRatio_working_3-way'!AM21-'OddsRatio_working_3-way'!R21/3)</f>
        <v>-0.60307281519637335</v>
      </c>
      <c r="AT21" s="11">
        <f>IF(('OddsRatio_working_3-way'!X21=0),IF(Q21&gt;0,-Q21^(1/3),(-Q21)^(1/3)),'OddsRatio_working_3-way'!AN21-'OddsRatio_working_3-way'!R21/3)</f>
        <v>-0.46565373298831214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3.36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2.15</v>
      </c>
      <c r="D22" s="9">
        <f t="shared" si="13"/>
        <v>0.28336476295248958</v>
      </c>
      <c r="E22" s="9">
        <f t="shared" si="14"/>
        <v>0.26867913241252739</v>
      </c>
      <c r="F22" s="9">
        <f t="shared" si="15"/>
        <v>0.44795610463498287</v>
      </c>
      <c r="G22" s="9">
        <f t="shared" si="16"/>
        <v>1.0716187700439597</v>
      </c>
      <c r="H22" s="9">
        <f t="shared" si="17"/>
        <v>3.5290202973037448</v>
      </c>
      <c r="I22" s="9">
        <f t="shared" si="18"/>
        <v>3.7219116759116577</v>
      </c>
      <c r="J22" s="9">
        <f t="shared" si="19"/>
        <v>2.2323615855505534</v>
      </c>
      <c r="K22" s="11">
        <f t="shared" si="20"/>
        <v>0.29761904761904762</v>
      </c>
      <c r="L22" s="11">
        <f t="shared" si="21"/>
        <v>0.2824858757062147</v>
      </c>
      <c r="M22" s="11">
        <f t="shared" si="22"/>
        <v>0.46511627906976744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-0.269564414913252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0.2365780105236156</v>
      </c>
      <c r="Q22" s="11">
        <f>2*'OddsRatio_working_3-way'!K22*'OddsRatio_working_3-way'!L22*'OddsRatio_working_3-way'!M22</f>
        <v>7.8207606784666303E-2</v>
      </c>
      <c r="R22" s="11">
        <f t="shared" si="23"/>
        <v>0</v>
      </c>
      <c r="S22" s="11">
        <f t="shared" si="24"/>
        <v>-0.87763071620469013</v>
      </c>
      <c r="T22" s="11">
        <f t="shared" si="25"/>
        <v>-0.29012585659659174</v>
      </c>
      <c r="U22" s="11">
        <f>'OddsRatio_working_3-way'!S22-'OddsRatio_working_3-way'!R22^2/3</f>
        <v>-0.87763071620469013</v>
      </c>
      <c r="V22" s="11">
        <f>'OddsRatio_working_3-way'!S22*'OddsRatio_working_3-way'!R22/3-2*'OddsRatio_working_3-way'!R22^3/27-'OddsRatio_working_3-way'!T22</f>
        <v>0.29012585659659174</v>
      </c>
      <c r="W22" s="11">
        <f>'OddsRatio_working_3-way'!V22^2+4*'OddsRatio_working_3-way'!U22^3/27</f>
        <v>-1.597254085139807E-2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0.158228911325731</v>
      </c>
      <c r="Y22" s="11">
        <f>IF('OddsRatio_working_3-way'!W22&gt;=0,IF('OddsRatio_working_3-way'!V22+SQRT('OddsRatio_working_3-way'!W22)&gt;0,0,PI()),ACOS('OddsRatio_working_3-way'!V22/(2*'OddsRatio_working_3-way'!X22)))</f>
        <v>0.41082527958894688</v>
      </c>
      <c r="Z22" s="11">
        <f>'OddsRatio_working_3-way'!X22^(1/3)*COS('OddsRatio_working_3-way'!Y22/3)</f>
        <v>0.53580938502197994</v>
      </c>
      <c r="AA22" s="11">
        <f>'OddsRatio_working_3-way'!X22^(1/3)*COS(('OddsRatio_working_3-way'!Y22+2*PI())/3)</f>
        <v>-0.33184924851811504</v>
      </c>
      <c r="AB22" s="11">
        <f>'OddsRatio_working_3-way'!X22^(1/3)*COS(('OddsRatio_working_3-way'!Y22+4*PI())/3)</f>
        <v>-0.20396013650386494</v>
      </c>
      <c r="AC22" s="11">
        <f>'OddsRatio_working_3-way'!X22^(1/3)*SIN('OddsRatio_working_3-way'!Y22/3)</f>
        <v>7.3836813247849561E-2</v>
      </c>
      <c r="AD22" s="11">
        <f>'OddsRatio_working_3-way'!X22^(1/3)*SIN(('OddsRatio_working_3-way'!Y22+2*PI())/3)</f>
        <v>0.42710613239122713</v>
      </c>
      <c r="AE22" s="11">
        <f>'OddsRatio_working_3-way'!X22^(1/3)*SIN(('OddsRatio_working_3-way'!Y22+4*PI())/3)</f>
        <v>-0.5009429456390766</v>
      </c>
      <c r="AF22" s="11">
        <f>-'OddsRatio_working_3-way'!U22/(3*'OddsRatio_working_3-way'!X22^(1/3))*COS(('OddsRatio_working_3-way'!Y22)/3)</f>
        <v>0.53580938502197983</v>
      </c>
      <c r="AG22" s="11">
        <f>-'OddsRatio_working_3-way'!U22/(3*'OddsRatio_working_3-way'!X22^(1/3))*COS(('OddsRatio_working_3-way'!Y22+2*PI())/3)</f>
        <v>-0.33184924851811493</v>
      </c>
      <c r="AH22" s="11">
        <f>-'OddsRatio_working_3-way'!U22/(3*'OddsRatio_working_3-way'!X22^(1/3))*COS(('OddsRatio_working_3-way'!Y22+4*PI())/3)</f>
        <v>-0.20396013650386491</v>
      </c>
      <c r="AI22" s="11">
        <f>'OddsRatio_working_3-way'!U22/(3*'OddsRatio_working_3-way'!X22^(1/3))*SIN(('OddsRatio_working_3-way'!Y22)/3)</f>
        <v>-7.3836813247849548E-2</v>
      </c>
      <c r="AJ22" s="11">
        <f>'OddsRatio_working_3-way'!U22/(3*'OddsRatio_working_3-way'!X22^(1/3))*SIN(('OddsRatio_working_3-way'!Y22+2*PI())/3)</f>
        <v>-0.42710613239122702</v>
      </c>
      <c r="AK22" s="11">
        <f>'OddsRatio_working_3-way'!U22/(3*'OddsRatio_working_3-way'!X22^(1/3))*SIN(('OddsRatio_working_3-way'!Y22+4*PI())/3)</f>
        <v>0.50094294563907649</v>
      </c>
      <c r="AL22" s="11">
        <f>'OddsRatio_working_3-way'!Z22+'OddsRatio_working_3-way'!AF22</f>
        <v>1.0716187700439597</v>
      </c>
      <c r="AM22" s="11">
        <f>'OddsRatio_working_3-way'!AA22+'OddsRatio_working_3-way'!AG22</f>
        <v>-0.66369849703622996</v>
      </c>
      <c r="AN22" s="11">
        <f>'OddsRatio_working_3-way'!AB22+'OddsRatio_working_3-way'!AH22</f>
        <v>-0.40792027300772982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1.0716187700439597</v>
      </c>
      <c r="AS22" s="11">
        <f>IF(('OddsRatio_working_3-way'!X22=0),IF(Q22&gt;0,-Q22^(1/3),(-Q22)^(1/3)),'OddsRatio_working_3-way'!AM22-'OddsRatio_working_3-way'!R22/3)</f>
        <v>-0.66369849703622996</v>
      </c>
      <c r="AT22" s="11">
        <f>IF(('OddsRatio_working_3-way'!X22=0),IF(Q22&gt;0,-Q22^(1/3),(-Q22)^(1/3)),'OddsRatio_working_3-way'!AN22-'OddsRatio_working_3-way'!R22/3)</f>
        <v>-0.40792027300772982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2.54</v>
      </c>
      <c r="B23" s="4">
        <f>IF('True_Odds_Calculator_3-way'!B24="","",'True_Odds_Calculator_3-way'!B24)</f>
        <v>2.96</v>
      </c>
      <c r="C23" s="4">
        <f>IF('True_Odds_Calculator_3-way'!C24="","",'True_Odds_Calculator_3-way'!C24)</f>
        <v>3.38</v>
      </c>
      <c r="D23" s="9">
        <f t="shared" si="13"/>
        <v>0.3839313002432907</v>
      </c>
      <c r="E23" s="9">
        <f t="shared" si="14"/>
        <v>0.32870303216229607</v>
      </c>
      <c r="F23" s="9">
        <f t="shared" si="15"/>
        <v>0.28736566759441318</v>
      </c>
      <c r="G23" s="9">
        <f t="shared" si="16"/>
        <v>1.0419692532964309</v>
      </c>
      <c r="H23" s="9">
        <f t="shared" si="17"/>
        <v>2.6046326500765034</v>
      </c>
      <c r="I23" s="9">
        <f t="shared" si="18"/>
        <v>3.0422597364610047</v>
      </c>
      <c r="J23" s="9">
        <f t="shared" si="19"/>
        <v>3.4798868228455051</v>
      </c>
      <c r="K23" s="11">
        <f t="shared" si="20"/>
        <v>0.39370078740157477</v>
      </c>
      <c r="L23" s="11">
        <f t="shared" si="21"/>
        <v>0.33783783783783783</v>
      </c>
      <c r="M23" s="11">
        <f t="shared" si="22"/>
        <v>0.29585798816568049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-0.28269076512565294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0.23138499819299335</v>
      </c>
      <c r="Q23" s="11">
        <f>2*'OddsRatio_working_3-way'!K23*'OddsRatio_working_3-way'!L23*'OddsRatio_working_3-way'!M23</f>
        <v>7.8702380337752828E-2</v>
      </c>
      <c r="R23" s="11">
        <f t="shared" si="23"/>
        <v>0</v>
      </c>
      <c r="S23" s="11">
        <f t="shared" si="24"/>
        <v>-0.81850922187056685</v>
      </c>
      <c r="T23" s="11">
        <f t="shared" si="25"/>
        <v>-0.27840449723488664</v>
      </c>
      <c r="U23" s="11">
        <f>'OddsRatio_working_3-way'!S23-'OddsRatio_working_3-way'!R23^2/3</f>
        <v>-0.81850922187056685</v>
      </c>
      <c r="V23" s="11">
        <f>'OddsRatio_working_3-way'!S23*'OddsRatio_working_3-way'!R23/3-2*'OddsRatio_working_3-way'!R23^3/27-'OddsRatio_working_3-way'!T23</f>
        <v>0.27840449723488664</v>
      </c>
      <c r="W23" s="11">
        <f>'OddsRatio_working_3-way'!V23^2+4*'OddsRatio_working_3-way'!U23^3/27</f>
        <v>-3.730382763237991E-3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0.14251267210659549</v>
      </c>
      <c r="Y23" s="11">
        <f>IF('OddsRatio_working_3-way'!W23&gt;=0,IF('OddsRatio_working_3-way'!V23+SQRT('OddsRatio_working_3-way'!W23)&gt;0,0,PI()),ACOS('OddsRatio_working_3-way'!V23/(2*'OddsRatio_working_3-way'!X23)))</f>
        <v>0.21596049868495837</v>
      </c>
      <c r="Z23" s="11">
        <f>'OddsRatio_working_3-way'!X23^(1/3)*COS('OddsRatio_working_3-way'!Y23/3)</f>
        <v>0.52098462664821543</v>
      </c>
      <c r="AA23" s="11">
        <f>'OddsRatio_working_3-way'!X23^(1/3)*COS(('OddsRatio_working_3-way'!Y23+2*PI())/3)</f>
        <v>-0.29302797936625813</v>
      </c>
      <c r="AB23" s="11">
        <f>'OddsRatio_working_3-way'!X23^(1/3)*COS(('OddsRatio_working_3-way'!Y23+4*PI())/3)</f>
        <v>-0.2279566472819573</v>
      </c>
      <c r="AC23" s="11">
        <f>'OddsRatio_working_3-way'!X23^(1/3)*SIN('OddsRatio_working_3-way'!Y23/3)</f>
        <v>3.7568951095398602E-2</v>
      </c>
      <c r="AD23" s="11">
        <f>'OddsRatio_working_3-way'!X23^(1/3)*SIN(('OddsRatio_working_3-way'!Y23+2*PI())/3)</f>
        <v>0.43240144611080655</v>
      </c>
      <c r="AE23" s="11">
        <f>'OddsRatio_working_3-way'!X23^(1/3)*SIN(('OddsRatio_working_3-way'!Y23+4*PI())/3)</f>
        <v>-0.46997039720620515</v>
      </c>
      <c r="AF23" s="11">
        <f>-'OddsRatio_working_3-way'!U23/(3*'OddsRatio_working_3-way'!X23^(1/3))*COS(('OddsRatio_working_3-way'!Y23)/3)</f>
        <v>0.52098462664821554</v>
      </c>
      <c r="AG23" s="11">
        <f>-'OddsRatio_working_3-way'!U23/(3*'OddsRatio_working_3-way'!X23^(1/3))*COS(('OddsRatio_working_3-way'!Y23+2*PI())/3)</f>
        <v>-0.29302797936625818</v>
      </c>
      <c r="AH23" s="11">
        <f>-'OddsRatio_working_3-way'!U23/(3*'OddsRatio_working_3-way'!X23^(1/3))*COS(('OddsRatio_working_3-way'!Y23+4*PI())/3)</f>
        <v>-0.22795664728195736</v>
      </c>
      <c r="AI23" s="11">
        <f>'OddsRatio_working_3-way'!U23/(3*'OddsRatio_working_3-way'!X23^(1/3))*SIN(('OddsRatio_working_3-way'!Y23)/3)</f>
        <v>-3.7568951095398609E-2</v>
      </c>
      <c r="AJ23" s="11">
        <f>'OddsRatio_working_3-way'!U23/(3*'OddsRatio_working_3-way'!X23^(1/3))*SIN(('OddsRatio_working_3-way'!Y23+2*PI())/3)</f>
        <v>-0.43240144611080666</v>
      </c>
      <c r="AK23" s="11">
        <f>'OddsRatio_working_3-way'!U23/(3*'OddsRatio_working_3-way'!X23^(1/3))*SIN(('OddsRatio_working_3-way'!Y23+4*PI())/3)</f>
        <v>0.46997039720620526</v>
      </c>
      <c r="AL23" s="11">
        <f>'OddsRatio_working_3-way'!Z23+'OddsRatio_working_3-way'!AF23</f>
        <v>1.0419692532964309</v>
      </c>
      <c r="AM23" s="11">
        <f>'OddsRatio_working_3-way'!AA23+'OddsRatio_working_3-way'!AG23</f>
        <v>-0.58605595873251626</v>
      </c>
      <c r="AN23" s="11">
        <f>'OddsRatio_working_3-way'!AB23+'OddsRatio_working_3-way'!AH23</f>
        <v>-0.45591329456391466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1.0419692532964309</v>
      </c>
      <c r="AS23" s="11">
        <f>IF(('OddsRatio_working_3-way'!X23=0),IF(Q23&gt;0,-Q23^(1/3),(-Q23)^(1/3)),'OddsRatio_working_3-way'!AM23-'OddsRatio_working_3-way'!R23/3)</f>
        <v>-0.58605595873251626</v>
      </c>
      <c r="AT23" s="11">
        <f>IF(('OddsRatio_working_3-way'!X23=0),IF(Q23&gt;0,-Q23^(1/3),(-Q23)^(1/3)),'OddsRatio_working_3-way'!AN23-'OddsRatio_working_3-way'!R23/3)</f>
        <v>-0.45591329456391466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2.3199999999999998</v>
      </c>
      <c r="B24" s="4">
        <f>IF('True_Odds_Calculator_3-way'!B25="","",'True_Odds_Calculator_3-way'!B25)</f>
        <v>3.25</v>
      </c>
      <c r="C24" s="4">
        <f>IF('True_Odds_Calculator_3-way'!C25="","",'True_Odds_Calculator_3-way'!C25)</f>
        <v>3.46</v>
      </c>
      <c r="D24" s="9">
        <f t="shared" si="13"/>
        <v>0.42074763793976827</v>
      </c>
      <c r="E24" s="9">
        <f t="shared" si="14"/>
        <v>0.29880318431527025</v>
      </c>
      <c r="F24" s="9">
        <f t="shared" si="15"/>
        <v>0.28044917774496136</v>
      </c>
      <c r="G24" s="9">
        <f t="shared" si="16"/>
        <v>1.0429709104585561</v>
      </c>
      <c r="H24" s="9">
        <f t="shared" si="17"/>
        <v>2.3767216018052943</v>
      </c>
      <c r="I24" s="9">
        <f t="shared" si="18"/>
        <v>3.3466845485317518</v>
      </c>
      <c r="J24" s="9">
        <f t="shared" si="19"/>
        <v>3.5657084397280472</v>
      </c>
      <c r="K24" s="11">
        <f t="shared" si="20"/>
        <v>0.43103448275862072</v>
      </c>
      <c r="L24" s="11">
        <f t="shared" si="21"/>
        <v>0.30769230769230771</v>
      </c>
      <c r="M24" s="11">
        <f t="shared" si="22"/>
        <v>0.28901734104046245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-0.2800555035954676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0.23113721040769075</v>
      </c>
      <c r="Q24" s="11">
        <f>2*'OddsRatio_working_3-way'!K24*'OddsRatio_working_3-way'!L24*'OddsRatio_working_3-way'!M24</f>
        <v>7.666242467916777E-2</v>
      </c>
      <c r="R24" s="11">
        <f t="shared" si="23"/>
        <v>0</v>
      </c>
      <c r="S24" s="11">
        <f t="shared" si="24"/>
        <v>-0.82532643508253289</v>
      </c>
      <c r="T24" s="11">
        <f t="shared" si="25"/>
        <v>-0.27374011113848529</v>
      </c>
      <c r="U24" s="11">
        <f>'OddsRatio_working_3-way'!S24-'OddsRatio_working_3-way'!R24^2/3</f>
        <v>-0.82532643508253289</v>
      </c>
      <c r="V24" s="11">
        <f>'OddsRatio_working_3-way'!S24*'OddsRatio_working_3-way'!R24/3-2*'OddsRatio_working_3-way'!R24^3/27-'OddsRatio_working_3-way'!T24</f>
        <v>0.27374011113848529</v>
      </c>
      <c r="W24" s="11">
        <f>'OddsRatio_working_3-way'!V24^2+4*'OddsRatio_working_3-way'!U24^3/27</f>
        <v>-8.3526372434590407E-3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0.1442968170903029</v>
      </c>
      <c r="Y24" s="11">
        <f>IF('OddsRatio_working_3-way'!W24&gt;=0,IF('OddsRatio_working_3-way'!V24+SQRT('OddsRatio_working_3-way'!W24)&gt;0,0,PI()),ACOS('OddsRatio_working_3-way'!V24/(2*'OddsRatio_working_3-way'!X24)))</f>
        <v>0.32223069183007258</v>
      </c>
      <c r="Z24" s="11">
        <f>'OddsRatio_working_3-way'!X24^(1/3)*COS('OddsRatio_working_3-way'!Y24/3)</f>
        <v>0.52148545522927803</v>
      </c>
      <c r="AA24" s="11">
        <f>'OddsRatio_working_3-way'!X24^(1/3)*COS(('OddsRatio_working_3-way'!Y24+2*PI())/3)</f>
        <v>-0.30943871059955974</v>
      </c>
      <c r="AB24" s="11">
        <f>'OddsRatio_working_3-way'!X24^(1/3)*COS(('OddsRatio_working_3-way'!Y24+4*PI())/3)</f>
        <v>-0.21204674462971837</v>
      </c>
      <c r="AC24" s="11">
        <f>'OddsRatio_working_3-way'!X24^(1/3)*SIN('OddsRatio_working_3-way'!Y24/3)</f>
        <v>5.6229277769594979E-2</v>
      </c>
      <c r="AD24" s="11">
        <f>'OddsRatio_working_3-way'!X24^(1/3)*SIN(('OddsRatio_working_3-way'!Y24+2*PI())/3)</f>
        <v>0.42350501304784988</v>
      </c>
      <c r="AE24" s="11">
        <f>'OddsRatio_working_3-way'!X24^(1/3)*SIN(('OddsRatio_working_3-way'!Y24+4*PI())/3)</f>
        <v>-0.47973429081744468</v>
      </c>
      <c r="AF24" s="11">
        <f>-'OddsRatio_working_3-way'!U24/(3*'OddsRatio_working_3-way'!X24^(1/3))*COS(('OddsRatio_working_3-way'!Y24)/3)</f>
        <v>0.52148545522927814</v>
      </c>
      <c r="AG24" s="11">
        <f>-'OddsRatio_working_3-way'!U24/(3*'OddsRatio_working_3-way'!X24^(1/3))*COS(('OddsRatio_working_3-way'!Y24+2*PI())/3)</f>
        <v>-0.30943871059955985</v>
      </c>
      <c r="AH24" s="11">
        <f>-'OddsRatio_working_3-way'!U24/(3*'OddsRatio_working_3-way'!X24^(1/3))*COS(('OddsRatio_working_3-way'!Y24+4*PI())/3)</f>
        <v>-0.21204674462971843</v>
      </c>
      <c r="AI24" s="11">
        <f>'OddsRatio_working_3-way'!U24/(3*'OddsRatio_working_3-way'!X24^(1/3))*SIN(('OddsRatio_working_3-way'!Y24)/3)</f>
        <v>-5.6229277769594993E-2</v>
      </c>
      <c r="AJ24" s="11">
        <f>'OddsRatio_working_3-way'!U24/(3*'OddsRatio_working_3-way'!X24^(1/3))*SIN(('OddsRatio_working_3-way'!Y24+2*PI())/3)</f>
        <v>-0.42350501304784999</v>
      </c>
      <c r="AK24" s="11">
        <f>'OddsRatio_working_3-way'!U24/(3*'OddsRatio_working_3-way'!X24^(1/3))*SIN(('OddsRatio_working_3-way'!Y24+4*PI())/3)</f>
        <v>0.47973429081744479</v>
      </c>
      <c r="AL24" s="11">
        <f>'OddsRatio_working_3-way'!Z24+'OddsRatio_working_3-way'!AF24</f>
        <v>1.0429709104585561</v>
      </c>
      <c r="AM24" s="11">
        <f>'OddsRatio_working_3-way'!AA24+'OddsRatio_working_3-way'!AG24</f>
        <v>-0.61887742119911959</v>
      </c>
      <c r="AN24" s="11">
        <f>'OddsRatio_working_3-way'!AB24+'OddsRatio_working_3-way'!AH24</f>
        <v>-0.4240934892594368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1.0429709104585561</v>
      </c>
      <c r="AS24" s="11">
        <f>IF(('OddsRatio_working_3-way'!X24=0),IF(Q24&gt;0,-Q24^(1/3),(-Q24)^(1/3)),'OddsRatio_working_3-way'!AM24-'OddsRatio_working_3-way'!R24/3)</f>
        <v>-0.61887742119911959</v>
      </c>
      <c r="AT24" s="11">
        <f>IF(('OddsRatio_working_3-way'!X24=0),IF(Q24&gt;0,-Q24^(1/3),(-Q24)^(1/3)),'OddsRatio_working_3-way'!AN24-'OddsRatio_working_3-way'!R24/3)</f>
        <v>-0.4240934892594368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1.43</v>
      </c>
      <c r="B25" s="4">
        <f>IF('True_Odds_Calculator_3-way'!B26="","",'True_Odds_Calculator_3-way'!B26)</f>
        <v>4.7699999999999996</v>
      </c>
      <c r="C25" s="4">
        <f>IF('True_Odds_Calculator_3-way'!C26="","",'True_Odds_Calculator_3-way'!C26)</f>
        <v>8.24</v>
      </c>
      <c r="D25" s="9">
        <f t="shared" si="13"/>
        <v>0.68585071957027155</v>
      </c>
      <c r="E25" s="9">
        <f t="shared" si="14"/>
        <v>0.19936731149376399</v>
      </c>
      <c r="F25" s="9">
        <f t="shared" si="15"/>
        <v>0.11478196893596443</v>
      </c>
      <c r="G25" s="9">
        <f t="shared" si="16"/>
        <v>1.0652168191751048</v>
      </c>
      <c r="H25" s="9">
        <f t="shared" si="17"/>
        <v>1.4580432322452948</v>
      </c>
      <c r="I25" s="9">
        <f t="shared" si="18"/>
        <v>5.0158674082901449</v>
      </c>
      <c r="J25" s="9">
        <f t="shared" si="19"/>
        <v>8.7121697708277583</v>
      </c>
      <c r="K25" s="11">
        <f t="shared" si="20"/>
        <v>0.69930069930069938</v>
      </c>
      <c r="L25" s="11">
        <f t="shared" si="21"/>
        <v>0.20964360587002098</v>
      </c>
      <c r="M25" s="11">
        <f t="shared" si="22"/>
        <v>0.12135922330097088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-0.20881742872950038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0.20353748142720485</v>
      </c>
      <c r="Q25" s="11">
        <f>2*'OddsRatio_working_3-way'!K25*'OddsRatio_working_3-way'!L25*'OddsRatio_working_3-way'!M25</f>
        <v>3.5583475773986864E-2</v>
      </c>
      <c r="R25" s="11">
        <f t="shared" si="23"/>
        <v>0</v>
      </c>
      <c r="S25" s="11">
        <f t="shared" si="24"/>
        <v>-0.97471500662363242</v>
      </c>
      <c r="T25" s="11">
        <f t="shared" si="25"/>
        <v>-0.170404721437698</v>
      </c>
      <c r="U25" s="11">
        <f>'OddsRatio_working_3-way'!S25-'OddsRatio_working_3-way'!R25^2/3</f>
        <v>-0.97471500662363242</v>
      </c>
      <c r="V25" s="11">
        <f>'OddsRatio_working_3-way'!S25*'OddsRatio_working_3-way'!R25/3-2*'OddsRatio_working_3-way'!R25^3/27-'OddsRatio_working_3-way'!T25</f>
        <v>0.170404721437698</v>
      </c>
      <c r="W25" s="11">
        <f>'OddsRatio_working_3-way'!V25^2+4*'OddsRatio_working_3-way'!U25^3/27</f>
        <v>-0.10815435640265997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0.1851972769041971</v>
      </c>
      <c r="Y25" s="11">
        <f>IF('OddsRatio_working_3-way'!W25&gt;=0,IF('OddsRatio_working_3-way'!V25+SQRT('OddsRatio_working_3-way'!W25)&gt;0,0,PI()),ACOS('OddsRatio_working_3-way'!V25/(2*'OddsRatio_working_3-way'!X25)))</f>
        <v>1.0927305034661656</v>
      </c>
      <c r="Z25" s="11">
        <f>'OddsRatio_working_3-way'!X25^(1/3)*COS('OddsRatio_working_3-way'!Y25/3)</f>
        <v>0.5326084095875524</v>
      </c>
      <c r="AA25" s="11">
        <f>'OddsRatio_working_3-way'!X25^(1/3)*COS(('OddsRatio_working_3-way'!Y25+2*PI())/3)</f>
        <v>-0.44215915406553141</v>
      </c>
      <c r="AB25" s="11">
        <f>'OddsRatio_working_3-way'!X25^(1/3)*COS(('OddsRatio_working_3-way'!Y25+4*PI())/3)</f>
        <v>-9.0449255522020863E-2</v>
      </c>
      <c r="AC25" s="11">
        <f>'OddsRatio_working_3-way'!X25^(1/3)*SIN('OddsRatio_working_3-way'!Y25/3)</f>
        <v>0.20305980460075168</v>
      </c>
      <c r="AD25" s="11">
        <f>'OddsRatio_working_3-way'!X25^(1/3)*SIN(('OddsRatio_working_3-way'!Y25+2*PI())/3)</f>
        <v>0.35972251067167188</v>
      </c>
      <c r="AE25" s="11">
        <f>'OddsRatio_working_3-way'!X25^(1/3)*SIN(('OddsRatio_working_3-way'!Y25+4*PI())/3)</f>
        <v>-0.56278231527242362</v>
      </c>
      <c r="AF25" s="11">
        <f>-'OddsRatio_working_3-way'!U25/(3*'OddsRatio_working_3-way'!X25^(1/3))*COS(('OddsRatio_working_3-way'!Y25)/3)</f>
        <v>0.5326084095875524</v>
      </c>
      <c r="AG25" s="11">
        <f>-'OddsRatio_working_3-way'!U25/(3*'OddsRatio_working_3-way'!X25^(1/3))*COS(('OddsRatio_working_3-way'!Y25+2*PI())/3)</f>
        <v>-0.44215915406553141</v>
      </c>
      <c r="AH25" s="11">
        <f>-'OddsRatio_working_3-way'!U25/(3*'OddsRatio_working_3-way'!X25^(1/3))*COS(('OddsRatio_working_3-way'!Y25+4*PI())/3)</f>
        <v>-9.0449255522020863E-2</v>
      </c>
      <c r="AI25" s="11">
        <f>'OddsRatio_working_3-way'!U25/(3*'OddsRatio_working_3-way'!X25^(1/3))*SIN(('OddsRatio_working_3-way'!Y25)/3)</f>
        <v>-0.20305980460075168</v>
      </c>
      <c r="AJ25" s="11">
        <f>'OddsRatio_working_3-way'!U25/(3*'OddsRatio_working_3-way'!X25^(1/3))*SIN(('OddsRatio_working_3-way'!Y25+2*PI())/3)</f>
        <v>-0.35972251067167188</v>
      </c>
      <c r="AK25" s="11">
        <f>'OddsRatio_working_3-way'!U25/(3*'OddsRatio_working_3-way'!X25^(1/3))*SIN(('OddsRatio_working_3-way'!Y25+4*PI())/3)</f>
        <v>0.56278231527242362</v>
      </c>
      <c r="AL25" s="11">
        <f>'OddsRatio_working_3-way'!Z25+'OddsRatio_working_3-way'!AF25</f>
        <v>1.0652168191751048</v>
      </c>
      <c r="AM25" s="11">
        <f>'OddsRatio_working_3-way'!AA25+'OddsRatio_working_3-way'!AG25</f>
        <v>-0.88431830813106282</v>
      </c>
      <c r="AN25" s="11">
        <f>'OddsRatio_working_3-way'!AB25+'OddsRatio_working_3-way'!AH25</f>
        <v>-0.18089851104404173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1.0652168191751048</v>
      </c>
      <c r="AS25" s="11">
        <f>IF(('OddsRatio_working_3-way'!X25=0),IF(Q25&gt;0,-Q25^(1/3),(-Q25)^(1/3)),'OddsRatio_working_3-way'!AM25-'OddsRatio_working_3-way'!R25/3)</f>
        <v>-0.88431830813106282</v>
      </c>
      <c r="AT25" s="11">
        <f>IF(('OddsRatio_working_3-way'!X25=0),IF(Q25&gt;0,-Q25^(1/3),(-Q25)^(1/3)),'OddsRatio_working_3-way'!AN25-'OddsRatio_working_3-way'!R25/3)</f>
        <v>-0.18089851104404173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2.76</v>
      </c>
      <c r="B26" s="4">
        <f>IF('True_Odds_Calculator_3-way'!B27="","",'True_Odds_Calculator_3-way'!B27)</f>
        <v>3.23</v>
      </c>
      <c r="C26" s="4">
        <f>IF('True_Odds_Calculator_3-way'!C27="","",'True_Odds_Calculator_3-way'!C27)</f>
        <v>2.81</v>
      </c>
      <c r="D26" s="9">
        <f t="shared" si="13"/>
        <v>0.35278599341666728</v>
      </c>
      <c r="E26" s="9">
        <f t="shared" si="14"/>
        <v>0.30079749103525943</v>
      </c>
      <c r="F26" s="9">
        <f t="shared" si="15"/>
        <v>0.3464165155480734</v>
      </c>
      <c r="G26" s="9">
        <f t="shared" si="16"/>
        <v>1.04237480476991</v>
      </c>
      <c r="H26" s="9">
        <f t="shared" si="17"/>
        <v>2.8345796563950412</v>
      </c>
      <c r="I26" s="9">
        <f t="shared" si="18"/>
        <v>3.3244958146368986</v>
      </c>
      <c r="J26" s="9">
        <f t="shared" si="19"/>
        <v>2.8866983966335362</v>
      </c>
      <c r="K26" s="11">
        <f t="shared" si="20"/>
        <v>0.3623188405797102</v>
      </c>
      <c r="L26" s="11">
        <f t="shared" si="21"/>
        <v>0.30959752321981426</v>
      </c>
      <c r="M26" s="11">
        <f t="shared" si="22"/>
        <v>0.35587188612099646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-0.28358168678515649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0.23153149139652934</v>
      </c>
      <c r="Q26" s="11">
        <f>2*'OddsRatio_working_3-way'!K26*'OddsRatio_working_3-way'!L26*'OddsRatio_working_3-way'!M26</f>
        <v>7.9838445309148062E-2</v>
      </c>
      <c r="R26" s="11">
        <f t="shared" si="23"/>
        <v>0</v>
      </c>
      <c r="S26" s="11">
        <f t="shared" si="24"/>
        <v>-0.81645431346890618</v>
      </c>
      <c r="T26" s="11">
        <f t="shared" si="25"/>
        <v>-0.28153597016169185</v>
      </c>
      <c r="U26" s="11">
        <f>'OddsRatio_working_3-way'!S26-'OddsRatio_working_3-way'!R26^2/3</f>
        <v>-0.81645431346890618</v>
      </c>
      <c r="V26" s="11">
        <f>'OddsRatio_working_3-way'!S26*'OddsRatio_working_3-way'!R26/3-2*'OddsRatio_working_3-way'!R26^3/27-'OddsRatio_working_3-way'!T26</f>
        <v>0.28153597016169185</v>
      </c>
      <c r="W26" s="11">
        <f>'OddsRatio_working_3-way'!V26^2+4*'OddsRatio_working_3-way'!U26^3/27</f>
        <v>-1.3666120844051527E-3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0.14197633128385362</v>
      </c>
      <c r="Y26" s="11">
        <f>IF('OddsRatio_working_3-way'!W26&gt;=0,IF('OddsRatio_working_3-way'!V26+SQRT('OddsRatio_working_3-way'!W26)&gt;0,0,PI()),ACOS('OddsRatio_working_3-way'!V26/(2*'OddsRatio_working_3-way'!X26)))</f>
        <v>0.13056032284213459</v>
      </c>
      <c r="Z26" s="11">
        <f>'OddsRatio_working_3-way'!X26^(1/3)*COS('OddsRatio_working_3-way'!Y26/3)</f>
        <v>0.52118740238495509</v>
      </c>
      <c r="AA26" s="11">
        <f>'OddsRatio_working_3-way'!X26^(1/3)*COS(('OddsRatio_working_3-way'!Y26+2*PI())/3)</f>
        <v>-0.28024941444953877</v>
      </c>
      <c r="AB26" s="11">
        <f>'OddsRatio_working_3-way'!X26^(1/3)*COS(('OddsRatio_working_3-way'!Y26+4*PI())/3)</f>
        <v>-0.24093798793541635</v>
      </c>
      <c r="AC26" s="11">
        <f>'OddsRatio_working_3-way'!X26^(1/3)*SIN('OddsRatio_working_3-way'!Y26/3)</f>
        <v>2.2696462680157011E-2</v>
      </c>
      <c r="AD26" s="11">
        <f>'OddsRatio_working_3-way'!X26^(1/3)*SIN(('OddsRatio_working_3-way'!Y26+2*PI())/3)</f>
        <v>0.44001329925771493</v>
      </c>
      <c r="AE26" s="11">
        <f>'OddsRatio_working_3-way'!X26^(1/3)*SIN(('OddsRatio_working_3-way'!Y26+4*PI())/3)</f>
        <v>-0.46270976193787178</v>
      </c>
      <c r="AF26" s="11">
        <f>-'OddsRatio_working_3-way'!U26/(3*'OddsRatio_working_3-way'!X26^(1/3))*COS(('OddsRatio_working_3-way'!Y26)/3)</f>
        <v>0.52118740238495498</v>
      </c>
      <c r="AG26" s="11">
        <f>-'OddsRatio_working_3-way'!U26/(3*'OddsRatio_working_3-way'!X26^(1/3))*COS(('OddsRatio_working_3-way'!Y26+2*PI())/3)</f>
        <v>-0.28024941444953871</v>
      </c>
      <c r="AH26" s="11">
        <f>-'OddsRatio_working_3-way'!U26/(3*'OddsRatio_working_3-way'!X26^(1/3))*COS(('OddsRatio_working_3-way'!Y26+4*PI())/3)</f>
        <v>-0.24093798793541629</v>
      </c>
      <c r="AI26" s="11">
        <f>'OddsRatio_working_3-way'!U26/(3*'OddsRatio_working_3-way'!X26^(1/3))*SIN(('OddsRatio_working_3-way'!Y26)/3)</f>
        <v>-2.2696462680157008E-2</v>
      </c>
      <c r="AJ26" s="11">
        <f>'OddsRatio_working_3-way'!U26/(3*'OddsRatio_working_3-way'!X26^(1/3))*SIN(('OddsRatio_working_3-way'!Y26+2*PI())/3)</f>
        <v>-0.44001329925771487</v>
      </c>
      <c r="AK26" s="11">
        <f>'OddsRatio_working_3-way'!U26/(3*'OddsRatio_working_3-way'!X26^(1/3))*SIN(('OddsRatio_working_3-way'!Y26+4*PI())/3)</f>
        <v>0.46270976193787167</v>
      </c>
      <c r="AL26" s="11">
        <f>'OddsRatio_working_3-way'!Z26+'OddsRatio_working_3-way'!AF26</f>
        <v>1.04237480476991</v>
      </c>
      <c r="AM26" s="11">
        <f>'OddsRatio_working_3-way'!AA26+'OddsRatio_working_3-way'!AG26</f>
        <v>-0.56049882889907754</v>
      </c>
      <c r="AN26" s="11">
        <f>'OddsRatio_working_3-way'!AB26+'OddsRatio_working_3-way'!AH26</f>
        <v>-0.48187597587083264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1.04237480476991</v>
      </c>
      <c r="AS26" s="11">
        <f>IF(('OddsRatio_working_3-way'!X26=0),IF(Q26&gt;0,-Q26^(1/3),(-Q26)^(1/3)),'OddsRatio_working_3-way'!AM26-'OddsRatio_working_3-way'!R26/3)</f>
        <v>-0.56049882889907754</v>
      </c>
      <c r="AT26" s="11">
        <f>IF(('OddsRatio_working_3-way'!X26=0),IF(Q26&gt;0,-Q26^(1/3),(-Q26)^(1/3)),'OddsRatio_working_3-way'!AN26-'OddsRatio_working_3-way'!R26/3)</f>
        <v>-0.48187597587083264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3.2</v>
      </c>
      <c r="C27" s="4">
        <f>IF('True_Odds_Calculator_3-way'!C28="","",'True_Odds_Calculator_3-way'!C28)</f>
        <v>4.12</v>
      </c>
      <c r="D27" s="9">
        <f t="shared" si="13"/>
        <v>0.46265654227114372</v>
      </c>
      <c r="E27" s="9">
        <f t="shared" si="14"/>
        <v>0.30285276804865563</v>
      </c>
      <c r="F27" s="9">
        <f t="shared" si="15"/>
        <v>0.23449068968020084</v>
      </c>
      <c r="G27" s="9">
        <f t="shared" si="16"/>
        <v>1.0463338587729838</v>
      </c>
      <c r="H27" s="9">
        <f t="shared" si="17"/>
        <v>2.1614305832380118</v>
      </c>
      <c r="I27" s="9">
        <f t="shared" si="18"/>
        <v>3.3019344893005642</v>
      </c>
      <c r="J27" s="9">
        <f t="shared" si="19"/>
        <v>4.264561639371709</v>
      </c>
      <c r="K27" s="11">
        <f t="shared" si="20"/>
        <v>0.47393364928909953</v>
      </c>
      <c r="L27" s="11">
        <f t="shared" si="21"/>
        <v>0.3125</v>
      </c>
      <c r="M27" s="11">
        <f t="shared" si="22"/>
        <v>0.24271844660194175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-0.27388648598904897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0.23114330741269035</v>
      </c>
      <c r="Q27" s="11">
        <f>2*'OddsRatio_working_3-way'!K27*'OddsRatio_working_3-way'!L27*'OddsRatio_working_3-way'!M27</f>
        <v>7.1895274467399808E-2</v>
      </c>
      <c r="R27" s="11">
        <f t="shared" si="23"/>
        <v>0</v>
      </c>
      <c r="S27" s="11">
        <f t="shared" si="24"/>
        <v>-0.84393834393834366</v>
      </c>
      <c r="T27" s="11">
        <f t="shared" si="25"/>
        <v>-0.26250026250026243</v>
      </c>
      <c r="U27" s="11">
        <f>'OddsRatio_working_3-way'!S27-'OddsRatio_working_3-way'!R27^2/3</f>
        <v>-0.84393834393834366</v>
      </c>
      <c r="V27" s="11">
        <f>'OddsRatio_working_3-way'!S27*'OddsRatio_working_3-way'!R27/3-2*'OddsRatio_working_3-way'!R27^3/27-'OddsRatio_working_3-way'!T27</f>
        <v>0.26250026250026243</v>
      </c>
      <c r="W27" s="11">
        <f>'OddsRatio_working_3-way'!V27^2+4*'OddsRatio_working_3-way'!U27^3/27</f>
        <v>-2.0142476502564344E-2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0.1492052816719896</v>
      </c>
      <c r="Y27" s="11">
        <f>IF('OddsRatio_working_3-way'!W27&gt;=0,IF('OddsRatio_working_3-way'!V27+SQRT('OddsRatio_working_3-way'!W27)&gt;0,0,PI()),ACOS('OddsRatio_working_3-way'!V27/(2*'OddsRatio_working_3-way'!X27)))</f>
        <v>0.49564647742841439</v>
      </c>
      <c r="Z27" s="11">
        <f>'OddsRatio_working_3-way'!X27^(1/3)*COS('OddsRatio_working_3-way'!Y27/3)</f>
        <v>0.5231669293864919</v>
      </c>
      <c r="AA27" s="11">
        <f>'OddsRatio_working_3-way'!X27^(1/3)*COS(('OddsRatio_working_3-way'!Y27+2*PI())/3)</f>
        <v>-0.33712722010570828</v>
      </c>
      <c r="AB27" s="11">
        <f>'OddsRatio_working_3-way'!X27^(1/3)*COS(('OddsRatio_working_3-way'!Y27+4*PI())/3)</f>
        <v>-0.18603970928078378</v>
      </c>
      <c r="AC27" s="11">
        <f>'OddsRatio_working_3-way'!X27^(1/3)*SIN('OddsRatio_working_3-way'!Y27/3)</f>
        <v>8.7230415045960907E-2</v>
      </c>
      <c r="AD27" s="11">
        <f>'OddsRatio_working_3-way'!X27^(1/3)*SIN(('OddsRatio_working_3-way'!Y27+2*PI())/3)</f>
        <v>0.40946064374562124</v>
      </c>
      <c r="AE27" s="11">
        <f>'OddsRatio_working_3-way'!X27^(1/3)*SIN(('OddsRatio_working_3-way'!Y27+4*PI())/3)</f>
        <v>-0.49669105879158193</v>
      </c>
      <c r="AF27" s="11">
        <f>-'OddsRatio_working_3-way'!U27/(3*'OddsRatio_working_3-way'!X27^(1/3))*COS(('OddsRatio_working_3-way'!Y27)/3)</f>
        <v>0.5231669293864919</v>
      </c>
      <c r="AG27" s="11">
        <f>-'OddsRatio_working_3-way'!U27/(3*'OddsRatio_working_3-way'!X27^(1/3))*COS(('OddsRatio_working_3-way'!Y27+2*PI())/3)</f>
        <v>-0.33712722010570828</v>
      </c>
      <c r="AH27" s="11">
        <f>-'OddsRatio_working_3-way'!U27/(3*'OddsRatio_working_3-way'!X27^(1/3))*COS(('OddsRatio_working_3-way'!Y27+4*PI())/3)</f>
        <v>-0.18603970928078378</v>
      </c>
      <c r="AI27" s="11">
        <f>'OddsRatio_working_3-way'!U27/(3*'OddsRatio_working_3-way'!X27^(1/3))*SIN(('OddsRatio_working_3-way'!Y27)/3)</f>
        <v>-8.7230415045960907E-2</v>
      </c>
      <c r="AJ27" s="11">
        <f>'OddsRatio_working_3-way'!U27/(3*'OddsRatio_working_3-way'!X27^(1/3))*SIN(('OddsRatio_working_3-way'!Y27+2*PI())/3)</f>
        <v>-0.40946064374562124</v>
      </c>
      <c r="AK27" s="11">
        <f>'OddsRatio_working_3-way'!U27/(3*'OddsRatio_working_3-way'!X27^(1/3))*SIN(('OddsRatio_working_3-way'!Y27+4*PI())/3)</f>
        <v>0.49669105879158193</v>
      </c>
      <c r="AL27" s="11">
        <f>'OddsRatio_working_3-way'!Z27+'OddsRatio_working_3-way'!AF27</f>
        <v>1.0463338587729838</v>
      </c>
      <c r="AM27" s="11">
        <f>'OddsRatio_working_3-way'!AA27+'OddsRatio_working_3-way'!AG27</f>
        <v>-0.67425444021141656</v>
      </c>
      <c r="AN27" s="11">
        <f>'OddsRatio_working_3-way'!AB27+'OddsRatio_working_3-way'!AH27</f>
        <v>-0.37207941856156757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1.0463338587729838</v>
      </c>
      <c r="AS27" s="11">
        <f>IF(('OddsRatio_working_3-way'!X27=0),IF(Q27&gt;0,-Q27^(1/3),(-Q27)^(1/3)),'OddsRatio_working_3-way'!AM27-'OddsRatio_working_3-way'!R27/3)</f>
        <v>-0.67425444021141656</v>
      </c>
      <c r="AT27" s="11">
        <f>IF(('OddsRatio_working_3-way'!X27=0),IF(Q27&gt;0,-Q27^(1/3),(-Q27)^(1/3)),'OddsRatio_working_3-way'!AN27-'OddsRatio_working_3-way'!R27/3)</f>
        <v>-0.37207941856156757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5.17</v>
      </c>
      <c r="B28" s="4">
        <f>IF('True_Odds_Calculator_3-way'!B29="","",'True_Odds_Calculator_3-way'!B29)</f>
        <v>3.76</v>
      </c>
      <c r="C28" s="4">
        <f>IF('True_Odds_Calculator_3-way'!C29="","",'True_Odds_Calculator_3-way'!C29)</f>
        <v>1.75</v>
      </c>
      <c r="D28" s="9">
        <f t="shared" si="13"/>
        <v>0.18543509755697019</v>
      </c>
      <c r="E28" s="9">
        <f t="shared" si="14"/>
        <v>0.25592377998193694</v>
      </c>
      <c r="F28" s="9">
        <f t="shared" si="15"/>
        <v>0.5586411224610931</v>
      </c>
      <c r="G28" s="9">
        <f t="shared" si="16"/>
        <v>1.0534106418673002</v>
      </c>
      <c r="H28" s="9">
        <f t="shared" si="17"/>
        <v>5.3927223765866419</v>
      </c>
      <c r="I28" s="9">
        <f t="shared" si="18"/>
        <v>3.9074133715537487</v>
      </c>
      <c r="J28" s="9">
        <f t="shared" si="19"/>
        <v>1.7900579814004753</v>
      </c>
      <c r="K28" s="11">
        <f t="shared" si="20"/>
        <v>0.19342359767891684</v>
      </c>
      <c r="L28" s="11">
        <f t="shared" si="21"/>
        <v>0.26595744680851063</v>
      </c>
      <c r="M28" s="11">
        <f t="shared" si="22"/>
        <v>0.5714285714285714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-0.253740600730189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0.22575884957052905</v>
      </c>
      <c r="Q28" s="11">
        <f>2*'OddsRatio_working_3-way'!K28*'OddsRatio_working_3-way'!L28*'OddsRatio_working_3-way'!M28</f>
        <v>5.8791367075658608E-2</v>
      </c>
      <c r="R28" s="11">
        <f t="shared" si="23"/>
        <v>0</v>
      </c>
      <c r="S28" s="11">
        <f t="shared" si="24"/>
        <v>-0.88972300420533057</v>
      </c>
      <c r="T28" s="11">
        <f t="shared" si="25"/>
        <v>-0.23169869901180484</v>
      </c>
      <c r="U28" s="11">
        <f>'OddsRatio_working_3-way'!S28-'OddsRatio_working_3-way'!R28^2/3</f>
        <v>-0.88972300420533057</v>
      </c>
      <c r="V28" s="11">
        <f>'OddsRatio_working_3-way'!S28*'OddsRatio_working_3-way'!R28/3-2*'OddsRatio_working_3-way'!R28^3/27-'OddsRatio_working_3-way'!T28</f>
        <v>0.23169869901180484</v>
      </c>
      <c r="W28" s="11">
        <f>'OddsRatio_working_3-way'!V28^2+4*'OddsRatio_working_3-way'!U28^3/27</f>
        <v>-5.0658080243953164E-2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0.16151034592845445</v>
      </c>
      <c r="Y28" s="11">
        <f>IF('OddsRatio_working_3-way'!W28&gt;=0,IF('OddsRatio_working_3-way'!V28+SQRT('OddsRatio_working_3-way'!W28)&gt;0,0,PI()),ACOS('OddsRatio_working_3-way'!V28/(2*'OddsRatio_working_3-way'!X28)))</f>
        <v>0.77089479641350178</v>
      </c>
      <c r="Z28" s="11">
        <f>'OddsRatio_working_3-way'!X28^(1/3)*COS('OddsRatio_working_3-way'!Y28/3)</f>
        <v>0.52670532093365008</v>
      </c>
      <c r="AA28" s="11">
        <f>'OddsRatio_working_3-way'!X28^(1/3)*COS(('OddsRatio_working_3-way'!Y28+2*PI())/3)</f>
        <v>-0.38321457988441199</v>
      </c>
      <c r="AB28" s="11">
        <f>'OddsRatio_working_3-way'!X28^(1/3)*COS(('OddsRatio_working_3-way'!Y28+4*PI())/3)</f>
        <v>-0.14349074104923806</v>
      </c>
      <c r="AC28" s="11">
        <f>'OddsRatio_working_3-way'!X28^(1/3)*SIN('OddsRatio_working_3-way'!Y28/3)</f>
        <v>0.13840462288265817</v>
      </c>
      <c r="AD28" s="11">
        <f>'OddsRatio_working_3-way'!X28^(1/3)*SIN(('OddsRatio_working_3-way'!Y28+2*PI())/3)</f>
        <v>0.38693787679564767</v>
      </c>
      <c r="AE28" s="11">
        <f>'OddsRatio_working_3-way'!X28^(1/3)*SIN(('OddsRatio_working_3-way'!Y28+4*PI())/3)</f>
        <v>-0.52534249967830582</v>
      </c>
      <c r="AF28" s="11">
        <f>-'OddsRatio_working_3-way'!U28/(3*'OddsRatio_working_3-way'!X28^(1/3))*COS(('OddsRatio_working_3-way'!Y28)/3)</f>
        <v>0.52670532093365008</v>
      </c>
      <c r="AG28" s="11">
        <f>-'OddsRatio_working_3-way'!U28/(3*'OddsRatio_working_3-way'!X28^(1/3))*COS(('OddsRatio_working_3-way'!Y28+2*PI())/3)</f>
        <v>-0.38321457988441199</v>
      </c>
      <c r="AH28" s="11">
        <f>-'OddsRatio_working_3-way'!U28/(3*'OddsRatio_working_3-way'!X28^(1/3))*COS(('OddsRatio_working_3-way'!Y28+4*PI())/3)</f>
        <v>-0.14349074104923806</v>
      </c>
      <c r="AI28" s="11">
        <f>'OddsRatio_working_3-way'!U28/(3*'OddsRatio_working_3-way'!X28^(1/3))*SIN(('OddsRatio_working_3-way'!Y28)/3)</f>
        <v>-0.13840462288265817</v>
      </c>
      <c r="AJ28" s="11">
        <f>'OddsRatio_working_3-way'!U28/(3*'OddsRatio_working_3-way'!X28^(1/3))*SIN(('OddsRatio_working_3-way'!Y28+2*PI())/3)</f>
        <v>-0.38693787679564767</v>
      </c>
      <c r="AK28" s="11">
        <f>'OddsRatio_working_3-way'!U28/(3*'OddsRatio_working_3-way'!X28^(1/3))*SIN(('OddsRatio_working_3-way'!Y28+4*PI())/3)</f>
        <v>0.52534249967830582</v>
      </c>
      <c r="AL28" s="11">
        <f>'OddsRatio_working_3-way'!Z28+'OddsRatio_working_3-way'!AF28</f>
        <v>1.0534106418673002</v>
      </c>
      <c r="AM28" s="11">
        <f>'OddsRatio_working_3-way'!AA28+'OddsRatio_working_3-way'!AG28</f>
        <v>-0.76642915976882398</v>
      </c>
      <c r="AN28" s="11">
        <f>'OddsRatio_working_3-way'!AB28+'OddsRatio_working_3-way'!AH28</f>
        <v>-0.28698148209847613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1.0534106418673002</v>
      </c>
      <c r="AS28" s="11">
        <f>IF(('OddsRatio_working_3-way'!X28=0),IF(Q28&gt;0,-Q28^(1/3),(-Q28)^(1/3)),'OddsRatio_working_3-way'!AM28-'OddsRatio_working_3-way'!R28/3)</f>
        <v>-0.76642915976882398</v>
      </c>
      <c r="AT28" s="11">
        <f>IF(('OddsRatio_working_3-way'!X28=0),IF(Q28&gt;0,-Q28^(1/3),(-Q28)^(1/3)),'OddsRatio_working_3-way'!AN28-'OddsRatio_working_3-way'!R28/3)</f>
        <v>-0.28698148209847613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2.2999999999999998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3.11</v>
      </c>
      <c r="D29" s="9">
        <f t="shared" si="13"/>
        <v>0.41463982507838648</v>
      </c>
      <c r="E29" s="9">
        <f t="shared" si="14"/>
        <v>0.28153339494320195</v>
      </c>
      <c r="F29" s="9">
        <f t="shared" si="15"/>
        <v>0.30382677997841168</v>
      </c>
      <c r="G29" s="9">
        <f t="shared" si="16"/>
        <v>1.0859474425711202</v>
      </c>
      <c r="H29" s="9">
        <f t="shared" si="17"/>
        <v>2.4117316753424562</v>
      </c>
      <c r="I29" s="9">
        <f t="shared" si="18"/>
        <v>3.5519764900421329</v>
      </c>
      <c r="J29" s="9">
        <f t="shared" si="19"/>
        <v>3.2913491038250635</v>
      </c>
      <c r="K29" s="11">
        <f t="shared" si="20"/>
        <v>0.43478260869565222</v>
      </c>
      <c r="L29" s="11">
        <f t="shared" si="21"/>
        <v>0.29850746268656714</v>
      </c>
      <c r="M29" s="11">
        <f t="shared" si="22"/>
        <v>0.32154340836012862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-0.26900517682800873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0.24037508528933693</v>
      </c>
      <c r="Q29" s="11">
        <f>2*'OddsRatio_working_3-way'!K29*'OddsRatio_working_3-way'!L29*'OddsRatio_working_3-way'!M29</f>
        <v>8.3463571281019763E-2</v>
      </c>
      <c r="R29" s="11">
        <f t="shared" si="23"/>
        <v>0</v>
      </c>
      <c r="S29" s="11">
        <f t="shared" si="24"/>
        <v>-0.89357048114736937</v>
      </c>
      <c r="T29" s="11">
        <f t="shared" si="25"/>
        <v>-0.31026752817616987</v>
      </c>
      <c r="U29" s="11">
        <f>'OddsRatio_working_3-way'!S29-'OddsRatio_working_3-way'!R29^2/3</f>
        <v>-0.89357048114736937</v>
      </c>
      <c r="V29" s="11">
        <f>'OddsRatio_working_3-way'!S29*'OddsRatio_working_3-way'!R29/3-2*'OddsRatio_working_3-way'!R29^3/27-'OddsRatio_working_3-way'!T29</f>
        <v>0.31026752817616987</v>
      </c>
      <c r="W29" s="11">
        <f>'OddsRatio_working_3-way'!V29^2+4*'OddsRatio_working_3-way'!U29^3/27</f>
        <v>-9.4359302815683194E-3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0.16255911949358506</v>
      </c>
      <c r="Y29" s="11">
        <f>IF('OddsRatio_working_3-way'!W29&gt;=0,IF('OddsRatio_working_3-way'!V29+SQRT('OddsRatio_working_3-way'!W29)&gt;0,0,PI()),ACOS('OddsRatio_working_3-way'!V29/(2*'OddsRatio_working_3-way'!X29)))</f>
        <v>0.30341364630799439</v>
      </c>
      <c r="Z29" s="11">
        <f>'OddsRatio_working_3-way'!X29^(1/3)*COS('OddsRatio_working_3-way'!Y29/3)</f>
        <v>0.54297372128556021</v>
      </c>
      <c r="AA29" s="11">
        <f>'OddsRatio_working_3-way'!X29^(1/3)*COS(('OddsRatio_working_3-way'!Y29+2*PI())/3)</f>
        <v>-0.31920765047096139</v>
      </c>
      <c r="AB29" s="11">
        <f>'OddsRatio_working_3-way'!X29^(1/3)*COS(('OddsRatio_working_3-way'!Y29+4*PI())/3)</f>
        <v>-0.22376607081459896</v>
      </c>
      <c r="AC29" s="11">
        <f>'OddsRatio_working_3-way'!X29^(1/3)*SIN('OddsRatio_working_3-way'!Y29/3)</f>
        <v>5.5103221706483942E-2</v>
      </c>
      <c r="AD29" s="11">
        <f>'OddsRatio_working_3-way'!X29^(1/3)*SIN(('OddsRatio_working_3-way'!Y29+2*PI())/3)</f>
        <v>0.44267742536742455</v>
      </c>
      <c r="AE29" s="11">
        <f>'OddsRatio_working_3-way'!X29^(1/3)*SIN(('OddsRatio_working_3-way'!Y29+4*PI())/3)</f>
        <v>-0.49778064707390851</v>
      </c>
      <c r="AF29" s="11">
        <f>-'OddsRatio_working_3-way'!U29/(3*'OddsRatio_working_3-way'!X29^(1/3))*COS(('OddsRatio_working_3-way'!Y29)/3)</f>
        <v>0.5429737212855601</v>
      </c>
      <c r="AG29" s="11">
        <f>-'OddsRatio_working_3-way'!U29/(3*'OddsRatio_working_3-way'!X29^(1/3))*COS(('OddsRatio_working_3-way'!Y29+2*PI())/3)</f>
        <v>-0.31920765047096128</v>
      </c>
      <c r="AH29" s="11">
        <f>-'OddsRatio_working_3-way'!U29/(3*'OddsRatio_working_3-way'!X29^(1/3))*COS(('OddsRatio_working_3-way'!Y29+4*PI())/3)</f>
        <v>-0.22376607081459893</v>
      </c>
      <c r="AI29" s="11">
        <f>'OddsRatio_working_3-way'!U29/(3*'OddsRatio_working_3-way'!X29^(1/3))*SIN(('OddsRatio_working_3-way'!Y29)/3)</f>
        <v>-5.5103221706483935E-2</v>
      </c>
      <c r="AJ29" s="11">
        <f>'OddsRatio_working_3-way'!U29/(3*'OddsRatio_working_3-way'!X29^(1/3))*SIN(('OddsRatio_working_3-way'!Y29+2*PI())/3)</f>
        <v>-0.44267742536742444</v>
      </c>
      <c r="AK29" s="11">
        <f>'OddsRatio_working_3-way'!U29/(3*'OddsRatio_working_3-way'!X29^(1/3))*SIN(('OddsRatio_working_3-way'!Y29+4*PI())/3)</f>
        <v>0.4977806470739084</v>
      </c>
      <c r="AL29" s="11">
        <f>'OddsRatio_working_3-way'!Z29+'OddsRatio_working_3-way'!AF29</f>
        <v>1.0859474425711202</v>
      </c>
      <c r="AM29" s="11">
        <f>'OddsRatio_working_3-way'!AA29+'OddsRatio_working_3-way'!AG29</f>
        <v>-0.63841530094192267</v>
      </c>
      <c r="AN29" s="11">
        <f>'OddsRatio_working_3-way'!AB29+'OddsRatio_working_3-way'!AH29</f>
        <v>-0.44753214162919785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1.0859474425711202</v>
      </c>
      <c r="AS29" s="11">
        <f>IF(('OddsRatio_working_3-way'!X29=0),IF(Q29&gt;0,-Q29^(1/3),(-Q29)^(1/3)),'OddsRatio_working_3-way'!AM29-'OddsRatio_working_3-way'!R29/3)</f>
        <v>-0.63841530094192267</v>
      </c>
      <c r="AT29" s="11">
        <f>IF(('OddsRatio_working_3-way'!X29=0),IF(Q29&gt;0,-Q29^(1/3),(-Q29)^(1/3)),'OddsRatio_working_3-way'!AN29-'OddsRatio_working_3-way'!R29/3)</f>
        <v>-0.44753214162919785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9" t="e">
        <f t="shared" si="13"/>
        <v>#VALUE!</v>
      </c>
      <c r="E38" s="9" t="e">
        <f t="shared" si="14"/>
        <v>#VALUE!</v>
      </c>
      <c r="F38" s="9" t="e">
        <f t="shared" si="15"/>
        <v>#VALUE!</v>
      </c>
      <c r="G38" s="9" t="str">
        <f t="shared" si="16"/>
        <v/>
      </c>
      <c r="H38" s="9" t="str">
        <f t="shared" si="17"/>
        <v/>
      </c>
      <c r="I38" s="9" t="str">
        <f t="shared" si="18"/>
        <v/>
      </c>
      <c r="J38" s="9" t="str">
        <f t="shared" si="19"/>
        <v/>
      </c>
      <c r="K38" s="11" t="e">
        <f t="shared" si="20"/>
        <v>#VALUE!</v>
      </c>
      <c r="L38" s="11" t="e">
        <f t="shared" si="21"/>
        <v>#VALUE!</v>
      </c>
      <c r="M38" s="11" t="e">
        <f t="shared" si="22"/>
        <v>#VALUE!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#VALUE!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#VALUE!</v>
      </c>
      <c r="Q38" s="11" t="e">
        <f>2*'OddsRatio_working_3-way'!K38*'OddsRatio_working_3-way'!L38*'OddsRatio_working_3-way'!M38</f>
        <v>#VALUE!</v>
      </c>
      <c r="R38" s="11" t="e">
        <f t="shared" si="23"/>
        <v>#VALUE!</v>
      </c>
      <c r="S38" s="11" t="e">
        <f t="shared" si="24"/>
        <v>#VALUE!</v>
      </c>
      <c r="T38" s="11" t="e">
        <f t="shared" si="25"/>
        <v>#VALUE!</v>
      </c>
      <c r="U38" s="11" t="e">
        <f>'OddsRatio_working_3-way'!S38-'OddsRatio_working_3-way'!R38^2/3</f>
        <v>#VALUE!</v>
      </c>
      <c r="V38" s="11" t="e">
        <f>'OddsRatio_working_3-way'!S38*'OddsRatio_working_3-way'!R38/3-2*'OddsRatio_working_3-way'!R38^3/27-'OddsRatio_working_3-way'!T38</f>
        <v>#VALUE!</v>
      </c>
      <c r="W38" s="11" t="e">
        <f>'OddsRatio_working_3-way'!V38^2+4*'OddsRatio_working_3-way'!U38^3/27</f>
        <v>#VALUE!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#VALUE!</v>
      </c>
      <c r="Y38" s="11" t="e">
        <f>IF('OddsRatio_working_3-way'!W38&gt;=0,IF('OddsRatio_working_3-way'!V38+SQRT('OddsRatio_working_3-way'!W38)&gt;0,0,PI()),ACOS('OddsRatio_working_3-way'!V38/(2*'OddsRatio_working_3-way'!X38)))</f>
        <v>#VALUE!</v>
      </c>
      <c r="Z38" s="11" t="e">
        <f>'OddsRatio_working_3-way'!X38^(1/3)*COS('OddsRatio_working_3-way'!Y38/3)</f>
        <v>#VALUE!</v>
      </c>
      <c r="AA38" s="11" t="e">
        <f>'OddsRatio_working_3-way'!X38^(1/3)*COS(('OddsRatio_working_3-way'!Y38+2*PI())/3)</f>
        <v>#VALUE!</v>
      </c>
      <c r="AB38" s="11" t="e">
        <f>'OddsRatio_working_3-way'!X38^(1/3)*COS(('OddsRatio_working_3-way'!Y38+4*PI())/3)</f>
        <v>#VALUE!</v>
      </c>
      <c r="AC38" s="11" t="e">
        <f>'OddsRatio_working_3-way'!X38^(1/3)*SIN('OddsRatio_working_3-way'!Y38/3)</f>
        <v>#VALUE!</v>
      </c>
      <c r="AD38" s="11" t="e">
        <f>'OddsRatio_working_3-way'!X38^(1/3)*SIN(('OddsRatio_working_3-way'!Y38+2*PI())/3)</f>
        <v>#VALUE!</v>
      </c>
      <c r="AE38" s="11" t="e">
        <f>'OddsRatio_working_3-way'!X38^(1/3)*SIN(('OddsRatio_working_3-way'!Y38+4*PI())/3)</f>
        <v>#VALUE!</v>
      </c>
      <c r="AF38" s="11" t="e">
        <f>-'OddsRatio_working_3-way'!U38/(3*'OddsRatio_working_3-way'!X38^(1/3))*COS(('OddsRatio_working_3-way'!Y38)/3)</f>
        <v>#VALUE!</v>
      </c>
      <c r="AG38" s="11" t="e">
        <f>-'OddsRatio_working_3-way'!U38/(3*'OddsRatio_working_3-way'!X38^(1/3))*COS(('OddsRatio_working_3-way'!Y38+2*PI())/3)</f>
        <v>#VALUE!</v>
      </c>
      <c r="AH38" s="11" t="e">
        <f>-'OddsRatio_working_3-way'!U38/(3*'OddsRatio_working_3-way'!X38^(1/3))*COS(('OddsRatio_working_3-way'!Y38+4*PI())/3)</f>
        <v>#VALUE!</v>
      </c>
      <c r="AI38" s="11" t="e">
        <f>'OddsRatio_working_3-way'!U38/(3*'OddsRatio_working_3-way'!X38^(1/3))*SIN(('OddsRatio_working_3-way'!Y38)/3)</f>
        <v>#VALUE!</v>
      </c>
      <c r="AJ38" s="11" t="e">
        <f>'OddsRatio_working_3-way'!U38/(3*'OddsRatio_working_3-way'!X38^(1/3))*SIN(('OddsRatio_working_3-way'!Y38+2*PI())/3)</f>
        <v>#VALUE!</v>
      </c>
      <c r="AK38" s="11" t="e">
        <f>'OddsRatio_working_3-way'!U38/(3*'OddsRatio_working_3-way'!X38^(1/3))*SIN(('OddsRatio_working_3-way'!Y38+4*PI())/3)</f>
        <v>#VALUE!</v>
      </c>
      <c r="AL38" s="11" t="e">
        <f>'OddsRatio_working_3-way'!Z38+'OddsRatio_working_3-way'!AF38</f>
        <v>#VALUE!</v>
      </c>
      <c r="AM38" s="11" t="e">
        <f>'OddsRatio_working_3-way'!AA38+'OddsRatio_working_3-way'!AG38</f>
        <v>#VALUE!</v>
      </c>
      <c r="AN38" s="11" t="e">
        <f>'OddsRatio_working_3-way'!AB38+'OddsRatio_working_3-way'!AH38</f>
        <v>#VALUE!</v>
      </c>
      <c r="AO38" s="11" t="e">
        <f>'OddsRatio_working_3-way'!AC38+'OddsRatio_working_3-way'!AI38</f>
        <v>#VALUE!</v>
      </c>
      <c r="AP38" s="11" t="e">
        <f>'OddsRatio_working_3-way'!AD38+'OddsRatio_working_3-way'!AJ38</f>
        <v>#VALUE!</v>
      </c>
      <c r="AQ38" s="11" t="e">
        <f>'OddsRatio_working_3-way'!AE38+'OddsRatio_working_3-way'!AK38</f>
        <v>#VALUE!</v>
      </c>
      <c r="AR38" s="10" t="str">
        <f>IF(A38="","",IF(('OddsRatio_working_3-way'!X38=0),IF(Q38&gt;0,-Q38^(1/3),(-Q38)^(1/3)),'OddsRatio_working_3-way'!AL38-'OddsRatio_working_3-way'!R38/3))</f>
        <v/>
      </c>
      <c r="AS38" s="11" t="e">
        <f>IF(('OddsRatio_working_3-way'!X38=0),IF(Q38&gt;0,-Q38^(1/3),(-Q38)^(1/3)),'OddsRatio_working_3-way'!AM38-'OddsRatio_working_3-way'!R38/3)</f>
        <v>#VALUE!</v>
      </c>
      <c r="AT38" s="11" t="e">
        <f>IF(('OddsRatio_working_3-way'!X38=0),IF(Q38&gt;0,-Q38^(1/3),(-Q38)^(1/3)),'OddsRatio_working_3-way'!AN38-'OddsRatio_working_3-way'!R38/3)</f>
        <v>#VALUE!</v>
      </c>
      <c r="AU38" s="11" t="e">
        <f>IF(('OddsRatio_working_3-way'!X38=0),0,'OddsRatio_working_3-way'!AO38)</f>
        <v>#VALUE!</v>
      </c>
      <c r="AV38" s="11" t="e">
        <f>IF(('OddsRatio_working_3-way'!X38=0),0,'OddsRatio_working_3-way'!AP38)</f>
        <v>#VALUE!</v>
      </c>
      <c r="AW38" s="11" t="e">
        <f>IF(('OddsRatio_working_3-way'!X38=0),0,'OddsRatio_working_3-way'!AQ38)</f>
        <v>#VALUE!</v>
      </c>
    </row>
    <row r="39" spans="1:4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9" t="e">
        <f t="shared" si="13"/>
        <v>#VALUE!</v>
      </c>
      <c r="E39" s="9" t="e">
        <f t="shared" si="14"/>
        <v>#VALUE!</v>
      </c>
      <c r="F39" s="9" t="e">
        <f t="shared" si="15"/>
        <v>#VALUE!</v>
      </c>
      <c r="G39" s="9" t="str">
        <f t="shared" si="16"/>
        <v/>
      </c>
      <c r="H39" s="9" t="str">
        <f t="shared" si="17"/>
        <v/>
      </c>
      <c r="I39" s="9" t="str">
        <f t="shared" si="18"/>
        <v/>
      </c>
      <c r="J39" s="9" t="str">
        <f t="shared" si="19"/>
        <v/>
      </c>
      <c r="K39" s="11" t="e">
        <f t="shared" si="20"/>
        <v>#VALUE!</v>
      </c>
      <c r="L39" s="11" t="e">
        <f t="shared" si="21"/>
        <v>#VALUE!</v>
      </c>
      <c r="M39" s="11" t="e">
        <f t="shared" si="22"/>
        <v>#VALUE!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#VALUE!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#VALUE!</v>
      </c>
      <c r="Q39" s="11" t="e">
        <f>2*'OddsRatio_working_3-way'!K39*'OddsRatio_working_3-way'!L39*'OddsRatio_working_3-way'!M39</f>
        <v>#VALUE!</v>
      </c>
      <c r="R39" s="11" t="e">
        <f t="shared" si="23"/>
        <v>#VALUE!</v>
      </c>
      <c r="S39" s="11" t="e">
        <f t="shared" si="24"/>
        <v>#VALUE!</v>
      </c>
      <c r="T39" s="11" t="e">
        <f t="shared" si="25"/>
        <v>#VALUE!</v>
      </c>
      <c r="U39" s="11" t="e">
        <f>'OddsRatio_working_3-way'!S39-'OddsRatio_working_3-way'!R39^2/3</f>
        <v>#VALUE!</v>
      </c>
      <c r="V39" s="11" t="e">
        <f>'OddsRatio_working_3-way'!S39*'OddsRatio_working_3-way'!R39/3-2*'OddsRatio_working_3-way'!R39^3/27-'OddsRatio_working_3-way'!T39</f>
        <v>#VALUE!</v>
      </c>
      <c r="W39" s="11" t="e">
        <f>'OddsRatio_working_3-way'!V39^2+4*'OddsRatio_working_3-way'!U39^3/27</f>
        <v>#VALUE!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#VALUE!</v>
      </c>
      <c r="Y39" s="11" t="e">
        <f>IF('OddsRatio_working_3-way'!W39&gt;=0,IF('OddsRatio_working_3-way'!V39+SQRT('OddsRatio_working_3-way'!W39)&gt;0,0,PI()),ACOS('OddsRatio_working_3-way'!V39/(2*'OddsRatio_working_3-way'!X39)))</f>
        <v>#VALUE!</v>
      </c>
      <c r="Z39" s="11" t="e">
        <f>'OddsRatio_working_3-way'!X39^(1/3)*COS('OddsRatio_working_3-way'!Y39/3)</f>
        <v>#VALUE!</v>
      </c>
      <c r="AA39" s="11" t="e">
        <f>'OddsRatio_working_3-way'!X39^(1/3)*COS(('OddsRatio_working_3-way'!Y39+2*PI())/3)</f>
        <v>#VALUE!</v>
      </c>
      <c r="AB39" s="11" t="e">
        <f>'OddsRatio_working_3-way'!X39^(1/3)*COS(('OddsRatio_working_3-way'!Y39+4*PI())/3)</f>
        <v>#VALUE!</v>
      </c>
      <c r="AC39" s="11" t="e">
        <f>'OddsRatio_working_3-way'!X39^(1/3)*SIN('OddsRatio_working_3-way'!Y39/3)</f>
        <v>#VALUE!</v>
      </c>
      <c r="AD39" s="11" t="e">
        <f>'OddsRatio_working_3-way'!X39^(1/3)*SIN(('OddsRatio_working_3-way'!Y39+2*PI())/3)</f>
        <v>#VALUE!</v>
      </c>
      <c r="AE39" s="11" t="e">
        <f>'OddsRatio_working_3-way'!X39^(1/3)*SIN(('OddsRatio_working_3-way'!Y39+4*PI())/3)</f>
        <v>#VALUE!</v>
      </c>
      <c r="AF39" s="11" t="e">
        <f>-'OddsRatio_working_3-way'!U39/(3*'OddsRatio_working_3-way'!X39^(1/3))*COS(('OddsRatio_working_3-way'!Y39)/3)</f>
        <v>#VALUE!</v>
      </c>
      <c r="AG39" s="11" t="e">
        <f>-'OddsRatio_working_3-way'!U39/(3*'OddsRatio_working_3-way'!X39^(1/3))*COS(('OddsRatio_working_3-way'!Y39+2*PI())/3)</f>
        <v>#VALUE!</v>
      </c>
      <c r="AH39" s="11" t="e">
        <f>-'OddsRatio_working_3-way'!U39/(3*'OddsRatio_working_3-way'!X39^(1/3))*COS(('OddsRatio_working_3-way'!Y39+4*PI())/3)</f>
        <v>#VALUE!</v>
      </c>
      <c r="AI39" s="11" t="e">
        <f>'OddsRatio_working_3-way'!U39/(3*'OddsRatio_working_3-way'!X39^(1/3))*SIN(('OddsRatio_working_3-way'!Y39)/3)</f>
        <v>#VALUE!</v>
      </c>
      <c r="AJ39" s="11" t="e">
        <f>'OddsRatio_working_3-way'!U39/(3*'OddsRatio_working_3-way'!X39^(1/3))*SIN(('OddsRatio_working_3-way'!Y39+2*PI())/3)</f>
        <v>#VALUE!</v>
      </c>
      <c r="AK39" s="11" t="e">
        <f>'OddsRatio_working_3-way'!U39/(3*'OddsRatio_working_3-way'!X39^(1/3))*SIN(('OddsRatio_working_3-way'!Y39+4*PI())/3)</f>
        <v>#VALUE!</v>
      </c>
      <c r="AL39" s="11" t="e">
        <f>'OddsRatio_working_3-way'!Z39+'OddsRatio_working_3-way'!AF39</f>
        <v>#VALUE!</v>
      </c>
      <c r="AM39" s="11" t="e">
        <f>'OddsRatio_working_3-way'!AA39+'OddsRatio_working_3-way'!AG39</f>
        <v>#VALUE!</v>
      </c>
      <c r="AN39" s="11" t="e">
        <f>'OddsRatio_working_3-way'!AB39+'OddsRatio_working_3-way'!AH39</f>
        <v>#VALUE!</v>
      </c>
      <c r="AO39" s="11" t="e">
        <f>'OddsRatio_working_3-way'!AC39+'OddsRatio_working_3-way'!AI39</f>
        <v>#VALUE!</v>
      </c>
      <c r="AP39" s="11" t="e">
        <f>'OddsRatio_working_3-way'!AD39+'OddsRatio_working_3-way'!AJ39</f>
        <v>#VALUE!</v>
      </c>
      <c r="AQ39" s="11" t="e">
        <f>'OddsRatio_working_3-way'!AE39+'OddsRatio_working_3-way'!AK39</f>
        <v>#VALUE!</v>
      </c>
      <c r="AR39" s="10" t="str">
        <f>IF(A39="","",IF(('OddsRatio_working_3-way'!X39=0),IF(Q39&gt;0,-Q39^(1/3),(-Q39)^(1/3)),'OddsRatio_working_3-way'!AL39-'OddsRatio_working_3-way'!R39/3))</f>
        <v/>
      </c>
      <c r="AS39" s="11" t="e">
        <f>IF(('OddsRatio_working_3-way'!X39=0),IF(Q39&gt;0,-Q39^(1/3),(-Q39)^(1/3)),'OddsRatio_working_3-way'!AM39-'OddsRatio_working_3-way'!R39/3)</f>
        <v>#VALUE!</v>
      </c>
      <c r="AT39" s="11" t="e">
        <f>IF(('OddsRatio_working_3-way'!X39=0),IF(Q39&gt;0,-Q39^(1/3),(-Q39)^(1/3)),'OddsRatio_working_3-way'!AN39-'OddsRatio_working_3-way'!R39/3)</f>
        <v>#VALUE!</v>
      </c>
      <c r="AU39" s="11" t="e">
        <f>IF(('OddsRatio_working_3-way'!X39=0),0,'OddsRatio_working_3-way'!AO39)</f>
        <v>#VALUE!</v>
      </c>
      <c r="AV39" s="11" t="e">
        <f>IF(('OddsRatio_working_3-way'!X39=0),0,'OddsRatio_working_3-way'!AP39)</f>
        <v>#VALUE!</v>
      </c>
      <c r="AW39" s="11" t="e">
        <f>IF(('OddsRatio_working_3-way'!X39=0),0,'OddsRatio_working_3-way'!AQ39)</f>
        <v>#VALUE!</v>
      </c>
    </row>
    <row r="40" spans="1:4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2.0499999999999998</v>
      </c>
      <c r="B2" s="4">
        <f>IF('True_Odds_Calculator_2-way'!B3="","",'True_Odds_Calculator_2-way'!B3)</f>
        <v>1.85</v>
      </c>
      <c r="C2" s="4">
        <f t="shared" ref="C2:C65" si="0">IF(A2="","",((1/A2)+(1/B2))-1)</f>
        <v>2.8345418589321048E-2</v>
      </c>
      <c r="D2" s="4">
        <f>IF(A2="","",(2*A2)/(2-($C2*A2)))</f>
        <v>2.1113430758524703</v>
      </c>
      <c r="E2" s="4">
        <f>IF(B2="","",(2*B2)/(2-($C2*B2)))</f>
        <v>1.8998121477770822</v>
      </c>
      <c r="G2" s="4">
        <f t="shared" ref="G2:G65" si="1">IF(A2="","",C2+1)</f>
        <v>1.028345418589321</v>
      </c>
    </row>
    <row r="3" spans="1:7" x14ac:dyDescent="0.2">
      <c r="A3" s="4">
        <f>IF('True_Odds_Calculator_2-way'!A4="","",'True_Odds_Calculator_2-way'!A4)</f>
        <v>2.0299999999999998</v>
      </c>
      <c r="B3" s="4">
        <f>IF('True_Odds_Calculator_2-way'!B4="","",'True_Odds_Calculator_2-way'!B4)</f>
        <v>1.86</v>
      </c>
      <c r="C3" s="4">
        <f t="shared" si="0"/>
        <v>3.0245246040574214E-2</v>
      </c>
      <c r="D3" s="4">
        <f t="shared" ref="D3:D66" si="2">IF(A3="","",(2*A3)/(2-($C3*A3)))</f>
        <v>2.0942925287037548</v>
      </c>
      <c r="E3" s="4">
        <f t="shared" ref="E3:E66" si="3">IF(B3="","",(2*B3)/(2-($C3*B3)))</f>
        <v>1.9138324294186226</v>
      </c>
      <c r="G3" s="4">
        <f t="shared" si="1"/>
        <v>1.0302452460405742</v>
      </c>
    </row>
    <row r="4" spans="1:7" x14ac:dyDescent="0.2">
      <c r="A4" s="4">
        <f>IF('True_Odds_Calculator_2-way'!A5="","",'True_Odds_Calculator_2-way'!A5)</f>
        <v>2.2799999999999998</v>
      </c>
      <c r="B4" s="4">
        <f>IF('True_Odds_Calculator_2-way'!B5="","",'True_Odds_Calculator_2-way'!B5)</f>
        <v>1.68</v>
      </c>
      <c r="C4" s="4">
        <f t="shared" si="0"/>
        <v>3.383458646616555E-2</v>
      </c>
      <c r="D4" s="4">
        <f t="shared" si="2"/>
        <v>2.3714710252600297</v>
      </c>
      <c r="E4" s="4">
        <f t="shared" si="3"/>
        <v>1.7291440953412784</v>
      </c>
      <c r="G4" s="4">
        <f t="shared" si="1"/>
        <v>1.0338345864661656</v>
      </c>
    </row>
    <row r="5" spans="1:7" x14ac:dyDescent="0.2">
      <c r="A5" s="4">
        <f>IF('True_Odds_Calculator_2-way'!A6="","",'True_Odds_Calculator_2-way'!A6)</f>
        <v>2.57</v>
      </c>
      <c r="B5" s="4">
        <f>IF('True_Odds_Calculator_2-way'!B6="","",'True_Odds_Calculator_2-way'!B6)</f>
        <v>1.55</v>
      </c>
      <c r="C5" s="4">
        <f t="shared" si="0"/>
        <v>3.4266348688339443E-2</v>
      </c>
      <c r="D5" s="4">
        <f t="shared" si="2"/>
        <v>2.6883752319892018</v>
      </c>
      <c r="E5" s="4">
        <f t="shared" si="3"/>
        <v>1.5922854002198461</v>
      </c>
      <c r="G5" s="4">
        <f t="shared" si="1"/>
        <v>1.0342663486883394</v>
      </c>
    </row>
    <row r="6" spans="1:7" x14ac:dyDescent="0.2">
      <c r="A6" s="4">
        <f>IF('True_Odds_Calculator_2-way'!A7="","",'True_Odds_Calculator_2-way'!A7)</f>
        <v>2.37</v>
      </c>
      <c r="B6" s="4">
        <f>IF('True_Odds_Calculator_2-way'!B7="","",'True_Odds_Calculator_2-way'!B7)</f>
        <v>1.64</v>
      </c>
      <c r="C6" s="4">
        <f t="shared" si="0"/>
        <v>3.1697025831017633E-2</v>
      </c>
      <c r="D6" s="4">
        <f t="shared" si="2"/>
        <v>2.4624936644703492</v>
      </c>
      <c r="E6" s="4">
        <f t="shared" si="3"/>
        <v>1.6837636458152829</v>
      </c>
      <c r="G6" s="4">
        <f t="shared" si="1"/>
        <v>1.0316970258310176</v>
      </c>
    </row>
    <row r="7" spans="1:7" x14ac:dyDescent="0.2">
      <c r="A7" s="4">
        <f>IF('True_Odds_Calculator_2-way'!A8="","",'True_Odds_Calculator_2-way'!A8)</f>
        <v>1.93</v>
      </c>
      <c r="B7" s="4">
        <f>IF('True_Odds_Calculator_2-way'!B8="","",'True_Odds_Calculator_2-way'!B8)</f>
        <v>1.96</v>
      </c>
      <c r="C7" s="4">
        <f t="shared" si="0"/>
        <v>2.8338796658559762E-2</v>
      </c>
      <c r="D7" s="4">
        <f t="shared" si="2"/>
        <v>1.9842635333613092</v>
      </c>
      <c r="E7" s="4">
        <f t="shared" si="3"/>
        <v>2.0159880622468553</v>
      </c>
      <c r="G7" s="4">
        <f t="shared" si="1"/>
        <v>1.0283387966585598</v>
      </c>
    </row>
    <row r="8" spans="1:7" x14ac:dyDescent="0.2">
      <c r="A8" s="4">
        <f>IF('True_Odds_Calculator_2-way'!A9="","",'True_Odds_Calculator_2-way'!A9)</f>
        <v>2.19</v>
      </c>
      <c r="B8" s="4">
        <f>IF('True_Odds_Calculator_2-way'!B9="","",'True_Odds_Calculator_2-way'!B9)</f>
        <v>1.72</v>
      </c>
      <c r="C8" s="4">
        <f t="shared" si="0"/>
        <v>3.8016353403419467E-2</v>
      </c>
      <c r="D8" s="4">
        <f t="shared" si="2"/>
        <v>2.2851249696675566</v>
      </c>
      <c r="E8" s="4">
        <f t="shared" si="3"/>
        <v>1.7781344410876134</v>
      </c>
      <c r="G8" s="4">
        <f t="shared" si="1"/>
        <v>1.0380163534034195</v>
      </c>
    </row>
    <row r="9" spans="1:7" x14ac:dyDescent="0.2">
      <c r="A9" s="4">
        <f>IF('True_Odds_Calculator_2-way'!A10="","",'True_Odds_Calculator_2-way'!A10)</f>
        <v>2.13</v>
      </c>
      <c r="B9" s="4">
        <f>IF('True_Odds_Calculator_2-way'!B10="","",'True_Odds_Calculator_2-way'!B10)</f>
        <v>1.76</v>
      </c>
      <c r="C9" s="4">
        <f t="shared" si="0"/>
        <v>3.7665386256935607E-2</v>
      </c>
      <c r="D9" s="4">
        <f t="shared" si="2"/>
        <v>2.2190126672191313</v>
      </c>
      <c r="E9" s="4">
        <f t="shared" si="3"/>
        <v>1.8203360202000585</v>
      </c>
      <c r="G9" s="4">
        <f t="shared" si="1"/>
        <v>1.0376653862569356</v>
      </c>
    </row>
    <row r="10" spans="1:7" x14ac:dyDescent="0.2">
      <c r="A10" s="4">
        <f>IF('True_Odds_Calculator_2-way'!A11="","",'True_Odds_Calculator_2-way'!A11)</f>
        <v>1.96</v>
      </c>
      <c r="B10" s="4">
        <f>IF('True_Odds_Calculator_2-way'!B11="","",'True_Odds_Calculator_2-way'!B11)</f>
        <v>1.9</v>
      </c>
      <c r="C10" s="4">
        <f t="shared" si="0"/>
        <v>3.6519871106337254E-2</v>
      </c>
      <c r="D10" s="4">
        <f t="shared" si="2"/>
        <v>2.0327510917030565</v>
      </c>
      <c r="E10" s="4">
        <f t="shared" si="3"/>
        <v>1.9682875264270612</v>
      </c>
      <c r="G10" s="4">
        <f t="shared" si="1"/>
        <v>1.0365198711063373</v>
      </c>
    </row>
    <row r="11" spans="1:7" x14ac:dyDescent="0.2">
      <c r="A11" s="4">
        <f>IF('True_Odds_Calculator_2-way'!A12="","",'True_Odds_Calculator_2-way'!A12)</f>
        <v>2.16</v>
      </c>
      <c r="B11" s="4">
        <f>IF('True_Odds_Calculator_2-way'!B12="","",'True_Odds_Calculator_2-way'!B12)</f>
        <v>1.74</v>
      </c>
      <c r="C11" s="4">
        <f t="shared" si="0"/>
        <v>3.7675606641123682E-2</v>
      </c>
      <c r="D11" s="4">
        <f t="shared" si="2"/>
        <v>2.2516175413371671</v>
      </c>
      <c r="E11" s="4">
        <f t="shared" si="3"/>
        <v>1.7989661114302122</v>
      </c>
      <c r="G11" s="4">
        <f t="shared" si="1"/>
        <v>1.0376756066411237</v>
      </c>
    </row>
    <row r="12" spans="1:7" x14ac:dyDescent="0.2">
      <c r="A12" s="4">
        <f>IF('True_Odds_Calculator_2-way'!A13="","",'True_Odds_Calculator_2-way'!A13)</f>
        <v>1.96</v>
      </c>
      <c r="B12" s="4">
        <f>IF('True_Odds_Calculator_2-way'!B13="","",'True_Odds_Calculator_2-way'!B13)</f>
        <v>1.91</v>
      </c>
      <c r="C12" s="4">
        <f t="shared" si="0"/>
        <v>3.3764291056736839E-2</v>
      </c>
      <c r="D12" s="4">
        <f t="shared" si="2"/>
        <v>2.0270738574832143</v>
      </c>
      <c r="E12" s="4">
        <f t="shared" si="3"/>
        <v>1.9736398144242935</v>
      </c>
      <c r="G12" s="4">
        <f t="shared" si="1"/>
        <v>1.0337642910567368</v>
      </c>
    </row>
    <row r="13" spans="1:7" x14ac:dyDescent="0.2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3.3598632551679941E-2</v>
      </c>
      <c r="D13" s="4">
        <f t="shared" si="2"/>
        <v>1.9946726333173512</v>
      </c>
      <c r="E13" s="4">
        <f t="shared" si="3"/>
        <v>2.0053558995233249</v>
      </c>
      <c r="G13" s="4">
        <f t="shared" si="1"/>
        <v>1.0335986325516799</v>
      </c>
    </row>
    <row r="14" spans="1:7" x14ac:dyDescent="0.2">
      <c r="A14" s="4">
        <f>IF('True_Odds_Calculator_2-way'!A15="","",'True_Odds_Calculator_2-way'!A15)</f>
        <v>1.74</v>
      </c>
      <c r="B14" s="4">
        <f>IF('True_Odds_Calculator_2-way'!B15="","",'True_Odds_Calculator_2-way'!B15)</f>
        <v>2.16</v>
      </c>
      <c r="C14" s="4">
        <f t="shared" si="0"/>
        <v>3.7675606641123682E-2</v>
      </c>
      <c r="D14" s="4">
        <f t="shared" si="2"/>
        <v>1.7989661114302122</v>
      </c>
      <c r="E14" s="4">
        <f t="shared" si="3"/>
        <v>2.2516175413371671</v>
      </c>
      <c r="G14" s="4">
        <f t="shared" si="1"/>
        <v>1.0376756066411237</v>
      </c>
    </row>
    <row r="15" spans="1:7" x14ac:dyDescent="0.2">
      <c r="A15" s="4">
        <f>IF('True_Odds_Calculator_2-way'!A16="","",'True_Odds_Calculator_2-way'!A16)</f>
        <v>1.88</v>
      </c>
      <c r="B15" s="4">
        <f>IF('True_Odds_Calculator_2-way'!B16="","",'True_Odds_Calculator_2-way'!B16)</f>
        <v>1.99</v>
      </c>
      <c r="C15" s="4">
        <f t="shared" si="0"/>
        <v>3.4427456431091574E-2</v>
      </c>
      <c r="D15" s="4">
        <f t="shared" si="2"/>
        <v>1.9428749480681344</v>
      </c>
      <c r="E15" s="4">
        <f t="shared" si="3"/>
        <v>2.0605860321656753</v>
      </c>
      <c r="G15" s="4">
        <f t="shared" si="1"/>
        <v>1.0344274564310916</v>
      </c>
    </row>
    <row r="16" spans="1:7" x14ac:dyDescent="0.2">
      <c r="A16" s="4">
        <f>IF('True_Odds_Calculator_2-way'!A17="","",'True_Odds_Calculator_2-way'!A17)</f>
        <v>1.92</v>
      </c>
      <c r="B16" s="4">
        <f>IF('True_Odds_Calculator_2-way'!B17="","",'True_Odds_Calculator_2-way'!B17)</f>
        <v>1.95</v>
      </c>
      <c r="C16" s="4">
        <f t="shared" si="0"/>
        <v>3.3653846153846256E-2</v>
      </c>
      <c r="D16" s="4">
        <f t="shared" si="2"/>
        <v>1.9841017488076311</v>
      </c>
      <c r="E16" s="4">
        <f t="shared" si="3"/>
        <v>2.0161550888529889</v>
      </c>
      <c r="G16" s="4">
        <f t="shared" si="1"/>
        <v>1.0336538461538463</v>
      </c>
    </row>
    <row r="17" spans="1:7" x14ac:dyDescent="0.2">
      <c r="A17" s="4">
        <f>IF('True_Odds_Calculator_2-way'!A18="","",'True_Odds_Calculator_2-way'!A18)</f>
        <v>2.39</v>
      </c>
      <c r="B17" s="4">
        <f>IF('True_Odds_Calculator_2-way'!B18="","",'True_Odds_Calculator_2-way'!B18)</f>
        <v>1.61</v>
      </c>
      <c r="C17" s="4">
        <f t="shared" si="0"/>
        <v>3.9528054263364254E-2</v>
      </c>
      <c r="D17" s="4">
        <f t="shared" si="2"/>
        <v>2.5084911502982492</v>
      </c>
      <c r="E17" s="4">
        <f t="shared" si="3"/>
        <v>1.6629140646945697</v>
      </c>
      <c r="G17" s="4">
        <f t="shared" si="1"/>
        <v>1.0395280542633643</v>
      </c>
    </row>
    <row r="18" spans="1:7" x14ac:dyDescent="0.2">
      <c r="A18" s="4">
        <f>IF('True_Odds_Calculator_2-way'!A19="","",'True_Odds_Calculator_2-way'!A19)</f>
        <v>1.93</v>
      </c>
      <c r="B18" s="4">
        <f>IF('True_Odds_Calculator_2-way'!B19="","",'True_Odds_Calculator_2-way'!B19)</f>
        <v>1.94</v>
      </c>
      <c r="C18" s="4">
        <f t="shared" si="0"/>
        <v>3.3598632551679941E-2</v>
      </c>
      <c r="D18" s="4">
        <f t="shared" si="2"/>
        <v>1.9946726333173512</v>
      </c>
      <c r="E18" s="4">
        <f t="shared" si="3"/>
        <v>2.0053558995233249</v>
      </c>
      <c r="G18" s="4">
        <f t="shared" si="1"/>
        <v>1.0335986325516799</v>
      </c>
    </row>
    <row r="19" spans="1:7" x14ac:dyDescent="0.2">
      <c r="A19" s="4">
        <f>IF('True_Odds_Calculator_2-way'!A20="","",'True_Odds_Calculator_2-way'!A20)</f>
        <v>2.29</v>
      </c>
      <c r="B19" s="4">
        <f>IF('True_Odds_Calculator_2-way'!B20="","",'True_Odds_Calculator_2-way'!B20)</f>
        <v>1.66</v>
      </c>
      <c r="C19" s="4">
        <f t="shared" si="0"/>
        <v>3.9090861261640519E-2</v>
      </c>
      <c r="D19" s="4">
        <f t="shared" si="2"/>
        <v>2.3973008765844739</v>
      </c>
      <c r="E19" s="4">
        <f t="shared" si="3"/>
        <v>1.7156654781784539</v>
      </c>
      <c r="G19" s="4">
        <f t="shared" si="1"/>
        <v>1.0390908612616405</v>
      </c>
    </row>
    <row r="20" spans="1:7" x14ac:dyDescent="0.2">
      <c r="A20" s="4">
        <f>IF('True_Odds_Calculator_2-way'!A21="","",'True_Odds_Calculator_2-way'!A21)</f>
        <v>1.83</v>
      </c>
      <c r="B20" s="4">
        <f>IF('True_Odds_Calculator_2-way'!B21="","",'True_Odds_Calculator_2-way'!B21)</f>
        <v>2.02</v>
      </c>
      <c r="C20" s="4">
        <f t="shared" si="0"/>
        <v>4.1497592382188975E-2</v>
      </c>
      <c r="D20" s="4">
        <f t="shared" si="2"/>
        <v>1.9022281685792208</v>
      </c>
      <c r="E20" s="4">
        <f t="shared" si="3"/>
        <v>2.1083670792220381</v>
      </c>
      <c r="G20" s="4">
        <f t="shared" si="1"/>
        <v>1.041497592382189</v>
      </c>
    </row>
    <row r="21" spans="1:7" x14ac:dyDescent="0.2">
      <c r="A21" s="4">
        <f>IF('True_Odds_Calculator_2-way'!A22="","",'True_Odds_Calculator_2-way'!A22)</f>
        <v>1.89</v>
      </c>
      <c r="B21" s="4">
        <f>IF('True_Odds_Calculator_2-way'!B22="","",'True_Odds_Calculator_2-way'!B22)</f>
        <v>1.94</v>
      </c>
      <c r="C21" s="4">
        <f t="shared" si="0"/>
        <v>4.4564446626302434E-2</v>
      </c>
      <c r="D21" s="4">
        <f t="shared" si="2"/>
        <v>1.9730936877791532</v>
      </c>
      <c r="E21" s="4">
        <f t="shared" si="3"/>
        <v>2.0276502792678208</v>
      </c>
      <c r="G21" s="4">
        <f t="shared" si="1"/>
        <v>1.0445644466263024</v>
      </c>
    </row>
    <row r="22" spans="1:7" x14ac:dyDescent="0.2">
      <c r="A22" s="4">
        <f>IF('True_Odds_Calculator_2-way'!A23="","",'True_Odds_Calculator_2-way'!A23)</f>
        <v>1.88</v>
      </c>
      <c r="B22" s="4">
        <f>IF('True_Odds_Calculator_2-way'!B23="","",'True_Odds_Calculator_2-way'!B23)</f>
        <v>1.96</v>
      </c>
      <c r="C22" s="4">
        <f t="shared" si="0"/>
        <v>4.2118975249674229E-2</v>
      </c>
      <c r="D22" s="4">
        <f t="shared" si="2"/>
        <v>1.9575010624734379</v>
      </c>
      <c r="E22" s="4">
        <f t="shared" si="3"/>
        <v>2.044385264092321</v>
      </c>
      <c r="G22" s="4">
        <f t="shared" si="1"/>
        <v>1.0421189752496742</v>
      </c>
    </row>
    <row r="23" spans="1:7" x14ac:dyDescent="0.2">
      <c r="A23" s="4">
        <f>IF('True_Odds_Calculator_2-way'!A24="","",'True_Odds_Calculator_2-way'!A24)</f>
        <v>2.52</v>
      </c>
      <c r="B23" s="4">
        <f>IF('True_Odds_Calculator_2-way'!B24="","",'True_Odds_Calculator_2-way'!B24)</f>
        <v>1.57</v>
      </c>
      <c r="C23" s="4">
        <f t="shared" si="0"/>
        <v>3.3768071984632497E-2</v>
      </c>
      <c r="D23" s="4">
        <f t="shared" si="2"/>
        <v>2.6319850984566258</v>
      </c>
      <c r="E23" s="4">
        <f t="shared" si="3"/>
        <v>1.6127506929724442</v>
      </c>
      <c r="G23" s="4">
        <f t="shared" si="1"/>
        <v>1.0337680719846325</v>
      </c>
    </row>
    <row r="24" spans="1:7" x14ac:dyDescent="0.2">
      <c r="A24" s="4">
        <f>IF('True_Odds_Calculator_2-way'!A25="","",'True_Odds_Calculator_2-way'!A25)</f>
        <v>2.23</v>
      </c>
      <c r="B24" s="4">
        <f>IF('True_Odds_Calculator_2-way'!B25="","",'True_Odds_Calculator_2-way'!B25)</f>
        <v>1.71</v>
      </c>
      <c r="C24" s="4">
        <f t="shared" si="0"/>
        <v>3.3225814910969431E-2</v>
      </c>
      <c r="D24" s="4">
        <f t="shared" si="2"/>
        <v>2.315792669966295</v>
      </c>
      <c r="E24" s="4">
        <f t="shared" si="3"/>
        <v>1.7599981538319522</v>
      </c>
      <c r="G24" s="4">
        <f t="shared" si="1"/>
        <v>1.0332258149109694</v>
      </c>
    </row>
    <row r="25" spans="1:7" x14ac:dyDescent="0.2">
      <c r="A25" s="4">
        <f>IF('True_Odds_Calculator_2-way'!A26="","",'True_Odds_Calculator_2-way'!A26)</f>
        <v>1.73</v>
      </c>
      <c r="B25" s="4">
        <f>IF('True_Odds_Calculator_2-way'!B26="","",'True_Odds_Calculator_2-way'!B26)</f>
        <v>2.2000000000000002</v>
      </c>
      <c r="C25" s="4">
        <f t="shared" si="0"/>
        <v>3.2580136626379375E-2</v>
      </c>
      <c r="D25" s="4">
        <f t="shared" si="2"/>
        <v>1.7801683816651075</v>
      </c>
      <c r="E25" s="4">
        <f t="shared" si="3"/>
        <v>2.2817745803357314</v>
      </c>
      <c r="G25" s="4">
        <f t="shared" si="1"/>
        <v>1.0325801366263794</v>
      </c>
    </row>
    <row r="26" spans="1:7" x14ac:dyDescent="0.2">
      <c r="A26" s="4">
        <f>IF('True_Odds_Calculator_2-way'!A27="","",'True_Odds_Calculator_2-way'!A27)</f>
        <v>2.17</v>
      </c>
      <c r="B26" s="4">
        <f>IF('True_Odds_Calculator_2-way'!B27="","",'True_Odds_Calculator_2-way'!B27)</f>
        <v>1.75</v>
      </c>
      <c r="C26" s="4">
        <f t="shared" si="0"/>
        <v>3.2258064516129004E-2</v>
      </c>
      <c r="D26" s="4">
        <f t="shared" si="2"/>
        <v>2.2487046632124348</v>
      </c>
      <c r="E26" s="4">
        <f t="shared" si="3"/>
        <v>1.8008298755186722</v>
      </c>
      <c r="G26" s="4">
        <f t="shared" si="1"/>
        <v>1.032258064516129</v>
      </c>
    </row>
    <row r="27" spans="1:7" x14ac:dyDescent="0.2">
      <c r="A27" s="4">
        <f>IF('True_Odds_Calculator_2-way'!A28="","",'True_Odds_Calculator_2-way'!A28)</f>
        <v>2.36</v>
      </c>
      <c r="B27" s="4">
        <f>IF('True_Odds_Calculator_2-way'!B28="","",'True_Odds_Calculator_2-way'!B28)</f>
        <v>1.64</v>
      </c>
      <c r="C27" s="4">
        <f t="shared" si="0"/>
        <v>3.3484911120297722E-2</v>
      </c>
      <c r="D27" s="4">
        <f t="shared" si="2"/>
        <v>2.4570848146267141</v>
      </c>
      <c r="E27" s="4">
        <f t="shared" si="3"/>
        <v>1.6863018473335656</v>
      </c>
      <c r="G27" s="4">
        <f t="shared" si="1"/>
        <v>1.0334849111202977</v>
      </c>
    </row>
    <row r="28" spans="1:7" x14ac:dyDescent="0.2">
      <c r="A28" s="4">
        <f>IF('True_Odds_Calculator_2-way'!A29="","",'True_Odds_Calculator_2-way'!A29)</f>
        <v>1.9</v>
      </c>
      <c r="B28" s="4">
        <f>IF('True_Odds_Calculator_2-way'!B29="","",'True_Odds_Calculator_2-way'!B29)</f>
        <v>1.99</v>
      </c>
      <c r="C28" s="4">
        <f t="shared" si="0"/>
        <v>2.8828352287754377E-2</v>
      </c>
      <c r="D28" s="4">
        <f t="shared" si="2"/>
        <v>1.9535003874967702</v>
      </c>
      <c r="E28" s="4">
        <f t="shared" si="3"/>
        <v>2.0487672717420748</v>
      </c>
      <c r="G28" s="4">
        <f t="shared" si="1"/>
        <v>1.0288283522877544</v>
      </c>
    </row>
    <row r="29" spans="1:7" x14ac:dyDescent="0.2">
      <c r="A29" s="4">
        <f>IF('True_Odds_Calculator_2-way'!A30="","",'True_Odds_Calculator_2-way'!A30)</f>
        <v>1.94</v>
      </c>
      <c r="B29" s="4">
        <f>IF('True_Odds_Calculator_2-way'!B30="","",'True_Odds_Calculator_2-way'!B30)</f>
        <v>1.86</v>
      </c>
      <c r="C29" s="4">
        <f t="shared" si="0"/>
        <v>5.3098326127923645E-2</v>
      </c>
      <c r="D29" s="4">
        <f t="shared" si="2"/>
        <v>2.0453463326153494</v>
      </c>
      <c r="E29" s="4">
        <f t="shared" si="3"/>
        <v>1.9566207569677909</v>
      </c>
      <c r="G29" s="4">
        <f t="shared" si="1"/>
        <v>1.0530983261279236</v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4.37</v>
      </c>
      <c r="B2" s="4">
        <f>IF('True_Odds_Calculator_3-way'!B3="","",'True_Odds_Calculator_3-way'!B3)</f>
        <v>3.59</v>
      </c>
      <c r="C2" s="4">
        <f>IF('True_Odds_Calculator_3-way'!C3="","",'True_Odds_Calculator_3-way'!C3)</f>
        <v>1.92</v>
      </c>
      <c r="D2" s="4">
        <f>IF(A2="","",((1/A2)+(1/B2)+(1/C2))-1)</f>
        <v>2.8217817311839699E-2</v>
      </c>
      <c r="E2" s="4">
        <f>IF(A2="","",(3*A2)/(3-($D2*A2)))</f>
        <v>4.5573240370546628</v>
      </c>
      <c r="F2" s="4">
        <f>IF(B2="","",(3*B2)/(3-($D2*B2)))</f>
        <v>3.71546117146349</v>
      </c>
      <c r="G2" s="4">
        <f>IF(C2="","",(3*C2)/(3-($D2*C2)))</f>
        <v>1.9553117632793002</v>
      </c>
      <c r="I2" s="4">
        <f>IF(A2="","",D2+1)</f>
        <v>1.0282178173118397</v>
      </c>
    </row>
    <row r="3" spans="1:9" x14ac:dyDescent="0.2">
      <c r="A3" s="4">
        <f>IF('True_Odds_Calculator_3-way'!A4="","",'True_Odds_Calculator_3-way'!A4)</f>
        <v>2.63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2.87</v>
      </c>
      <c r="D3" s="4">
        <f t="shared" ref="D3:D66" si="0">IF(A3="","",((1/A3)+(1/B3)+(1/C3))-1)</f>
        <v>2.80613902360487E-2</v>
      </c>
      <c r="E3" s="4">
        <f t="shared" ref="E3:E66" si="1">IF(A3="","",(3*A3)/(3-($D3*A3)))</f>
        <v>2.6963310528067179</v>
      </c>
      <c r="F3" s="4">
        <f t="shared" ref="F3:F66" si="2">IF(B3="","",(3*B3)/(3-($D3*B3)))</f>
        <v>3.4477123292154839</v>
      </c>
      <c r="G3" s="4">
        <f t="shared" ref="G3:G66" si="3">IF(C3="","",(3*C3)/(3-($D3*C3)))</f>
        <v>2.9491716836639004</v>
      </c>
      <c r="I3" s="4">
        <f t="shared" ref="I3:I66" si="4">IF(A3="","",D3+1)</f>
        <v>1.0280613902360487</v>
      </c>
    </row>
    <row r="4" spans="1:9" x14ac:dyDescent="0.2">
      <c r="A4" s="4">
        <f>IF('True_Odds_Calculator_3-way'!A5="","",'True_Odds_Calculator_3-way'!A5)</f>
        <v>2.35</v>
      </c>
      <c r="B4" s="4">
        <f>IF('True_Odds_Calculator_3-way'!B5="","",'True_Odds_Calculator_3-way'!B5)</f>
        <v>3.2</v>
      </c>
      <c r="C4" s="4">
        <f>IF('True_Odds_Calculator_3-way'!C5="","",'True_Odds_Calculator_3-way'!C5)</f>
        <v>3.45</v>
      </c>
      <c r="D4" s="4">
        <f t="shared" si="0"/>
        <v>2.788698735738504E-2</v>
      </c>
      <c r="E4" s="4">
        <f t="shared" si="1"/>
        <v>2.402481749571713</v>
      </c>
      <c r="F4" s="4">
        <f t="shared" si="2"/>
        <v>3.298105851942879</v>
      </c>
      <c r="G4" s="4">
        <f t="shared" si="3"/>
        <v>3.5643074668559525</v>
      </c>
      <c r="I4" s="4">
        <f t="shared" si="4"/>
        <v>1.027886987357385</v>
      </c>
    </row>
    <row r="5" spans="1:9" x14ac:dyDescent="0.2">
      <c r="A5" s="4">
        <f>IF('True_Odds_Calculator_3-way'!A6="","",'True_Odds_Calculator_3-way'!A6)</f>
        <v>3.08</v>
      </c>
      <c r="B5" s="4">
        <f>IF('True_Odds_Calculator_3-way'!B6="","",'True_Odds_Calculator_3-way'!B6)</f>
        <v>3.05</v>
      </c>
      <c r="C5" s="4">
        <f>IF('True_Odds_Calculator_3-way'!C6="","",'True_Odds_Calculator_3-way'!C6)</f>
        <v>2.67</v>
      </c>
      <c r="D5" s="4">
        <f t="shared" si="0"/>
        <v>2.7076012340333744E-2</v>
      </c>
      <c r="E5" s="4">
        <f t="shared" si="1"/>
        <v>3.1680660239531351</v>
      </c>
      <c r="F5" s="4">
        <f t="shared" si="2"/>
        <v>3.136334762717742</v>
      </c>
      <c r="G5" s="4">
        <f t="shared" si="3"/>
        <v>2.7359294735678592</v>
      </c>
      <c r="I5" s="4">
        <f t="shared" si="4"/>
        <v>1.0270760123403337</v>
      </c>
    </row>
    <row r="6" spans="1:9" x14ac:dyDescent="0.2">
      <c r="A6" s="4">
        <f>IF('True_Odds_Calculator_3-way'!A7="","",'True_Odds_Calculator_3-way'!A7)</f>
        <v>2.79</v>
      </c>
      <c r="B6" s="4">
        <f>IF('True_Odds_Calculator_3-way'!B7="","",'True_Odds_Calculator_3-way'!B7)</f>
        <v>3.11</v>
      </c>
      <c r="C6" s="4">
        <f>IF('True_Odds_Calculator_3-way'!C7="","",'True_Odds_Calculator_3-way'!C7)</f>
        <v>2.88</v>
      </c>
      <c r="D6" s="4">
        <f t="shared" si="0"/>
        <v>2.7188569650451022E-2</v>
      </c>
      <c r="E6" s="4">
        <f t="shared" si="1"/>
        <v>2.8623762417064933</v>
      </c>
      <c r="F6" s="4">
        <f t="shared" si="2"/>
        <v>3.2001991618605032</v>
      </c>
      <c r="G6" s="4">
        <f t="shared" si="3"/>
        <v>2.9571855802738418</v>
      </c>
      <c r="I6" s="4">
        <f t="shared" si="4"/>
        <v>1.027188569650451</v>
      </c>
    </row>
    <row r="7" spans="1:9" x14ac:dyDescent="0.2">
      <c r="A7" s="4">
        <f>IF('True_Odds_Calculator_3-way'!A8="","",'True_Odds_Calculator_3-way'!A8)</f>
        <v>2.0099999999999998</v>
      </c>
      <c r="B7" s="4">
        <f>IF('True_Odds_Calculator_3-way'!B8="","",'True_Odds_Calculator_3-way'!B8)</f>
        <v>3.55</v>
      </c>
      <c r="C7" s="4">
        <f>IF('True_Odds_Calculator_3-way'!C8="","",'True_Odds_Calculator_3-way'!C8)</f>
        <v>4</v>
      </c>
      <c r="D7" s="4">
        <f t="shared" si="0"/>
        <v>2.9202578656015721E-2</v>
      </c>
      <c r="E7" s="4">
        <f t="shared" si="1"/>
        <v>2.0501119318113794</v>
      </c>
      <c r="F7" s="4">
        <f t="shared" si="2"/>
        <v>3.6770661112661842</v>
      </c>
      <c r="G7" s="4">
        <f t="shared" si="3"/>
        <v>4.1620570650853059</v>
      </c>
      <c r="I7" s="4">
        <f t="shared" si="4"/>
        <v>1.0292025786560157</v>
      </c>
    </row>
    <row r="8" spans="1: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3.19</v>
      </c>
      <c r="C8" s="4">
        <f>IF('True_Odds_Calculator_3-way'!C9="","",'True_Odds_Calculator_3-way'!C9)</f>
        <v>2.89</v>
      </c>
      <c r="D8" s="4">
        <f t="shared" si="0"/>
        <v>3.2634713428335127E-2</v>
      </c>
      <c r="E8" s="4">
        <f t="shared" si="1"/>
        <v>2.7604780874357404</v>
      </c>
      <c r="F8" s="4">
        <f t="shared" si="2"/>
        <v>3.304677526990603</v>
      </c>
      <c r="G8" s="4">
        <f t="shared" si="3"/>
        <v>2.9838051875571026</v>
      </c>
      <c r="I8" s="4">
        <f t="shared" si="4"/>
        <v>1.0326347134283351</v>
      </c>
    </row>
    <row r="9" spans="1:9" x14ac:dyDescent="0.2">
      <c r="A9" s="4">
        <f>IF('True_Odds_Calculator_3-way'!A10="","",'True_Odds_Calculator_3-way'!A10)</f>
        <v>2.34</v>
      </c>
      <c r="B9" s="4">
        <f>IF('True_Odds_Calculator_3-way'!B10="","",'True_Odds_Calculator_3-way'!B10)</f>
        <v>3.32</v>
      </c>
      <c r="C9" s="4">
        <f>IF('True_Odds_Calculator_3-way'!C10="","",'True_Odds_Calculator_3-way'!C10)</f>
        <v>3.28</v>
      </c>
      <c r="D9" s="4">
        <f t="shared" si="0"/>
        <v>3.3433295408023644E-2</v>
      </c>
      <c r="E9" s="4">
        <f t="shared" si="1"/>
        <v>2.4026564025920343</v>
      </c>
      <c r="F9" s="4">
        <f t="shared" si="2"/>
        <v>3.4475579678667447</v>
      </c>
      <c r="G9" s="4">
        <f t="shared" si="3"/>
        <v>3.4044451918335703</v>
      </c>
      <c r="I9" s="4">
        <f t="shared" si="4"/>
        <v>1.0334332954080236</v>
      </c>
    </row>
    <row r="10" spans="1:9" x14ac:dyDescent="0.2">
      <c r="A10" s="4">
        <f>IF('True_Odds_Calculator_3-way'!A11="","",'True_Odds_Calculator_3-way'!A11)</f>
        <v>2.73</v>
      </c>
      <c r="B10" s="4">
        <f>IF('True_Odds_Calculator_3-way'!B11="","",'True_Odds_Calculator_3-way'!B11)</f>
        <v>3.35</v>
      </c>
      <c r="C10" s="4">
        <f>IF('True_Odds_Calculator_3-way'!C11="","",'True_Odds_Calculator_3-way'!C11)</f>
        <v>2.72</v>
      </c>
      <c r="D10" s="4">
        <f t="shared" si="0"/>
        <v>3.2454887810462907E-2</v>
      </c>
      <c r="E10" s="4">
        <f t="shared" si="1"/>
        <v>2.8130813995128285</v>
      </c>
      <c r="F10" s="4">
        <f t="shared" si="2"/>
        <v>3.4759737785673237</v>
      </c>
      <c r="G10" s="4">
        <f t="shared" si="3"/>
        <v>2.8024646665535076</v>
      </c>
      <c r="I10" s="4">
        <f t="shared" si="4"/>
        <v>1.0324548878104629</v>
      </c>
    </row>
    <row r="11" spans="1:9" x14ac:dyDescent="0.2">
      <c r="A11" s="4">
        <f>IF('True_Odds_Calculator_3-way'!A12="","",'True_Odds_Calculator_3-way'!A12)</f>
        <v>1.72</v>
      </c>
      <c r="B11" s="4">
        <f>IF('True_Odds_Calculator_3-way'!B12="","",'True_Odds_Calculator_3-way'!B12)</f>
        <v>3.65</v>
      </c>
      <c r="C11" s="4">
        <f>IF('True_Odds_Calculator_3-way'!C12="","",'True_Odds_Calculator_3-way'!C12)</f>
        <v>5.47</v>
      </c>
      <c r="D11" s="4">
        <f t="shared" si="0"/>
        <v>3.8183308066880528E-2</v>
      </c>
      <c r="E11" s="4">
        <f t="shared" si="1"/>
        <v>1.7584965911220671</v>
      </c>
      <c r="F11" s="4">
        <f t="shared" si="2"/>
        <v>3.8278268972681833</v>
      </c>
      <c r="G11" s="4">
        <f t="shared" si="3"/>
        <v>5.8793238051539829</v>
      </c>
      <c r="I11" s="4">
        <f t="shared" si="4"/>
        <v>1.0381833080668805</v>
      </c>
    </row>
    <row r="12" spans="1:9" x14ac:dyDescent="0.2">
      <c r="A12" s="4">
        <f>IF('True_Odds_Calculator_3-way'!A13="","",'True_Odds_Calculator_3-way'!A13)</f>
        <v>1.87</v>
      </c>
      <c r="B12" s="4">
        <f>IF('True_Odds_Calculator_3-way'!B13="","",'True_Odds_Calculator_3-way'!B13)</f>
        <v>3.57</v>
      </c>
      <c r="C12" s="4">
        <f>IF('True_Odds_Calculator_3-way'!C13="","",'True_Odds_Calculator_3-way'!C13)</f>
        <v>4.53</v>
      </c>
      <c r="D12" s="4">
        <f t="shared" si="0"/>
        <v>3.5621954983076742E-2</v>
      </c>
      <c r="E12" s="4">
        <f t="shared" si="1"/>
        <v>1.9124650469749302</v>
      </c>
      <c r="F12" s="4">
        <f t="shared" si="2"/>
        <v>3.7280317366511788</v>
      </c>
      <c r="G12" s="4">
        <f t="shared" si="3"/>
        <v>4.7875164501570318</v>
      </c>
      <c r="I12" s="4">
        <f t="shared" si="4"/>
        <v>1.0356219549830767</v>
      </c>
    </row>
    <row r="13" spans="1:9" x14ac:dyDescent="0.2">
      <c r="A13" s="4">
        <f>IF('True_Odds_Calculator_3-way'!A14="","",'True_Odds_Calculator_3-way'!A14)</f>
        <v>3</v>
      </c>
      <c r="B13" s="4">
        <f>IF('True_Odds_Calculator_3-way'!B14="","",'True_Odds_Calculator_3-way'!B14)</f>
        <v>3.29</v>
      </c>
      <c r="C13" s="4">
        <f>IF('True_Odds_Calculator_3-way'!C14="","",'True_Odds_Calculator_3-way'!C14)</f>
        <v>2.52</v>
      </c>
      <c r="D13" s="4">
        <f t="shared" si="0"/>
        <v>3.4110097939885176E-2</v>
      </c>
      <c r="E13" s="4">
        <f t="shared" si="1"/>
        <v>3.1059440559440561</v>
      </c>
      <c r="F13" s="4">
        <f t="shared" si="2"/>
        <v>3.4178530203924589</v>
      </c>
      <c r="G13" s="4">
        <f t="shared" si="3"/>
        <v>2.5943341121495331</v>
      </c>
      <c r="I13" s="4">
        <f t="shared" si="4"/>
        <v>1.0341100979398852</v>
      </c>
    </row>
    <row r="14" spans="1:9" x14ac:dyDescent="0.2">
      <c r="A14" s="4">
        <f>IF('True_Odds_Calculator_3-way'!A15="","",'True_Odds_Calculator_3-way'!A15)</f>
        <v>1.74</v>
      </c>
      <c r="B14" s="4">
        <f>IF('True_Odds_Calculator_3-way'!B15="","",'True_Odds_Calculator_3-way'!B15)</f>
        <v>4.03</v>
      </c>
      <c r="C14" s="4">
        <f>IF('True_Odds_Calculator_3-way'!C15="","",'True_Odds_Calculator_3-way'!C15)</f>
        <v>4.6900000000000004</v>
      </c>
      <c r="D14" s="4">
        <f t="shared" si="0"/>
        <v>3.607121769922883E-2</v>
      </c>
      <c r="E14" s="4">
        <f t="shared" si="1"/>
        <v>1.7771809468789597</v>
      </c>
      <c r="F14" s="4">
        <f t="shared" si="2"/>
        <v>4.2352204402580789</v>
      </c>
      <c r="G14" s="4">
        <f t="shared" si="3"/>
        <v>4.9702807783734233</v>
      </c>
      <c r="I14" s="4">
        <f t="shared" si="4"/>
        <v>1.0360712176992288</v>
      </c>
    </row>
    <row r="15" spans="1:9" x14ac:dyDescent="0.2">
      <c r="A15" s="4">
        <f>IF('True_Odds_Calculator_3-way'!A16="","",'True_Odds_Calculator_3-way'!A16)</f>
        <v>1.79</v>
      </c>
      <c r="B15" s="4">
        <f>IF('True_Odds_Calculator_3-way'!B16="","",'True_Odds_Calculator_3-way'!B16)</f>
        <v>3.82</v>
      </c>
      <c r="C15" s="4">
        <f>IF('True_Odds_Calculator_3-way'!C16="","",'True_Odds_Calculator_3-way'!C16)</f>
        <v>4.6500000000000004</v>
      </c>
      <c r="D15" s="4">
        <f t="shared" si="0"/>
        <v>3.5493086029997123E-2</v>
      </c>
      <c r="E15" s="4">
        <f t="shared" si="1"/>
        <v>1.8287279619988088</v>
      </c>
      <c r="F15" s="4">
        <f t="shared" si="2"/>
        <v>4.0008149494358056</v>
      </c>
      <c r="G15" s="4">
        <f t="shared" si="3"/>
        <v>4.9207092954453655</v>
      </c>
      <c r="I15" s="4">
        <f t="shared" si="4"/>
        <v>1.0354930860299971</v>
      </c>
    </row>
    <row r="16" spans="1:9" x14ac:dyDescent="0.2">
      <c r="A16" s="4">
        <f>IF('True_Odds_Calculator_3-way'!A17="","",'True_Odds_Calculator_3-way'!A17)</f>
        <v>1.68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5.56</v>
      </c>
      <c r="D16" s="4">
        <f t="shared" si="0"/>
        <v>3.5510877012675524E-2</v>
      </c>
      <c r="E16" s="4">
        <f t="shared" si="1"/>
        <v>1.7140864799398101</v>
      </c>
      <c r="F16" s="4">
        <f t="shared" si="2"/>
        <v>4.0228545177869011</v>
      </c>
      <c r="G16" s="4">
        <f t="shared" si="3"/>
        <v>5.9517023129367281</v>
      </c>
      <c r="I16" s="4">
        <f t="shared" si="4"/>
        <v>1.0355108770126755</v>
      </c>
    </row>
    <row r="17" spans="1:9" x14ac:dyDescent="0.2">
      <c r="A17" s="4">
        <f>IF('True_Odds_Calculator_3-way'!A18="","",'True_Odds_Calculator_3-way'!A18)</f>
        <v>3.28</v>
      </c>
      <c r="B17" s="4">
        <f>IF('True_Odds_Calculator_3-way'!B18="","",'True_Odds_Calculator_3-way'!B18)</f>
        <v>3.19</v>
      </c>
      <c r="C17" s="4">
        <f>IF('True_Odds_Calculator_3-way'!C18="","",'True_Odds_Calculator_3-way'!C18)</f>
        <v>2.41</v>
      </c>
      <c r="D17" s="4">
        <f t="shared" si="0"/>
        <v>3.3295431941038789E-2</v>
      </c>
      <c r="E17" s="4">
        <f t="shared" si="1"/>
        <v>3.4039126512681359</v>
      </c>
      <c r="F17" s="4">
        <f t="shared" si="2"/>
        <v>3.3070844910113357</v>
      </c>
      <c r="G17" s="4">
        <f t="shared" si="3"/>
        <v>2.4762326116271245</v>
      </c>
      <c r="I17" s="4">
        <f t="shared" si="4"/>
        <v>1.0332954319410388</v>
      </c>
    </row>
    <row r="18" spans="1:9" x14ac:dyDescent="0.2">
      <c r="A18" s="4">
        <f>IF('True_Odds_Calculator_3-way'!A19="","",'True_Odds_Calculator_3-way'!A19)</f>
        <v>1.7</v>
      </c>
      <c r="B18" s="4">
        <f>IF('True_Odds_Calculator_3-way'!B19="","",'True_Odds_Calculator_3-way'!B19)</f>
        <v>3.81</v>
      </c>
      <c r="C18" s="4">
        <f>IF('True_Odds_Calculator_3-way'!C19="","",'True_Odds_Calculator_3-way'!C19)</f>
        <v>5.33</v>
      </c>
      <c r="D18" s="4">
        <f t="shared" si="0"/>
        <v>3.8319746506689345E-2</v>
      </c>
      <c r="E18" s="4">
        <f t="shared" si="1"/>
        <v>1.7377340663880152</v>
      </c>
      <c r="F18" s="4">
        <f t="shared" si="2"/>
        <v>4.0049029180463647</v>
      </c>
      <c r="G18" s="4">
        <f t="shared" si="3"/>
        <v>5.7193837457360264</v>
      </c>
      <c r="I18" s="4">
        <f t="shared" si="4"/>
        <v>1.0383197465066893</v>
      </c>
    </row>
    <row r="19" spans="1: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3.28</v>
      </c>
      <c r="C19" s="4">
        <f>IF('True_Odds_Calculator_3-way'!C20="","",'True_Odds_Calculator_3-way'!C20)</f>
        <v>3.42</v>
      </c>
      <c r="D19" s="4">
        <f t="shared" si="0"/>
        <v>3.3956932306624665E-2</v>
      </c>
      <c r="E19" s="4">
        <f t="shared" si="1"/>
        <v>2.350937374239273</v>
      </c>
      <c r="F19" s="4">
        <f t="shared" si="2"/>
        <v>3.4064694217026972</v>
      </c>
      <c r="G19" s="4">
        <f t="shared" si="3"/>
        <v>3.5577226560321571</v>
      </c>
      <c r="I19" s="4">
        <f t="shared" si="4"/>
        <v>1.0339569323066247</v>
      </c>
    </row>
    <row r="20" spans="1:9" x14ac:dyDescent="0.2">
      <c r="A20" s="4">
        <f>IF('True_Odds_Calculator_3-way'!A21="","",'True_Odds_Calculator_3-way'!A21)</f>
        <v>1.95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3.91</v>
      </c>
      <c r="D20" s="4">
        <f t="shared" si="0"/>
        <v>4.7904597462385068E-2</v>
      </c>
      <c r="E20" s="4">
        <f t="shared" si="1"/>
        <v>2.0126705109226042</v>
      </c>
      <c r="F20" s="4">
        <f t="shared" si="2"/>
        <v>3.7970635136657802</v>
      </c>
      <c r="G20" s="4">
        <f t="shared" si="3"/>
        <v>4.1703804504209483</v>
      </c>
      <c r="I20" s="4">
        <f t="shared" si="4"/>
        <v>1.0479045974623851</v>
      </c>
    </row>
    <row r="21" spans="1:9" x14ac:dyDescent="0.2">
      <c r="A21" s="4">
        <f>IF('True_Odds_Calculator_3-way'!A22="","",'True_Odds_Calculator_3-way'!A22)</f>
        <v>2.5099999999999998</v>
      </c>
      <c r="B21" s="4">
        <f>IF('True_Odds_Calculator_3-way'!B22="","",'True_Odds_Calculator_3-way'!B22)</f>
        <v>3.36</v>
      </c>
      <c r="C21" s="4">
        <f>IF('True_Odds_Calculator_3-way'!C22="","",'True_Odds_Calculator_3-way'!C22)</f>
        <v>2.87</v>
      </c>
      <c r="D21" s="4">
        <f t="shared" si="0"/>
        <v>4.4457477870168516E-2</v>
      </c>
      <c r="E21" s="4">
        <f t="shared" si="1"/>
        <v>2.606969055127371</v>
      </c>
      <c r="F21" s="4">
        <f t="shared" si="2"/>
        <v>3.5360692888133798</v>
      </c>
      <c r="G21" s="4">
        <f t="shared" si="3"/>
        <v>2.9974860402996408</v>
      </c>
      <c r="I21" s="4">
        <f t="shared" si="4"/>
        <v>1.0444574778701685</v>
      </c>
    </row>
    <row r="22" spans="1:9" x14ac:dyDescent="0.2">
      <c r="A22" s="4">
        <f>IF('True_Odds_Calculator_3-way'!A23="","",'True_Odds_Calculator_3-way'!A23)</f>
        <v>3.36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2.15</v>
      </c>
      <c r="D22" s="4">
        <f t="shared" si="0"/>
        <v>4.5221202395029803E-2</v>
      </c>
      <c r="E22" s="4">
        <f t="shared" si="1"/>
        <v>3.5392553061924956</v>
      </c>
      <c r="F22" s="4">
        <f t="shared" si="2"/>
        <v>3.7395459836338865</v>
      </c>
      <c r="G22" s="4">
        <f t="shared" si="3"/>
        <v>2.2220121436242497</v>
      </c>
      <c r="I22" s="4">
        <f t="shared" si="4"/>
        <v>1.0452212023950298</v>
      </c>
    </row>
    <row r="23" spans="1:9" x14ac:dyDescent="0.2">
      <c r="A23" s="4">
        <f>IF('True_Odds_Calculator_3-way'!A24="","",'True_Odds_Calculator_3-way'!A24)</f>
        <v>2.54</v>
      </c>
      <c r="B23" s="4">
        <f>IF('True_Odds_Calculator_3-way'!B24="","",'True_Odds_Calculator_3-way'!B24)</f>
        <v>2.96</v>
      </c>
      <c r="C23" s="4">
        <f>IF('True_Odds_Calculator_3-way'!C24="","",'True_Odds_Calculator_3-way'!C24)</f>
        <v>3.38</v>
      </c>
      <c r="D23" s="4">
        <f t="shared" si="0"/>
        <v>2.739661340509314E-2</v>
      </c>
      <c r="E23" s="4">
        <f t="shared" si="1"/>
        <v>2.6003164178746085</v>
      </c>
      <c r="F23" s="4">
        <f t="shared" si="2"/>
        <v>3.0422356615834891</v>
      </c>
      <c r="G23" s="4">
        <f t="shared" si="3"/>
        <v>3.4876528615775149</v>
      </c>
      <c r="I23" s="4">
        <f t="shared" si="4"/>
        <v>1.0273966134050931</v>
      </c>
    </row>
    <row r="24" spans="1:9" x14ac:dyDescent="0.2">
      <c r="A24" s="4">
        <f>IF('True_Odds_Calculator_3-way'!A25="","",'True_Odds_Calculator_3-way'!A25)</f>
        <v>2.3199999999999998</v>
      </c>
      <c r="B24" s="4">
        <f>IF('True_Odds_Calculator_3-way'!B25="","",'True_Odds_Calculator_3-way'!B25)</f>
        <v>3.25</v>
      </c>
      <c r="C24" s="4">
        <f>IF('True_Odds_Calculator_3-way'!C25="","",'True_Odds_Calculator_3-way'!C25)</f>
        <v>3.46</v>
      </c>
      <c r="D24" s="4">
        <f t="shared" si="0"/>
        <v>2.7744131491390878E-2</v>
      </c>
      <c r="E24" s="4">
        <f t="shared" si="1"/>
        <v>2.3708680690189992</v>
      </c>
      <c r="F24" s="4">
        <f t="shared" si="2"/>
        <v>3.3507093990016186</v>
      </c>
      <c r="G24" s="4">
        <f t="shared" si="3"/>
        <v>3.5743736356080054</v>
      </c>
      <c r="I24" s="4">
        <f t="shared" si="4"/>
        <v>1.0277441314913909</v>
      </c>
    </row>
    <row r="25" spans="1:9" x14ac:dyDescent="0.2">
      <c r="A25" s="4">
        <f>IF('True_Odds_Calculator_3-way'!A26="","",'True_Odds_Calculator_3-way'!A26)</f>
        <v>1.43</v>
      </c>
      <c r="B25" s="4">
        <f>IF('True_Odds_Calculator_3-way'!B26="","",'True_Odds_Calculator_3-way'!B26)</f>
        <v>4.7699999999999996</v>
      </c>
      <c r="C25" s="4">
        <f>IF('True_Odds_Calculator_3-way'!C26="","",'True_Odds_Calculator_3-way'!C26)</f>
        <v>8.24</v>
      </c>
      <c r="D25" s="4">
        <f t="shared" si="0"/>
        <v>3.0303528471691266E-2</v>
      </c>
      <c r="E25" s="4">
        <f t="shared" si="1"/>
        <v>1.4509586359534272</v>
      </c>
      <c r="F25" s="4">
        <f t="shared" si="2"/>
        <v>5.0114654885145988</v>
      </c>
      <c r="G25" s="4">
        <f t="shared" si="3"/>
        <v>8.9881138998246506</v>
      </c>
      <c r="I25" s="4">
        <f t="shared" si="4"/>
        <v>1.0303035284716913</v>
      </c>
    </row>
    <row r="26" spans="1:9" x14ac:dyDescent="0.2">
      <c r="A26" s="4">
        <f>IF('True_Odds_Calculator_3-way'!A27="","",'True_Odds_Calculator_3-way'!A27)</f>
        <v>2.76</v>
      </c>
      <c r="B26" s="4">
        <f>IF('True_Odds_Calculator_3-way'!B27="","",'True_Odds_Calculator_3-way'!B27)</f>
        <v>3.23</v>
      </c>
      <c r="C26" s="4">
        <f>IF('True_Odds_Calculator_3-way'!C27="","",'True_Odds_Calculator_3-way'!C27)</f>
        <v>2.81</v>
      </c>
      <c r="D26" s="4">
        <f t="shared" si="0"/>
        <v>2.7788249920520869E-2</v>
      </c>
      <c r="E26" s="4">
        <f t="shared" si="1"/>
        <v>2.8324111284498259</v>
      </c>
      <c r="F26" s="4">
        <f t="shared" si="2"/>
        <v>3.3296177768262982</v>
      </c>
      <c r="G26" s="4">
        <f t="shared" si="3"/>
        <v>2.8850941758629203</v>
      </c>
      <c r="I26" s="4">
        <f t="shared" si="4"/>
        <v>1.0277882499205209</v>
      </c>
    </row>
    <row r="27" spans="1: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3.2</v>
      </c>
      <c r="C27" s="4">
        <f>IF('True_Odds_Calculator_3-way'!C28="","",'True_Odds_Calculator_3-way'!C28)</f>
        <v>4.12</v>
      </c>
      <c r="D27" s="4">
        <f t="shared" si="0"/>
        <v>2.9152095891041174E-2</v>
      </c>
      <c r="E27" s="4">
        <f t="shared" si="1"/>
        <v>2.1541682928491337</v>
      </c>
      <c r="F27" s="4">
        <f t="shared" si="2"/>
        <v>3.3026993142488079</v>
      </c>
      <c r="G27" s="4">
        <f t="shared" si="3"/>
        <v>4.2918255760852118</v>
      </c>
      <c r="I27" s="4">
        <f t="shared" si="4"/>
        <v>1.0291520958910412</v>
      </c>
    </row>
    <row r="28" spans="1:9" x14ac:dyDescent="0.2">
      <c r="A28" s="4">
        <f>IF('True_Odds_Calculator_3-way'!A29="","",'True_Odds_Calculator_3-way'!A29)</f>
        <v>5.17</v>
      </c>
      <c r="B28" s="4">
        <f>IF('True_Odds_Calculator_3-way'!B29="","",'True_Odds_Calculator_3-way'!B29)</f>
        <v>3.76</v>
      </c>
      <c r="C28" s="4">
        <f>IF('True_Odds_Calculator_3-way'!C29="","",'True_Odds_Calculator_3-way'!C29)</f>
        <v>1.75</v>
      </c>
      <c r="D28" s="4">
        <f t="shared" si="0"/>
        <v>3.0809615915998734E-2</v>
      </c>
      <c r="E28" s="4">
        <f t="shared" si="1"/>
        <v>5.4598943927583585</v>
      </c>
      <c r="F28" s="4">
        <f t="shared" si="2"/>
        <v>3.9110230547550424</v>
      </c>
      <c r="G28" s="4">
        <f t="shared" si="3"/>
        <v>1.782027082478457</v>
      </c>
      <c r="I28" s="4">
        <f t="shared" si="4"/>
        <v>1.0308096159159987</v>
      </c>
    </row>
    <row r="29" spans="1:9" x14ac:dyDescent="0.2">
      <c r="A29" s="4">
        <f>IF('True_Odds_Calculator_3-way'!A30="","",'True_Odds_Calculator_3-way'!A30)</f>
        <v>2.2999999999999998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3.11</v>
      </c>
      <c r="D29" s="4">
        <f t="shared" si="0"/>
        <v>5.4833479742347979E-2</v>
      </c>
      <c r="E29" s="4">
        <f t="shared" si="1"/>
        <v>2.400932817439311</v>
      </c>
      <c r="F29" s="4">
        <f t="shared" si="2"/>
        <v>3.5685019396824535</v>
      </c>
      <c r="G29" s="4">
        <f t="shared" si="3"/>
        <v>3.2974398022113616</v>
      </c>
      <c r="I29" s="4">
        <f t="shared" si="4"/>
        <v>1.054833479742348</v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4" t="str">
        <f t="shared" si="0"/>
        <v/>
      </c>
      <c r="E38" s="4" t="str">
        <f t="shared" si="1"/>
        <v/>
      </c>
      <c r="F38" s="4" t="str">
        <f t="shared" si="2"/>
        <v/>
      </c>
      <c r="G38" s="4" t="str">
        <f t="shared" si="3"/>
        <v/>
      </c>
      <c r="I38" s="4" t="str">
        <f t="shared" si="4"/>
        <v/>
      </c>
    </row>
    <row r="39" spans="1: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4" t="str">
        <f t="shared" si="0"/>
        <v/>
      </c>
      <c r="E39" s="4" t="str">
        <f t="shared" si="1"/>
        <v/>
      </c>
      <c r="F39" s="4" t="str">
        <f t="shared" si="2"/>
        <v/>
      </c>
      <c r="G39" s="4" t="str">
        <f t="shared" si="3"/>
        <v/>
      </c>
      <c r="I39" s="4" t="str">
        <f t="shared" si="4"/>
        <v/>
      </c>
    </row>
    <row r="40" spans="1: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2.0499999999999998</v>
      </c>
      <c r="B2" s="4">
        <f>IF('True_Odds_Calculator_2-way'!B3="","",'True_Odds_Calculator_2-way'!B3)</f>
        <v>1.85</v>
      </c>
      <c r="C2" s="4">
        <f>1/A2</f>
        <v>0.48780487804878053</v>
      </c>
      <c r="D2">
        <f>1/B2</f>
        <v>0.54054054054054046</v>
      </c>
      <c r="E2">
        <f>C2+D2-1</f>
        <v>2.8345418589321048E-2</v>
      </c>
      <c r="F2">
        <f>C2+D2-(C2*D2)-1</f>
        <v>-0.2353328938694792</v>
      </c>
      <c r="G2">
        <v>0</v>
      </c>
      <c r="H2">
        <f>C2*D2</f>
        <v>0.26367831245880025</v>
      </c>
      <c r="I2">
        <f>((-4*F2*H2)^0.5)/(2*F2)</f>
        <v>-1.0585122480499263</v>
      </c>
      <c r="J2">
        <f>(-((-4*F2*H2)^0.5))/(2*F2)</f>
        <v>1.0585122480499263</v>
      </c>
      <c r="K2">
        <f>IF(A2="","",(C2/($J2+C2-($J2*C2))))</f>
        <v>0.47361090692279612</v>
      </c>
      <c r="L2">
        <f>IF(B2="","",(D2/($J2+D2-($J2*D2))))</f>
        <v>0.52638909307720383</v>
      </c>
      <c r="M2">
        <f>IF(A2="","",1/K2)</f>
        <v>2.1114378604524222</v>
      </c>
      <c r="N2">
        <f>IF(B2="","",1/L2)</f>
        <v>1.8997354108424378</v>
      </c>
    </row>
    <row r="3" spans="1:14" x14ac:dyDescent="0.25">
      <c r="A3" s="4">
        <f>IF('True_Odds_Calculator_2-way'!A4="","",'True_Odds_Calculator_2-way'!A4)</f>
        <v>2.0299999999999998</v>
      </c>
      <c r="B3" s="4">
        <f>IF('True_Odds_Calculator_2-way'!B4="","",'True_Odds_Calculator_2-way'!B4)</f>
        <v>1.86</v>
      </c>
      <c r="C3" s="4">
        <f t="shared" ref="C3:C66" si="0">1/A3</f>
        <v>0.49261083743842371</v>
      </c>
      <c r="D3">
        <f t="shared" ref="D3:D66" si="1">1/B3</f>
        <v>0.5376344086021505</v>
      </c>
      <c r="E3">
        <f t="shared" ref="E3:E66" si="2">C3+D3-1</f>
        <v>3.0245246040574214E-2</v>
      </c>
      <c r="F3">
        <f t="shared" ref="F3:F66" si="3">C3+D3-(C3*D3)-1</f>
        <v>-0.23459929021664283</v>
      </c>
      <c r="G3">
        <v>0</v>
      </c>
      <c r="H3">
        <f t="shared" ref="H3:H66" si="4">C3*D3</f>
        <v>0.26484453625721704</v>
      </c>
      <c r="I3">
        <f t="shared" ref="I3:I66" si="5">((-4*F3*H3)^0.5)/(2*F3)</f>
        <v>-1.0625078858299792</v>
      </c>
      <c r="J3">
        <f t="shared" ref="J3:J66" si="6">(-((-4*F3*H3)^0.5))/(2*F3)</f>
        <v>1.0625078858299792</v>
      </c>
      <c r="K3">
        <f t="shared" ref="K3:K66" si="7">IF(A3="","",(C3/($J3+C3-($J3*C3))))</f>
        <v>0.47746756040114985</v>
      </c>
      <c r="L3">
        <f t="shared" ref="L3:L66" si="8">IF(B3="","",(D3/($J3+D3-($J3*D3))))</f>
        <v>0.5225324395988501</v>
      </c>
      <c r="M3">
        <f t="shared" ref="M3:M66" si="9">IF(A3="","",1/K3)</f>
        <v>2.0943831224048783</v>
      </c>
      <c r="N3">
        <f t="shared" ref="N3:N66" si="10">IF(B3="","",1/L3)</f>
        <v>1.9137567818137824</v>
      </c>
    </row>
    <row r="4" spans="1:14" x14ac:dyDescent="0.25">
      <c r="A4" s="4">
        <f>IF('True_Odds_Calculator_2-way'!A5="","",'True_Odds_Calculator_2-way'!A5)</f>
        <v>2.2799999999999998</v>
      </c>
      <c r="B4" s="4">
        <f>IF('True_Odds_Calculator_2-way'!B5="","",'True_Odds_Calculator_2-way'!B5)</f>
        <v>1.68</v>
      </c>
      <c r="C4" s="4">
        <f t="shared" si="0"/>
        <v>0.43859649122807021</v>
      </c>
      <c r="D4">
        <f t="shared" si="1"/>
        <v>0.59523809523809523</v>
      </c>
      <c r="E4">
        <f t="shared" si="2"/>
        <v>3.383458646616555E-2</v>
      </c>
      <c r="F4">
        <f t="shared" si="3"/>
        <v>-0.2272347535505429</v>
      </c>
      <c r="G4">
        <v>0</v>
      </c>
      <c r="H4">
        <f t="shared" si="4"/>
        <v>0.26106934001670845</v>
      </c>
      <c r="I4">
        <f t="shared" si="5"/>
        <v>-1.0718661571406805</v>
      </c>
      <c r="J4">
        <f t="shared" si="6"/>
        <v>1.0718661571406805</v>
      </c>
      <c r="K4">
        <f t="shared" si="7"/>
        <v>0.42158717195874679</v>
      </c>
      <c r="L4">
        <f t="shared" si="8"/>
        <v>0.57841282804125305</v>
      </c>
      <c r="M4">
        <f t="shared" si="9"/>
        <v>2.3719886811400706</v>
      </c>
      <c r="N4">
        <f t="shared" si="10"/>
        <v>1.728868986855663</v>
      </c>
    </row>
    <row r="5" spans="1:14" x14ac:dyDescent="0.25">
      <c r="A5" s="4">
        <f>IF('True_Odds_Calculator_2-way'!A6="","",'True_Odds_Calculator_2-way'!A6)</f>
        <v>2.57</v>
      </c>
      <c r="B5" s="4">
        <f>IF('True_Odds_Calculator_2-way'!B6="","",'True_Odds_Calculator_2-way'!B6)</f>
        <v>1.55</v>
      </c>
      <c r="C5" s="4">
        <f t="shared" si="0"/>
        <v>0.38910505836575876</v>
      </c>
      <c r="D5">
        <f t="shared" si="1"/>
        <v>0.64516129032258063</v>
      </c>
      <c r="E5">
        <f t="shared" si="2"/>
        <v>3.4266348688339443E-2</v>
      </c>
      <c r="F5">
        <f t="shared" si="3"/>
        <v>-0.2167691728379566</v>
      </c>
      <c r="G5">
        <v>0</v>
      </c>
      <c r="H5">
        <f t="shared" si="4"/>
        <v>0.25103552152629599</v>
      </c>
      <c r="I5">
        <f t="shared" si="5"/>
        <v>-1.0761401354835765</v>
      </c>
      <c r="J5">
        <f t="shared" si="6"/>
        <v>1.0761401354835765</v>
      </c>
      <c r="K5">
        <f t="shared" si="7"/>
        <v>0.37181079116673366</v>
      </c>
      <c r="L5">
        <f t="shared" si="8"/>
        <v>0.62818920883326634</v>
      </c>
      <c r="M5">
        <f t="shared" si="9"/>
        <v>2.6895400127092146</v>
      </c>
      <c r="N5">
        <f t="shared" si="10"/>
        <v>1.5918770745159672</v>
      </c>
    </row>
    <row r="6" spans="1:14" x14ac:dyDescent="0.25">
      <c r="A6" s="4">
        <f>IF('True_Odds_Calculator_2-way'!A7="","",'True_Odds_Calculator_2-way'!A7)</f>
        <v>2.37</v>
      </c>
      <c r="B6" s="4">
        <f>IF('True_Odds_Calculator_2-way'!B7="","",'True_Odds_Calculator_2-way'!B7)</f>
        <v>1.64</v>
      </c>
      <c r="C6" s="4">
        <f t="shared" si="0"/>
        <v>0.42194092827004215</v>
      </c>
      <c r="D6">
        <f t="shared" si="1"/>
        <v>0.6097560975609756</v>
      </c>
      <c r="E6">
        <f t="shared" si="2"/>
        <v>3.1697025831017633E-2</v>
      </c>
      <c r="F6">
        <f t="shared" si="3"/>
        <v>-0.2255840279921788</v>
      </c>
      <c r="G6">
        <v>0</v>
      </c>
      <c r="H6">
        <f t="shared" si="4"/>
        <v>0.25728105382319644</v>
      </c>
      <c r="I6">
        <f t="shared" si="5"/>
        <v>-1.0679470721459507</v>
      </c>
      <c r="J6">
        <f t="shared" si="6"/>
        <v>1.0679470721459507</v>
      </c>
      <c r="K6">
        <f t="shared" si="7"/>
        <v>0.40599451076379461</v>
      </c>
      <c r="L6">
        <f t="shared" si="8"/>
        <v>0.59400548923620555</v>
      </c>
      <c r="M6">
        <f t="shared" si="9"/>
        <v>2.4630874888399528</v>
      </c>
      <c r="N6">
        <f t="shared" si="10"/>
        <v>1.6834861261734084</v>
      </c>
    </row>
    <row r="7" spans="1:14" x14ac:dyDescent="0.25">
      <c r="A7" s="4">
        <f>IF('True_Odds_Calculator_2-way'!A8="","",'True_Odds_Calculator_2-way'!A8)</f>
        <v>1.93</v>
      </c>
      <c r="B7" s="4">
        <f>IF('True_Odds_Calculator_2-way'!B8="","",'True_Odds_Calculator_2-way'!B8)</f>
        <v>1.96</v>
      </c>
      <c r="C7" s="4">
        <f t="shared" si="0"/>
        <v>0.5181347150259068</v>
      </c>
      <c r="D7">
        <f t="shared" si="1"/>
        <v>0.51020408163265307</v>
      </c>
      <c r="E7">
        <f t="shared" si="2"/>
        <v>2.8338796658559762E-2</v>
      </c>
      <c r="F7">
        <f t="shared" si="3"/>
        <v>-0.23601564978322942</v>
      </c>
      <c r="G7">
        <v>0</v>
      </c>
      <c r="H7">
        <f t="shared" si="4"/>
        <v>0.26435444644178918</v>
      </c>
      <c r="I7">
        <f t="shared" si="5"/>
        <v>-1.0583343916682539</v>
      </c>
      <c r="J7">
        <f t="shared" si="6"/>
        <v>1.0583343916682539</v>
      </c>
      <c r="K7">
        <f t="shared" si="7"/>
        <v>0.50396850395275605</v>
      </c>
      <c r="L7">
        <f t="shared" si="8"/>
        <v>0.49603149604724417</v>
      </c>
      <c r="M7">
        <f t="shared" si="9"/>
        <v>1.9842509842514759</v>
      </c>
      <c r="N7">
        <f t="shared" si="10"/>
        <v>2.0160010160015238</v>
      </c>
    </row>
    <row r="8" spans="1:14" x14ac:dyDescent="0.25">
      <c r="A8" s="4">
        <f>IF('True_Odds_Calculator_2-way'!A9="","",'True_Odds_Calculator_2-way'!A9)</f>
        <v>2.19</v>
      </c>
      <c r="B8" s="4">
        <f>IF('True_Odds_Calculator_2-way'!B9="","",'True_Odds_Calculator_2-way'!B9)</f>
        <v>1.72</v>
      </c>
      <c r="C8" s="4">
        <f t="shared" si="0"/>
        <v>0.45662100456621008</v>
      </c>
      <c r="D8">
        <f t="shared" si="1"/>
        <v>0.58139534883720934</v>
      </c>
      <c r="E8">
        <f t="shared" si="2"/>
        <v>3.8016353403419467E-2</v>
      </c>
      <c r="F8">
        <f t="shared" si="3"/>
        <v>-0.22746097483274919</v>
      </c>
      <c r="G8">
        <v>0</v>
      </c>
      <c r="H8">
        <f t="shared" si="4"/>
        <v>0.26547732823616865</v>
      </c>
      <c r="I8">
        <f t="shared" si="5"/>
        <v>-1.0803395392536077</v>
      </c>
      <c r="J8">
        <f t="shared" si="6"/>
        <v>1.0803395392536077</v>
      </c>
      <c r="K8">
        <f t="shared" si="7"/>
        <v>0.43752110049466114</v>
      </c>
      <c r="L8">
        <f t="shared" si="8"/>
        <v>0.5624788995053388</v>
      </c>
      <c r="M8">
        <f t="shared" si="9"/>
        <v>2.2856040517117928</v>
      </c>
      <c r="N8">
        <f t="shared" si="10"/>
        <v>1.7778444682625973</v>
      </c>
    </row>
    <row r="9" spans="1:14" x14ac:dyDescent="0.25">
      <c r="A9" s="4">
        <f>IF('True_Odds_Calculator_2-way'!A10="","",'True_Odds_Calculator_2-way'!A10)</f>
        <v>2.13</v>
      </c>
      <c r="B9" s="4">
        <f>IF('True_Odds_Calculator_2-way'!B10="","",'True_Odds_Calculator_2-way'!B10)</f>
        <v>1.76</v>
      </c>
      <c r="C9" s="4">
        <f t="shared" si="0"/>
        <v>0.46948356807511737</v>
      </c>
      <c r="D9">
        <f t="shared" si="1"/>
        <v>0.56818181818181823</v>
      </c>
      <c r="E9">
        <f t="shared" si="2"/>
        <v>3.7665386256935607E-2</v>
      </c>
      <c r="F9">
        <f t="shared" si="3"/>
        <v>-0.22908664105847198</v>
      </c>
      <c r="G9">
        <v>0</v>
      </c>
      <c r="H9">
        <f t="shared" si="4"/>
        <v>0.26675202731540765</v>
      </c>
      <c r="I9">
        <f t="shared" si="5"/>
        <v>-1.0790808419378759</v>
      </c>
      <c r="J9">
        <f t="shared" si="6"/>
        <v>1.0790808419378759</v>
      </c>
      <c r="K9">
        <f t="shared" si="7"/>
        <v>0.45058007312499337</v>
      </c>
      <c r="L9">
        <f t="shared" si="8"/>
        <v>0.54941992687500663</v>
      </c>
      <c r="M9">
        <f t="shared" si="9"/>
        <v>2.2193613513897996</v>
      </c>
      <c r="N9">
        <f t="shared" si="10"/>
        <v>1.8201014398727853</v>
      </c>
    </row>
    <row r="10" spans="1:14" x14ac:dyDescent="0.25">
      <c r="A10" s="4">
        <f>IF('True_Odds_Calculator_2-way'!A11="","",'True_Odds_Calculator_2-way'!A11)</f>
        <v>1.96</v>
      </c>
      <c r="B10" s="4">
        <f>IF('True_Odds_Calculator_2-way'!B11="","",'True_Odds_Calculator_2-way'!B11)</f>
        <v>1.9</v>
      </c>
      <c r="C10" s="4">
        <f t="shared" si="0"/>
        <v>0.51020408163265307</v>
      </c>
      <c r="D10">
        <f t="shared" si="1"/>
        <v>0.52631578947368418</v>
      </c>
      <c r="E10">
        <f t="shared" si="2"/>
        <v>3.6519871106337254E-2</v>
      </c>
      <c r="F10">
        <f t="shared" si="3"/>
        <v>-0.23200859291084863</v>
      </c>
      <c r="G10">
        <v>0</v>
      </c>
      <c r="H10">
        <f t="shared" si="4"/>
        <v>0.26852846401718583</v>
      </c>
      <c r="I10">
        <f t="shared" si="5"/>
        <v>-1.0758287072798378</v>
      </c>
      <c r="J10">
        <f t="shared" si="6"/>
        <v>1.0758287072798378</v>
      </c>
      <c r="K10">
        <f t="shared" si="7"/>
        <v>0.49193338482966764</v>
      </c>
      <c r="L10">
        <f t="shared" si="8"/>
        <v>0.50806661517033258</v>
      </c>
      <c r="M10">
        <f t="shared" si="9"/>
        <v>2.0327955589886439</v>
      </c>
      <c r="N10">
        <f t="shared" si="10"/>
        <v>1.9682458365518538</v>
      </c>
    </row>
    <row r="11" spans="1:14" x14ac:dyDescent="0.25">
      <c r="A11" s="4">
        <f>IF('True_Odds_Calculator_2-way'!A12="","",'True_Odds_Calculator_2-way'!A12)</f>
        <v>2.16</v>
      </c>
      <c r="B11" s="4">
        <f>IF('True_Odds_Calculator_2-way'!B12="","",'True_Odds_Calculator_2-way'!B12)</f>
        <v>1.74</v>
      </c>
      <c r="C11" s="4">
        <f t="shared" si="0"/>
        <v>0.46296296296296291</v>
      </c>
      <c r="D11">
        <f t="shared" si="1"/>
        <v>0.57471264367816088</v>
      </c>
      <c r="E11">
        <f t="shared" si="2"/>
        <v>3.7675606641123682E-2</v>
      </c>
      <c r="F11">
        <f t="shared" si="3"/>
        <v>-0.22839506172839519</v>
      </c>
      <c r="G11">
        <v>0</v>
      </c>
      <c r="H11">
        <f t="shared" si="4"/>
        <v>0.26607066836951887</v>
      </c>
      <c r="I11">
        <f t="shared" si="5"/>
        <v>-1.0793322294408634</v>
      </c>
      <c r="J11">
        <f t="shared" si="6"/>
        <v>1.0793322294408634</v>
      </c>
      <c r="K11">
        <f t="shared" si="7"/>
        <v>0.44404472798104189</v>
      </c>
      <c r="L11">
        <f t="shared" si="8"/>
        <v>0.55595527201895822</v>
      </c>
      <c r="M11">
        <f t="shared" si="9"/>
        <v>2.2520253861514017</v>
      </c>
      <c r="N11">
        <f t="shared" si="10"/>
        <v>1.7987058497862392</v>
      </c>
    </row>
    <row r="12" spans="1:14" x14ac:dyDescent="0.25">
      <c r="A12" s="4">
        <f>IF('True_Odds_Calculator_2-way'!A13="","",'True_Odds_Calculator_2-way'!A13)</f>
        <v>1.96</v>
      </c>
      <c r="B12" s="4">
        <f>IF('True_Odds_Calculator_2-way'!B13="","",'True_Odds_Calculator_2-way'!B13)</f>
        <v>1.91</v>
      </c>
      <c r="C12" s="4">
        <f t="shared" si="0"/>
        <v>0.51020408163265307</v>
      </c>
      <c r="D12">
        <f t="shared" si="1"/>
        <v>0.52356020942408377</v>
      </c>
      <c r="E12">
        <f t="shared" si="2"/>
        <v>3.3764291056736839E-2</v>
      </c>
      <c r="F12">
        <f t="shared" si="3"/>
        <v>-0.23335826477187727</v>
      </c>
      <c r="G12">
        <v>0</v>
      </c>
      <c r="H12">
        <f t="shared" si="4"/>
        <v>0.26712255582861416</v>
      </c>
      <c r="I12">
        <f t="shared" si="5"/>
        <v>-1.0699012312772824</v>
      </c>
      <c r="J12">
        <f t="shared" si="6"/>
        <v>1.0699012312772824</v>
      </c>
      <c r="K12">
        <f t="shared" si="7"/>
        <v>0.49331431287667615</v>
      </c>
      <c r="L12">
        <f t="shared" si="8"/>
        <v>0.50668568712332396</v>
      </c>
      <c r="M12">
        <f t="shared" si="9"/>
        <v>2.0271051820261912</v>
      </c>
      <c r="N12">
        <f t="shared" si="10"/>
        <v>1.9736101204623264</v>
      </c>
    </row>
    <row r="13" spans="1:14" x14ac:dyDescent="0.25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0.5181347150259068</v>
      </c>
      <c r="D13">
        <f t="shared" si="1"/>
        <v>0.51546391752577325</v>
      </c>
      <c r="E13">
        <f t="shared" si="2"/>
        <v>3.3598632551679941E-2</v>
      </c>
      <c r="F13">
        <f t="shared" si="3"/>
        <v>-0.2334811174616741</v>
      </c>
      <c r="G13">
        <v>0</v>
      </c>
      <c r="H13">
        <f t="shared" si="4"/>
        <v>0.26707975001335404</v>
      </c>
      <c r="I13">
        <f t="shared" si="5"/>
        <v>-1.0695340092890231</v>
      </c>
      <c r="J13">
        <f t="shared" si="6"/>
        <v>1.0695340092890231</v>
      </c>
      <c r="K13">
        <f t="shared" si="7"/>
        <v>0.50133690795359842</v>
      </c>
      <c r="L13">
        <f t="shared" si="8"/>
        <v>0.49866309204640175</v>
      </c>
      <c r="M13">
        <f t="shared" si="9"/>
        <v>1.9946666286387909</v>
      </c>
      <c r="N13">
        <f t="shared" si="10"/>
        <v>2.0053619687316817</v>
      </c>
    </row>
    <row r="14" spans="1:14" x14ac:dyDescent="0.25">
      <c r="A14" s="4">
        <f>IF('True_Odds_Calculator_2-way'!A15="","",'True_Odds_Calculator_2-way'!A15)</f>
        <v>1.74</v>
      </c>
      <c r="B14" s="4">
        <f>IF('True_Odds_Calculator_2-way'!B15="","",'True_Odds_Calculator_2-way'!B15)</f>
        <v>2.16</v>
      </c>
      <c r="C14" s="4">
        <f t="shared" si="0"/>
        <v>0.57471264367816088</v>
      </c>
      <c r="D14">
        <f t="shared" si="1"/>
        <v>0.46296296296296291</v>
      </c>
      <c r="E14">
        <f t="shared" si="2"/>
        <v>3.7675606641123682E-2</v>
      </c>
      <c r="F14">
        <f t="shared" si="3"/>
        <v>-0.22839506172839519</v>
      </c>
      <c r="G14">
        <v>0</v>
      </c>
      <c r="H14">
        <f t="shared" si="4"/>
        <v>0.26607066836951887</v>
      </c>
      <c r="I14">
        <f t="shared" si="5"/>
        <v>-1.0793322294408634</v>
      </c>
      <c r="J14">
        <f t="shared" si="6"/>
        <v>1.0793322294408634</v>
      </c>
      <c r="K14">
        <f t="shared" si="7"/>
        <v>0.55595527201895822</v>
      </c>
      <c r="L14">
        <f t="shared" si="8"/>
        <v>0.44404472798104189</v>
      </c>
      <c r="M14">
        <f t="shared" si="9"/>
        <v>1.7987058497862392</v>
      </c>
      <c r="N14">
        <f t="shared" si="10"/>
        <v>2.2520253861514017</v>
      </c>
    </row>
    <row r="15" spans="1:14" x14ac:dyDescent="0.25">
      <c r="A15" s="4">
        <f>IF('True_Odds_Calculator_2-way'!A16="","",'True_Odds_Calculator_2-way'!A16)</f>
        <v>1.88</v>
      </c>
      <c r="B15" s="4">
        <f>IF('True_Odds_Calculator_2-way'!B16="","",'True_Odds_Calculator_2-way'!B16)</f>
        <v>1.99</v>
      </c>
      <c r="C15" s="4">
        <f t="shared" si="0"/>
        <v>0.53191489361702127</v>
      </c>
      <c r="D15">
        <f t="shared" si="1"/>
        <v>0.50251256281407031</v>
      </c>
      <c r="E15">
        <f t="shared" si="2"/>
        <v>3.4427456431091574E-2</v>
      </c>
      <c r="F15">
        <f t="shared" si="3"/>
        <v>-0.23286645995937127</v>
      </c>
      <c r="G15">
        <v>0</v>
      </c>
      <c r="H15">
        <f t="shared" si="4"/>
        <v>0.2672939163904629</v>
      </c>
      <c r="I15">
        <f t="shared" si="5"/>
        <v>-1.0713739108887084</v>
      </c>
      <c r="J15">
        <f t="shared" si="6"/>
        <v>1.0713739108887084</v>
      </c>
      <c r="K15">
        <f t="shared" si="7"/>
        <v>0.51471862576142968</v>
      </c>
      <c r="L15">
        <f t="shared" si="8"/>
        <v>0.48528137423857021</v>
      </c>
      <c r="M15">
        <f t="shared" si="9"/>
        <v>1.9428090415820634</v>
      </c>
      <c r="N15">
        <f t="shared" si="10"/>
        <v>2.0606601717798219</v>
      </c>
    </row>
    <row r="16" spans="1:14" x14ac:dyDescent="0.25">
      <c r="A16" s="4">
        <f>IF('True_Odds_Calculator_2-way'!A17="","",'True_Odds_Calculator_2-way'!A17)</f>
        <v>1.92</v>
      </c>
      <c r="B16" s="4">
        <f>IF('True_Odds_Calculator_2-way'!B17="","",'True_Odds_Calculator_2-way'!B17)</f>
        <v>1.95</v>
      </c>
      <c r="C16" s="4">
        <f t="shared" si="0"/>
        <v>0.52083333333333337</v>
      </c>
      <c r="D16">
        <f t="shared" si="1"/>
        <v>0.51282051282051289</v>
      </c>
      <c r="E16">
        <f t="shared" si="2"/>
        <v>3.3653846153846256E-2</v>
      </c>
      <c r="F16">
        <f t="shared" si="3"/>
        <v>-0.23344017094017089</v>
      </c>
      <c r="G16">
        <v>0</v>
      </c>
      <c r="H16">
        <f t="shared" si="4"/>
        <v>0.26709401709401714</v>
      </c>
      <c r="I16">
        <f t="shared" si="5"/>
        <v>-1.0696563746013956</v>
      </c>
      <c r="J16">
        <f t="shared" si="6"/>
        <v>1.0696563746013956</v>
      </c>
      <c r="K16">
        <f t="shared" si="7"/>
        <v>0.50401095327935097</v>
      </c>
      <c r="L16">
        <f t="shared" si="8"/>
        <v>0.49598904672064897</v>
      </c>
      <c r="M16">
        <f t="shared" si="9"/>
        <v>1.9840838646332837</v>
      </c>
      <c r="N16">
        <f t="shared" si="10"/>
        <v>2.0161735558713256</v>
      </c>
    </row>
    <row r="17" spans="1:14" x14ac:dyDescent="0.25">
      <c r="A17" s="4">
        <f>IF('True_Odds_Calculator_2-way'!A18="","",'True_Odds_Calculator_2-way'!A18)</f>
        <v>2.39</v>
      </c>
      <c r="B17" s="4">
        <f>IF('True_Odds_Calculator_2-way'!B18="","",'True_Odds_Calculator_2-way'!B18)</f>
        <v>1.61</v>
      </c>
      <c r="C17" s="4">
        <f t="shared" si="0"/>
        <v>0.41841004184100417</v>
      </c>
      <c r="D17">
        <f t="shared" si="1"/>
        <v>0.6211180124223602</v>
      </c>
      <c r="E17">
        <f t="shared" si="2"/>
        <v>3.9528054263364254E-2</v>
      </c>
      <c r="F17">
        <f t="shared" si="3"/>
        <v>-0.22035395930247681</v>
      </c>
      <c r="G17">
        <v>0</v>
      </c>
      <c r="H17">
        <f t="shared" si="4"/>
        <v>0.25988201356584106</v>
      </c>
      <c r="I17">
        <f t="shared" si="5"/>
        <v>-1.0859946414984594</v>
      </c>
      <c r="J17">
        <f t="shared" si="6"/>
        <v>1.0859946414984594</v>
      </c>
      <c r="K17">
        <f t="shared" si="7"/>
        <v>0.39848058529044122</v>
      </c>
      <c r="L17">
        <f t="shared" si="8"/>
        <v>0.60151941470955883</v>
      </c>
      <c r="M17">
        <f t="shared" si="9"/>
        <v>2.5095325516828586</v>
      </c>
      <c r="N17">
        <f t="shared" si="10"/>
        <v>1.6624567313140606</v>
      </c>
    </row>
    <row r="18" spans="1:14" x14ac:dyDescent="0.25">
      <c r="A18" s="4">
        <f>IF('True_Odds_Calculator_2-way'!A19="","",'True_Odds_Calculator_2-way'!A19)</f>
        <v>1.93</v>
      </c>
      <c r="B18" s="4">
        <f>IF('True_Odds_Calculator_2-way'!B19="","",'True_Odds_Calculator_2-way'!B19)</f>
        <v>1.94</v>
      </c>
      <c r="C18" s="4">
        <f t="shared" si="0"/>
        <v>0.5181347150259068</v>
      </c>
      <c r="D18">
        <f t="shared" si="1"/>
        <v>0.51546391752577325</v>
      </c>
      <c r="E18">
        <f t="shared" si="2"/>
        <v>3.3598632551679941E-2</v>
      </c>
      <c r="F18">
        <f t="shared" si="3"/>
        <v>-0.2334811174616741</v>
      </c>
      <c r="G18">
        <v>0</v>
      </c>
      <c r="H18">
        <f t="shared" si="4"/>
        <v>0.26707975001335404</v>
      </c>
      <c r="I18">
        <f t="shared" si="5"/>
        <v>-1.0695340092890231</v>
      </c>
      <c r="J18">
        <f t="shared" si="6"/>
        <v>1.0695340092890231</v>
      </c>
      <c r="K18">
        <f t="shared" si="7"/>
        <v>0.50133690795359842</v>
      </c>
      <c r="L18">
        <f t="shared" si="8"/>
        <v>0.49866309204640175</v>
      </c>
      <c r="M18">
        <f t="shared" si="9"/>
        <v>1.9946666286387909</v>
      </c>
      <c r="N18">
        <f t="shared" si="10"/>
        <v>2.0053619687316817</v>
      </c>
    </row>
    <row r="19" spans="1:14" x14ac:dyDescent="0.25">
      <c r="A19" s="4">
        <f>IF('True_Odds_Calculator_2-way'!A20="","",'True_Odds_Calculator_2-way'!A20)</f>
        <v>2.29</v>
      </c>
      <c r="B19" s="4">
        <f>IF('True_Odds_Calculator_2-way'!B20="","",'True_Odds_Calculator_2-way'!B20)</f>
        <v>1.66</v>
      </c>
      <c r="C19" s="4">
        <f t="shared" si="0"/>
        <v>0.4366812227074236</v>
      </c>
      <c r="D19">
        <f t="shared" si="1"/>
        <v>0.60240963855421692</v>
      </c>
      <c r="E19">
        <f t="shared" si="2"/>
        <v>3.9090861261640519E-2</v>
      </c>
      <c r="F19">
        <f t="shared" si="3"/>
        <v>-0.22397011627295205</v>
      </c>
      <c r="G19">
        <v>0</v>
      </c>
      <c r="H19">
        <f t="shared" si="4"/>
        <v>0.26306097753459257</v>
      </c>
      <c r="I19">
        <f t="shared" si="5"/>
        <v>-1.0837601479372587</v>
      </c>
      <c r="J19">
        <f t="shared" si="6"/>
        <v>1.0837601479372587</v>
      </c>
      <c r="K19">
        <f t="shared" si="7"/>
        <v>0.41700538087901889</v>
      </c>
      <c r="L19">
        <f t="shared" si="8"/>
        <v>0.58299461912098116</v>
      </c>
      <c r="M19">
        <f t="shared" si="9"/>
        <v>2.3980505908390635</v>
      </c>
      <c r="N19">
        <f t="shared" si="10"/>
        <v>1.7152816976385905</v>
      </c>
    </row>
    <row r="20" spans="1:14" x14ac:dyDescent="0.25">
      <c r="A20" s="4">
        <f>IF('True_Odds_Calculator_2-way'!A21="","",'True_Odds_Calculator_2-way'!A21)</f>
        <v>1.83</v>
      </c>
      <c r="B20" s="4">
        <f>IF('True_Odds_Calculator_2-way'!B21="","",'True_Odds_Calculator_2-way'!B21)</f>
        <v>2.02</v>
      </c>
      <c r="C20" s="4">
        <f t="shared" si="0"/>
        <v>0.54644808743169393</v>
      </c>
      <c r="D20">
        <f t="shared" si="1"/>
        <v>0.49504950495049505</v>
      </c>
      <c r="E20">
        <f t="shared" si="2"/>
        <v>4.1497592382188975E-2</v>
      </c>
      <c r="F20">
        <f t="shared" si="3"/>
        <v>-0.22902126278201596</v>
      </c>
      <c r="G20">
        <v>0</v>
      </c>
      <c r="H20">
        <f t="shared" si="4"/>
        <v>0.27051885516420493</v>
      </c>
      <c r="I20">
        <f t="shared" si="5"/>
        <v>-1.0868281233544477</v>
      </c>
      <c r="J20">
        <f t="shared" si="6"/>
        <v>1.0868281233544477</v>
      </c>
      <c r="K20">
        <f t="shared" si="7"/>
        <v>0.52574374088486586</v>
      </c>
      <c r="L20">
        <f t="shared" si="8"/>
        <v>0.47425625911513414</v>
      </c>
      <c r="M20">
        <f t="shared" si="9"/>
        <v>1.9020673423841918</v>
      </c>
      <c r="N20">
        <f t="shared" si="10"/>
        <v>2.1085646858215363</v>
      </c>
    </row>
    <row r="21" spans="1:14" x14ac:dyDescent="0.25">
      <c r="A21" s="4">
        <f>IF('True_Odds_Calculator_2-way'!A22="","",'True_Odds_Calculator_2-way'!A22)</f>
        <v>1.89</v>
      </c>
      <c r="B21" s="4">
        <f>IF('True_Odds_Calculator_2-way'!B22="","",'True_Odds_Calculator_2-way'!B22)</f>
        <v>1.94</v>
      </c>
      <c r="C21" s="4">
        <f t="shared" si="0"/>
        <v>0.52910052910052918</v>
      </c>
      <c r="D21">
        <f t="shared" si="1"/>
        <v>0.51546391752577325</v>
      </c>
      <c r="E21">
        <f t="shared" si="2"/>
        <v>4.4564446626302434E-2</v>
      </c>
      <c r="F21">
        <f t="shared" si="3"/>
        <v>-0.22816778486881573</v>
      </c>
      <c r="G21">
        <v>0</v>
      </c>
      <c r="H21">
        <f t="shared" si="4"/>
        <v>0.27273223149511816</v>
      </c>
      <c r="I21">
        <f t="shared" si="5"/>
        <v>-1.093304334427839</v>
      </c>
      <c r="J21">
        <f t="shared" si="6"/>
        <v>1.093304334427839</v>
      </c>
      <c r="K21">
        <f t="shared" si="7"/>
        <v>0.50683187635340188</v>
      </c>
      <c r="L21">
        <f t="shared" si="8"/>
        <v>0.49316812364659818</v>
      </c>
      <c r="M21">
        <f t="shared" si="9"/>
        <v>1.9730408576407765</v>
      </c>
      <c r="N21">
        <f t="shared" si="10"/>
        <v>2.0277060743621682</v>
      </c>
    </row>
    <row r="22" spans="1:14" x14ac:dyDescent="0.25">
      <c r="A22" s="4">
        <f>IF('True_Odds_Calculator_2-way'!A23="","",'True_Odds_Calculator_2-way'!A23)</f>
        <v>1.88</v>
      </c>
      <c r="B22" s="4">
        <f>IF('True_Odds_Calculator_2-way'!B23="","",'True_Odds_Calculator_2-way'!B23)</f>
        <v>1.96</v>
      </c>
      <c r="C22" s="4">
        <f t="shared" si="0"/>
        <v>0.53191489361702127</v>
      </c>
      <c r="D22">
        <f t="shared" si="1"/>
        <v>0.51020408163265307</v>
      </c>
      <c r="E22">
        <f t="shared" si="2"/>
        <v>4.2118975249674229E-2</v>
      </c>
      <c r="F22">
        <f t="shared" si="3"/>
        <v>-0.22926617455492848</v>
      </c>
      <c r="G22">
        <v>0</v>
      </c>
      <c r="H22">
        <f t="shared" si="4"/>
        <v>0.27138514980460271</v>
      </c>
      <c r="I22">
        <f t="shared" si="5"/>
        <v>-1.0879853497231111</v>
      </c>
      <c r="J22">
        <f t="shared" si="6"/>
        <v>1.0879853497231111</v>
      </c>
      <c r="K22">
        <f t="shared" si="7"/>
        <v>0.51087470692394266</v>
      </c>
      <c r="L22">
        <f t="shared" si="8"/>
        <v>0.48912529307605751</v>
      </c>
      <c r="M22">
        <f t="shared" si="9"/>
        <v>1.9574271077563381</v>
      </c>
      <c r="N22">
        <f t="shared" si="10"/>
        <v>2.0444659357341863</v>
      </c>
    </row>
    <row r="23" spans="1:14" x14ac:dyDescent="0.25">
      <c r="A23" s="4">
        <f>IF('True_Odds_Calculator_2-way'!A24="","",'True_Odds_Calculator_2-way'!A24)</f>
        <v>2.52</v>
      </c>
      <c r="B23" s="4">
        <f>IF('True_Odds_Calculator_2-way'!B24="","",'True_Odds_Calculator_2-way'!B24)</f>
        <v>1.57</v>
      </c>
      <c r="C23" s="4">
        <f t="shared" si="0"/>
        <v>0.3968253968253968</v>
      </c>
      <c r="D23">
        <f t="shared" si="1"/>
        <v>0.63694267515923564</v>
      </c>
      <c r="E23">
        <f t="shared" si="2"/>
        <v>3.3768071984632497E-2</v>
      </c>
      <c r="F23">
        <f t="shared" si="3"/>
        <v>-0.21898695784046107</v>
      </c>
      <c r="G23">
        <v>0</v>
      </c>
      <c r="H23">
        <f t="shared" si="4"/>
        <v>0.25275502982509351</v>
      </c>
      <c r="I23">
        <f t="shared" si="5"/>
        <v>-1.0743376064838499</v>
      </c>
      <c r="J23">
        <f t="shared" si="6"/>
        <v>1.0743376064838499</v>
      </c>
      <c r="K23">
        <f t="shared" si="7"/>
        <v>0.37979589711327127</v>
      </c>
      <c r="L23">
        <f t="shared" si="8"/>
        <v>0.62020410288672867</v>
      </c>
      <c r="M23">
        <f t="shared" si="9"/>
        <v>2.6329931618554516</v>
      </c>
      <c r="N23">
        <f t="shared" si="10"/>
        <v>1.6123724356957947</v>
      </c>
    </row>
    <row r="24" spans="1:14" x14ac:dyDescent="0.25">
      <c r="A24" s="4">
        <f>IF('True_Odds_Calculator_2-way'!A25="","",'True_Odds_Calculator_2-way'!A25)</f>
        <v>2.23</v>
      </c>
      <c r="B24" s="4">
        <f>IF('True_Odds_Calculator_2-way'!B25="","",'True_Odds_Calculator_2-way'!B25)</f>
        <v>1.71</v>
      </c>
      <c r="C24" s="4">
        <f t="shared" si="0"/>
        <v>0.44843049327354262</v>
      </c>
      <c r="D24">
        <f t="shared" si="1"/>
        <v>0.58479532163742687</v>
      </c>
      <c r="E24">
        <f t="shared" si="2"/>
        <v>3.3225814910969431E-2</v>
      </c>
      <c r="F24">
        <f t="shared" si="3"/>
        <v>-0.22901423963496192</v>
      </c>
      <c r="G24">
        <v>0</v>
      </c>
      <c r="H24">
        <f t="shared" si="4"/>
        <v>0.26224005454593136</v>
      </c>
      <c r="I24">
        <f t="shared" si="5"/>
        <v>-1.070084984173661</v>
      </c>
      <c r="J24">
        <f t="shared" si="6"/>
        <v>1.070084984173661</v>
      </c>
      <c r="K24">
        <f t="shared" si="7"/>
        <v>0.43174080130549697</v>
      </c>
      <c r="L24">
        <f t="shared" si="8"/>
        <v>0.56825919869450314</v>
      </c>
      <c r="M24">
        <f t="shared" si="9"/>
        <v>2.3162045305336028</v>
      </c>
      <c r="N24">
        <f t="shared" si="10"/>
        <v>1.7597603387632996</v>
      </c>
    </row>
    <row r="25" spans="1:14" x14ac:dyDescent="0.25">
      <c r="A25" s="4">
        <f>IF('True_Odds_Calculator_2-way'!A26="","",'True_Odds_Calculator_2-way'!A26)</f>
        <v>1.73</v>
      </c>
      <c r="B25" s="4">
        <f>IF('True_Odds_Calculator_2-way'!B26="","",'True_Odds_Calculator_2-way'!B26)</f>
        <v>2.2000000000000002</v>
      </c>
      <c r="C25" s="4">
        <f t="shared" si="0"/>
        <v>0.5780346820809249</v>
      </c>
      <c r="D25">
        <f t="shared" si="1"/>
        <v>0.45454545454545453</v>
      </c>
      <c r="E25">
        <f t="shared" si="2"/>
        <v>3.2580136626379375E-2</v>
      </c>
      <c r="F25">
        <f t="shared" si="3"/>
        <v>-0.23016290068313194</v>
      </c>
      <c r="G25">
        <v>0</v>
      </c>
      <c r="H25">
        <f t="shared" si="4"/>
        <v>0.26274303730951132</v>
      </c>
      <c r="I25">
        <f t="shared" si="5"/>
        <v>-1.0684346079267204</v>
      </c>
      <c r="J25">
        <f t="shared" si="6"/>
        <v>1.0684346079267204</v>
      </c>
      <c r="K25">
        <f t="shared" si="7"/>
        <v>0.5618112413961549</v>
      </c>
      <c r="L25">
        <f t="shared" si="8"/>
        <v>0.43818875860384515</v>
      </c>
      <c r="M25">
        <f t="shared" si="9"/>
        <v>1.7799572637865058</v>
      </c>
      <c r="N25">
        <f t="shared" si="10"/>
        <v>2.2821215295120645</v>
      </c>
    </row>
    <row r="26" spans="1:14" x14ac:dyDescent="0.25">
      <c r="A26" s="4">
        <f>IF('True_Odds_Calculator_2-way'!A27="","",'True_Odds_Calculator_2-way'!A27)</f>
        <v>2.17</v>
      </c>
      <c r="B26" s="4">
        <f>IF('True_Odds_Calculator_2-way'!B27="","",'True_Odds_Calculator_2-way'!B27)</f>
        <v>1.75</v>
      </c>
      <c r="C26" s="4">
        <f t="shared" si="0"/>
        <v>0.46082949308755761</v>
      </c>
      <c r="D26">
        <f t="shared" si="1"/>
        <v>0.5714285714285714</v>
      </c>
      <c r="E26">
        <f t="shared" si="2"/>
        <v>3.2258064516129004E-2</v>
      </c>
      <c r="F26">
        <f t="shared" si="3"/>
        <v>-0.23107307439104674</v>
      </c>
      <c r="G26">
        <v>0</v>
      </c>
      <c r="H26">
        <f t="shared" si="4"/>
        <v>0.26333113890717574</v>
      </c>
      <c r="I26">
        <f t="shared" si="5"/>
        <v>-1.0675210253672476</v>
      </c>
      <c r="J26">
        <f t="shared" si="6"/>
        <v>1.0675210253672476</v>
      </c>
      <c r="K26">
        <f t="shared" si="7"/>
        <v>0.44464214228514221</v>
      </c>
      <c r="L26">
        <f t="shared" si="8"/>
        <v>0.55535785771485779</v>
      </c>
      <c r="M26">
        <f t="shared" si="9"/>
        <v>2.2489995996796797</v>
      </c>
      <c r="N26">
        <f t="shared" si="10"/>
        <v>1.8006407690254356</v>
      </c>
    </row>
    <row r="27" spans="1:14" x14ac:dyDescent="0.25">
      <c r="A27" s="4">
        <f>IF('True_Odds_Calculator_2-way'!A28="","",'True_Odds_Calculator_2-way'!A28)</f>
        <v>2.36</v>
      </c>
      <c r="B27" s="4">
        <f>IF('True_Odds_Calculator_2-way'!B28="","",'True_Odds_Calculator_2-way'!B28)</f>
        <v>1.64</v>
      </c>
      <c r="C27" s="4">
        <f t="shared" si="0"/>
        <v>0.42372881355932207</v>
      </c>
      <c r="D27">
        <f t="shared" si="1"/>
        <v>0.6097560975609756</v>
      </c>
      <c r="E27">
        <f t="shared" si="2"/>
        <v>3.3484911120297722E-2</v>
      </c>
      <c r="F27">
        <f t="shared" si="3"/>
        <v>-0.22488631665977676</v>
      </c>
      <c r="G27">
        <v>0</v>
      </c>
      <c r="H27">
        <f t="shared" si="4"/>
        <v>0.25837122778007443</v>
      </c>
      <c r="I27">
        <f t="shared" si="5"/>
        <v>-1.0718661571406802</v>
      </c>
      <c r="J27">
        <f t="shared" si="6"/>
        <v>1.0718661571406802</v>
      </c>
      <c r="K27">
        <f t="shared" si="7"/>
        <v>0.40687819885451121</v>
      </c>
      <c r="L27">
        <f t="shared" si="8"/>
        <v>0.59312180114548885</v>
      </c>
      <c r="M27">
        <f t="shared" si="9"/>
        <v>2.4577379737113252</v>
      </c>
      <c r="N27">
        <f t="shared" si="10"/>
        <v>1.6859943405700353</v>
      </c>
    </row>
    <row r="28" spans="1:14" x14ac:dyDescent="0.25">
      <c r="A28" s="4">
        <f>IF('True_Odds_Calculator_2-way'!A29="","",'True_Odds_Calculator_2-way'!A29)</f>
        <v>1.9</v>
      </c>
      <c r="B28" s="4">
        <f>IF('True_Odds_Calculator_2-way'!B29="","",'True_Odds_Calculator_2-way'!B29)</f>
        <v>1.99</v>
      </c>
      <c r="C28" s="4">
        <f t="shared" si="0"/>
        <v>0.52631578947368418</v>
      </c>
      <c r="D28">
        <f t="shared" si="1"/>
        <v>0.50251256281407031</v>
      </c>
      <c r="E28">
        <f t="shared" si="2"/>
        <v>2.8828352287754377E-2</v>
      </c>
      <c r="F28">
        <f t="shared" si="3"/>
        <v>-0.23565194393017741</v>
      </c>
      <c r="G28">
        <v>0</v>
      </c>
      <c r="H28">
        <f t="shared" si="4"/>
        <v>0.26448029621793173</v>
      </c>
      <c r="I28">
        <f t="shared" si="5"/>
        <v>-1.0594028769395465</v>
      </c>
      <c r="J28">
        <f t="shared" si="6"/>
        <v>1.0594028769395465</v>
      </c>
      <c r="K28">
        <f t="shared" si="7"/>
        <v>0.51191151829848447</v>
      </c>
      <c r="L28">
        <f t="shared" si="8"/>
        <v>0.48808848170151553</v>
      </c>
      <c r="M28">
        <f t="shared" si="9"/>
        <v>1.9534625892455926</v>
      </c>
      <c r="N28">
        <f t="shared" si="10"/>
        <v>2.0488088481701512</v>
      </c>
    </row>
    <row r="29" spans="1:14" x14ac:dyDescent="0.25">
      <c r="A29" s="4">
        <f>IF('True_Odds_Calculator_2-way'!A30="","",'True_Odds_Calculator_2-way'!A30)</f>
        <v>1.94</v>
      </c>
      <c r="B29" s="4">
        <f>IF('True_Odds_Calculator_2-way'!B30="","",'True_Odds_Calculator_2-way'!B30)</f>
        <v>1.86</v>
      </c>
      <c r="C29" s="4">
        <f t="shared" si="0"/>
        <v>0.51546391752577325</v>
      </c>
      <c r="D29">
        <f t="shared" si="1"/>
        <v>0.5376344086021505</v>
      </c>
      <c r="E29">
        <f t="shared" si="2"/>
        <v>5.3098326127923645E-2</v>
      </c>
      <c r="F29">
        <f t="shared" si="3"/>
        <v>-0.22403281232679317</v>
      </c>
      <c r="G29">
        <v>0</v>
      </c>
      <c r="H29">
        <f t="shared" si="4"/>
        <v>0.27713113845471676</v>
      </c>
      <c r="I29">
        <f t="shared" si="5"/>
        <v>-1.1122101332503223</v>
      </c>
      <c r="J29">
        <f t="shared" si="6"/>
        <v>1.1122101332503223</v>
      </c>
      <c r="K29">
        <f t="shared" si="7"/>
        <v>0.48888339649451129</v>
      </c>
      <c r="L29">
        <f t="shared" si="8"/>
        <v>0.51111660350548893</v>
      </c>
      <c r="M29">
        <f t="shared" si="9"/>
        <v>2.0454775252553028</v>
      </c>
      <c r="N29">
        <f t="shared" si="10"/>
        <v>1.9565007145952771</v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1" sqref="Z1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69</v>
      </c>
      <c r="M1" s="54"/>
      <c r="N1" s="13" t="s">
        <v>68</v>
      </c>
      <c r="O1" s="13" t="s">
        <v>70</v>
      </c>
      <c r="P1" s="13" t="s">
        <v>71</v>
      </c>
      <c r="Q1" s="13" t="s">
        <v>72</v>
      </c>
      <c r="R1" s="13" t="s">
        <v>73</v>
      </c>
      <c r="S1" s="13" t="s">
        <v>74</v>
      </c>
      <c r="T1" s="13" t="s">
        <v>75</v>
      </c>
      <c r="U1" s="13" t="s">
        <v>32</v>
      </c>
      <c r="V1" s="13" t="s">
        <v>33</v>
      </c>
      <c r="W1" s="13" t="s">
        <v>91</v>
      </c>
      <c r="X1" s="26" t="s">
        <v>57</v>
      </c>
      <c r="Y1" s="43" t="s">
        <v>77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2.0499999999999998</v>
      </c>
      <c r="B3">
        <v>1.85</v>
      </c>
      <c r="C3" s="29">
        <f t="shared" ref="C3:C66" si="0">IF(OR($A3="",$B3=""),"",(1/A3)+(1/B3)-1)</f>
        <v>2.8345418589321048E-2</v>
      </c>
      <c r="D3" s="30">
        <f>IF(OR($A3="",$B3=""),"",A3*'MPTO_working_2-way'!$G2)</f>
        <v>2.1081081081081079</v>
      </c>
      <c r="E3" s="32">
        <f>IF(OR($A3="",$B3=""),"",B3*'MPTO_working_2-way'!$G2)</f>
        <v>1.902439024390244</v>
      </c>
      <c r="F3" s="30">
        <f>IF(OR($A3="",$B3=""),"",'MPTO_working_2-way'!D2)</f>
        <v>2.1113430758524703</v>
      </c>
      <c r="G3" s="32">
        <f>IF(OR($A3="",$B3=""),"",'MPTO_working_2-way'!E2)</f>
        <v>1.8998121477770822</v>
      </c>
      <c r="H3" s="30">
        <f>IF(OR($A3="",$B3=""),"",'OddsRatio_working_2-way'!M2)</f>
        <v>2.1114378604524222</v>
      </c>
      <c r="I3" s="30">
        <f>IF(OR($A3="",$B3=""),"",'OddsRatio_working_2-way'!N2)</f>
        <v>1.8997354108424378</v>
      </c>
      <c r="J3" s="30">
        <f>IF('Log_working_2-way'!$D2="","",A3^('Log_working_2-way'!$D2))</f>
        <v>2.1129081281913611</v>
      </c>
      <c r="K3" s="32">
        <f>IF('Log_working_2-way'!$D2="","",B3^('Log_working_2-way'!$D2))</f>
        <v>1.8985467665018629</v>
      </c>
      <c r="L3" s="37">
        <f>(1/D3)</f>
        <v>0.47435897435897439</v>
      </c>
      <c r="M3" s="37">
        <f>(1/E3)</f>
        <v>0.52564102564102555</v>
      </c>
      <c r="N3" s="38">
        <v>100</v>
      </c>
      <c r="O3" s="38">
        <f>(1/A3)*((N3*A3)-N3)</f>
        <v>51.219512195121943</v>
      </c>
      <c r="P3" s="38">
        <f>(1/B3)*((N3*B3)-N3)</f>
        <v>45.945945945945937</v>
      </c>
      <c r="Q3" s="38">
        <f>(1/B3)*N3</f>
        <v>54.054054054054049</v>
      </c>
      <c r="R3" s="38">
        <f>(1/A3)*N3</f>
        <v>48.780487804878057</v>
      </c>
      <c r="S3" s="39">
        <f>O3-Q3</f>
        <v>-2.8345418589321056</v>
      </c>
      <c r="T3" s="39">
        <f>P3-R3</f>
        <v>-2.8345418589321199</v>
      </c>
      <c r="U3" t="s">
        <v>40</v>
      </c>
      <c r="V3" t="s">
        <v>45</v>
      </c>
      <c r="W3" t="s">
        <v>111</v>
      </c>
      <c r="X3" s="48" t="s">
        <v>128</v>
      </c>
      <c r="Y3" s="41"/>
    </row>
    <row r="4" spans="1:25" s="12" customFormat="1" ht="15" x14ac:dyDescent="0.25">
      <c r="A4">
        <v>2.0299999999999998</v>
      </c>
      <c r="B4">
        <v>1.86</v>
      </c>
      <c r="C4" s="29">
        <f t="shared" si="0"/>
        <v>3.0245246040574214E-2</v>
      </c>
      <c r="D4" s="30">
        <f>IF(OR($A4="",$B4=""),"",A4*'MPTO_working_2-way'!$G3)</f>
        <v>2.0913978494623655</v>
      </c>
      <c r="E4" s="32">
        <f>IF(OR($A4="",$B4=""),"",B4*'MPTO_working_2-way'!$G3)</f>
        <v>1.9162561576354682</v>
      </c>
      <c r="F4" s="30">
        <f>IF(OR($A4="",$B4=""),"",'MPTO_working_2-way'!D3)</f>
        <v>2.0942925287037548</v>
      </c>
      <c r="G4" s="32">
        <f>IF(OR($A4="",$B4=""),"",'MPTO_working_2-way'!E3)</f>
        <v>1.9138324294186226</v>
      </c>
      <c r="H4" s="30">
        <f>IF(OR($A4="",$B4=""),"",'OddsRatio_working_2-way'!M3)</f>
        <v>2.0943831224048783</v>
      </c>
      <c r="I4" s="30">
        <f>IF(OR($A4="",$B4=""),"",'OddsRatio_working_2-way'!N3)</f>
        <v>1.9137567818137824</v>
      </c>
      <c r="J4" s="30">
        <f>IF('Log_working_2-way'!$D3="","",A4^('Log_working_2-way'!$D3))</f>
        <v>2.0957003958101184</v>
      </c>
      <c r="K4" s="32">
        <f>IF('Log_working_2-way'!$D3="","",B4^('Log_working_2-way'!$D3))</f>
        <v>1.9126582447390832</v>
      </c>
      <c r="L4" s="37">
        <f t="shared" ref="L4" si="1">(1/D4)</f>
        <v>0.47814910025706941</v>
      </c>
      <c r="M4" s="37">
        <f t="shared" ref="M4" si="2">(1/E4)</f>
        <v>0.52185089974293053</v>
      </c>
      <c r="N4" s="38">
        <v>101</v>
      </c>
      <c r="O4" s="38">
        <f t="shared" ref="O4" si="3">(1/A4)*((N4*A4)-N4)</f>
        <v>51.246305418719203</v>
      </c>
      <c r="P4" s="38">
        <f t="shared" ref="P4" si="4">(1/B4)*((N4*B4)-N4)</f>
        <v>46.6989247311828</v>
      </c>
      <c r="Q4" s="38">
        <f t="shared" ref="Q4" si="5">(1/B4)*N4</f>
        <v>54.3010752688172</v>
      </c>
      <c r="R4" s="38">
        <f t="shared" ref="R4" si="6">(1/A4)*N4</f>
        <v>49.753694581280797</v>
      </c>
      <c r="S4" s="39">
        <f t="shared" ref="S4" si="7">O4-Q4</f>
        <v>-3.0547698500979976</v>
      </c>
      <c r="T4" s="39">
        <f t="shared" ref="T4" si="8">P4-R4</f>
        <v>-3.0547698500979976</v>
      </c>
      <c r="U4" t="s">
        <v>39</v>
      </c>
      <c r="V4" t="s">
        <v>41</v>
      </c>
      <c r="W4" t="s">
        <v>111</v>
      </c>
      <c r="X4" s="48" t="s">
        <v>128</v>
      </c>
      <c r="Y4" s="41"/>
    </row>
    <row r="5" spans="1:25" s="12" customFormat="1" ht="15" x14ac:dyDescent="0.25">
      <c r="A5">
        <v>2.2799999999999998</v>
      </c>
      <c r="B5">
        <v>1.68</v>
      </c>
      <c r="C5" s="29">
        <f t="shared" si="0"/>
        <v>3.383458646616555E-2</v>
      </c>
      <c r="D5" s="30">
        <f>IF(OR($A5="",$B5=""),"",A5*'MPTO_working_2-way'!$G4)</f>
        <v>2.3571428571428572</v>
      </c>
      <c r="E5" s="32">
        <f>IF(OR($A5="",$B5=""),"",B5*'MPTO_working_2-way'!$G4)</f>
        <v>1.736842105263158</v>
      </c>
      <c r="F5" s="30">
        <f>IF(OR($A5="",$B5=""),"",'MPTO_working_2-way'!D4)</f>
        <v>2.3714710252600297</v>
      </c>
      <c r="G5" s="32">
        <f>IF(OR($A5="",$B5=""),"",'MPTO_working_2-way'!E4)</f>
        <v>1.7291440953412784</v>
      </c>
      <c r="H5" s="30">
        <f>IF(OR($A5="",$B5=""),"",'OddsRatio_working_2-way'!M4)</f>
        <v>2.3719886811400706</v>
      </c>
      <c r="I5" s="30">
        <f>IF(OR($A5="",$B5=""),"",'OddsRatio_working_2-way'!N4)</f>
        <v>1.728868986855663</v>
      </c>
      <c r="J5" s="30">
        <f>IF('Log_working_2-way'!$D4="","",A5^('Log_working_2-way'!$D4))</f>
        <v>2.3786002597874161</v>
      </c>
      <c r="K5" s="32">
        <f>IF('Log_working_2-way'!$D4="","",B5^('Log_working_2-way'!$D4))</f>
        <v>1.7253734306956654</v>
      </c>
      <c r="L5" s="37">
        <f t="shared" ref="L5:L30" si="9">(1/D5)</f>
        <v>0.42424242424242425</v>
      </c>
      <c r="M5" s="37">
        <f t="shared" ref="M5:M30" si="10">(1/E5)</f>
        <v>0.57575757575757569</v>
      </c>
      <c r="N5" s="38">
        <v>102</v>
      </c>
      <c r="O5" s="38">
        <f t="shared" ref="O5:O30" si="11">(1/A5)*((N5*A5)-N5)</f>
        <v>57.263157894736835</v>
      </c>
      <c r="P5" s="38">
        <f t="shared" ref="P5:P30" si="12">(1/B5)*((N5*B5)-N5)</f>
        <v>41.285714285714278</v>
      </c>
      <c r="Q5" s="38">
        <f t="shared" ref="Q5:Q30" si="13">(1/B5)*N5</f>
        <v>60.714285714285715</v>
      </c>
      <c r="R5" s="38">
        <f t="shared" ref="R5:R30" si="14">(1/A5)*N5</f>
        <v>44.736842105263165</v>
      </c>
      <c r="S5" s="39">
        <f t="shared" ref="S5:S30" si="15">O5-Q5</f>
        <v>-3.4511278195488799</v>
      </c>
      <c r="T5" s="39">
        <f t="shared" ref="T5:T30" si="16">P5-R5</f>
        <v>-3.451127819548887</v>
      </c>
      <c r="U5" t="s">
        <v>50</v>
      </c>
      <c r="V5" t="s">
        <v>113</v>
      </c>
      <c r="W5" t="s">
        <v>111</v>
      </c>
      <c r="X5" s="48" t="s">
        <v>128</v>
      </c>
      <c r="Y5" s="41"/>
    </row>
    <row r="6" spans="1:25" s="12" customFormat="1" ht="15" x14ac:dyDescent="0.25">
      <c r="A6">
        <v>2.57</v>
      </c>
      <c r="B6">
        <v>1.55</v>
      </c>
      <c r="C6" s="29">
        <f t="shared" si="0"/>
        <v>3.4266348688339443E-2</v>
      </c>
      <c r="D6" s="30">
        <f>IF(OR($A6="",$B6=""),"",A6*'MPTO_working_2-way'!$G5)</f>
        <v>2.6580645161290324</v>
      </c>
      <c r="E6" s="32">
        <f>IF(OR($A6="",$B6=""),"",B6*'MPTO_working_2-way'!$G5)</f>
        <v>1.6031128404669261</v>
      </c>
      <c r="F6" s="30">
        <f>IF(OR($A6="",$B6=""),"",'MPTO_working_2-way'!D5)</f>
        <v>2.6883752319892018</v>
      </c>
      <c r="G6" s="32">
        <f>IF(OR($A6="",$B6=""),"",'MPTO_working_2-way'!E5)</f>
        <v>1.5922854002198461</v>
      </c>
      <c r="H6" s="30">
        <f>IF(OR($A6="",$B6=""),"",'OddsRatio_working_2-way'!M5)</f>
        <v>2.6895400127092146</v>
      </c>
      <c r="I6" s="30">
        <f>IF(OR($A6="",$B6=""),"",'OddsRatio_working_2-way'!N5)</f>
        <v>1.5918770745159672</v>
      </c>
      <c r="J6" s="30">
        <f>IF('Log_working_2-way'!$D5="","",A6^('Log_working_2-way'!$D5))</f>
        <v>2.7037432906322652</v>
      </c>
      <c r="K6" s="32">
        <f>IF('Log_working_2-way'!$D5="","",B6^('Log_working_2-way'!$D5))</f>
        <v>1.5869428836481319</v>
      </c>
      <c r="L6" s="37">
        <f t="shared" si="9"/>
        <v>0.37621359223300971</v>
      </c>
      <c r="M6" s="37">
        <f t="shared" si="10"/>
        <v>0.62378640776699024</v>
      </c>
      <c r="N6" s="38">
        <v>103</v>
      </c>
      <c r="O6" s="38">
        <f t="shared" si="11"/>
        <v>62.922178988326841</v>
      </c>
      <c r="P6" s="38">
        <f t="shared" si="12"/>
        <v>36.548387096774199</v>
      </c>
      <c r="Q6" s="38">
        <f t="shared" si="13"/>
        <v>66.451612903225808</v>
      </c>
      <c r="R6" s="38">
        <f t="shared" si="14"/>
        <v>40.077821011673151</v>
      </c>
      <c r="S6" s="39">
        <f t="shared" si="15"/>
        <v>-3.5294339148989664</v>
      </c>
      <c r="T6" s="39">
        <f t="shared" si="16"/>
        <v>-3.5294339148989522</v>
      </c>
      <c r="U6" t="s">
        <v>44</v>
      </c>
      <c r="V6" t="s">
        <v>42</v>
      </c>
      <c r="W6" t="s">
        <v>111</v>
      </c>
      <c r="X6" s="48" t="s">
        <v>128</v>
      </c>
      <c r="Y6" s="41"/>
    </row>
    <row r="7" spans="1:25" s="12" customFormat="1" ht="15" x14ac:dyDescent="0.25">
      <c r="A7">
        <v>2.37</v>
      </c>
      <c r="B7">
        <v>1.64</v>
      </c>
      <c r="C7" s="29">
        <f t="shared" si="0"/>
        <v>3.1697025831017633E-2</v>
      </c>
      <c r="D7" s="30">
        <f>IF(OR($A7="",$B7=""),"",A7*'MPTO_working_2-way'!$G6)</f>
        <v>2.4451219512195119</v>
      </c>
      <c r="E7" s="32">
        <f>IF(OR($A7="",$B7=""),"",B7*'MPTO_working_2-way'!$G6)</f>
        <v>1.6919831223628687</v>
      </c>
      <c r="F7" s="30">
        <f>IF(OR($A7="",$B7=""),"",'MPTO_working_2-way'!D6)</f>
        <v>2.4624936644703492</v>
      </c>
      <c r="G7" s="32">
        <f>IF(OR($A7="",$B7=""),"",'MPTO_working_2-way'!E6)</f>
        <v>1.6837636458152829</v>
      </c>
      <c r="H7" s="30">
        <f>IF(OR($A7="",$B7=""),"",'OddsRatio_working_2-way'!M6)</f>
        <v>2.4630874888399528</v>
      </c>
      <c r="I7" s="30">
        <f>IF(OR($A7="",$B7=""),"",'OddsRatio_working_2-way'!N6)</f>
        <v>1.6834861261734084</v>
      </c>
      <c r="J7" s="30">
        <f>IF('Log_working_2-way'!$D6="","",A7^('Log_working_2-way'!$D6))</f>
        <v>2.4711156795001918</v>
      </c>
      <c r="K7" s="32">
        <f>IF('Log_working_2-way'!$D6="","",B7^('Log_working_2-way'!$D6))</f>
        <v>1.6797561972418789</v>
      </c>
      <c r="L7" s="37">
        <f t="shared" si="9"/>
        <v>0.40897755610972575</v>
      </c>
      <c r="M7" s="37">
        <f t="shared" si="10"/>
        <v>0.59102244389027447</v>
      </c>
      <c r="N7" s="38">
        <v>104</v>
      </c>
      <c r="O7" s="38">
        <f t="shared" si="11"/>
        <v>60.118143459915615</v>
      </c>
      <c r="P7" s="38">
        <f t="shared" si="12"/>
        <v>40.585365853658537</v>
      </c>
      <c r="Q7" s="38">
        <f t="shared" si="13"/>
        <v>63.414634146341463</v>
      </c>
      <c r="R7" s="38">
        <f t="shared" si="14"/>
        <v>43.881856540084385</v>
      </c>
      <c r="S7" s="39">
        <f t="shared" si="15"/>
        <v>-3.2964906864258481</v>
      </c>
      <c r="T7" s="39">
        <f t="shared" si="16"/>
        <v>-3.2964906864258481</v>
      </c>
      <c r="U7" t="s">
        <v>54</v>
      </c>
      <c r="V7" t="s">
        <v>56</v>
      </c>
      <c r="W7" t="s">
        <v>111</v>
      </c>
      <c r="X7" s="48" t="s">
        <v>128</v>
      </c>
      <c r="Y7" s="41"/>
    </row>
    <row r="8" spans="1:25" ht="15" x14ac:dyDescent="0.25">
      <c r="A8">
        <v>1.93</v>
      </c>
      <c r="B8">
        <v>1.96</v>
      </c>
      <c r="C8" s="29">
        <f t="shared" si="0"/>
        <v>2.8338796658559762E-2</v>
      </c>
      <c r="D8" s="30">
        <f>IF(OR($A8="",$B8=""),"",A8*'MPTO_working_2-way'!$G7)</f>
        <v>1.9846938775510203</v>
      </c>
      <c r="E8" s="32">
        <f>IF(OR($A8="",$B8=""),"",B8*'MPTO_working_2-way'!$G7)</f>
        <v>2.0155440414507773</v>
      </c>
      <c r="F8" s="30">
        <f>IF(OR($A8="",$B8=""),"",'MPTO_working_2-way'!D7)</f>
        <v>1.9842635333613092</v>
      </c>
      <c r="G8" s="32">
        <f>IF(OR($A8="",$B8=""),"",'MPTO_working_2-way'!E7)</f>
        <v>2.0159880622468553</v>
      </c>
      <c r="H8" s="30">
        <f>IF(OR($A8="",$B8=""),"",'OddsRatio_working_2-way'!M7)</f>
        <v>1.9842509842514759</v>
      </c>
      <c r="I8" s="30">
        <f>IF(OR($A8="",$B8=""),"",'OddsRatio_working_2-way'!N7)</f>
        <v>2.0160010160015238</v>
      </c>
      <c r="J8" s="30">
        <f>IF('Log_working_2-way'!$D7="","",A8^('Log_working_2-way'!$D7))</f>
        <v>1.9840560014719333</v>
      </c>
      <c r="K8" s="32">
        <f>IF('Log_working_2-way'!$D7="","",B8^('Log_working_2-way'!$D7))</f>
        <v>2.0162023284286739</v>
      </c>
      <c r="L8" s="37">
        <f t="shared" si="9"/>
        <v>0.50385604113110538</v>
      </c>
      <c r="M8" s="37">
        <f t="shared" si="10"/>
        <v>0.49614395886889456</v>
      </c>
      <c r="N8" s="38">
        <v>105</v>
      </c>
      <c r="O8" s="38">
        <f t="shared" si="11"/>
        <v>50.595854922279806</v>
      </c>
      <c r="P8" s="38">
        <f t="shared" si="12"/>
        <v>51.428571428571423</v>
      </c>
      <c r="Q8" s="38">
        <f t="shared" si="13"/>
        <v>53.571428571428569</v>
      </c>
      <c r="R8" s="38">
        <f t="shared" si="14"/>
        <v>54.404145077720216</v>
      </c>
      <c r="S8" s="39">
        <f t="shared" si="15"/>
        <v>-2.9755736491487639</v>
      </c>
      <c r="T8" s="39">
        <f t="shared" si="16"/>
        <v>-2.9755736491487923</v>
      </c>
      <c r="U8" t="s">
        <v>52</v>
      </c>
      <c r="V8" t="s">
        <v>47</v>
      </c>
      <c r="W8" t="s">
        <v>111</v>
      </c>
      <c r="X8" s="48" t="s">
        <v>128</v>
      </c>
      <c r="Y8" s="41"/>
    </row>
    <row r="9" spans="1:25" ht="15" x14ac:dyDescent="0.25">
      <c r="A9">
        <v>2.19</v>
      </c>
      <c r="B9">
        <v>1.72</v>
      </c>
      <c r="C9" s="29">
        <f t="shared" si="0"/>
        <v>3.8016353403419467E-2</v>
      </c>
      <c r="D9" s="30">
        <f>IF(OR($A9="",$B9=""),"",A9*'MPTO_working_2-way'!$G8)</f>
        <v>2.2732558139534884</v>
      </c>
      <c r="E9" s="32">
        <f>IF(OR($A9="",$B9=""),"",B9*'MPTO_working_2-way'!$G8)</f>
        <v>1.7853881278538815</v>
      </c>
      <c r="F9" s="30">
        <f>IF(OR($A9="",$B9=""),"",'MPTO_working_2-way'!D8)</f>
        <v>2.2851249696675566</v>
      </c>
      <c r="G9" s="32">
        <f>IF(OR($A9="",$B9=""),"",'MPTO_working_2-way'!E8)</f>
        <v>1.7781344410876134</v>
      </c>
      <c r="H9" s="30">
        <f>IF(OR($A9="",$B9=""),"",'OddsRatio_working_2-way'!M8)</f>
        <v>2.2856040517117928</v>
      </c>
      <c r="I9" s="30">
        <f>IF(OR($A9="",$B9=""),"",'OddsRatio_working_2-way'!N8)</f>
        <v>1.7778444682625973</v>
      </c>
      <c r="J9" s="30">
        <f>IF('Log_working_2-way'!$D8="","",A9^('Log_working_2-way'!$D8))</f>
        <v>2.291085448482058</v>
      </c>
      <c r="K9" s="32">
        <f>IF('Log_working_2-way'!$D8="","",B9^('Log_working_2-way'!$D8))</f>
        <v>1.7745420732419892</v>
      </c>
      <c r="L9" s="37">
        <f t="shared" si="9"/>
        <v>0.43989769820971864</v>
      </c>
      <c r="M9" s="37">
        <f t="shared" si="10"/>
        <v>0.56010230179028131</v>
      </c>
      <c r="N9" s="38">
        <v>106</v>
      </c>
      <c r="O9" s="38">
        <f t="shared" si="11"/>
        <v>57.598173515981735</v>
      </c>
      <c r="P9" s="38">
        <f t="shared" si="12"/>
        <v>44.372093023255815</v>
      </c>
      <c r="Q9" s="38">
        <f t="shared" si="13"/>
        <v>61.627906976744192</v>
      </c>
      <c r="R9" s="38">
        <f t="shared" si="14"/>
        <v>48.401826484018265</v>
      </c>
      <c r="S9" s="39">
        <f t="shared" si="15"/>
        <v>-4.0297334607624578</v>
      </c>
      <c r="T9" s="39">
        <f t="shared" si="16"/>
        <v>-4.0297334607624506</v>
      </c>
      <c r="U9" t="s">
        <v>114</v>
      </c>
      <c r="V9" t="s">
        <v>115</v>
      </c>
      <c r="W9" t="s">
        <v>112</v>
      </c>
      <c r="X9" s="48" t="s">
        <v>128</v>
      </c>
      <c r="Y9" s="41"/>
    </row>
    <row r="10" spans="1:25" ht="14.25" customHeight="1" x14ac:dyDescent="0.25">
      <c r="A10">
        <v>2.13</v>
      </c>
      <c r="B10">
        <v>1.76</v>
      </c>
      <c r="C10" s="29">
        <f t="shared" si="0"/>
        <v>3.7665386256935607E-2</v>
      </c>
      <c r="D10" s="30">
        <f>IF(OR($A10="",$B10=""),"",A10*'MPTO_working_2-way'!$G9)</f>
        <v>2.2102272727272729</v>
      </c>
      <c r="E10" s="32">
        <f>IF(OR($A10="",$B10=""),"",B10*'MPTO_working_2-way'!$G9)</f>
        <v>1.8262910798122067</v>
      </c>
      <c r="F10" s="30">
        <f>IF(OR($A10="",$B10=""),"",'MPTO_working_2-way'!D9)</f>
        <v>2.2190126672191313</v>
      </c>
      <c r="G10" s="32">
        <f>IF(OR($A10="",$B10=""),"",'MPTO_working_2-way'!E9)</f>
        <v>1.8203360202000585</v>
      </c>
      <c r="H10" s="30">
        <f>IF(OR($A10="",$B10=""),"",'OddsRatio_working_2-way'!M9)</f>
        <v>2.2193613513897996</v>
      </c>
      <c r="I10" s="30">
        <f>IF(OR($A10="",$B10=""),"",'OddsRatio_working_2-way'!N9)</f>
        <v>1.8201014398727853</v>
      </c>
      <c r="J10" s="30">
        <f>IF('Log_working_2-way'!$D9="","",A10^('Log_working_2-way'!$D9))</f>
        <v>2.2234058151600675</v>
      </c>
      <c r="K10" s="32">
        <f>IF('Log_working_2-way'!$D9="","",B10^('Log_working_2-way'!$D9))</f>
        <v>1.8173902621748135</v>
      </c>
      <c r="L10" s="37">
        <f t="shared" si="9"/>
        <v>0.45244215938303339</v>
      </c>
      <c r="M10" s="37">
        <f t="shared" si="10"/>
        <v>0.54755784061696655</v>
      </c>
      <c r="N10" s="38">
        <v>107</v>
      </c>
      <c r="O10" s="38">
        <f t="shared" si="11"/>
        <v>56.76525821596244</v>
      </c>
      <c r="P10" s="38">
        <f t="shared" si="12"/>
        <v>46.204545454545453</v>
      </c>
      <c r="Q10" s="38">
        <f t="shared" si="13"/>
        <v>60.795454545454554</v>
      </c>
      <c r="R10" s="38">
        <f t="shared" si="14"/>
        <v>50.23474178403756</v>
      </c>
      <c r="S10" s="39">
        <f t="shared" si="15"/>
        <v>-4.0301963294921137</v>
      </c>
      <c r="T10" s="39">
        <f t="shared" si="16"/>
        <v>-4.0301963294921066</v>
      </c>
      <c r="U10" t="s">
        <v>108</v>
      </c>
      <c r="V10" t="s">
        <v>96</v>
      </c>
      <c r="W10" t="s">
        <v>112</v>
      </c>
      <c r="X10" s="48" t="s">
        <v>128</v>
      </c>
      <c r="Y10" s="41"/>
    </row>
    <row r="11" spans="1:25" ht="15" x14ac:dyDescent="0.25">
      <c r="A11">
        <v>1.96</v>
      </c>
      <c r="B11">
        <v>1.9</v>
      </c>
      <c r="C11" s="29">
        <f t="shared" si="0"/>
        <v>3.6519871106337254E-2</v>
      </c>
      <c r="D11" s="30">
        <f>IF(OR($A11="",$B11=""),"",A11*'MPTO_working_2-way'!$G10)</f>
        <v>2.0315789473684212</v>
      </c>
      <c r="E11" s="32">
        <f>IF(OR($A11="",$B11=""),"",B11*'MPTO_working_2-way'!$G10)</f>
        <v>1.9693877551020407</v>
      </c>
      <c r="F11" s="30">
        <f>IF(OR($A11="",$B11=""),"",'MPTO_working_2-way'!D10)</f>
        <v>2.0327510917030565</v>
      </c>
      <c r="G11" s="32">
        <f>IF(OR($A11="",$B11=""),"",'MPTO_working_2-way'!E10)</f>
        <v>1.9682875264270612</v>
      </c>
      <c r="H11" s="30">
        <f>IF(OR($A11="",$B11=""),"",'OddsRatio_working_2-way'!M10)</f>
        <v>2.0327955589886439</v>
      </c>
      <c r="I11" s="30">
        <f>IF(OR($A11="",$B11=""),"",'OddsRatio_working_2-way'!N10)</f>
        <v>1.9682458365518538</v>
      </c>
      <c r="J11" s="30">
        <f>IF('Log_working_2-way'!$D10="","",A11^('Log_working_2-way'!$D10))</f>
        <v>2.033331019340773</v>
      </c>
      <c r="K11" s="32">
        <f>IF('Log_working_2-way'!$D10="","",B11^('Log_working_2-way'!$D10))</f>
        <v>1.9677441025992628</v>
      </c>
      <c r="L11" s="37">
        <f t="shared" si="9"/>
        <v>0.49222797927461137</v>
      </c>
      <c r="M11" s="37">
        <f t="shared" si="10"/>
        <v>0.50777202072538863</v>
      </c>
      <c r="N11" s="38">
        <v>108</v>
      </c>
      <c r="O11" s="38">
        <f t="shared" si="11"/>
        <v>52.897959183673471</v>
      </c>
      <c r="P11" s="38">
        <f t="shared" si="12"/>
        <v>51.157894736842096</v>
      </c>
      <c r="Q11" s="38">
        <f t="shared" si="13"/>
        <v>56.84210526315789</v>
      </c>
      <c r="R11" s="38">
        <f t="shared" si="14"/>
        <v>55.102040816326529</v>
      </c>
      <c r="S11" s="39">
        <f t="shared" si="15"/>
        <v>-3.944146079484419</v>
      </c>
      <c r="T11" s="39">
        <f t="shared" si="16"/>
        <v>-3.9441460794844332</v>
      </c>
      <c r="U11" t="s">
        <v>35</v>
      </c>
      <c r="V11" t="s">
        <v>107</v>
      </c>
      <c r="W11" t="s">
        <v>112</v>
      </c>
      <c r="X11" s="48" t="s">
        <v>128</v>
      </c>
      <c r="Y11" s="41"/>
    </row>
    <row r="12" spans="1:25" ht="15" x14ac:dyDescent="0.25">
      <c r="A12">
        <v>2.16</v>
      </c>
      <c r="B12">
        <v>1.74</v>
      </c>
      <c r="C12" s="29">
        <f t="shared" si="0"/>
        <v>3.7675606641123682E-2</v>
      </c>
      <c r="D12" s="30">
        <f>IF(OR($A12="",$B12=""),"",A12*'MPTO_working_2-way'!$G11)</f>
        <v>2.2413793103448274</v>
      </c>
      <c r="E12" s="32">
        <f>IF(OR($A12="",$B12=""),"",B12*'MPTO_working_2-way'!$G11)</f>
        <v>1.8055555555555551</v>
      </c>
      <c r="F12" s="30">
        <f>IF(OR($A12="",$B12=""),"",'MPTO_working_2-way'!D11)</f>
        <v>2.2516175413371671</v>
      </c>
      <c r="G12" s="32">
        <f>IF(OR($A12="",$B12=""),"",'MPTO_working_2-way'!E11)</f>
        <v>1.7989661114302122</v>
      </c>
      <c r="H12" s="30">
        <f>IF(OR($A12="",$B12=""),"",'OddsRatio_working_2-way'!M11)</f>
        <v>2.2520253861514017</v>
      </c>
      <c r="I12" s="30">
        <f>IF(OR($A12="",$B12=""),"",'OddsRatio_working_2-way'!N11)</f>
        <v>1.7987058497862392</v>
      </c>
      <c r="J12" s="30">
        <f>IF('Log_working_2-way'!$D11="","",A12^('Log_working_2-way'!$D11))</f>
        <v>2.2567451068476951</v>
      </c>
      <c r="K12" s="32">
        <f>IF('Log_working_2-way'!$D11="","",B12^('Log_working_2-way'!$D11))</f>
        <v>1.7957063007853538</v>
      </c>
      <c r="L12" s="37">
        <f t="shared" si="9"/>
        <v>0.44615384615384618</v>
      </c>
      <c r="M12" s="37">
        <f t="shared" si="10"/>
        <v>0.55384615384615399</v>
      </c>
      <c r="N12" s="38">
        <v>109</v>
      </c>
      <c r="O12" s="38">
        <f t="shared" si="11"/>
        <v>58.537037037037045</v>
      </c>
      <c r="P12" s="38">
        <f t="shared" si="12"/>
        <v>46.356321839080458</v>
      </c>
      <c r="Q12" s="38">
        <f t="shared" si="13"/>
        <v>62.643678160919535</v>
      </c>
      <c r="R12" s="38">
        <f t="shared" si="14"/>
        <v>50.462962962962955</v>
      </c>
      <c r="S12" s="39">
        <f t="shared" si="15"/>
        <v>-4.1066411238824898</v>
      </c>
      <c r="T12" s="39">
        <f t="shared" si="16"/>
        <v>-4.1066411238824969</v>
      </c>
      <c r="U12" t="s">
        <v>99</v>
      </c>
      <c r="V12" t="s">
        <v>101</v>
      </c>
      <c r="W12" t="s">
        <v>112</v>
      </c>
      <c r="X12" s="48" t="s">
        <v>128</v>
      </c>
      <c r="Y12" s="41"/>
    </row>
    <row r="13" spans="1:25" ht="15" x14ac:dyDescent="0.25">
      <c r="A13">
        <v>1.96</v>
      </c>
      <c r="B13">
        <v>1.91</v>
      </c>
      <c r="C13" s="29">
        <f t="shared" si="0"/>
        <v>3.3764291056736839E-2</v>
      </c>
      <c r="D13" s="30">
        <f>IF(OR($A13="",$B13=""),"",A13*'MPTO_working_2-way'!$G12)</f>
        <v>2.0261780104712042</v>
      </c>
      <c r="E13" s="32">
        <f>IF(OR($A13="",$B13=""),"",B13*'MPTO_working_2-way'!$G12)</f>
        <v>1.9744897959183674</v>
      </c>
      <c r="F13" s="30">
        <f>IF(OR($A13="",$B13=""),"",'MPTO_working_2-way'!D12)</f>
        <v>2.0270738574832143</v>
      </c>
      <c r="G13" s="32">
        <f>IF(OR($A13="",$B13=""),"",'MPTO_working_2-way'!E12)</f>
        <v>1.9736398144242935</v>
      </c>
      <c r="H13" s="30">
        <f>IF(OR($A13="",$B13=""),"",'OddsRatio_working_2-way'!M12)</f>
        <v>2.0271051820261912</v>
      </c>
      <c r="I13" s="30">
        <f>IF(OR($A13="",$B13=""),"",'OddsRatio_working_2-way'!N12)</f>
        <v>1.9736101204623264</v>
      </c>
      <c r="J13" s="30">
        <f>IF('Log_working_2-way'!$D12="","",A13^('Log_working_2-way'!$D12))</f>
        <v>2.0275133700590602</v>
      </c>
      <c r="K13" s="32">
        <f>IF('Log_working_2-way'!$D12="","",B13^('Log_working_2-way'!$D12))</f>
        <v>1.9732233459331785</v>
      </c>
      <c r="L13" s="37">
        <f t="shared" si="9"/>
        <v>0.49354005167958659</v>
      </c>
      <c r="M13" s="37">
        <f t="shared" si="10"/>
        <v>0.50645994832041341</v>
      </c>
      <c r="N13" s="38">
        <v>110</v>
      </c>
      <c r="O13" s="38">
        <f t="shared" si="11"/>
        <v>53.877551020408163</v>
      </c>
      <c r="P13" s="38">
        <f t="shared" si="12"/>
        <v>52.408376963350783</v>
      </c>
      <c r="Q13" s="38">
        <f t="shared" si="13"/>
        <v>57.591623036649217</v>
      </c>
      <c r="R13" s="38">
        <f t="shared" si="14"/>
        <v>56.122448979591837</v>
      </c>
      <c r="S13" s="39">
        <f t="shared" si="15"/>
        <v>-3.7140720162410545</v>
      </c>
      <c r="T13" s="39">
        <f t="shared" si="16"/>
        <v>-3.7140720162410545</v>
      </c>
      <c r="U13" t="s">
        <v>98</v>
      </c>
      <c r="V13" t="s">
        <v>102</v>
      </c>
      <c r="W13" t="s">
        <v>112</v>
      </c>
      <c r="X13" s="48" t="s">
        <v>128</v>
      </c>
      <c r="Y13" s="41"/>
    </row>
    <row r="14" spans="1:25" s="35" customFormat="1" ht="15" x14ac:dyDescent="0.25">
      <c r="A14">
        <v>1.93</v>
      </c>
      <c r="B14">
        <v>1.94</v>
      </c>
      <c r="C14" s="29">
        <f t="shared" si="0"/>
        <v>3.3598632551679941E-2</v>
      </c>
      <c r="D14" s="30">
        <f>IF(OR($A14="",$B14=""),"",A14*'MPTO_working_2-way'!$G13)</f>
        <v>1.9948453608247423</v>
      </c>
      <c r="E14" s="32">
        <f>IF(OR($A14="",$B14=""),"",B14*'MPTO_working_2-way'!$G13)</f>
        <v>2.0051813471502591</v>
      </c>
      <c r="F14" s="30">
        <f>IF(OR($A14="",$B14=""),"",'MPTO_working_2-way'!D13)</f>
        <v>1.9946726333173512</v>
      </c>
      <c r="G14" s="32">
        <f>IF(OR($A14="",$B14=""),"",'MPTO_working_2-way'!E13)</f>
        <v>2.0053558995233249</v>
      </c>
      <c r="H14" s="30">
        <f>IF(OR($A14="",$B14=""),"",'OddsRatio_working_2-way'!M13)</f>
        <v>1.9946666286387909</v>
      </c>
      <c r="I14" s="30">
        <f>IF(OR($A14="",$B14=""),"",'OddsRatio_working_2-way'!N13)</f>
        <v>2.0053619687316817</v>
      </c>
      <c r="J14" s="30">
        <f>IF('Log_working_2-way'!$D13="","",A14^('Log_working_2-way'!$D13))</f>
        <v>1.9945880029745278</v>
      </c>
      <c r="K14" s="32">
        <f>IF('Log_working_2-way'!$D13="","",B14^('Log_working_2-way'!$D13))</f>
        <v>2.0054414461156225</v>
      </c>
      <c r="L14" s="37">
        <f t="shared" si="9"/>
        <v>0.50129198966408273</v>
      </c>
      <c r="M14" s="37">
        <f t="shared" si="10"/>
        <v>0.49870801033591733</v>
      </c>
      <c r="N14" s="38">
        <v>111</v>
      </c>
      <c r="O14" s="38">
        <f t="shared" si="11"/>
        <v>53.487046632124354</v>
      </c>
      <c r="P14" s="38">
        <f t="shared" si="12"/>
        <v>53.78350515463918</v>
      </c>
      <c r="Q14" s="38">
        <f t="shared" si="13"/>
        <v>57.216494845360828</v>
      </c>
      <c r="R14" s="38">
        <f t="shared" si="14"/>
        <v>57.512953367875653</v>
      </c>
      <c r="S14" s="39">
        <f t="shared" si="15"/>
        <v>-3.7294482132364735</v>
      </c>
      <c r="T14" s="39">
        <f t="shared" si="16"/>
        <v>-3.7294482132364735</v>
      </c>
      <c r="U14" t="s">
        <v>110</v>
      </c>
      <c r="V14" t="s">
        <v>100</v>
      </c>
      <c r="W14" t="s">
        <v>112</v>
      </c>
      <c r="X14" s="48" t="s">
        <v>128</v>
      </c>
      <c r="Y14" s="41"/>
    </row>
    <row r="15" spans="1:25" ht="15" x14ac:dyDescent="0.25">
      <c r="A15">
        <v>1.74</v>
      </c>
      <c r="B15">
        <v>2.16</v>
      </c>
      <c r="C15" s="29">
        <f t="shared" si="0"/>
        <v>3.7675606641123682E-2</v>
      </c>
      <c r="D15" s="30">
        <f>IF(OR($A15="",$B15=""),"",A15*'MPTO_working_2-way'!$G14)</f>
        <v>1.8055555555555551</v>
      </c>
      <c r="E15" s="32">
        <f>IF(OR($A15="",$B15=""),"",B15*'MPTO_working_2-way'!$G14)</f>
        <v>2.2413793103448274</v>
      </c>
      <c r="F15" s="30">
        <f>IF(OR($A15="",$B15=""),"",'MPTO_working_2-way'!D14)</f>
        <v>1.7989661114302122</v>
      </c>
      <c r="G15" s="32">
        <f>IF(OR($A15="",$B15=""),"",'MPTO_working_2-way'!E14)</f>
        <v>2.2516175413371671</v>
      </c>
      <c r="H15" s="30">
        <f>IF(OR($A15="",$B15=""),"",'OddsRatio_working_2-way'!M14)</f>
        <v>1.7987058497862392</v>
      </c>
      <c r="I15" s="30">
        <f>IF(OR($A15="",$B15=""),"",'OddsRatio_working_2-way'!N14)</f>
        <v>2.2520253861514017</v>
      </c>
      <c r="J15" s="30">
        <f>IF('Log_working_2-way'!$D14="","",A15^('Log_working_2-way'!$D14))</f>
        <v>1.7957063007853538</v>
      </c>
      <c r="K15" s="32">
        <f>IF('Log_working_2-way'!$D14="","",B15^('Log_working_2-way'!$D14))</f>
        <v>2.2567451068476951</v>
      </c>
      <c r="L15" s="37">
        <f t="shared" si="9"/>
        <v>0.55384615384615399</v>
      </c>
      <c r="M15" s="37">
        <f t="shared" si="10"/>
        <v>0.44615384615384618</v>
      </c>
      <c r="N15" s="38">
        <v>112</v>
      </c>
      <c r="O15" s="38">
        <f t="shared" si="11"/>
        <v>47.632183908045974</v>
      </c>
      <c r="P15" s="38">
        <f t="shared" si="12"/>
        <v>60.148148148148145</v>
      </c>
      <c r="Q15" s="38">
        <f t="shared" si="13"/>
        <v>51.851851851851848</v>
      </c>
      <c r="R15" s="38">
        <f t="shared" si="14"/>
        <v>64.367816091954012</v>
      </c>
      <c r="S15" s="39">
        <f t="shared" si="15"/>
        <v>-4.2196679438058737</v>
      </c>
      <c r="T15" s="39">
        <f t="shared" si="16"/>
        <v>-4.2196679438058666</v>
      </c>
      <c r="U15" t="s">
        <v>116</v>
      </c>
      <c r="V15" t="s">
        <v>104</v>
      </c>
      <c r="W15" t="s">
        <v>112</v>
      </c>
      <c r="X15" s="48" t="s">
        <v>128</v>
      </c>
      <c r="Y15" s="41"/>
    </row>
    <row r="16" spans="1:25" ht="15" x14ac:dyDescent="0.25">
      <c r="A16">
        <v>1.88</v>
      </c>
      <c r="B16">
        <v>1.99</v>
      </c>
      <c r="C16" s="29">
        <f t="shared" si="0"/>
        <v>3.4427456431091574E-2</v>
      </c>
      <c r="D16" s="30">
        <f>IF(OR($A16="",$B16=""),"",A16*'MPTO_working_2-way'!$G15)</f>
        <v>1.9447236180904521</v>
      </c>
      <c r="E16" s="32">
        <f>IF(OR($A16="",$B16=""),"",B16*'MPTO_working_2-way'!$G15)</f>
        <v>2.0585106382978724</v>
      </c>
      <c r="F16" s="30">
        <f>IF(OR($A16="",$B16=""),"",'MPTO_working_2-way'!D15)</f>
        <v>1.9428749480681344</v>
      </c>
      <c r="G16" s="32">
        <f>IF(OR($A16="",$B16=""),"",'MPTO_working_2-way'!E15)</f>
        <v>2.0605860321656753</v>
      </c>
      <c r="H16" s="30">
        <f>IF(OR($A16="",$B16=""),"",'OddsRatio_working_2-way'!M15)</f>
        <v>1.9428090415820634</v>
      </c>
      <c r="I16" s="30">
        <f>IF(OR($A16="",$B16=""),"",'OddsRatio_working_2-way'!N15)</f>
        <v>2.0606601717798219</v>
      </c>
      <c r="J16" s="30">
        <f>IF('Log_working_2-way'!$D15="","",A16^('Log_working_2-way'!$D15))</f>
        <v>1.9419679246135251</v>
      </c>
      <c r="K16" s="32">
        <f>IF('Log_working_2-way'!$D15="","",B16^('Log_working_2-way'!$D15))</f>
        <v>2.0616072733158419</v>
      </c>
      <c r="L16" s="37">
        <f t="shared" si="9"/>
        <v>0.51421188630490955</v>
      </c>
      <c r="M16" s="37">
        <f t="shared" si="10"/>
        <v>0.48578811369509045</v>
      </c>
      <c r="N16" s="38">
        <v>113</v>
      </c>
      <c r="O16" s="38">
        <f t="shared" si="11"/>
        <v>52.89361702127659</v>
      </c>
      <c r="P16" s="38">
        <f t="shared" si="12"/>
        <v>56.21608040201005</v>
      </c>
      <c r="Q16" s="38">
        <f t="shared" si="13"/>
        <v>56.783919597989943</v>
      </c>
      <c r="R16" s="38">
        <f t="shared" si="14"/>
        <v>60.106382978723403</v>
      </c>
      <c r="S16" s="39">
        <f t="shared" si="15"/>
        <v>-3.8903025767133528</v>
      </c>
      <c r="T16" s="39">
        <f t="shared" si="16"/>
        <v>-3.8903025767133528</v>
      </c>
      <c r="U16" t="s">
        <v>103</v>
      </c>
      <c r="V16" t="s">
        <v>117</v>
      </c>
      <c r="W16" t="s">
        <v>112</v>
      </c>
      <c r="X16" s="48" t="s">
        <v>128</v>
      </c>
      <c r="Y16" s="41"/>
    </row>
    <row r="17" spans="1:25" ht="15" x14ac:dyDescent="0.25">
      <c r="A17">
        <v>1.92</v>
      </c>
      <c r="B17">
        <v>1.95</v>
      </c>
      <c r="C17" s="29">
        <f t="shared" si="0"/>
        <v>3.3653846153846256E-2</v>
      </c>
      <c r="D17" s="30">
        <f>IF(OR($A17="",$B17=""),"",A17*'MPTO_working_2-way'!$G16)</f>
        <v>1.9846153846153847</v>
      </c>
      <c r="E17" s="32">
        <f>IF(OR($A17="",$B17=""),"",B17*'MPTO_working_2-way'!$G16)</f>
        <v>2.015625</v>
      </c>
      <c r="F17" s="30">
        <f>IF(OR($A17="",$B17=""),"",'MPTO_working_2-way'!D16)</f>
        <v>1.9841017488076311</v>
      </c>
      <c r="G17" s="32">
        <f>IF(OR($A17="",$B17=""),"",'MPTO_working_2-way'!E16)</f>
        <v>2.0161550888529889</v>
      </c>
      <c r="H17" s="30">
        <f>IF(OR($A17="",$B17=""),"",'OddsRatio_working_2-way'!M16)</f>
        <v>1.9840838646332837</v>
      </c>
      <c r="I17" s="30">
        <f>IF(OR($A17="",$B17=""),"",'OddsRatio_working_2-way'!N16)</f>
        <v>2.0161735558713256</v>
      </c>
      <c r="J17" s="30">
        <f>IF('Log_working_2-way'!$D16="","",A17^('Log_working_2-way'!$D16))</f>
        <v>1.9838501055423525</v>
      </c>
      <c r="K17" s="32">
        <f>IF('Log_working_2-way'!$D16="","",B17^('Log_working_2-way'!$D16))</f>
        <v>2.0164149948926431</v>
      </c>
      <c r="L17" s="37">
        <f t="shared" si="9"/>
        <v>0.50387596899224807</v>
      </c>
      <c r="M17" s="37">
        <f t="shared" si="10"/>
        <v>0.49612403100775193</v>
      </c>
      <c r="N17" s="38">
        <v>114</v>
      </c>
      <c r="O17" s="38">
        <f t="shared" si="11"/>
        <v>54.625</v>
      </c>
      <c r="P17" s="38">
        <f t="shared" si="12"/>
        <v>55.53846153846154</v>
      </c>
      <c r="Q17" s="38">
        <f t="shared" si="13"/>
        <v>58.461538461538467</v>
      </c>
      <c r="R17" s="38">
        <f t="shared" si="14"/>
        <v>59.375000000000007</v>
      </c>
      <c r="S17" s="39">
        <f t="shared" si="15"/>
        <v>-3.836538461538467</v>
      </c>
      <c r="T17" s="39">
        <f t="shared" si="16"/>
        <v>-3.836538461538467</v>
      </c>
      <c r="U17" t="s">
        <v>94</v>
      </c>
      <c r="V17" t="s">
        <v>97</v>
      </c>
      <c r="W17" t="s">
        <v>112</v>
      </c>
      <c r="X17" s="48" t="s">
        <v>128</v>
      </c>
      <c r="Y17" s="41"/>
    </row>
    <row r="18" spans="1:25" ht="15" x14ac:dyDescent="0.25">
      <c r="A18">
        <v>2.39</v>
      </c>
      <c r="B18">
        <v>1.61</v>
      </c>
      <c r="C18" s="29">
        <f t="shared" si="0"/>
        <v>3.9528054263364254E-2</v>
      </c>
      <c r="D18" s="30">
        <f>IF(OR($A18="",$B18=""),"",A18*'MPTO_working_2-way'!$G17)</f>
        <v>2.4844720496894408</v>
      </c>
      <c r="E18" s="32">
        <f>IF(OR($A18="",$B18=""),"",B18*'MPTO_working_2-way'!$G17)</f>
        <v>1.6736401673640164</v>
      </c>
      <c r="F18" s="30">
        <f>IF(OR($A18="",$B18=""),"",'MPTO_working_2-way'!D17)</f>
        <v>2.5084911502982492</v>
      </c>
      <c r="G18" s="32">
        <f>IF(OR($A18="",$B18=""),"",'MPTO_working_2-way'!E17)</f>
        <v>1.6629140646945697</v>
      </c>
      <c r="H18" s="30">
        <f>IF(OR($A18="",$B18=""),"",'OddsRatio_working_2-way'!M17)</f>
        <v>2.5095325516828586</v>
      </c>
      <c r="I18" s="30">
        <f>IF(OR($A18="",$B18=""),"",'OddsRatio_working_2-way'!N17)</f>
        <v>1.6624567313140606</v>
      </c>
      <c r="J18" s="30">
        <f>IF('Log_working_2-way'!$D17="","",A18^('Log_working_2-way'!$D17))</f>
        <v>2.5207624560048121</v>
      </c>
      <c r="K18" s="32">
        <f>IF('Log_working_2-way'!$D17="","",B18^('Log_working_2-way'!$D17))</f>
        <v>1.6575648919074468</v>
      </c>
      <c r="L18" s="37">
        <f t="shared" si="9"/>
        <v>0.40250000000000002</v>
      </c>
      <c r="M18" s="37">
        <f t="shared" si="10"/>
        <v>0.59750000000000014</v>
      </c>
      <c r="N18" s="38">
        <v>115</v>
      </c>
      <c r="O18" s="38">
        <f t="shared" si="11"/>
        <v>66.88284518828452</v>
      </c>
      <c r="P18" s="38">
        <f t="shared" si="12"/>
        <v>43.571428571428569</v>
      </c>
      <c r="Q18" s="38">
        <f t="shared" si="13"/>
        <v>71.428571428571416</v>
      </c>
      <c r="R18" s="38">
        <f t="shared" si="14"/>
        <v>48.11715481171548</v>
      </c>
      <c r="S18" s="39">
        <f t="shared" si="15"/>
        <v>-4.5457262402868963</v>
      </c>
      <c r="T18" s="39">
        <f t="shared" si="16"/>
        <v>-4.5457262402869105</v>
      </c>
      <c r="U18" t="s">
        <v>105</v>
      </c>
      <c r="V18" t="s">
        <v>92</v>
      </c>
      <c r="W18" t="s">
        <v>112</v>
      </c>
      <c r="X18" s="48" t="s">
        <v>128</v>
      </c>
      <c r="Y18" s="41"/>
    </row>
    <row r="19" spans="1:25" ht="15" x14ac:dyDescent="0.25">
      <c r="A19">
        <v>1.93</v>
      </c>
      <c r="B19">
        <v>1.94</v>
      </c>
      <c r="C19" s="29">
        <f t="shared" si="0"/>
        <v>3.3598632551679941E-2</v>
      </c>
      <c r="D19" s="30">
        <f>IF(OR($A19="",$B19=""),"",A19*'MPTO_working_2-way'!$G18)</f>
        <v>1.9948453608247423</v>
      </c>
      <c r="E19" s="32">
        <f>IF(OR($A19="",$B19=""),"",B19*'MPTO_working_2-way'!$G18)</f>
        <v>2.0051813471502591</v>
      </c>
      <c r="F19" s="30">
        <f>IF(OR($A19="",$B19=""),"",'MPTO_working_2-way'!D18)</f>
        <v>1.9946726333173512</v>
      </c>
      <c r="G19" s="32">
        <f>IF(OR($A19="",$B19=""),"",'MPTO_working_2-way'!E18)</f>
        <v>2.0053558995233249</v>
      </c>
      <c r="H19" s="30">
        <f>IF(OR($A19="",$B19=""),"",'OddsRatio_working_2-way'!M18)</f>
        <v>1.9946666286387909</v>
      </c>
      <c r="I19" s="30">
        <f>IF(OR($A19="",$B19=""),"",'OddsRatio_working_2-way'!N18)</f>
        <v>2.0053619687316817</v>
      </c>
      <c r="J19" s="30">
        <f>IF('Log_working_2-way'!$D18="","",A19^('Log_working_2-way'!$D18))</f>
        <v>1.9945880029745278</v>
      </c>
      <c r="K19" s="32">
        <f>IF('Log_working_2-way'!$D18="","",B19^('Log_working_2-way'!$D18))</f>
        <v>2.0054414461156225</v>
      </c>
      <c r="L19" s="37">
        <f t="shared" si="9"/>
        <v>0.50129198966408273</v>
      </c>
      <c r="M19" s="37">
        <f t="shared" si="10"/>
        <v>0.49870801033591733</v>
      </c>
      <c r="N19" s="38">
        <v>116</v>
      </c>
      <c r="O19" s="38">
        <f t="shared" si="11"/>
        <v>55.896373056994825</v>
      </c>
      <c r="P19" s="38">
        <f t="shared" si="12"/>
        <v>56.206185567010309</v>
      </c>
      <c r="Q19" s="38">
        <f t="shared" si="13"/>
        <v>59.793814432989699</v>
      </c>
      <c r="R19" s="38">
        <f t="shared" si="14"/>
        <v>60.103626943005189</v>
      </c>
      <c r="S19" s="39">
        <f t="shared" si="15"/>
        <v>-3.8974413759948732</v>
      </c>
      <c r="T19" s="39">
        <f t="shared" si="16"/>
        <v>-3.8974413759948803</v>
      </c>
      <c r="U19" t="s">
        <v>95</v>
      </c>
      <c r="V19" t="s">
        <v>109</v>
      </c>
      <c r="W19" t="s">
        <v>112</v>
      </c>
      <c r="X19" s="48" t="s">
        <v>128</v>
      </c>
      <c r="Y19" s="41"/>
    </row>
    <row r="20" spans="1:25" ht="15" x14ac:dyDescent="0.25">
      <c r="A20">
        <v>2.29</v>
      </c>
      <c r="B20">
        <v>1.66</v>
      </c>
      <c r="C20" s="29">
        <f t="shared" si="0"/>
        <v>3.9090861261640519E-2</v>
      </c>
      <c r="D20" s="30">
        <f>IF(OR($A20="",$B20=""),"",A20*'MPTO_working_2-way'!$G19)</f>
        <v>2.3795180722891569</v>
      </c>
      <c r="E20" s="32">
        <f>IF(OR($A20="",$B20=""),"",B20*'MPTO_working_2-way'!$G19)</f>
        <v>1.7248908296943233</v>
      </c>
      <c r="F20" s="30">
        <f>IF(OR($A20="",$B20=""),"",'MPTO_working_2-way'!D19)</f>
        <v>2.3973008765844739</v>
      </c>
      <c r="G20" s="32">
        <f>IF(OR($A20="",$B20=""),"",'MPTO_working_2-way'!E19)</f>
        <v>1.7156654781784539</v>
      </c>
      <c r="H20" s="30">
        <f>IF(OR($A20="",$B20=""),"",'OddsRatio_working_2-way'!M19)</f>
        <v>2.3980505908390635</v>
      </c>
      <c r="I20" s="30">
        <f>IF(OR($A20="",$B20=""),"",'OddsRatio_working_2-way'!N19)</f>
        <v>1.7152816976385905</v>
      </c>
      <c r="J20" s="30">
        <f>IF('Log_working_2-way'!$D19="","",A20^('Log_working_2-way'!$D19))</f>
        <v>2.4063151286043962</v>
      </c>
      <c r="K20" s="32">
        <f>IF('Log_working_2-way'!$D19="","",B20^('Log_working_2-way'!$D19))</f>
        <v>1.7110781784678428</v>
      </c>
      <c r="L20" s="37">
        <f t="shared" si="9"/>
        <v>0.42025316455696199</v>
      </c>
      <c r="M20" s="37">
        <f t="shared" si="10"/>
        <v>0.57974683544303796</v>
      </c>
      <c r="N20" s="38">
        <v>117</v>
      </c>
      <c r="O20" s="38">
        <f t="shared" si="11"/>
        <v>65.908296943231448</v>
      </c>
      <c r="P20" s="38">
        <f t="shared" si="12"/>
        <v>46.518072289156628</v>
      </c>
      <c r="Q20" s="38">
        <f t="shared" si="13"/>
        <v>70.481927710843379</v>
      </c>
      <c r="R20" s="38">
        <f t="shared" si="14"/>
        <v>51.091703056768559</v>
      </c>
      <c r="S20" s="39">
        <f t="shared" si="15"/>
        <v>-4.573630767611931</v>
      </c>
      <c r="T20" s="39">
        <f t="shared" si="16"/>
        <v>-4.573630767611931</v>
      </c>
      <c r="U20" t="s">
        <v>51</v>
      </c>
      <c r="V20" t="s">
        <v>53</v>
      </c>
      <c r="W20" t="s">
        <v>112</v>
      </c>
      <c r="X20" s="48" t="s">
        <v>128</v>
      </c>
      <c r="Y20" s="41"/>
    </row>
    <row r="21" spans="1:25" ht="15" x14ac:dyDescent="0.25">
      <c r="A21">
        <v>1.83</v>
      </c>
      <c r="B21">
        <v>2.02</v>
      </c>
      <c r="C21" s="29">
        <f t="shared" si="0"/>
        <v>4.1497592382188975E-2</v>
      </c>
      <c r="D21" s="30">
        <f>IF(OR($A21="",$B21=""),"",A21*'MPTO_working_2-way'!$G20)</f>
        <v>1.9059405940594059</v>
      </c>
      <c r="E21" s="32">
        <f>IF(OR($A21="",$B21=""),"",B21*'MPTO_working_2-way'!$G20)</f>
        <v>2.1038251366120218</v>
      </c>
      <c r="F21" s="30">
        <f>IF(OR($A21="",$B21=""),"",'MPTO_working_2-way'!D20)</f>
        <v>1.9022281685792208</v>
      </c>
      <c r="G21" s="32">
        <f>IF(OR($A21="",$B21=""),"",'MPTO_working_2-way'!E20)</f>
        <v>2.1083670792220381</v>
      </c>
      <c r="H21" s="30">
        <f>IF(OR($A21="",$B21=""),"",'OddsRatio_working_2-way'!M20)</f>
        <v>1.9020673423841918</v>
      </c>
      <c r="I21" s="30">
        <f>IF(OR($A21="",$B21=""),"",'OddsRatio_working_2-way'!N20)</f>
        <v>2.1085646858215363</v>
      </c>
      <c r="J21" s="30">
        <f>IF('Log_working_2-way'!$D20="","",A21^('Log_working_2-way'!$D20))</f>
        <v>1.9003701370951678</v>
      </c>
      <c r="K21" s="32">
        <f>IF('Log_working_2-way'!$D20="","",B21^('Log_working_2-way'!$D20))</f>
        <v>2.1106543395875321</v>
      </c>
      <c r="L21" s="37">
        <f t="shared" si="9"/>
        <v>0.52467532467532474</v>
      </c>
      <c r="M21" s="37">
        <f t="shared" si="10"/>
        <v>0.47532467532467537</v>
      </c>
      <c r="N21" s="38">
        <v>118</v>
      </c>
      <c r="O21" s="38">
        <f t="shared" si="11"/>
        <v>53.519125683060103</v>
      </c>
      <c r="P21" s="38">
        <f t="shared" si="12"/>
        <v>59.584158415841593</v>
      </c>
      <c r="Q21" s="38">
        <f t="shared" si="13"/>
        <v>58.415841584158414</v>
      </c>
      <c r="R21" s="38">
        <f t="shared" si="14"/>
        <v>64.480874316939889</v>
      </c>
      <c r="S21" s="39">
        <f t="shared" si="15"/>
        <v>-4.896715901098311</v>
      </c>
      <c r="T21" s="39">
        <f t="shared" si="16"/>
        <v>-4.8967159010982968</v>
      </c>
      <c r="U21" t="s">
        <v>125</v>
      </c>
      <c r="V21" t="s">
        <v>127</v>
      </c>
      <c r="W21" t="s">
        <v>121</v>
      </c>
      <c r="X21" s="48" t="s">
        <v>128</v>
      </c>
      <c r="Y21" s="41"/>
    </row>
    <row r="22" spans="1:25" ht="15" x14ac:dyDescent="0.25">
      <c r="A22">
        <v>1.89</v>
      </c>
      <c r="B22">
        <v>1.94</v>
      </c>
      <c r="C22" s="29">
        <f t="shared" si="0"/>
        <v>4.4564446626302434E-2</v>
      </c>
      <c r="D22" s="30">
        <f>IF(OR($A22="",$B22=""),"",A22*'MPTO_working_2-way'!$G21)</f>
        <v>1.9742268041237114</v>
      </c>
      <c r="E22" s="32">
        <f>IF(OR($A22="",$B22=""),"",B22*'MPTO_working_2-way'!$G21)</f>
        <v>2.0264550264550265</v>
      </c>
      <c r="F22" s="30">
        <f>IF(OR($A22="",$B22=""),"",'MPTO_working_2-way'!D21)</f>
        <v>1.9730936877791532</v>
      </c>
      <c r="G22" s="32">
        <f>IF(OR($A22="",$B22=""),"",'MPTO_working_2-way'!E21)</f>
        <v>2.0276502792678208</v>
      </c>
      <c r="H22" s="30">
        <f>IF(OR($A22="",$B22=""),"",'OddsRatio_working_2-way'!M21)</f>
        <v>1.9730408576407765</v>
      </c>
      <c r="I22" s="30">
        <f>IF(OR($A22="",$B22=""),"",'OddsRatio_working_2-way'!N21)</f>
        <v>2.0277060743621682</v>
      </c>
      <c r="J22" s="30">
        <f>IF('Log_working_2-way'!$D21="","",A22^('Log_working_2-way'!$D21))</f>
        <v>1.9725205567658568</v>
      </c>
      <c r="K22" s="32">
        <f>IF('Log_working_2-way'!$D21="","",B22^('Log_working_2-way'!$D21))</f>
        <v>2.0282558996234914</v>
      </c>
      <c r="L22" s="37">
        <f t="shared" si="9"/>
        <v>0.50652741514360311</v>
      </c>
      <c r="M22" s="37">
        <f t="shared" si="10"/>
        <v>0.49347258485639683</v>
      </c>
      <c r="N22" s="38">
        <v>119</v>
      </c>
      <c r="O22" s="38">
        <f t="shared" si="11"/>
        <v>56.037037037037045</v>
      </c>
      <c r="P22" s="38">
        <f t="shared" si="12"/>
        <v>57.659793814432987</v>
      </c>
      <c r="Q22" s="38">
        <f t="shared" si="13"/>
        <v>61.34020618556702</v>
      </c>
      <c r="R22" s="38">
        <f t="shared" si="14"/>
        <v>62.962962962962976</v>
      </c>
      <c r="S22" s="39">
        <f t="shared" si="15"/>
        <v>-5.3031691485299746</v>
      </c>
      <c r="T22" s="39">
        <f t="shared" si="16"/>
        <v>-5.3031691485299888</v>
      </c>
      <c r="U22" t="s">
        <v>122</v>
      </c>
      <c r="V22" t="s">
        <v>123</v>
      </c>
      <c r="W22" t="s">
        <v>121</v>
      </c>
      <c r="X22" s="48" t="s">
        <v>128</v>
      </c>
      <c r="Y22" s="41"/>
    </row>
    <row r="23" spans="1:25" ht="15" x14ac:dyDescent="0.25">
      <c r="A23">
        <v>1.88</v>
      </c>
      <c r="B23">
        <v>1.96</v>
      </c>
      <c r="C23" s="29">
        <f t="shared" si="0"/>
        <v>4.2118975249674229E-2</v>
      </c>
      <c r="D23" s="30">
        <f>IF(OR($A23="",$B23=""),"",A23*'MPTO_working_2-way'!$G22)</f>
        <v>1.9591836734693875</v>
      </c>
      <c r="E23" s="32">
        <f>IF(OR($A23="",$B23=""),"",B23*'MPTO_working_2-way'!$G22)</f>
        <v>2.0425531914893615</v>
      </c>
      <c r="F23" s="30">
        <f>IF(OR($A23="",$B23=""),"",'MPTO_working_2-way'!D22)</f>
        <v>1.9575010624734379</v>
      </c>
      <c r="G23" s="32">
        <f>IF(OR($A23="",$B23=""),"",'MPTO_working_2-way'!E22)</f>
        <v>2.044385264092321</v>
      </c>
      <c r="H23" s="30">
        <f>IF(OR($A23="",$B23=""),"",'OddsRatio_working_2-way'!M22)</f>
        <v>1.9574271077563381</v>
      </c>
      <c r="I23" s="30">
        <f>IF(OR($A23="",$B23=""),"",'OddsRatio_working_2-way'!N22)</f>
        <v>2.0444659357341863</v>
      </c>
      <c r="J23" s="30">
        <f>IF('Log_working_2-way'!$D22="","",A23^('Log_working_2-way'!$D22))</f>
        <v>1.9566564264322122</v>
      </c>
      <c r="K23" s="32">
        <f>IF('Log_working_2-way'!$D22="","",B23^('Log_working_2-way'!$D22))</f>
        <v>2.0453073562984208</v>
      </c>
      <c r="L23" s="37">
        <f t="shared" si="9"/>
        <v>0.51041666666666674</v>
      </c>
      <c r="M23" s="37">
        <f t="shared" si="10"/>
        <v>0.48958333333333337</v>
      </c>
      <c r="N23" s="38">
        <v>120</v>
      </c>
      <c r="O23" s="38">
        <f t="shared" si="11"/>
        <v>56.170212765957444</v>
      </c>
      <c r="P23" s="38">
        <f t="shared" si="12"/>
        <v>58.775510204081627</v>
      </c>
      <c r="Q23" s="38">
        <f t="shared" si="13"/>
        <v>61.224489795918366</v>
      </c>
      <c r="R23" s="38">
        <f t="shared" si="14"/>
        <v>63.829787234042556</v>
      </c>
      <c r="S23" s="39">
        <f t="shared" si="15"/>
        <v>-5.0542770299609217</v>
      </c>
      <c r="T23" s="39">
        <f t="shared" si="16"/>
        <v>-5.0542770299609288</v>
      </c>
      <c r="U23" t="s">
        <v>126</v>
      </c>
      <c r="V23" t="s">
        <v>119</v>
      </c>
      <c r="W23" t="s">
        <v>121</v>
      </c>
      <c r="X23" s="48" t="s">
        <v>128</v>
      </c>
      <c r="Y23" s="41"/>
    </row>
    <row r="24" spans="1:25" ht="15" x14ac:dyDescent="0.25">
      <c r="A24">
        <v>2.52</v>
      </c>
      <c r="B24">
        <v>1.57</v>
      </c>
      <c r="C24" s="29">
        <f t="shared" si="0"/>
        <v>3.3768071984632497E-2</v>
      </c>
      <c r="D24" s="30">
        <f>IF(OR($A24="",$B24=""),"",A24*'MPTO_working_2-way'!$G23)</f>
        <v>2.605095541401274</v>
      </c>
      <c r="E24" s="32">
        <f>IF(OR($A24="",$B24=""),"",B24*'MPTO_working_2-way'!$G23)</f>
        <v>1.623015873015873</v>
      </c>
      <c r="F24" s="30">
        <f>IF(OR($A24="",$B24=""),"",'MPTO_working_2-way'!D23)</f>
        <v>2.6319850984566258</v>
      </c>
      <c r="G24" s="32">
        <f>IF(OR($A24="",$B24=""),"",'MPTO_working_2-way'!E23)</f>
        <v>1.6127506929724442</v>
      </c>
      <c r="H24" s="30">
        <f>IF(OR($A24="",$B24=""),"",'OddsRatio_working_2-way'!M23)</f>
        <v>2.6329931618554516</v>
      </c>
      <c r="I24" s="30">
        <f>IF(OR($A24="",$B24=""),"",'OddsRatio_working_2-way'!N23)</f>
        <v>1.6123724356957947</v>
      </c>
      <c r="J24" s="30">
        <f>IF('Log_working_2-way'!$D23="","",A24^('Log_working_2-way'!$D23))</f>
        <v>2.6455503097461972</v>
      </c>
      <c r="K24" s="32">
        <f>IF('Log_working_2-way'!$D23="","",B24^('Log_working_2-way'!$D23))</f>
        <v>1.6076994389518999</v>
      </c>
      <c r="L24" s="37">
        <f t="shared" si="9"/>
        <v>0.38386308068459657</v>
      </c>
      <c r="M24" s="37">
        <f t="shared" si="10"/>
        <v>0.61613691931540338</v>
      </c>
      <c r="N24" s="38">
        <v>121</v>
      </c>
      <c r="O24" s="38">
        <f t="shared" si="11"/>
        <v>72.984126984126988</v>
      </c>
      <c r="P24" s="38">
        <f t="shared" si="12"/>
        <v>43.929936305732483</v>
      </c>
      <c r="Q24" s="38">
        <f t="shared" si="13"/>
        <v>77.070063694267517</v>
      </c>
      <c r="R24" s="38">
        <f t="shared" si="14"/>
        <v>48.015873015873012</v>
      </c>
      <c r="S24" s="39">
        <f t="shared" si="15"/>
        <v>-4.0859367101405297</v>
      </c>
      <c r="T24" s="39">
        <f t="shared" si="16"/>
        <v>-4.0859367101405297</v>
      </c>
      <c r="U24" t="s">
        <v>37</v>
      </c>
      <c r="V24" t="s">
        <v>93</v>
      </c>
      <c r="W24" t="s">
        <v>111</v>
      </c>
      <c r="X24" s="48" t="s">
        <v>129</v>
      </c>
      <c r="Y24" s="41"/>
    </row>
    <row r="25" spans="1:25" ht="15" x14ac:dyDescent="0.25">
      <c r="A25">
        <v>2.23</v>
      </c>
      <c r="B25">
        <v>1.71</v>
      </c>
      <c r="C25" s="29">
        <f t="shared" si="0"/>
        <v>3.3225814910969431E-2</v>
      </c>
      <c r="D25" s="30">
        <f>IF(OR($A25="",$B25=""),"",A25*'MPTO_working_2-way'!$G24)</f>
        <v>2.3040935672514617</v>
      </c>
      <c r="E25" s="32">
        <f>IF(OR($A25="",$B25=""),"",B25*'MPTO_working_2-way'!$G24)</f>
        <v>1.7668161434977576</v>
      </c>
      <c r="F25" s="30">
        <f>IF(OR($A25="",$B25=""),"",'MPTO_working_2-way'!D24)</f>
        <v>2.315792669966295</v>
      </c>
      <c r="G25" s="32">
        <f>IF(OR($A25="",$B25=""),"",'MPTO_working_2-way'!E24)</f>
        <v>1.7599981538319522</v>
      </c>
      <c r="H25" s="30">
        <f>IF(OR($A25="",$B25=""),"",'OddsRatio_working_2-way'!M24)</f>
        <v>2.3162045305336028</v>
      </c>
      <c r="I25" s="30">
        <f>IF(OR($A25="",$B25=""),"",'OddsRatio_working_2-way'!N24)</f>
        <v>1.7597603387632996</v>
      </c>
      <c r="J25" s="30">
        <f>IF('Log_working_2-way'!$D24="","",A25^('Log_working_2-way'!$D24))</f>
        <v>2.3215866387713424</v>
      </c>
      <c r="K25" s="32">
        <f>IF('Log_working_2-way'!$D24="","",B25^('Log_working_2-way'!$D24))</f>
        <v>1.7566662454529891</v>
      </c>
      <c r="L25" s="37">
        <f t="shared" si="9"/>
        <v>0.43401015228426398</v>
      </c>
      <c r="M25" s="37">
        <f t="shared" si="10"/>
        <v>0.56598984771573613</v>
      </c>
      <c r="N25" s="38">
        <v>122</v>
      </c>
      <c r="O25" s="38">
        <f t="shared" si="11"/>
        <v>67.291479820627799</v>
      </c>
      <c r="P25" s="38">
        <f t="shared" si="12"/>
        <v>50.654970760233915</v>
      </c>
      <c r="Q25" s="38">
        <f t="shared" si="13"/>
        <v>71.345029239766077</v>
      </c>
      <c r="R25" s="38">
        <f t="shared" si="14"/>
        <v>54.708520179372201</v>
      </c>
      <c r="S25" s="39">
        <f t="shared" si="15"/>
        <v>-4.0535494191382782</v>
      </c>
      <c r="T25" s="39">
        <f t="shared" si="16"/>
        <v>-4.0535494191382853</v>
      </c>
      <c r="U25" t="s">
        <v>46</v>
      </c>
      <c r="V25" t="s">
        <v>38</v>
      </c>
      <c r="W25" t="s">
        <v>111</v>
      </c>
      <c r="X25" s="48" t="s">
        <v>129</v>
      </c>
      <c r="Y25" s="41"/>
    </row>
    <row r="26" spans="1:25" ht="15" x14ac:dyDescent="0.25">
      <c r="A26">
        <v>1.73</v>
      </c>
      <c r="B26">
        <v>2.2000000000000002</v>
      </c>
      <c r="C26" s="29">
        <f t="shared" si="0"/>
        <v>3.2580136626379375E-2</v>
      </c>
      <c r="D26" s="30">
        <f>IF(OR($A26="",$B26=""),"",A26*'MPTO_working_2-way'!$G25)</f>
        <v>1.7863636363636364</v>
      </c>
      <c r="E26" s="32">
        <f>IF(OR($A26="",$B26=""),"",B26*'MPTO_working_2-way'!$G25)</f>
        <v>2.2716763005780347</v>
      </c>
      <c r="F26" s="30">
        <f>IF(OR($A26="",$B26=""),"",'MPTO_working_2-way'!D25)</f>
        <v>1.7801683816651075</v>
      </c>
      <c r="G26" s="32">
        <f>IF(OR($A26="",$B26=""),"",'MPTO_working_2-way'!E25)</f>
        <v>2.2817745803357314</v>
      </c>
      <c r="H26" s="30">
        <f>IF(OR($A26="",$B26=""),"",'OddsRatio_working_2-way'!M25)</f>
        <v>1.7799572637865058</v>
      </c>
      <c r="I26" s="30">
        <f>IF(OR($A26="",$B26=""),"",'OddsRatio_working_2-way'!N25)</f>
        <v>2.2821215295120645</v>
      </c>
      <c r="J26" s="30">
        <f>IF('Log_working_2-way'!$D25="","",A26^('Log_working_2-way'!$D25))</f>
        <v>1.7771471488652957</v>
      </c>
      <c r="K26" s="32">
        <f>IF('Log_working_2-way'!$D25="","",B26^('Log_working_2-way'!$D25))</f>
        <v>2.2867575998445693</v>
      </c>
      <c r="L26" s="37">
        <f t="shared" si="9"/>
        <v>0.55979643765903309</v>
      </c>
      <c r="M26" s="37">
        <f t="shared" si="10"/>
        <v>0.44020356234096691</v>
      </c>
      <c r="N26" s="38">
        <v>123</v>
      </c>
      <c r="O26" s="38">
        <f t="shared" si="11"/>
        <v>51.901734104046241</v>
      </c>
      <c r="P26" s="38">
        <f t="shared" si="12"/>
        <v>67.090909090909093</v>
      </c>
      <c r="Q26" s="38">
        <f t="shared" si="13"/>
        <v>55.909090909090907</v>
      </c>
      <c r="R26" s="38">
        <f t="shared" si="14"/>
        <v>71.098265895953759</v>
      </c>
      <c r="S26" s="39">
        <f t="shared" si="15"/>
        <v>-4.0073568050446653</v>
      </c>
      <c r="T26" s="39">
        <f t="shared" si="16"/>
        <v>-4.0073568050446653</v>
      </c>
      <c r="U26" t="s">
        <v>34</v>
      </c>
      <c r="V26" t="s">
        <v>48</v>
      </c>
      <c r="W26" t="s">
        <v>111</v>
      </c>
      <c r="X26" s="48" t="s">
        <v>129</v>
      </c>
      <c r="Y26" s="41"/>
    </row>
    <row r="27" spans="1:25" ht="15" x14ac:dyDescent="0.25">
      <c r="A27">
        <v>2.17</v>
      </c>
      <c r="B27">
        <v>1.75</v>
      </c>
      <c r="C27" s="29">
        <f t="shared" si="0"/>
        <v>3.2258064516129004E-2</v>
      </c>
      <c r="D27" s="30">
        <f>IF(OR($A27="",$B27=""),"",A27*'MPTO_working_2-way'!$G26)</f>
        <v>2.2399999999999998</v>
      </c>
      <c r="E27" s="32">
        <f>IF(OR($A27="",$B27=""),"",B27*'MPTO_working_2-way'!$G26)</f>
        <v>1.8064516129032258</v>
      </c>
      <c r="F27" s="30">
        <f>IF(OR($A27="",$B27=""),"",'MPTO_working_2-way'!D26)</f>
        <v>2.2487046632124348</v>
      </c>
      <c r="G27" s="32">
        <f>IF(OR($A27="",$B27=""),"",'MPTO_working_2-way'!E26)</f>
        <v>1.8008298755186722</v>
      </c>
      <c r="H27" s="30">
        <f>IF(OR($A27="",$B27=""),"",'OddsRatio_working_2-way'!M26)</f>
        <v>2.2489995996796797</v>
      </c>
      <c r="I27" s="30">
        <f>IF(OR($A27="",$B27=""),"",'OddsRatio_working_2-way'!N26)</f>
        <v>1.8006407690254356</v>
      </c>
      <c r="J27" s="30">
        <f>IF('Log_working_2-way'!$D26="","",A27^('Log_working_2-way'!$D26))</f>
        <v>2.2529893897006406</v>
      </c>
      <c r="K27" s="32">
        <f>IF('Log_working_2-way'!$D26="","",B27^('Log_working_2-way'!$D26))</f>
        <v>1.798091355138193</v>
      </c>
      <c r="L27" s="37">
        <f t="shared" si="9"/>
        <v>0.44642857142857145</v>
      </c>
      <c r="M27" s="37">
        <f t="shared" si="10"/>
        <v>0.5535714285714286</v>
      </c>
      <c r="N27" s="38">
        <v>124</v>
      </c>
      <c r="O27" s="38">
        <f t="shared" si="11"/>
        <v>66.857142857142847</v>
      </c>
      <c r="P27" s="38">
        <f t="shared" si="12"/>
        <v>53.142857142857139</v>
      </c>
      <c r="Q27" s="38">
        <f t="shared" si="13"/>
        <v>70.857142857142847</v>
      </c>
      <c r="R27" s="38">
        <f t="shared" si="14"/>
        <v>57.142857142857146</v>
      </c>
      <c r="S27" s="39">
        <f t="shared" si="15"/>
        <v>-4</v>
      </c>
      <c r="T27" s="39">
        <f t="shared" si="16"/>
        <v>-4.0000000000000071</v>
      </c>
      <c r="U27" t="s">
        <v>36</v>
      </c>
      <c r="V27" t="s">
        <v>76</v>
      </c>
      <c r="W27" t="s">
        <v>111</v>
      </c>
      <c r="X27" s="48" t="s">
        <v>129</v>
      </c>
      <c r="Y27" s="41"/>
    </row>
    <row r="28" spans="1:25" ht="15" x14ac:dyDescent="0.25">
      <c r="A28">
        <v>2.36</v>
      </c>
      <c r="B28">
        <v>1.64</v>
      </c>
      <c r="C28" s="29">
        <f t="shared" si="0"/>
        <v>3.3484911120297722E-2</v>
      </c>
      <c r="D28" s="30">
        <f>IF(OR($A28="",$B28=""),"",A28*'MPTO_working_2-way'!$G27)</f>
        <v>2.4390243902439024</v>
      </c>
      <c r="E28" s="32">
        <f>IF(OR($A28="",$B28=""),"",B28*'MPTO_working_2-way'!$G27)</f>
        <v>1.6949152542372881</v>
      </c>
      <c r="F28" s="30">
        <f>IF(OR($A28="",$B28=""),"",'MPTO_working_2-way'!D27)</f>
        <v>2.4570848146267141</v>
      </c>
      <c r="G28" s="32">
        <f>IF(OR($A28="",$B28=""),"",'MPTO_working_2-way'!E27)</f>
        <v>1.6863018473335656</v>
      </c>
      <c r="H28" s="30">
        <f>IF(OR($A28="",$B28=""),"",'OddsRatio_working_2-way'!M27)</f>
        <v>2.4577379737113252</v>
      </c>
      <c r="I28" s="30">
        <f>IF(OR($A28="",$B28=""),"",'OddsRatio_working_2-way'!N27)</f>
        <v>1.6859943405700353</v>
      </c>
      <c r="J28" s="30">
        <f>IF('Log_working_2-way'!$D27="","",A28^('Log_working_2-way'!$D27))</f>
        <v>2.4661000827478752</v>
      </c>
      <c r="K28" s="32">
        <f>IF('Log_working_2-way'!$D27="","",B28^('Log_working_2-way'!$D27))</f>
        <v>1.6820816748919711</v>
      </c>
      <c r="L28" s="37">
        <f t="shared" si="9"/>
        <v>0.41000000000000003</v>
      </c>
      <c r="M28" s="37">
        <f t="shared" si="10"/>
        <v>0.59000000000000008</v>
      </c>
      <c r="N28" s="38">
        <v>125</v>
      </c>
      <c r="O28" s="38">
        <f t="shared" si="11"/>
        <v>72.033898305084747</v>
      </c>
      <c r="P28" s="38">
        <f t="shared" si="12"/>
        <v>48.780487804878049</v>
      </c>
      <c r="Q28" s="38">
        <f t="shared" si="13"/>
        <v>76.219512195121951</v>
      </c>
      <c r="R28" s="38">
        <f t="shared" si="14"/>
        <v>52.96610169491526</v>
      </c>
      <c r="S28" s="39">
        <f t="shared" si="15"/>
        <v>-4.1856138900372031</v>
      </c>
      <c r="T28" s="39">
        <f t="shared" si="16"/>
        <v>-4.1856138900372102</v>
      </c>
      <c r="U28" t="s">
        <v>43</v>
      </c>
      <c r="V28" t="s">
        <v>49</v>
      </c>
      <c r="W28" t="s">
        <v>111</v>
      </c>
      <c r="X28" s="48" t="s">
        <v>129</v>
      </c>
      <c r="Y28" s="41"/>
    </row>
    <row r="29" spans="1:25" ht="15" x14ac:dyDescent="0.25">
      <c r="A29">
        <v>1.9</v>
      </c>
      <c r="B29">
        <v>1.99</v>
      </c>
      <c r="C29" s="29">
        <f t="shared" si="0"/>
        <v>2.8828352287754377E-2</v>
      </c>
      <c r="D29" s="30">
        <f>IF(OR($A29="",$B29=""),"",A29*'MPTO_working_2-way'!$G28)</f>
        <v>1.9547738693467331</v>
      </c>
      <c r="E29" s="32">
        <f>IF(OR($A29="",$B29=""),"",B29*'MPTO_working_2-way'!$G28)</f>
        <v>2.0473684210526311</v>
      </c>
      <c r="F29" s="30">
        <f>IF(OR($A29="",$B29=""),"",'MPTO_working_2-way'!D28)</f>
        <v>1.9535003874967702</v>
      </c>
      <c r="G29" s="32">
        <f>IF(OR($A29="",$B29=""),"",'MPTO_working_2-way'!E28)</f>
        <v>2.0487672717420748</v>
      </c>
      <c r="H29" s="30">
        <f>IF(OR($A29="",$B29=""),"",'OddsRatio_working_2-way'!M28)</f>
        <v>1.9534625892455926</v>
      </c>
      <c r="I29" s="30">
        <f>IF(OR($A29="",$B29=""),"",'OddsRatio_working_2-way'!N28)</f>
        <v>2.0488088481701512</v>
      </c>
      <c r="J29" s="30">
        <f>IF('Log_working_2-way'!$D28="","",A29^('Log_working_2-way'!$D28))</f>
        <v>1.9528856855785393</v>
      </c>
      <c r="K29" s="32">
        <f>IF('Log_working_2-way'!$D28="","",B29^('Log_working_2-way'!$D28))</f>
        <v>2.0494438264048878</v>
      </c>
      <c r="L29" s="37">
        <f t="shared" si="9"/>
        <v>0.51156812339331637</v>
      </c>
      <c r="M29" s="37">
        <f t="shared" si="10"/>
        <v>0.48843187660668391</v>
      </c>
      <c r="N29" s="38">
        <v>126</v>
      </c>
      <c r="O29" s="38">
        <f t="shared" si="11"/>
        <v>59.684210526315773</v>
      </c>
      <c r="P29" s="38">
        <f t="shared" si="12"/>
        <v>62.683417085427138</v>
      </c>
      <c r="Q29" s="38">
        <f t="shared" si="13"/>
        <v>63.316582914572862</v>
      </c>
      <c r="R29" s="38">
        <f t="shared" si="14"/>
        <v>66.315789473684205</v>
      </c>
      <c r="S29" s="39">
        <f t="shared" si="15"/>
        <v>-3.6323723882570889</v>
      </c>
      <c r="T29" s="39">
        <f t="shared" si="16"/>
        <v>-3.6323723882570675</v>
      </c>
      <c r="U29" t="s">
        <v>106</v>
      </c>
      <c r="V29" t="s">
        <v>55</v>
      </c>
      <c r="W29" t="s">
        <v>111</v>
      </c>
      <c r="X29" s="48" t="s">
        <v>129</v>
      </c>
      <c r="Y29" s="41"/>
    </row>
    <row r="30" spans="1:25" ht="15" x14ac:dyDescent="0.25">
      <c r="A30">
        <v>1.94</v>
      </c>
      <c r="B30">
        <v>1.86</v>
      </c>
      <c r="C30" s="29">
        <f t="shared" si="0"/>
        <v>5.3098326127923645E-2</v>
      </c>
      <c r="D30" s="30">
        <f>IF(OR($A30="",$B30=""),"",A30*'MPTO_working_2-way'!$G29)</f>
        <v>2.043010752688172</v>
      </c>
      <c r="E30" s="32">
        <f>IF(OR($A30="",$B30=""),"",B30*'MPTO_working_2-way'!$G29)</f>
        <v>1.9587628865979381</v>
      </c>
      <c r="F30" s="30">
        <f>IF(OR($A30="",$B30=""),"",'MPTO_working_2-way'!D29)</f>
        <v>2.0453463326153494</v>
      </c>
      <c r="G30" s="32">
        <f>IF(OR($A30="",$B30=""),"",'MPTO_working_2-way'!E29)</f>
        <v>1.9566207569677909</v>
      </c>
      <c r="H30" s="30">
        <f>IF(OR($A30="",$B30=""),"",'OddsRatio_working_2-way'!M29)</f>
        <v>2.0454775252553028</v>
      </c>
      <c r="I30" s="30">
        <f>IF(OR($A30="",$B30=""),"",'OddsRatio_working_2-way'!N29)</f>
        <v>1.9565007145952771</v>
      </c>
      <c r="J30" s="30">
        <f>IF('Log_working_2-way'!$D29="","",A30^('Log_working_2-way'!$D29))</f>
        <v>2.0465609413834396</v>
      </c>
      <c r="K30" s="32">
        <f>IF('Log_working_2-way'!$D29="","",B30^('Log_working_2-way'!$D29))</f>
        <v>1.9555105302101192</v>
      </c>
      <c r="L30" s="37">
        <f t="shared" si="9"/>
        <v>0.48947368421052634</v>
      </c>
      <c r="M30" s="37">
        <f t="shared" si="10"/>
        <v>0.51052631578947372</v>
      </c>
      <c r="N30" s="38">
        <v>127</v>
      </c>
      <c r="O30" s="38">
        <f t="shared" si="11"/>
        <v>61.536082474226809</v>
      </c>
      <c r="P30" s="38">
        <f t="shared" si="12"/>
        <v>58.72043010752688</v>
      </c>
      <c r="Q30" s="38">
        <f t="shared" si="13"/>
        <v>68.27956989247312</v>
      </c>
      <c r="R30" s="38">
        <f t="shared" si="14"/>
        <v>65.463917525773198</v>
      </c>
      <c r="S30" s="39">
        <f t="shared" si="15"/>
        <v>-6.7434874182463105</v>
      </c>
      <c r="T30" s="39">
        <f t="shared" si="16"/>
        <v>-6.7434874182463176</v>
      </c>
      <c r="U30" t="s">
        <v>124</v>
      </c>
      <c r="V30" t="s">
        <v>118</v>
      </c>
      <c r="W30" t="s">
        <v>120</v>
      </c>
      <c r="X30" s="48" t="s">
        <v>129</v>
      </c>
      <c r="Y30" s="41"/>
    </row>
    <row r="31" spans="1:25" ht="15" x14ac:dyDescent="0.25">
      <c r="A31"/>
      <c r="B31"/>
      <c r="C31" s="29"/>
      <c r="D31" s="30"/>
      <c r="E31" s="32"/>
      <c r="F31" s="30"/>
      <c r="G31" s="32"/>
      <c r="H31" s="30"/>
      <c r="I31" s="30"/>
      <c r="J31" s="30"/>
      <c r="K31" s="32"/>
      <c r="L31" s="37"/>
      <c r="M31" s="37"/>
      <c r="N31" s="38"/>
      <c r="O31" s="38"/>
      <c r="P31" s="38"/>
      <c r="Q31" s="38"/>
      <c r="R31" s="38"/>
      <c r="S31" s="39"/>
      <c r="T31" s="39"/>
      <c r="U31"/>
      <c r="V31"/>
      <c r="W31"/>
      <c r="X31" s="48"/>
      <c r="Y31" s="41"/>
    </row>
    <row r="32" spans="1:25" ht="15" x14ac:dyDescent="0.25">
      <c r="A32"/>
      <c r="B32"/>
      <c r="C32" s="29"/>
      <c r="D32" s="30"/>
      <c r="E32" s="32"/>
      <c r="F32" s="30"/>
      <c r="G32" s="32"/>
      <c r="H32" s="30"/>
      <c r="I32" s="30"/>
      <c r="J32" s="30"/>
      <c r="K32" s="32"/>
      <c r="L32" s="37"/>
      <c r="M32" s="37"/>
      <c r="N32" s="38"/>
      <c r="O32" s="38"/>
      <c r="P32" s="38"/>
      <c r="Q32" s="38"/>
      <c r="R32" s="38"/>
      <c r="S32" s="39"/>
      <c r="T32" s="39"/>
      <c r="U32"/>
      <c r="V32"/>
      <c r="W32"/>
      <c r="X32" s="48"/>
      <c r="Y32" s="41"/>
    </row>
    <row r="33" spans="1:25" ht="15" x14ac:dyDescent="0.25">
      <c r="A33"/>
      <c r="B33"/>
      <c r="C33" s="29"/>
      <c r="D33" s="30"/>
      <c r="E33" s="32"/>
      <c r="F33" s="30"/>
      <c r="G33" s="32"/>
      <c r="H33" s="30"/>
      <c r="I33" s="30"/>
      <c r="J33" s="30"/>
      <c r="K33" s="32"/>
      <c r="L33" s="37"/>
      <c r="M33" s="37"/>
      <c r="N33" s="38"/>
      <c r="O33" s="38"/>
      <c r="P33" s="38"/>
      <c r="Q33" s="38"/>
      <c r="R33" s="38"/>
      <c r="S33" s="39"/>
      <c r="T33" s="39"/>
      <c r="U33"/>
      <c r="V33"/>
      <c r="W33"/>
      <c r="X33" s="48"/>
      <c r="Y33" s="41"/>
    </row>
    <row r="34" spans="1:25" ht="15" x14ac:dyDescent="0.25">
      <c r="A34"/>
      <c r="B34"/>
      <c r="C34" s="29"/>
      <c r="D34" s="30"/>
      <c r="E34" s="32"/>
      <c r="F34" s="30"/>
      <c r="G34" s="32"/>
      <c r="H34" s="30"/>
      <c r="I34" s="30"/>
      <c r="J34" s="30"/>
      <c r="K34" s="32"/>
      <c r="L34" s="37"/>
      <c r="M34" s="37"/>
      <c r="N34" s="38"/>
      <c r="O34" s="38"/>
      <c r="P34" s="38"/>
      <c r="Q34" s="38"/>
      <c r="R34" s="38"/>
      <c r="S34" s="39"/>
      <c r="T34" s="39"/>
      <c r="U34"/>
      <c r="V34"/>
      <c r="W34"/>
      <c r="X34" s="48"/>
      <c r="Y34" s="41"/>
    </row>
    <row r="35" spans="1:25" ht="15" x14ac:dyDescent="0.25">
      <c r="A35"/>
      <c r="B35"/>
      <c r="C35" s="29"/>
      <c r="D35" s="30"/>
      <c r="E35" s="32"/>
      <c r="F35" s="30"/>
      <c r="G35" s="32"/>
      <c r="H35" s="30"/>
      <c r="I35" s="30"/>
      <c r="J35" s="30"/>
      <c r="K35" s="32"/>
      <c r="L35" s="37"/>
      <c r="M35" s="37"/>
      <c r="N35" s="38"/>
      <c r="O35" s="38"/>
      <c r="P35" s="38"/>
      <c r="Q35" s="38"/>
      <c r="R35" s="38"/>
      <c r="S35" s="39"/>
      <c r="T35" s="39"/>
      <c r="U35"/>
      <c r="V35"/>
      <c r="W35"/>
      <c r="X35" s="48"/>
      <c r="Y35" s="41"/>
    </row>
    <row r="36" spans="1:25" ht="15" x14ac:dyDescent="0.25">
      <c r="A36"/>
      <c r="B36"/>
      <c r="C36" s="29"/>
      <c r="D36" s="30"/>
      <c r="E36" s="32"/>
      <c r="F36" s="30"/>
      <c r="G36" s="32"/>
      <c r="H36" s="30"/>
      <c r="I36" s="30"/>
      <c r="J36" s="30"/>
      <c r="K36" s="32"/>
      <c r="L36" s="37"/>
      <c r="M36" s="37"/>
      <c r="N36" s="38"/>
      <c r="O36" s="38"/>
      <c r="P36" s="38"/>
      <c r="Q36" s="38"/>
      <c r="R36" s="38"/>
      <c r="S36" s="39"/>
      <c r="T36" s="39"/>
      <c r="U36"/>
      <c r="V36"/>
      <c r="W36"/>
      <c r="X36" s="48"/>
      <c r="Y36" s="41"/>
    </row>
    <row r="37" spans="1:25" ht="15" x14ac:dyDescent="0.25">
      <c r="A37"/>
      <c r="B37"/>
      <c r="C37" s="29"/>
      <c r="D37" s="30"/>
      <c r="E37" s="32"/>
      <c r="F37" s="30"/>
      <c r="G37" s="32"/>
      <c r="H37" s="30"/>
      <c r="I37" s="30"/>
      <c r="J37" s="30"/>
      <c r="K37" s="32"/>
      <c r="L37" s="37"/>
      <c r="M37" s="37"/>
      <c r="N37" s="38"/>
      <c r="O37" s="38"/>
      <c r="P37" s="38"/>
      <c r="Q37" s="38"/>
      <c r="R37" s="38"/>
      <c r="S37" s="39"/>
      <c r="T37" s="39"/>
      <c r="U37"/>
      <c r="V37"/>
      <c r="W37"/>
      <c r="X37" s="48"/>
      <c r="Y37" s="41"/>
    </row>
    <row r="38" spans="1:25" ht="15" x14ac:dyDescent="0.25">
      <c r="A38"/>
      <c r="B38"/>
      <c r="C38" s="29"/>
      <c r="D38" s="30"/>
      <c r="E38" s="32"/>
      <c r="F38" s="30"/>
      <c r="G38" s="32"/>
      <c r="H38" s="30"/>
      <c r="I38" s="30"/>
      <c r="J38" s="30"/>
      <c r="K38" s="32"/>
      <c r="L38" s="37"/>
      <c r="M38" s="37"/>
      <c r="N38" s="38"/>
      <c r="O38" s="38"/>
      <c r="P38" s="38"/>
      <c r="Q38" s="38"/>
      <c r="R38" s="38"/>
      <c r="S38" s="39"/>
      <c r="T38" s="39"/>
      <c r="U38"/>
      <c r="V38"/>
      <c r="W38"/>
      <c r="X38" s="48"/>
      <c r="Y38" s="41"/>
    </row>
    <row r="39" spans="1:25" ht="15" x14ac:dyDescent="0.25">
      <c r="A39"/>
      <c r="B39"/>
      <c r="C39" s="29"/>
      <c r="D39" s="30"/>
      <c r="E39" s="32"/>
      <c r="F39" s="30"/>
      <c r="G39" s="32"/>
      <c r="H39" s="30"/>
      <c r="I39" s="30"/>
      <c r="J39" s="30"/>
      <c r="K39" s="32"/>
      <c r="L39" s="37"/>
      <c r="M39" s="37"/>
      <c r="N39" s="38"/>
      <c r="O39" s="38"/>
      <c r="P39" s="38"/>
      <c r="Q39" s="38"/>
      <c r="R39" s="38"/>
      <c r="S39" s="39"/>
      <c r="T39" s="39"/>
      <c r="U39"/>
      <c r="V39"/>
      <c r="W39"/>
      <c r="X39" s="48"/>
      <c r="Y39" s="41"/>
    </row>
    <row r="40" spans="1:25" ht="15" x14ac:dyDescent="0.25">
      <c r="A40"/>
      <c r="B40"/>
      <c r="C40" s="29"/>
      <c r="D40" s="30"/>
      <c r="E40" s="32"/>
      <c r="F40" s="30"/>
      <c r="G40" s="32"/>
      <c r="H40" s="30"/>
      <c r="I40" s="30"/>
      <c r="J40" s="30"/>
      <c r="K40" s="32"/>
      <c r="L40" s="37"/>
      <c r="M40" s="37"/>
      <c r="N40" s="38"/>
      <c r="O40" s="38"/>
      <c r="P40" s="38"/>
      <c r="Q40" s="38"/>
      <c r="R40" s="38"/>
      <c r="S40" s="39"/>
      <c r="T40" s="39"/>
      <c r="U40"/>
      <c r="V40"/>
      <c r="W40"/>
      <c r="X40" s="48"/>
      <c r="Y40" s="41"/>
    </row>
    <row r="41" spans="1:25" ht="15" x14ac:dyDescent="0.25">
      <c r="A41"/>
      <c r="B41"/>
      <c r="C41" s="29"/>
      <c r="D41" s="30"/>
      <c r="E41" s="32"/>
      <c r="F41" s="30"/>
      <c r="G41" s="32"/>
      <c r="H41" s="30"/>
      <c r="I41" s="30"/>
      <c r="J41" s="30"/>
      <c r="K41" s="32"/>
      <c r="L41" s="37"/>
      <c r="M41" s="37"/>
      <c r="N41" s="38"/>
      <c r="O41" s="38"/>
      <c r="P41" s="38"/>
      <c r="Q41" s="38"/>
      <c r="R41" s="38"/>
      <c r="S41" s="39"/>
      <c r="T41" s="39"/>
      <c r="U41"/>
      <c r="V41"/>
      <c r="W41"/>
      <c r="X41" s="48"/>
      <c r="Y41" s="41"/>
    </row>
    <row r="42" spans="1:25" ht="15" x14ac:dyDescent="0.25">
      <c r="A42"/>
      <c r="B42"/>
      <c r="C42" s="29"/>
      <c r="D42" s="30"/>
      <c r="E42" s="32"/>
      <c r="F42" s="30"/>
      <c r="G42" s="32"/>
      <c r="H42" s="30"/>
      <c r="I42" s="30"/>
      <c r="J42" s="30"/>
      <c r="K42" s="32"/>
      <c r="L42" s="37"/>
      <c r="M42" s="37"/>
      <c r="N42" s="38"/>
      <c r="O42" s="38"/>
      <c r="P42" s="38"/>
      <c r="Q42" s="38"/>
      <c r="R42" s="38"/>
      <c r="S42" s="39"/>
      <c r="T42" s="39"/>
      <c r="U42"/>
      <c r="V42"/>
      <c r="W42"/>
      <c r="X42" s="48"/>
      <c r="Y42" s="41"/>
    </row>
    <row r="43" spans="1:25" ht="15" x14ac:dyDescent="0.25">
      <c r="A43"/>
      <c r="B43"/>
      <c r="C43" s="29"/>
      <c r="D43" s="30"/>
      <c r="E43" s="32"/>
      <c r="F43" s="30"/>
      <c r="G43" s="32"/>
      <c r="H43" s="30"/>
      <c r="I43" s="30"/>
      <c r="J43" s="30"/>
      <c r="K43" s="32"/>
      <c r="L43" s="37"/>
      <c r="M43" s="37"/>
      <c r="N43" s="38"/>
      <c r="O43" s="38"/>
      <c r="P43" s="38"/>
      <c r="Q43" s="38"/>
      <c r="R43" s="38"/>
      <c r="S43" s="39"/>
      <c r="T43" s="39"/>
      <c r="U43"/>
      <c r="V43"/>
      <c r="W43"/>
      <c r="X43" s="48"/>
      <c r="Y43" s="41"/>
    </row>
    <row r="44" spans="1:25" ht="15" x14ac:dyDescent="0.25">
      <c r="A44"/>
      <c r="B44"/>
      <c r="C44" s="29"/>
      <c r="D44" s="30"/>
      <c r="E44" s="32"/>
      <c r="F44" s="30"/>
      <c r="G44" s="32"/>
      <c r="H44" s="30"/>
      <c r="I44" s="30"/>
      <c r="J44" s="30"/>
      <c r="K44" s="32"/>
      <c r="L44" s="37"/>
      <c r="M44" s="37"/>
      <c r="N44" s="38"/>
      <c r="O44" s="38"/>
      <c r="P44" s="38"/>
      <c r="Q44" s="38"/>
      <c r="R44" s="38"/>
      <c r="S44" s="39"/>
      <c r="T44" s="39"/>
      <c r="U44"/>
      <c r="V44"/>
      <c r="W44"/>
      <c r="X44" s="48"/>
      <c r="Y44" s="41"/>
    </row>
    <row r="45" spans="1:25" ht="15" x14ac:dyDescent="0.25">
      <c r="A45"/>
      <c r="B45"/>
      <c r="C45" s="29"/>
      <c r="D45" s="30"/>
      <c r="E45" s="32"/>
      <c r="F45" s="30"/>
      <c r="G45" s="32"/>
      <c r="H45" s="30"/>
      <c r="I45" s="30"/>
      <c r="J45" s="30"/>
      <c r="K45" s="32"/>
      <c r="L45" s="37"/>
      <c r="M45" s="37"/>
      <c r="N45" s="38"/>
      <c r="O45" s="38"/>
      <c r="P45" s="38"/>
      <c r="Q45" s="38"/>
      <c r="R45" s="38"/>
      <c r="S45" s="39"/>
      <c r="T45" s="39"/>
      <c r="U45"/>
      <c r="V45"/>
      <c r="W45"/>
      <c r="X45" s="48"/>
      <c r="Y45" s="41"/>
    </row>
    <row r="46" spans="1:25" ht="15" x14ac:dyDescent="0.25">
      <c r="A46"/>
      <c r="B46"/>
      <c r="C46" s="29"/>
      <c r="D46" s="30"/>
      <c r="E46" s="32"/>
      <c r="F46" s="30"/>
      <c r="G46" s="32"/>
      <c r="H46" s="30"/>
      <c r="I46" s="30"/>
      <c r="J46" s="30"/>
      <c r="K46" s="32"/>
      <c r="L46" s="37"/>
      <c r="M46" s="37"/>
      <c r="N46" s="38"/>
      <c r="O46" s="38"/>
      <c r="P46" s="38"/>
      <c r="Q46" s="38"/>
      <c r="R46" s="38"/>
      <c r="S46" s="39"/>
      <c r="T46" s="39"/>
      <c r="U46"/>
      <c r="V46"/>
      <c r="W46"/>
      <c r="X46" s="48"/>
      <c r="Y46" s="41"/>
    </row>
    <row r="47" spans="1:25" ht="15" x14ac:dyDescent="0.25">
      <c r="A47"/>
      <c r="B47"/>
      <c r="C47" s="29"/>
      <c r="D47" s="30"/>
      <c r="E47" s="32"/>
      <c r="F47" s="30"/>
      <c r="G47" s="32"/>
      <c r="H47" s="30"/>
      <c r="I47" s="30"/>
      <c r="J47" s="30"/>
      <c r="K47" s="32"/>
      <c r="L47" s="37"/>
      <c r="M47" s="37"/>
      <c r="N47" s="38"/>
      <c r="O47" s="38"/>
      <c r="P47" s="38"/>
      <c r="Q47" s="38"/>
      <c r="R47" s="38"/>
      <c r="S47" s="39"/>
      <c r="T47" s="39"/>
      <c r="U47"/>
      <c r="V47"/>
      <c r="W47"/>
      <c r="X47" s="48"/>
      <c r="Y47" s="41"/>
    </row>
    <row r="48" spans="1:25" ht="15" x14ac:dyDescent="0.25">
      <c r="A48"/>
      <c r="B48"/>
      <c r="C48" s="29"/>
      <c r="D48" s="30"/>
      <c r="E48" s="32"/>
      <c r="F48" s="30"/>
      <c r="G48" s="32"/>
      <c r="H48" s="30"/>
      <c r="I48" s="30"/>
      <c r="J48" s="30"/>
      <c r="K48" s="32"/>
      <c r="L48" s="37"/>
      <c r="M48" s="37"/>
      <c r="N48" s="38"/>
      <c r="O48" s="38"/>
      <c r="P48" s="38"/>
      <c r="Q48" s="38"/>
      <c r="R48" s="38"/>
      <c r="S48" s="39"/>
      <c r="T48" s="39"/>
      <c r="U48"/>
      <c r="V48"/>
      <c r="W48"/>
      <c r="X48" s="48"/>
      <c r="Y48" s="41"/>
    </row>
    <row r="49" spans="1:25" ht="15" x14ac:dyDescent="0.25">
      <c r="A49"/>
      <c r="B49"/>
      <c r="C49" s="29"/>
      <c r="D49" s="30"/>
      <c r="E49" s="32"/>
      <c r="F49" s="30"/>
      <c r="G49" s="32"/>
      <c r="H49" s="30"/>
      <c r="I49" s="30"/>
      <c r="J49" s="30"/>
      <c r="K49" s="32"/>
      <c r="L49" s="37"/>
      <c r="M49" s="37"/>
      <c r="N49" s="38"/>
      <c r="O49" s="38"/>
      <c r="P49" s="38"/>
      <c r="Q49" s="38"/>
      <c r="R49" s="38"/>
      <c r="S49" s="39"/>
      <c r="T49" s="39"/>
      <c r="U49"/>
      <c r="V49"/>
      <c r="W49"/>
      <c r="X49" s="48"/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 s="48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 s="48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 s="48"/>
      <c r="Y52" s="41"/>
    </row>
    <row r="53" spans="1:25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 s="48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 s="48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 s="48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 s="48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 s="48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 s="4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 s="48"/>
      <c r="Y59" s="41"/>
    </row>
    <row r="60" spans="1:25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 s="48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 s="48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 s="48"/>
      <c r="Y62" s="41"/>
    </row>
    <row r="63" spans="1:25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 s="48"/>
      <c r="Y63" s="4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 s="48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50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52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5" activePane="bottomLeft" state="frozen"/>
      <selection pane="bottomLeft" activeCell="S3" sqref="S3:S3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58</v>
      </c>
      <c r="O1" s="55"/>
      <c r="P1" s="55"/>
      <c r="Q1" s="13" t="s">
        <v>32</v>
      </c>
      <c r="R1" s="13" t="s">
        <v>33</v>
      </c>
      <c r="S1" s="46" t="s">
        <v>57</v>
      </c>
      <c r="T1" s="13" t="s">
        <v>68</v>
      </c>
      <c r="U1" s="13" t="s">
        <v>59</v>
      </c>
      <c r="V1" s="13" t="s">
        <v>60</v>
      </c>
      <c r="W1" s="13" t="s">
        <v>61</v>
      </c>
      <c r="X1" s="13" t="s">
        <v>62</v>
      </c>
      <c r="Y1" s="13" t="s">
        <v>63</v>
      </c>
      <c r="Z1" s="13" t="s">
        <v>64</v>
      </c>
      <c r="AA1" s="13" t="s">
        <v>65</v>
      </c>
      <c r="AB1" s="13" t="s">
        <v>66</v>
      </c>
      <c r="AC1" s="13" t="s">
        <v>67</v>
      </c>
      <c r="AD1" s="26" t="s">
        <v>80</v>
      </c>
      <c r="AE1" s="26" t="s">
        <v>81</v>
      </c>
      <c r="AF1" s="13" t="s">
        <v>78</v>
      </c>
      <c r="AG1" s="13" t="s">
        <v>79</v>
      </c>
      <c r="AH1" s="42" t="s">
        <v>77</v>
      </c>
      <c r="AI1" s="26" t="s">
        <v>82</v>
      </c>
      <c r="AJ1" s="13" t="s">
        <v>91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4.37</v>
      </c>
      <c r="B3">
        <v>3.59</v>
      </c>
      <c r="C3">
        <v>1.92</v>
      </c>
      <c r="D3" s="20">
        <f>IF(OR($A3="",$B3="",$C3=""),"",(1/A3)+(1/B3)+(1/C3)-1)</f>
        <v>2.8217817311839699E-2</v>
      </c>
      <c r="E3" s="17">
        <f>IF(OR($A3="",$B3="",$C3=""),"",A3*'MPTO_working_3-way'!$I2)</f>
        <v>4.4933118616527397</v>
      </c>
      <c r="F3" s="21">
        <f>IF(OR($A3="",$B3="",$C3=""),"",B3*'MPTO_working_3-way'!$I2)</f>
        <v>3.6913019641495044</v>
      </c>
      <c r="G3" s="22">
        <f>IF(OR($A3="",$B3="",$C3=""),"",C3*'MPTO_working_3-way'!$I2)</f>
        <v>1.9741782092387321</v>
      </c>
      <c r="H3" s="17">
        <f>IF(OR($A3="",$B3="",$C3=""),"",'MPTO_working_3-way'!E2)</f>
        <v>4.5573240370546628</v>
      </c>
      <c r="I3" s="21">
        <f>IF(OR($A3="",$B3="",$C3=""),"",'MPTO_working_3-way'!F2)</f>
        <v>3.71546117146349</v>
      </c>
      <c r="J3" s="22">
        <f>IF(OR($A3="",$B3="",$C3=""),"",'MPTO_working_3-way'!G2)</f>
        <v>1.9553117632793002</v>
      </c>
      <c r="K3" s="17">
        <f>IF(OR($A3="",$B3="",$C3=""),"",'OddsRatio_working_3-way'!H2)</f>
        <v>4.5261515437410464</v>
      </c>
      <c r="L3" s="21">
        <f>IF(OR($A3="",$B3="",$C3=""),"",'OddsRatio_working_3-way'!I2)</f>
        <v>3.7100096434092906</v>
      </c>
      <c r="M3" s="22">
        <f>IF(OR($A3="",$B3="",$C3=""),"",'OddsRatio_working_3-way'!J2)</f>
        <v>1.9626289080836088</v>
      </c>
      <c r="N3" s="23">
        <f>(1/E3)* 100</f>
        <v>22.255299226708424</v>
      </c>
      <c r="O3" s="24">
        <f>(1/F3)* 100</f>
        <v>27.09071242916875</v>
      </c>
      <c r="P3" s="24">
        <f>(1/G3)* 100</f>
        <v>50.653988344122823</v>
      </c>
      <c r="Q3" t="s">
        <v>40</v>
      </c>
      <c r="R3" t="s">
        <v>45</v>
      </c>
      <c r="S3" s="48" t="s">
        <v>128</v>
      </c>
      <c r="T3" s="35">
        <v>100</v>
      </c>
      <c r="U3" s="35">
        <f>(1/A4)*((T3*A4)-T3)</f>
        <v>61.977186311787079</v>
      </c>
      <c r="V3" s="35">
        <f>(1/B4)*((T3*B4)-T3)</f>
        <v>70.059880239520965</v>
      </c>
      <c r="W3" s="35">
        <f>(1/C4)*((T3*C4)-T3)</f>
        <v>65.156794425087099</v>
      </c>
      <c r="X3" s="35">
        <f>((1/B4)+(1/C4))*T3</f>
        <v>64.783325335391922</v>
      </c>
      <c r="Y3" s="35">
        <f>((1/A4)+(1/C4))*T3</f>
        <v>72.866019263125821</v>
      </c>
      <c r="Z3" s="35">
        <f>((1/A4)+(1/B4))*T3</f>
        <v>67.96293344869197</v>
      </c>
      <c r="AA3" s="35">
        <f t="shared" ref="AA3" si="0">U3-X3</f>
        <v>-2.8061390236048425</v>
      </c>
      <c r="AB3" s="35">
        <f t="shared" ref="AB3" si="1">V3-Y3</f>
        <v>-2.8061390236048567</v>
      </c>
      <c r="AC3" s="35">
        <f t="shared" ref="AC3" si="2">W3-Z3</f>
        <v>-2.8061390236048709</v>
      </c>
      <c r="AD3" s="27"/>
      <c r="AE3" s="27"/>
      <c r="AF3">
        <v>2.0499999999999998</v>
      </c>
      <c r="AG3">
        <v>1.85</v>
      </c>
      <c r="AH3" s="41"/>
      <c r="AI3" s="27"/>
      <c r="AJ3" t="s">
        <v>111</v>
      </c>
    </row>
    <row r="4" spans="1:36" ht="15" x14ac:dyDescent="0.25">
      <c r="A4">
        <v>2.63</v>
      </c>
      <c r="B4">
        <v>3.34</v>
      </c>
      <c r="C4">
        <v>2.87</v>
      </c>
      <c r="D4" s="20">
        <f t="shared" ref="D4:D67" si="3">IF(OR($A4="",$B4="",$C4=""),"",(1/A4)+(1/B4)+(1/C4)-1)</f>
        <v>2.80613902360487E-2</v>
      </c>
      <c r="E4" s="17">
        <f>IF(OR($A4="",$B4="",$C4=""),"",A4*'MPTO_working_3-way'!$I3)</f>
        <v>2.7038014563208081</v>
      </c>
      <c r="F4" s="21">
        <f>IF(OR($A4="",$B4="",$C4=""),"",B4*'MPTO_working_3-way'!$I3)</f>
        <v>3.4337250433884026</v>
      </c>
      <c r="G4" s="22">
        <f>IF(OR($A4="",$B4="",$C4=""),"",C4*'MPTO_working_3-way'!$I3)</f>
        <v>2.95053618997746</v>
      </c>
      <c r="H4" s="17">
        <f>IF(OR($A4="",$B4="",$C4=""),"",'MPTO_working_3-way'!E3)</f>
        <v>2.6963310528067179</v>
      </c>
      <c r="I4" s="21">
        <f>IF(OR($A4="",$B4="",$C4=""),"",'MPTO_working_3-way'!F3)</f>
        <v>3.4477123292154839</v>
      </c>
      <c r="J4" s="22">
        <f>IF(OR($A4="",$B4="",$C4=""),"",'MPTO_working_3-way'!G3)</f>
        <v>2.9491716836639004</v>
      </c>
      <c r="K4" s="17">
        <f>IF(OR($A4="",$B4="",$C4=""),"",'OddsRatio_working_3-way'!H3)</f>
        <v>2.6999343573989649</v>
      </c>
      <c r="L4" s="21">
        <f>IF(OR($A4="",$B4="",$C4=""),"",'OddsRatio_working_3-way'!I3)</f>
        <v>3.4403965621555685</v>
      </c>
      <c r="M4" s="22">
        <f>IF(OR($A4="",$B4="",$C4=""),"",'OddsRatio_working_3-way'!J3)</f>
        <v>2.9502314406969727</v>
      </c>
      <c r="N4" s="23">
        <f t="shared" ref="N4" si="4">(1/E4)* 100</f>
        <v>36.984964175614721</v>
      </c>
      <c r="O4" s="24">
        <f t="shared" ref="O4" si="5">(1/F4)* 100</f>
        <v>29.122890952654707</v>
      </c>
      <c r="P4" s="24">
        <f t="shared" ref="P4" si="6">(1/G4)* 100</f>
        <v>33.892144871730565</v>
      </c>
      <c r="Q4" t="s">
        <v>39</v>
      </c>
      <c r="R4" t="s">
        <v>41</v>
      </c>
      <c r="S4" s="48" t="s">
        <v>128</v>
      </c>
      <c r="T4" s="35">
        <v>100</v>
      </c>
      <c r="U4" s="35">
        <f t="shared" ref="U4" si="7">(1/A5)*((T4*A5)-T4)</f>
        <v>57.446808510638299</v>
      </c>
      <c r="V4" s="35">
        <f t="shared" ref="V4" si="8">(1/B5)*((T4*B5)-T4)</f>
        <v>68.75</v>
      </c>
      <c r="W4" s="35">
        <f t="shared" ref="W4" si="9">(1/C5)*((T4*C5)-T4)</f>
        <v>71.014492753623188</v>
      </c>
      <c r="X4" s="35">
        <f t="shared" ref="X4" si="10">((1/B5)+(1/C5))*T4</f>
        <v>60.235507246376805</v>
      </c>
      <c r="Y4" s="35">
        <f t="shared" ref="Y4" si="11">((1/A5)+(1/C5))*T4</f>
        <v>71.538698735738521</v>
      </c>
      <c r="Z4" s="35">
        <f t="shared" ref="Z4" si="12">((1/A5)+(1/B5))*T4</f>
        <v>73.803191489361694</v>
      </c>
      <c r="AA4" s="35">
        <f t="shared" ref="AA4" si="13">U4-X4</f>
        <v>-2.7886987357385067</v>
      </c>
      <c r="AB4" s="35">
        <f t="shared" ref="AB4" si="14">V4-Y4</f>
        <v>-2.7886987357385209</v>
      </c>
      <c r="AC4" s="35">
        <f t="shared" ref="AC4" si="15">W4-Z4</f>
        <v>-2.7886987357385067</v>
      </c>
      <c r="AD4" s="4"/>
      <c r="AE4" s="4"/>
      <c r="AF4">
        <v>2.0299999999999998</v>
      </c>
      <c r="AG4">
        <v>1.86</v>
      </c>
      <c r="AH4" s="4"/>
      <c r="AI4" s="4"/>
      <c r="AJ4" t="s">
        <v>111</v>
      </c>
    </row>
    <row r="5" spans="1:36" s="12" customFormat="1" ht="15" x14ac:dyDescent="0.25">
      <c r="A5">
        <v>2.35</v>
      </c>
      <c r="B5">
        <v>3.2</v>
      </c>
      <c r="C5">
        <v>3.45</v>
      </c>
      <c r="D5" s="20">
        <f t="shared" si="3"/>
        <v>2.788698735738504E-2</v>
      </c>
      <c r="E5" s="17">
        <f>IF(OR($A5="",$B5="",$C5=""),"",A5*'MPTO_working_3-way'!$I4)</f>
        <v>2.415534420289855</v>
      </c>
      <c r="F5" s="21">
        <f>IF(OR($A5="",$B5="",$C5=""),"",B5*'MPTO_working_3-way'!$I4)</f>
        <v>3.2892383595436323</v>
      </c>
      <c r="G5" s="22">
        <f>IF(OR($A5="",$B5="",$C5=""),"",C5*'MPTO_working_3-way'!$I4)</f>
        <v>3.5462101063829787</v>
      </c>
      <c r="H5" s="17">
        <f>IF(OR($A5="",$B5="",$C5=""),"",'MPTO_working_3-way'!E4)</f>
        <v>2.402481749571713</v>
      </c>
      <c r="I5" s="21">
        <f>IF(OR($A5="",$B5="",$C5=""),"",'MPTO_working_3-way'!F4)</f>
        <v>3.298105851942879</v>
      </c>
      <c r="J5" s="22">
        <f>IF(OR($A5="",$B5="",$C5=""),"",'MPTO_working_3-way'!G4)</f>
        <v>3.5643074668559525</v>
      </c>
      <c r="K5" s="17">
        <f>IF(OR($A5="",$B5="",$C5=""),"",'OddsRatio_working_3-way'!H4)</f>
        <v>2.4081937663906983</v>
      </c>
      <c r="L5" s="21">
        <f>IF(OR($A5="",$B5="",$C5=""),"",'OddsRatio_working_3-way'!I4)</f>
        <v>3.2948342859700266</v>
      </c>
      <c r="M5" s="22">
        <f>IF(OR($A5="",$B5="",$C5=""),"",'OddsRatio_working_3-way'!J4)</f>
        <v>3.5556109093757104</v>
      </c>
      <c r="N5" s="23">
        <f t="shared" ref="N5:N30" si="16">(1/E5)* 100</f>
        <v>41.398706290428429</v>
      </c>
      <c r="O5" s="24">
        <f t="shared" ref="O5:O30" si="17">(1/F5)* 100</f>
        <v>30.402174932033375</v>
      </c>
      <c r="P5" s="24">
        <f t="shared" ref="P5:P30" si="18">(1/G5)* 100</f>
        <v>28.199118777538203</v>
      </c>
      <c r="Q5" t="s">
        <v>50</v>
      </c>
      <c r="R5" t="s">
        <v>113</v>
      </c>
      <c r="S5" s="48" t="s">
        <v>128</v>
      </c>
      <c r="T5" s="35">
        <v>100</v>
      </c>
      <c r="U5" s="35">
        <f t="shared" ref="U5:U30" si="19">(1/A6)*((T5*A6)-T5)</f>
        <v>67.532467532467535</v>
      </c>
      <c r="V5" s="35">
        <f t="shared" ref="V5:V30" si="20">(1/B6)*((T5*B6)-T5)</f>
        <v>67.21311475409837</v>
      </c>
      <c r="W5" s="35">
        <f t="shared" ref="W5:W30" si="21">(1/C6)*((T5*C6)-T5)</f>
        <v>62.546816479400754</v>
      </c>
      <c r="X5" s="35">
        <f t="shared" ref="X5:X30" si="22">((1/B6)+(1/C6))*T5</f>
        <v>70.240068766500897</v>
      </c>
      <c r="Y5" s="35">
        <f t="shared" ref="Y5:Y30" si="23">((1/A6)+(1/C6))*T5</f>
        <v>69.920715988131718</v>
      </c>
      <c r="Z5" s="35">
        <f t="shared" ref="Z5:Z30" si="24">((1/A6)+(1/B6))*T5</f>
        <v>65.254417713434108</v>
      </c>
      <c r="AA5" s="35">
        <f t="shared" ref="AA5:AA30" si="25">U5-X5</f>
        <v>-2.7076012340333619</v>
      </c>
      <c r="AB5" s="35">
        <f t="shared" ref="AB5:AB30" si="26">V5-Y5</f>
        <v>-2.7076012340333477</v>
      </c>
      <c r="AC5" s="35">
        <f t="shared" ref="AC5:AC30" si="27">W5-Z5</f>
        <v>-2.7076012340333548</v>
      </c>
      <c r="AD5" s="27"/>
      <c r="AE5" s="27"/>
      <c r="AF5">
        <v>2.2799999999999998</v>
      </c>
      <c r="AG5">
        <v>1.68</v>
      </c>
      <c r="AH5" s="36"/>
      <c r="AI5" s="27"/>
      <c r="AJ5" t="s">
        <v>111</v>
      </c>
    </row>
    <row r="6" spans="1:36" s="12" customFormat="1" ht="15" x14ac:dyDescent="0.25">
      <c r="A6">
        <v>3.08</v>
      </c>
      <c r="B6">
        <v>3.05</v>
      </c>
      <c r="C6">
        <v>2.67</v>
      </c>
      <c r="D6" s="20">
        <f t="shared" si="3"/>
        <v>2.7076012340333744E-2</v>
      </c>
      <c r="E6" s="17">
        <f>IF(OR($A6="",$B6="",$C6=""),"",A6*'MPTO_working_3-way'!$I5)</f>
        <v>3.1633941180082279</v>
      </c>
      <c r="F6" s="21">
        <f>IF(OR($A6="",$B6="",$C6=""),"",B6*'MPTO_working_3-way'!$I5)</f>
        <v>3.1325818376380177</v>
      </c>
      <c r="G6" s="22">
        <f>IF(OR($A6="",$B6="",$C6=""),"",C6*'MPTO_working_3-way'!$I5)</f>
        <v>2.742292952948691</v>
      </c>
      <c r="H6" s="17">
        <f>IF(OR($A6="",$B6="",$C6=""),"",'MPTO_working_3-way'!E5)</f>
        <v>3.1680660239531351</v>
      </c>
      <c r="I6" s="21">
        <f>IF(OR($A6="",$B6="",$C6=""),"",'MPTO_working_3-way'!F5)</f>
        <v>3.136334762717742</v>
      </c>
      <c r="J6" s="22">
        <f>IF(OR($A6="",$B6="",$C6=""),"",'MPTO_working_3-way'!G5)</f>
        <v>2.7359294735678592</v>
      </c>
      <c r="K6" s="17">
        <f>IF(OR($A6="",$B6="",$C6=""),"",'OddsRatio_working_3-way'!H5)</f>
        <v>3.1658373093764287</v>
      </c>
      <c r="L6" s="21">
        <f>IF(OR($A6="",$B6="",$C6=""),"",'OddsRatio_working_3-way'!I5)</f>
        <v>3.1345992712604223</v>
      </c>
      <c r="M6" s="22">
        <f>IF(OR($A6="",$B6="",$C6=""),"",'OddsRatio_working_3-way'!J5)</f>
        <v>2.7389174551243447</v>
      </c>
      <c r="N6" s="23">
        <f t="shared" si="16"/>
        <v>31.611615963604034</v>
      </c>
      <c r="O6" s="24">
        <f t="shared" si="17"/>
        <v>31.922549891114894</v>
      </c>
      <c r="P6" s="24">
        <f t="shared" si="18"/>
        <v>36.465834145281057</v>
      </c>
      <c r="Q6" t="s">
        <v>44</v>
      </c>
      <c r="R6" t="s">
        <v>42</v>
      </c>
      <c r="S6" s="48" t="s">
        <v>128</v>
      </c>
      <c r="T6" s="35">
        <v>100</v>
      </c>
      <c r="U6" s="35">
        <f t="shared" si="19"/>
        <v>64.157706093189958</v>
      </c>
      <c r="V6" s="35">
        <f t="shared" si="20"/>
        <v>67.845659163987136</v>
      </c>
      <c r="W6" s="35">
        <f t="shared" si="21"/>
        <v>65.277777777777771</v>
      </c>
      <c r="X6" s="35">
        <f t="shared" si="22"/>
        <v>66.876563058235078</v>
      </c>
      <c r="Y6" s="35">
        <f t="shared" si="23"/>
        <v>70.564516129032256</v>
      </c>
      <c r="Z6" s="35">
        <f t="shared" si="24"/>
        <v>67.996634742822891</v>
      </c>
      <c r="AA6" s="35">
        <f t="shared" si="25"/>
        <v>-2.71885696504512</v>
      </c>
      <c r="AB6" s="35">
        <f t="shared" si="26"/>
        <v>-2.71885696504512</v>
      </c>
      <c r="AC6" s="35">
        <f t="shared" si="27"/>
        <v>-2.71885696504512</v>
      </c>
      <c r="AD6" s="27"/>
      <c r="AE6" s="27"/>
      <c r="AF6">
        <v>2.57</v>
      </c>
      <c r="AG6">
        <v>1.55</v>
      </c>
      <c r="AH6" s="36"/>
      <c r="AI6" s="27"/>
      <c r="AJ6" t="s">
        <v>111</v>
      </c>
    </row>
    <row r="7" spans="1:36" s="12" customFormat="1" ht="15" x14ac:dyDescent="0.25">
      <c r="A7">
        <v>2.79</v>
      </c>
      <c r="B7">
        <v>3.11</v>
      </c>
      <c r="C7">
        <v>2.88</v>
      </c>
      <c r="D7" s="20">
        <f t="shared" si="3"/>
        <v>2.7188569650451022E-2</v>
      </c>
      <c r="E7" s="17">
        <f>IF(OR($A7="",$B7="",$C7=""),"",A7*'MPTO_working_3-way'!$I6)</f>
        <v>2.8658561093247585</v>
      </c>
      <c r="F7" s="21">
        <f>IF(OR($A7="",$B7="",$C7=""),"",B7*'MPTO_working_3-way'!$I6)</f>
        <v>3.1945564516129026</v>
      </c>
      <c r="G7" s="22">
        <f>IF(OR($A7="",$B7="",$C7=""),"",C7*'MPTO_working_3-way'!$I6)</f>
        <v>2.9583030805932991</v>
      </c>
      <c r="H7" s="17">
        <f>IF(OR($A7="",$B7="",$C7=""),"",'MPTO_working_3-way'!E6)</f>
        <v>2.8623762417064933</v>
      </c>
      <c r="I7" s="21">
        <f>IF(OR($A7="",$B7="",$C7=""),"",'MPTO_working_3-way'!F6)</f>
        <v>3.2001991618605032</v>
      </c>
      <c r="J7" s="22">
        <f>IF(OR($A7="",$B7="",$C7=""),"",'MPTO_working_3-way'!G6)</f>
        <v>2.9571855802738418</v>
      </c>
      <c r="K7" s="17">
        <f>IF(OR($A7="",$B7="",$C7=""),"",'OddsRatio_working_3-way'!H6)</f>
        <v>2.8640868645061484</v>
      </c>
      <c r="L7" s="21">
        <f>IF(OR($A7="",$B7="",$C7=""),"",'OddsRatio_working_3-way'!I6)</f>
        <v>3.1973314436357381</v>
      </c>
      <c r="M7" s="22">
        <f>IF(OR($A7="",$B7="",$C7=""),"",'OddsRatio_working_3-way'!J6)</f>
        <v>2.9578119023863461</v>
      </c>
      <c r="N7" s="23">
        <f t="shared" si="16"/>
        <v>34.893587181375132</v>
      </c>
      <c r="O7" s="24">
        <f t="shared" si="17"/>
        <v>31.303250236667722</v>
      </c>
      <c r="P7" s="24">
        <f t="shared" si="18"/>
        <v>33.80316258195716</v>
      </c>
      <c r="Q7" t="s">
        <v>54</v>
      </c>
      <c r="R7" t="s">
        <v>56</v>
      </c>
      <c r="S7" s="48" t="s">
        <v>128</v>
      </c>
      <c r="T7" s="35">
        <v>100</v>
      </c>
      <c r="U7" s="35">
        <f t="shared" si="19"/>
        <v>50.248756218905463</v>
      </c>
      <c r="V7" s="35">
        <f t="shared" si="20"/>
        <v>71.83098591549296</v>
      </c>
      <c r="W7" s="35">
        <f t="shared" si="21"/>
        <v>75</v>
      </c>
      <c r="X7" s="35">
        <f t="shared" si="22"/>
        <v>53.169014084507047</v>
      </c>
      <c r="Y7" s="35">
        <f t="shared" si="23"/>
        <v>74.75124378109453</v>
      </c>
      <c r="Z7" s="35">
        <f t="shared" si="24"/>
        <v>77.92025786560157</v>
      </c>
      <c r="AA7" s="35">
        <f t="shared" si="25"/>
        <v>-2.9202578656015845</v>
      </c>
      <c r="AB7" s="35">
        <f t="shared" si="26"/>
        <v>-2.9202578656015703</v>
      </c>
      <c r="AC7" s="35">
        <f t="shared" si="27"/>
        <v>-2.9202578656015703</v>
      </c>
      <c r="AD7" s="27"/>
      <c r="AE7" s="27"/>
      <c r="AF7">
        <v>2.37</v>
      </c>
      <c r="AG7">
        <v>1.64</v>
      </c>
      <c r="AH7" s="36"/>
      <c r="AI7" s="27"/>
      <c r="AJ7" t="s">
        <v>111</v>
      </c>
    </row>
    <row r="8" spans="1:36" ht="15" x14ac:dyDescent="0.25">
      <c r="A8">
        <v>2.0099999999999998</v>
      </c>
      <c r="B8">
        <v>3.55</v>
      </c>
      <c r="C8">
        <v>4</v>
      </c>
      <c r="D8" s="20">
        <f t="shared" si="3"/>
        <v>2.9202578656015721E-2</v>
      </c>
      <c r="E8" s="17">
        <f>IF(OR($A8="",$B8="",$C8=""),"",A8*'MPTO_working_3-way'!$I7)</f>
        <v>2.0686971830985912</v>
      </c>
      <c r="F8" s="21">
        <f>IF(OR($A8="",$B8="",$C8=""),"",B8*'MPTO_working_3-way'!$I7)</f>
        <v>3.6536691542288557</v>
      </c>
      <c r="G8" s="22">
        <f>IF(OR($A8="",$B8="",$C8=""),"",C8*'MPTO_working_3-way'!$I7)</f>
        <v>4.1168103146240629</v>
      </c>
      <c r="H8" s="17">
        <f>IF(OR($A8="",$B8="",$C8=""),"",'MPTO_working_3-way'!E7)</f>
        <v>2.0501119318113794</v>
      </c>
      <c r="I8" s="21">
        <f>IF(OR($A8="",$B8="",$C8=""),"",'MPTO_working_3-way'!F7)</f>
        <v>3.6770661112661842</v>
      </c>
      <c r="J8" s="22">
        <f>IF(OR($A8="",$B8="",$C8=""),"",'MPTO_working_3-way'!G7)</f>
        <v>4.1620570650853059</v>
      </c>
      <c r="K8" s="17">
        <f>IF(OR($A8="",$B8="",$C8=""),"",'OddsRatio_working_3-way'!H7)</f>
        <v>2.0574902425876775</v>
      </c>
      <c r="L8" s="21">
        <f>IF(OR($A8="",$B8="",$C8=""),"",'OddsRatio_working_3-way'!I7)</f>
        <v>3.6699011075233456</v>
      </c>
      <c r="M8" s="22">
        <f>IF(OR($A8="",$B8="",$C8=""),"",'OddsRatio_working_3-way'!J7)</f>
        <v>4.1410601264980524</v>
      </c>
      <c r="N8" s="23">
        <f t="shared" si="16"/>
        <v>48.339602730166305</v>
      </c>
      <c r="O8" s="24">
        <f t="shared" si="17"/>
        <v>27.36974689792514</v>
      </c>
      <c r="P8" s="24">
        <f t="shared" si="18"/>
        <v>24.290650371908562</v>
      </c>
      <c r="Q8" t="s">
        <v>52</v>
      </c>
      <c r="R8" t="s">
        <v>47</v>
      </c>
      <c r="S8" s="48" t="s">
        <v>128</v>
      </c>
      <c r="T8" s="35">
        <v>100</v>
      </c>
      <c r="U8" s="35">
        <f t="shared" si="19"/>
        <v>62.686567164179095</v>
      </c>
      <c r="V8" s="35">
        <f t="shared" si="20"/>
        <v>68.652037617554868</v>
      </c>
      <c r="W8" s="35">
        <f t="shared" si="21"/>
        <v>65.397923875432525</v>
      </c>
      <c r="X8" s="35">
        <f t="shared" si="22"/>
        <v>65.950038507012621</v>
      </c>
      <c r="Y8" s="35">
        <f t="shared" si="23"/>
        <v>71.915508960388365</v>
      </c>
      <c r="Z8" s="35">
        <f t="shared" si="24"/>
        <v>68.661395218266037</v>
      </c>
      <c r="AA8" s="35">
        <f t="shared" si="25"/>
        <v>-3.263471342833526</v>
      </c>
      <c r="AB8" s="35">
        <f t="shared" si="26"/>
        <v>-3.2634713428334976</v>
      </c>
      <c r="AC8" s="35">
        <f t="shared" si="27"/>
        <v>-3.2634713428335118</v>
      </c>
      <c r="AF8">
        <v>1.93</v>
      </c>
      <c r="AG8">
        <v>1.96</v>
      </c>
      <c r="AJ8" t="s">
        <v>111</v>
      </c>
    </row>
    <row r="9" spans="1:36" ht="15" x14ac:dyDescent="0.25">
      <c r="A9">
        <v>2.68</v>
      </c>
      <c r="B9">
        <v>3.19</v>
      </c>
      <c r="C9">
        <v>2.89</v>
      </c>
      <c r="D9" s="20">
        <f t="shared" si="3"/>
        <v>3.2634713428335127E-2</v>
      </c>
      <c r="E9" s="17">
        <f>IF(OR($A9="",$B9="",$C9=""),"",A9*'MPTO_working_3-way'!$I8)</f>
        <v>2.7674610319879385</v>
      </c>
      <c r="F9" s="21">
        <f>IF(OR($A9="",$B9="",$C9=""),"",B9*'MPTO_working_3-way'!$I8)</f>
        <v>3.2941047358363891</v>
      </c>
      <c r="G9" s="22">
        <f>IF(OR($A9="",$B9="",$C9=""),"",C9*'MPTO_working_3-way'!$I8)</f>
        <v>2.9843143218078887</v>
      </c>
      <c r="H9" s="17">
        <f>IF(OR($A9="",$B9="",$C9=""),"",'MPTO_working_3-way'!E8)</f>
        <v>2.7604780874357404</v>
      </c>
      <c r="I9" s="21">
        <f>IF(OR($A9="",$B9="",$C9=""),"",'MPTO_working_3-way'!F8)</f>
        <v>3.304677526990603</v>
      </c>
      <c r="J9" s="22">
        <f>IF(OR($A9="",$B9="",$C9=""),"",'MPTO_working_3-way'!G8)</f>
        <v>2.9838051875571026</v>
      </c>
      <c r="K9" s="17">
        <f>IF(OR($A9="",$B9="",$C9=""),"",'OddsRatio_working_3-way'!H8)</f>
        <v>2.7638281635395363</v>
      </c>
      <c r="L9" s="21">
        <f>IF(OR($A9="",$B9="",$C9=""),"",'OddsRatio_working_3-way'!I8)</f>
        <v>3.299275998899752</v>
      </c>
      <c r="M9" s="22">
        <f>IF(OR($A9="",$B9="",$C9=""),"",'OddsRatio_working_3-way'!J8)</f>
        <v>2.9843066839819783</v>
      </c>
      <c r="N9" s="23">
        <f t="shared" si="16"/>
        <v>36.134203460912843</v>
      </c>
      <c r="O9" s="24">
        <f t="shared" si="17"/>
        <v>30.357261841770043</v>
      </c>
      <c r="P9" s="24">
        <f t="shared" si="18"/>
        <v>33.508534697317103</v>
      </c>
      <c r="Q9" t="s">
        <v>114</v>
      </c>
      <c r="R9" t="s">
        <v>115</v>
      </c>
      <c r="S9" s="48" t="s">
        <v>128</v>
      </c>
      <c r="T9" s="35">
        <v>100</v>
      </c>
      <c r="U9" s="35">
        <f t="shared" si="19"/>
        <v>57.264957264957268</v>
      </c>
      <c r="V9" s="35">
        <f t="shared" si="20"/>
        <v>69.879518072289159</v>
      </c>
      <c r="W9" s="35">
        <f t="shared" si="21"/>
        <v>69.512195121951223</v>
      </c>
      <c r="X9" s="35">
        <f t="shared" si="22"/>
        <v>60.608286805759626</v>
      </c>
      <c r="Y9" s="35">
        <f t="shared" si="23"/>
        <v>73.222847613091517</v>
      </c>
      <c r="Z9" s="35">
        <f t="shared" si="24"/>
        <v>72.855524662753581</v>
      </c>
      <c r="AA9" s="35">
        <f t="shared" si="25"/>
        <v>-3.3433295408023582</v>
      </c>
      <c r="AB9" s="35">
        <f t="shared" si="26"/>
        <v>-3.3433295408023582</v>
      </c>
      <c r="AC9" s="35">
        <f t="shared" si="27"/>
        <v>-3.3433295408023582</v>
      </c>
      <c r="AF9">
        <v>2.19</v>
      </c>
      <c r="AG9">
        <v>1.72</v>
      </c>
      <c r="AJ9" t="s">
        <v>112</v>
      </c>
    </row>
    <row r="10" spans="1:36" ht="15" x14ac:dyDescent="0.25">
      <c r="A10">
        <v>2.34</v>
      </c>
      <c r="B10">
        <v>3.32</v>
      </c>
      <c r="C10">
        <v>3.28</v>
      </c>
      <c r="D10" s="20">
        <f t="shared" si="3"/>
        <v>3.3433295408023644E-2</v>
      </c>
      <c r="E10" s="17">
        <f>IF(OR($A10="",$B10="",$C10=""),"",A10*'MPTO_working_3-way'!$I9)</f>
        <v>2.418233911254775</v>
      </c>
      <c r="F10" s="21">
        <f>IF(OR($A10="",$B10="",$C10=""),"",B10*'MPTO_working_3-way'!$I9)</f>
        <v>3.4309985407546382</v>
      </c>
      <c r="G10" s="22">
        <f>IF(OR($A10="",$B10="",$C10=""),"",C10*'MPTO_working_3-way'!$I9)</f>
        <v>3.3896612089383176</v>
      </c>
      <c r="H10" s="17">
        <f>IF(OR($A10="",$B10="",$C10=""),"",'MPTO_working_3-way'!E9)</f>
        <v>2.4026564025920343</v>
      </c>
      <c r="I10" s="21">
        <f>IF(OR($A10="",$B10="",$C10=""),"",'MPTO_working_3-way'!F9)</f>
        <v>3.4475579678667447</v>
      </c>
      <c r="J10" s="22">
        <f>IF(OR($A10="",$B10="",$C10=""),"",'MPTO_working_3-way'!G9)</f>
        <v>3.4044451918335703</v>
      </c>
      <c r="K10" s="17">
        <f>IF(OR($A10="",$B10="",$C10=""),"",'OddsRatio_working_3-way'!H9)</f>
        <v>2.4094196768700002</v>
      </c>
      <c r="L10" s="21">
        <f>IF(OR($A10="",$B10="",$C10=""),"",'OddsRatio_working_3-way'!I9)</f>
        <v>3.4401892912973135</v>
      </c>
      <c r="M10" s="22">
        <f>IF(OR($A10="",$B10="",$C10=""),"",'OddsRatio_working_3-way'!J9)</f>
        <v>3.3981170621370165</v>
      </c>
      <c r="N10" s="23">
        <f t="shared" si="16"/>
        <v>41.352492632985999</v>
      </c>
      <c r="O10" s="24">
        <f t="shared" si="17"/>
        <v>29.146033964213018</v>
      </c>
      <c r="P10" s="24">
        <f t="shared" si="18"/>
        <v>29.501473402800983</v>
      </c>
      <c r="Q10" t="s">
        <v>108</v>
      </c>
      <c r="R10" t="s">
        <v>96</v>
      </c>
      <c r="S10" s="48" t="s">
        <v>128</v>
      </c>
      <c r="T10" s="35">
        <v>100</v>
      </c>
      <c r="U10" s="35">
        <f t="shared" si="19"/>
        <v>63.369963369963365</v>
      </c>
      <c r="V10" s="35">
        <f t="shared" si="20"/>
        <v>70.149253731343279</v>
      </c>
      <c r="W10" s="35">
        <f t="shared" si="21"/>
        <v>63.235294117647051</v>
      </c>
      <c r="X10" s="35">
        <f t="shared" si="22"/>
        <v>66.615452151009663</v>
      </c>
      <c r="Y10" s="35">
        <f t="shared" si="23"/>
        <v>73.39474251238957</v>
      </c>
      <c r="Z10" s="35">
        <f t="shared" si="24"/>
        <v>66.480782898693349</v>
      </c>
      <c r="AA10" s="35">
        <f t="shared" si="25"/>
        <v>-3.2454887810462978</v>
      </c>
      <c r="AB10" s="35">
        <f t="shared" si="26"/>
        <v>-3.2454887810462907</v>
      </c>
      <c r="AC10" s="35">
        <f t="shared" si="27"/>
        <v>-3.2454887810462978</v>
      </c>
      <c r="AF10">
        <v>2.13</v>
      </c>
      <c r="AG10">
        <v>1.76</v>
      </c>
      <c r="AJ10" t="s">
        <v>112</v>
      </c>
    </row>
    <row r="11" spans="1:36" ht="15" x14ac:dyDescent="0.25">
      <c r="A11">
        <v>2.73</v>
      </c>
      <c r="B11">
        <v>3.35</v>
      </c>
      <c r="C11">
        <v>2.72</v>
      </c>
      <c r="D11" s="20">
        <f t="shared" si="3"/>
        <v>3.2454887810462907E-2</v>
      </c>
      <c r="E11" s="17">
        <f>IF(OR($A11="",$B11="",$C11=""),"",A11*'MPTO_working_3-way'!$I10)</f>
        <v>2.8186018437225635</v>
      </c>
      <c r="F11" s="21">
        <f>IF(OR($A11="",$B11="",$C11=""),"",B11*'MPTO_working_3-way'!$I10)</f>
        <v>3.458723874165051</v>
      </c>
      <c r="G11" s="22">
        <f>IF(OR($A11="",$B11="",$C11=""),"",C11*'MPTO_working_3-way'!$I10)</f>
        <v>2.8082772948444594</v>
      </c>
      <c r="H11" s="17">
        <f>IF(OR($A11="",$B11="",$C11=""),"",'MPTO_working_3-way'!E10)</f>
        <v>2.8130813995128285</v>
      </c>
      <c r="I11" s="21">
        <f>IF(OR($A11="",$B11="",$C11=""),"",'MPTO_working_3-way'!F10)</f>
        <v>3.4759737785673237</v>
      </c>
      <c r="J11" s="22">
        <f>IF(OR($A11="",$B11="",$C11=""),"",'MPTO_working_3-way'!G10)</f>
        <v>2.8024646665535076</v>
      </c>
      <c r="K11" s="17">
        <f>IF(OR($A11="",$B11="",$C11=""),"",'OddsRatio_working_3-way'!H10)</f>
        <v>2.8160128168677456</v>
      </c>
      <c r="L11" s="21">
        <f>IF(OR($A11="",$B11="",$C11=""),"",'OddsRatio_working_3-way'!I10)</f>
        <v>3.4668382194446252</v>
      </c>
      <c r="M11" s="22">
        <f>IF(OR($A11="",$B11="",$C11=""),"",'OddsRatio_working_3-way'!J10)</f>
        <v>2.8055156329552151</v>
      </c>
      <c r="N11" s="23">
        <f t="shared" si="16"/>
        <v>35.478583192838876</v>
      </c>
      <c r="O11" s="24">
        <f t="shared" si="17"/>
        <v>28.912397646701528</v>
      </c>
      <c r="P11" s="24">
        <f t="shared" si="18"/>
        <v>35.609019160459596</v>
      </c>
      <c r="Q11" t="s">
        <v>35</v>
      </c>
      <c r="R11" t="s">
        <v>107</v>
      </c>
      <c r="S11" s="48" t="s">
        <v>128</v>
      </c>
      <c r="T11" s="35">
        <v>100</v>
      </c>
      <c r="U11" s="35">
        <f t="shared" si="19"/>
        <v>41.860465116279073</v>
      </c>
      <c r="V11" s="35">
        <f t="shared" si="20"/>
        <v>72.602739726027394</v>
      </c>
      <c r="W11" s="35">
        <f t="shared" si="21"/>
        <v>81.71846435100548</v>
      </c>
      <c r="X11" s="35">
        <f t="shared" si="22"/>
        <v>45.678795922967119</v>
      </c>
      <c r="Y11" s="35">
        <f t="shared" si="23"/>
        <v>76.421070532715447</v>
      </c>
      <c r="Z11" s="35">
        <f t="shared" si="24"/>
        <v>85.536795157693533</v>
      </c>
      <c r="AA11" s="35">
        <f t="shared" si="25"/>
        <v>-3.8183308066880457</v>
      </c>
      <c r="AB11" s="35">
        <f t="shared" si="26"/>
        <v>-3.8183308066880528</v>
      </c>
      <c r="AC11" s="35">
        <f t="shared" si="27"/>
        <v>-3.8183308066880528</v>
      </c>
      <c r="AF11">
        <v>1.96</v>
      </c>
      <c r="AG11">
        <v>1.9</v>
      </c>
      <c r="AJ11" t="s">
        <v>112</v>
      </c>
    </row>
    <row r="12" spans="1:36" ht="15" x14ac:dyDescent="0.25">
      <c r="A12">
        <v>1.72</v>
      </c>
      <c r="B12">
        <v>3.65</v>
      </c>
      <c r="C12">
        <v>5.47</v>
      </c>
      <c r="D12" s="20">
        <f t="shared" si="3"/>
        <v>3.8183308066880528E-2</v>
      </c>
      <c r="E12" s="17">
        <f>IF(OR($A12="",$B12="",$C12=""),"",A12*'MPTO_working_3-way'!$I11)</f>
        <v>1.7856752898750345</v>
      </c>
      <c r="F12" s="21">
        <f>IF(OR($A12="",$B12="",$C12=""),"",B12*'MPTO_working_3-way'!$I11)</f>
        <v>3.7893690744441137</v>
      </c>
      <c r="G12" s="22">
        <f>IF(OR($A12="",$B12="",$C12=""),"",C12*'MPTO_working_3-way'!$I11)</f>
        <v>5.6788626951258365</v>
      </c>
      <c r="H12" s="17">
        <f>IF(OR($A12="",$B12="",$C12=""),"",'MPTO_working_3-way'!E11)</f>
        <v>1.7584965911220671</v>
      </c>
      <c r="I12" s="21">
        <f>IF(OR($A12="",$B12="",$C12=""),"",'MPTO_working_3-way'!F11)</f>
        <v>3.8278268972681833</v>
      </c>
      <c r="J12" s="22">
        <f>IF(OR($A12="",$B12="",$C12=""),"",'MPTO_working_3-way'!G11)</f>
        <v>5.8793238051539829</v>
      </c>
      <c r="K12" s="17">
        <f>IF(OR($A12="",$B12="",$C12=""),"",'OddsRatio_working_3-way'!H11)</f>
        <v>1.7684028696412297</v>
      </c>
      <c r="L12" s="21">
        <f>IF(OR($A12="",$B12="",$C12=""),"",'OddsRatio_working_3-way'!I11)</f>
        <v>3.8281494507628602</v>
      </c>
      <c r="M12" s="22">
        <f>IF(OR($A12="",$B12="",$C12=""),"",'OddsRatio_working_3-way'!J11)</f>
        <v>5.7705011490226354</v>
      </c>
      <c r="N12" s="23">
        <f t="shared" si="16"/>
        <v>56.001222936224991</v>
      </c>
      <c r="O12" s="24">
        <f t="shared" si="17"/>
        <v>26.389617383645753</v>
      </c>
      <c r="P12" s="24">
        <f t="shared" si="18"/>
        <v>17.609159680129249</v>
      </c>
      <c r="Q12" t="s">
        <v>99</v>
      </c>
      <c r="R12" t="s">
        <v>101</v>
      </c>
      <c r="S12" s="48" t="s">
        <v>128</v>
      </c>
      <c r="T12" s="35">
        <v>100</v>
      </c>
      <c r="U12" s="35">
        <f t="shared" si="19"/>
        <v>46.524064171122987</v>
      </c>
      <c r="V12" s="35">
        <f t="shared" si="20"/>
        <v>71.988795518207283</v>
      </c>
      <c r="W12" s="35">
        <f t="shared" si="21"/>
        <v>77.924944812362028</v>
      </c>
      <c r="X12" s="35">
        <f t="shared" si="22"/>
        <v>50.086259669430689</v>
      </c>
      <c r="Y12" s="35">
        <f t="shared" si="23"/>
        <v>75.550991016514971</v>
      </c>
      <c r="Z12" s="35">
        <f t="shared" si="24"/>
        <v>81.487140310669716</v>
      </c>
      <c r="AA12" s="35">
        <f t="shared" si="25"/>
        <v>-3.5621954983077018</v>
      </c>
      <c r="AB12" s="35">
        <f t="shared" si="26"/>
        <v>-3.5621954983076876</v>
      </c>
      <c r="AC12" s="35">
        <f t="shared" si="27"/>
        <v>-3.5621954983076876</v>
      </c>
      <c r="AF12">
        <v>2.16</v>
      </c>
      <c r="AG12">
        <v>1.74</v>
      </c>
      <c r="AJ12" t="s">
        <v>112</v>
      </c>
    </row>
    <row r="13" spans="1:36" ht="15" x14ac:dyDescent="0.25">
      <c r="A13">
        <v>1.87</v>
      </c>
      <c r="B13">
        <v>3.57</v>
      </c>
      <c r="C13">
        <v>4.53</v>
      </c>
      <c r="D13" s="20">
        <f t="shared" si="3"/>
        <v>3.5621954983076742E-2</v>
      </c>
      <c r="E13" s="17">
        <f>IF(OR($A13="",$B13="",$C13=""),"",A13*'MPTO_working_3-way'!$I12)</f>
        <v>1.9366130558183536</v>
      </c>
      <c r="F13" s="21">
        <f>IF(OR($A13="",$B13="",$C13=""),"",B13*'MPTO_working_3-way'!$I12)</f>
        <v>3.6971703792895836</v>
      </c>
      <c r="G13" s="22">
        <f>IF(OR($A13="",$B13="",$C13=""),"",C13*'MPTO_working_3-way'!$I12)</f>
        <v>4.6913674560733378</v>
      </c>
      <c r="H13" s="17">
        <f>IF(OR($A13="",$B13="",$C13=""),"",'MPTO_working_3-way'!E12)</f>
        <v>1.9124650469749302</v>
      </c>
      <c r="I13" s="21">
        <f>IF(OR($A13="",$B13="",$C13=""),"",'MPTO_working_3-way'!F12)</f>
        <v>3.7280317366511788</v>
      </c>
      <c r="J13" s="22">
        <f>IF(OR($A13="",$B13="",$C13=""),"",'MPTO_working_3-way'!G12)</f>
        <v>4.7875164501570318</v>
      </c>
      <c r="K13" s="17">
        <f>IF(OR($A13="",$B13="",$C13=""),"",'OddsRatio_working_3-way'!H12)</f>
        <v>1.921660590761501</v>
      </c>
      <c r="L13" s="21">
        <f>IF(OR($A13="",$B13="",$C13=""),"",'OddsRatio_working_3-way'!I12)</f>
        <v>3.7226065727092603</v>
      </c>
      <c r="M13" s="22">
        <f>IF(OR($A13="",$B13="",$C13=""),"",'OddsRatio_working_3-way'!J12)</f>
        <v>4.7396113625150544</v>
      </c>
      <c r="N13" s="23">
        <f t="shared" si="16"/>
        <v>51.636541279921843</v>
      </c>
      <c r="O13" s="24">
        <f t="shared" si="17"/>
        <v>27.047712099006681</v>
      </c>
      <c r="P13" s="24">
        <f t="shared" si="18"/>
        <v>21.31574662107149</v>
      </c>
      <c r="Q13" t="s">
        <v>98</v>
      </c>
      <c r="R13" t="s">
        <v>102</v>
      </c>
      <c r="S13" s="48" t="s">
        <v>128</v>
      </c>
      <c r="T13" s="35">
        <v>100</v>
      </c>
      <c r="U13" s="35">
        <f t="shared" si="19"/>
        <v>66.666666666666657</v>
      </c>
      <c r="V13" s="35">
        <f t="shared" si="20"/>
        <v>69.6048632218845</v>
      </c>
      <c r="W13" s="35">
        <f t="shared" si="21"/>
        <v>60.317460317460316</v>
      </c>
      <c r="X13" s="35">
        <f t="shared" si="22"/>
        <v>70.077676460655184</v>
      </c>
      <c r="Y13" s="35">
        <f t="shared" si="23"/>
        <v>73.015873015873012</v>
      </c>
      <c r="Z13" s="35">
        <f t="shared" si="24"/>
        <v>63.728470111448829</v>
      </c>
      <c r="AA13" s="35">
        <f t="shared" si="25"/>
        <v>-3.4110097939885264</v>
      </c>
      <c r="AB13" s="35">
        <f t="shared" si="26"/>
        <v>-3.4110097939885122</v>
      </c>
      <c r="AC13" s="35">
        <f t="shared" si="27"/>
        <v>-3.4110097939885122</v>
      </c>
      <c r="AF13">
        <v>1.96</v>
      </c>
      <c r="AG13">
        <v>1.91</v>
      </c>
      <c r="AJ13" t="s">
        <v>112</v>
      </c>
    </row>
    <row r="14" spans="1:36" ht="15" x14ac:dyDescent="0.25">
      <c r="A14">
        <v>3</v>
      </c>
      <c r="B14">
        <v>3.29</v>
      </c>
      <c r="C14">
        <v>2.52</v>
      </c>
      <c r="D14" s="20">
        <f t="shared" si="3"/>
        <v>3.4110097939885176E-2</v>
      </c>
      <c r="E14" s="17">
        <f>IF(OR($A14="",$B14="",$C14=""),"",A14*'MPTO_working_3-way'!$I13)</f>
        <v>3.1023302938196555</v>
      </c>
      <c r="F14" s="21">
        <f>IF(OR($A14="",$B14="",$C14=""),"",B14*'MPTO_working_3-way'!$I13)</f>
        <v>3.4022222222222225</v>
      </c>
      <c r="G14" s="22">
        <f>IF(OR($A14="",$B14="",$C14=""),"",C14*'MPTO_working_3-way'!$I13)</f>
        <v>2.6059574468085107</v>
      </c>
      <c r="H14" s="17">
        <f>IF(OR($A14="",$B14="",$C14=""),"",'MPTO_working_3-way'!E13)</f>
        <v>3.1059440559440561</v>
      </c>
      <c r="I14" s="21">
        <f>IF(OR($A14="",$B14="",$C14=""),"",'MPTO_working_3-way'!F13)</f>
        <v>3.4178530203924589</v>
      </c>
      <c r="J14" s="22">
        <f>IF(OR($A14="",$B14="",$C14=""),"",'MPTO_working_3-way'!G13)</f>
        <v>2.5943341121495331</v>
      </c>
      <c r="K14" s="17">
        <f>IF(OR($A14="",$B14="",$C14=""),"",'OddsRatio_working_3-way'!H13)</f>
        <v>3.1048154969536461</v>
      </c>
      <c r="L14" s="21">
        <f>IF(OR($A14="",$B14="",$C14=""),"",'OddsRatio_working_3-way'!I13)</f>
        <v>3.4100137440119247</v>
      </c>
      <c r="M14" s="22">
        <f>IF(OR($A14="",$B14="",$C14=""),"",'OddsRatio_working_3-way'!J13)</f>
        <v>2.5996597776847707</v>
      </c>
      <c r="N14" s="23">
        <f t="shared" si="16"/>
        <v>32.233834095362504</v>
      </c>
      <c r="O14" s="24">
        <f t="shared" si="17"/>
        <v>29.392553886348789</v>
      </c>
      <c r="P14" s="24">
        <f t="shared" si="18"/>
        <v>38.373612018288696</v>
      </c>
      <c r="Q14" t="s">
        <v>110</v>
      </c>
      <c r="R14" t="s">
        <v>100</v>
      </c>
      <c r="S14" s="48" t="s">
        <v>128</v>
      </c>
      <c r="T14" s="35">
        <v>100</v>
      </c>
      <c r="U14" s="35">
        <f t="shared" si="19"/>
        <v>42.528735632183903</v>
      </c>
      <c r="V14" s="35">
        <f t="shared" si="20"/>
        <v>75.186104218362274</v>
      </c>
      <c r="W14" s="35">
        <f t="shared" si="21"/>
        <v>78.678038379530932</v>
      </c>
      <c r="X14" s="35">
        <f t="shared" si="22"/>
        <v>46.135857402106794</v>
      </c>
      <c r="Y14" s="35">
        <f t="shared" si="23"/>
        <v>78.793225988285172</v>
      </c>
      <c r="Z14" s="35">
        <f t="shared" si="24"/>
        <v>82.285160149453802</v>
      </c>
      <c r="AA14" s="35">
        <f t="shared" si="25"/>
        <v>-3.607121769922891</v>
      </c>
      <c r="AB14" s="35">
        <f t="shared" si="26"/>
        <v>-3.6071217699228981</v>
      </c>
      <c r="AC14" s="35">
        <f t="shared" si="27"/>
        <v>-3.6071217699228697</v>
      </c>
      <c r="AF14">
        <v>1.93</v>
      </c>
      <c r="AG14">
        <v>1.94</v>
      </c>
      <c r="AJ14" t="s">
        <v>112</v>
      </c>
    </row>
    <row r="15" spans="1:36" ht="15" x14ac:dyDescent="0.25">
      <c r="A15">
        <v>1.74</v>
      </c>
      <c r="B15">
        <v>4.03</v>
      </c>
      <c r="C15">
        <v>4.6900000000000004</v>
      </c>
      <c r="D15" s="20">
        <f t="shared" si="3"/>
        <v>3.607121769922883E-2</v>
      </c>
      <c r="E15" s="17">
        <f>IF(OR($A15="",$B15="",$C15=""),"",A15*'MPTO_working_3-way'!$I14)</f>
        <v>1.8027639187966582</v>
      </c>
      <c r="F15" s="21">
        <f>IF(OR($A15="",$B15="",$C15=""),"",B15*'MPTO_working_3-way'!$I14)</f>
        <v>4.1753670073278926</v>
      </c>
      <c r="G15" s="22">
        <f>IF(OR($A15="",$B15="",$C15=""),"",C15*'MPTO_working_3-way'!$I14)</f>
        <v>4.859174011009384</v>
      </c>
      <c r="H15" s="17">
        <f>IF(OR($A15="",$B15="",$C15=""),"",'MPTO_working_3-way'!E14)</f>
        <v>1.7771809468789597</v>
      </c>
      <c r="I15" s="21">
        <f>IF(OR($A15="",$B15="",$C15=""),"",'MPTO_working_3-way'!F14)</f>
        <v>4.2352204402580789</v>
      </c>
      <c r="J15" s="22">
        <f>IF(OR($A15="",$B15="",$C15=""),"",'MPTO_working_3-way'!G14)</f>
        <v>4.9702807783734233</v>
      </c>
      <c r="K15" s="17">
        <f>IF(OR($A15="",$B15="",$C15=""),"",'OddsRatio_working_3-way'!H14)</f>
        <v>1.7863303309828187</v>
      </c>
      <c r="L15" s="21">
        <f>IF(OR($A15="",$B15="",$C15=""),"",'OddsRatio_working_3-way'!I14)</f>
        <v>4.2197039228080273</v>
      </c>
      <c r="M15" s="22">
        <f>IF(OR($A15="",$B15="",$C15=""),"",'OddsRatio_working_3-way'!J14)</f>
        <v>4.921025569360272</v>
      </c>
      <c r="N15" s="23">
        <f t="shared" si="16"/>
        <v>55.470380207492632</v>
      </c>
      <c r="O15" s="24">
        <f t="shared" si="17"/>
        <v>23.949990461795821</v>
      </c>
      <c r="P15" s="24">
        <f t="shared" si="18"/>
        <v>20.579629330711548</v>
      </c>
      <c r="Q15" t="s">
        <v>116</v>
      </c>
      <c r="R15" t="s">
        <v>104</v>
      </c>
      <c r="S15" s="48" t="s">
        <v>128</v>
      </c>
      <c r="T15" s="35">
        <v>100</v>
      </c>
      <c r="U15" s="35">
        <f t="shared" si="19"/>
        <v>44.134078212290497</v>
      </c>
      <c r="V15" s="35">
        <f t="shared" si="20"/>
        <v>73.821989528795811</v>
      </c>
      <c r="W15" s="35">
        <f t="shared" si="21"/>
        <v>78.494623655913983</v>
      </c>
      <c r="X15" s="35">
        <f t="shared" si="22"/>
        <v>47.683386815290206</v>
      </c>
      <c r="Y15" s="35">
        <f t="shared" si="23"/>
        <v>77.371298131795513</v>
      </c>
      <c r="Z15" s="35">
        <f t="shared" si="24"/>
        <v>82.043932258913685</v>
      </c>
      <c r="AA15" s="35">
        <f t="shared" si="25"/>
        <v>-3.5493086029997087</v>
      </c>
      <c r="AB15" s="35">
        <f t="shared" si="26"/>
        <v>-3.5493086029997016</v>
      </c>
      <c r="AC15" s="35">
        <f t="shared" si="27"/>
        <v>-3.5493086029997016</v>
      </c>
      <c r="AF15">
        <v>1.74</v>
      </c>
      <c r="AG15">
        <v>2.16</v>
      </c>
      <c r="AJ15" t="s">
        <v>112</v>
      </c>
    </row>
    <row r="16" spans="1:36" ht="15" x14ac:dyDescent="0.25">
      <c r="A16">
        <v>1.79</v>
      </c>
      <c r="B16">
        <v>3.82</v>
      </c>
      <c r="C16">
        <v>4.6500000000000004</v>
      </c>
      <c r="D16" s="20">
        <f t="shared" si="3"/>
        <v>3.5493086029997123E-2</v>
      </c>
      <c r="E16" s="17">
        <f>IF(OR($A16="",$B16="",$C16=""),"",A16*'MPTO_working_3-way'!$I15)</f>
        <v>1.8535326239936949</v>
      </c>
      <c r="F16" s="21">
        <f>IF(OR($A16="",$B16="",$C16=""),"",B16*'MPTO_working_3-way'!$I15)</f>
        <v>3.9555835886345889</v>
      </c>
      <c r="G16" s="22">
        <f>IF(OR($A16="",$B16="",$C16=""),"",C16*'MPTO_working_3-way'!$I15)</f>
        <v>4.8150428500394868</v>
      </c>
      <c r="H16" s="17">
        <f>IF(OR($A16="",$B16="",$C16=""),"",'MPTO_working_3-way'!E15)</f>
        <v>1.8287279619988088</v>
      </c>
      <c r="I16" s="21">
        <f>IF(OR($A16="",$B16="",$C16=""),"",'MPTO_working_3-way'!F15)</f>
        <v>4.0008149494358056</v>
      </c>
      <c r="J16" s="22">
        <f>IF(OR($A16="",$B16="",$C16=""),"",'MPTO_working_3-way'!G15)</f>
        <v>4.9207092954453655</v>
      </c>
      <c r="K16" s="17">
        <f>IF(OR($A16="",$B16="",$C16=""),"",'OddsRatio_working_3-way'!H15)</f>
        <v>1.8378266322258241</v>
      </c>
      <c r="L16" s="21">
        <f>IF(OR($A16="",$B16="",$C16=""),"",'OddsRatio_working_3-way'!I15)</f>
        <v>3.9907229150339529</v>
      </c>
      <c r="M16" s="22">
        <f>IF(OR($A16="",$B16="",$C16=""),"",'OddsRatio_working_3-way'!J15)</f>
        <v>4.8709711488914635</v>
      </c>
      <c r="N16" s="23">
        <f t="shared" si="16"/>
        <v>53.951033127507642</v>
      </c>
      <c r="O16" s="24">
        <f t="shared" si="17"/>
        <v>25.280719711580808</v>
      </c>
      <c r="P16" s="24">
        <f t="shared" si="18"/>
        <v>20.768247160911542</v>
      </c>
      <c r="Q16" t="s">
        <v>103</v>
      </c>
      <c r="R16" t="s">
        <v>117</v>
      </c>
      <c r="S16" s="48" t="s">
        <v>128</v>
      </c>
      <c r="T16" s="35">
        <v>100</v>
      </c>
      <c r="U16" s="35">
        <f t="shared" si="19"/>
        <v>40.476190476190474</v>
      </c>
      <c r="V16" s="35">
        <f t="shared" si="20"/>
        <v>73.958333333333343</v>
      </c>
      <c r="W16" s="35">
        <f t="shared" si="21"/>
        <v>82.014388489208642</v>
      </c>
      <c r="X16" s="35">
        <f t="shared" si="22"/>
        <v>44.027278177458044</v>
      </c>
      <c r="Y16" s="35">
        <f t="shared" si="23"/>
        <v>77.509421034600891</v>
      </c>
      <c r="Z16" s="35">
        <f t="shared" si="24"/>
        <v>85.56547619047619</v>
      </c>
      <c r="AA16" s="35">
        <f t="shared" si="25"/>
        <v>-3.5510877012675692</v>
      </c>
      <c r="AB16" s="35">
        <f t="shared" si="26"/>
        <v>-3.5510877012675479</v>
      </c>
      <c r="AC16" s="35">
        <f t="shared" si="27"/>
        <v>-3.5510877012675479</v>
      </c>
      <c r="AF16">
        <v>1.88</v>
      </c>
      <c r="AG16">
        <v>1.99</v>
      </c>
      <c r="AJ16" t="s">
        <v>112</v>
      </c>
    </row>
    <row r="17" spans="1:36" ht="15" x14ac:dyDescent="0.25">
      <c r="A17">
        <v>1.68</v>
      </c>
      <c r="B17">
        <v>3.84</v>
      </c>
      <c r="C17">
        <v>5.56</v>
      </c>
      <c r="D17" s="20">
        <f t="shared" si="3"/>
        <v>3.5510877012675524E-2</v>
      </c>
      <c r="E17" s="17">
        <f>IF(OR($A17="",$B17="",$C17=""),"",A17*'MPTO_working_3-way'!$I16)</f>
        <v>1.7396582733812949</v>
      </c>
      <c r="F17" s="21">
        <f>IF(OR($A17="",$B17="",$C17=""),"",B17*'MPTO_working_3-way'!$I16)</f>
        <v>3.9763617677286738</v>
      </c>
      <c r="G17" s="22">
        <f>IF(OR($A17="",$B17="",$C17=""),"",C17*'MPTO_working_3-way'!$I16)</f>
        <v>5.7574404761904754</v>
      </c>
      <c r="H17" s="17">
        <f>IF(OR($A17="",$B17="",$C17=""),"",'MPTO_working_3-way'!E16)</f>
        <v>1.7140864799398101</v>
      </c>
      <c r="I17" s="21">
        <f>IF(OR($A17="",$B17="",$C17=""),"",'MPTO_working_3-way'!F16)</f>
        <v>4.0228545177869011</v>
      </c>
      <c r="J17" s="22">
        <f>IF(OR($A17="",$B17="",$C17=""),"",'MPTO_working_3-way'!G16)</f>
        <v>5.9517023129367281</v>
      </c>
      <c r="K17" s="17">
        <f>IF(OR($A17="",$B17="",$C17=""),"",'OddsRatio_working_3-way'!H16)</f>
        <v>1.7231934460463998</v>
      </c>
      <c r="L17" s="21">
        <f>IF(OR($A17="",$B17="",$C17=""),"",'OddsRatio_working_3-way'!I16)</f>
        <v>4.0203961570173155</v>
      </c>
      <c r="M17" s="22">
        <f>IF(OR($A17="",$B17="",$C17=""),"",'OddsRatio_working_3-way'!J16)</f>
        <v>5.8496501676052652</v>
      </c>
      <c r="N17" s="23">
        <f t="shared" si="16"/>
        <v>57.482553631429312</v>
      </c>
      <c r="O17" s="24">
        <f t="shared" si="17"/>
        <v>25.148617213750324</v>
      </c>
      <c r="P17" s="24">
        <f t="shared" si="18"/>
        <v>17.368829154820371</v>
      </c>
      <c r="Q17" t="s">
        <v>94</v>
      </c>
      <c r="R17" t="s">
        <v>97</v>
      </c>
      <c r="S17" s="48" t="s">
        <v>128</v>
      </c>
      <c r="T17" s="35">
        <v>100</v>
      </c>
      <c r="U17" s="35">
        <f t="shared" si="19"/>
        <v>69.512195121951223</v>
      </c>
      <c r="V17" s="35">
        <f t="shared" si="20"/>
        <v>68.652037617554868</v>
      </c>
      <c r="W17" s="35">
        <f t="shared" si="21"/>
        <v>58.50622406639004</v>
      </c>
      <c r="X17" s="35">
        <f t="shared" si="22"/>
        <v>72.8417383160551</v>
      </c>
      <c r="Y17" s="35">
        <f t="shared" si="23"/>
        <v>71.981580811658731</v>
      </c>
      <c r="Z17" s="35">
        <f t="shared" si="24"/>
        <v>61.835767260493924</v>
      </c>
      <c r="AA17" s="35">
        <f t="shared" si="25"/>
        <v>-3.3295431941038771</v>
      </c>
      <c r="AB17" s="35">
        <f t="shared" si="26"/>
        <v>-3.3295431941038629</v>
      </c>
      <c r="AC17" s="35">
        <f t="shared" si="27"/>
        <v>-3.3295431941038842</v>
      </c>
      <c r="AF17">
        <v>1.92</v>
      </c>
      <c r="AG17">
        <v>1.95</v>
      </c>
      <c r="AJ17" t="s">
        <v>112</v>
      </c>
    </row>
    <row r="18" spans="1:36" ht="15" x14ac:dyDescent="0.25">
      <c r="A18">
        <v>3.28</v>
      </c>
      <c r="B18">
        <v>3.19</v>
      </c>
      <c r="C18">
        <v>2.41</v>
      </c>
      <c r="D18" s="20">
        <f t="shared" si="3"/>
        <v>3.3295431941038789E-2</v>
      </c>
      <c r="E18" s="17">
        <f>IF(OR($A18="",$B18="",$C18=""),"",A18*'MPTO_working_3-way'!$I17)</f>
        <v>3.3892090167666069</v>
      </c>
      <c r="F18" s="21">
        <f>IF(OR($A18="",$B18="",$C18=""),"",B18*'MPTO_working_3-way'!$I17)</f>
        <v>3.2962124278919136</v>
      </c>
      <c r="G18" s="22">
        <f>IF(OR($A18="",$B18="",$C18=""),"",C18*'MPTO_working_3-way'!$I17)</f>
        <v>2.4902419909779034</v>
      </c>
      <c r="H18" s="17">
        <f>IF(OR($A18="",$B18="",$C18=""),"",'MPTO_working_3-way'!E17)</f>
        <v>3.4039126512681359</v>
      </c>
      <c r="I18" s="21">
        <f>IF(OR($A18="",$B18="",$C18=""),"",'MPTO_working_3-way'!F17)</f>
        <v>3.3070844910113357</v>
      </c>
      <c r="J18" s="22">
        <f>IF(OR($A18="",$B18="",$C18=""),"",'MPTO_working_3-way'!G17)</f>
        <v>2.4762326116271245</v>
      </c>
      <c r="K18" s="17">
        <f>IF(OR($A18="",$B18="",$C18=""),"",'OddsRatio_working_3-way'!H17)</f>
        <v>3.3971177225042588</v>
      </c>
      <c r="L18" s="21">
        <f>IF(OR($A18="",$B18="",$C18=""),"",'OddsRatio_working_3-way'!I17)</f>
        <v>3.302494654510669</v>
      </c>
      <c r="M18" s="22">
        <f>IF(OR($A18="",$B18="",$C18=""),"",'OddsRatio_working_3-way'!J17)</f>
        <v>2.4824280652328969</v>
      </c>
      <c r="N18" s="23">
        <f t="shared" si="16"/>
        <v>29.505409523370908</v>
      </c>
      <c r="O18" s="24">
        <f t="shared" si="17"/>
        <v>30.337850544406454</v>
      </c>
      <c r="P18" s="24">
        <f t="shared" si="18"/>
        <v>40.156739932222649</v>
      </c>
      <c r="Q18" t="s">
        <v>105</v>
      </c>
      <c r="R18" t="s">
        <v>92</v>
      </c>
      <c r="S18" s="48" t="s">
        <v>128</v>
      </c>
      <c r="T18" s="35">
        <v>100</v>
      </c>
      <c r="U18" s="35">
        <f t="shared" si="19"/>
        <v>41.176470588235297</v>
      </c>
      <c r="V18" s="35">
        <f t="shared" si="20"/>
        <v>73.753280839895012</v>
      </c>
      <c r="W18" s="35">
        <f t="shared" si="21"/>
        <v>81.238273921200744</v>
      </c>
      <c r="X18" s="35">
        <f t="shared" si="22"/>
        <v>45.008445238904237</v>
      </c>
      <c r="Y18" s="35">
        <f t="shared" si="23"/>
        <v>77.585255490563952</v>
      </c>
      <c r="Z18" s="35">
        <f t="shared" si="24"/>
        <v>85.070248571869683</v>
      </c>
      <c r="AA18" s="35">
        <f t="shared" si="25"/>
        <v>-3.8319746506689398</v>
      </c>
      <c r="AB18" s="35">
        <f t="shared" si="26"/>
        <v>-3.8319746506689398</v>
      </c>
      <c r="AC18" s="35">
        <f t="shared" si="27"/>
        <v>-3.8319746506689398</v>
      </c>
      <c r="AF18">
        <v>2.39</v>
      </c>
      <c r="AG18">
        <v>1.61</v>
      </c>
      <c r="AJ18" t="s">
        <v>112</v>
      </c>
    </row>
    <row r="19" spans="1:36" ht="15" x14ac:dyDescent="0.25">
      <c r="A19">
        <v>1.7</v>
      </c>
      <c r="B19">
        <v>3.81</v>
      </c>
      <c r="C19">
        <v>5.33</v>
      </c>
      <c r="D19" s="20">
        <f t="shared" si="3"/>
        <v>3.8319746506689345E-2</v>
      </c>
      <c r="E19" s="17">
        <f>IF(OR($A19="",$B19="",$C19=""),"",A19*'MPTO_working_3-way'!$I18)</f>
        <v>1.7651435690613719</v>
      </c>
      <c r="F19" s="21">
        <f>IF(OR($A19="",$B19="",$C19=""),"",B19*'MPTO_working_3-way'!$I18)</f>
        <v>3.9559982341904862</v>
      </c>
      <c r="G19" s="22">
        <f>IF(OR($A19="",$B19="",$C19=""),"",C19*'MPTO_working_3-way'!$I18)</f>
        <v>5.534244248880654</v>
      </c>
      <c r="H19" s="17">
        <f>IF(OR($A19="",$B19="",$C19=""),"",'MPTO_working_3-way'!E18)</f>
        <v>1.7377340663880152</v>
      </c>
      <c r="I19" s="21">
        <f>IF(OR($A19="",$B19="",$C19=""),"",'MPTO_working_3-way'!F18)</f>
        <v>4.0049029180463647</v>
      </c>
      <c r="J19" s="22">
        <f>IF(OR($A19="",$B19="",$C19=""),"",'MPTO_working_3-way'!G18)</f>
        <v>5.7193837457360264</v>
      </c>
      <c r="K19" s="17">
        <f>IF(OR($A19="",$B19="",$C19=""),"",'OddsRatio_working_3-way'!H18)</f>
        <v>1.7475241607864713</v>
      </c>
      <c r="L19" s="21">
        <f>IF(OR($A19="",$B19="",$C19=""),"",'OddsRatio_working_3-way'!I18)</f>
        <v>4.0007755597285479</v>
      </c>
      <c r="M19" s="22">
        <f>IF(OR($A19="",$B19="",$C19=""),"",'OddsRatio_working_3-way'!J18)</f>
        <v>5.6239708802934558</v>
      </c>
      <c r="N19" s="23">
        <f t="shared" si="16"/>
        <v>56.652615545134232</v>
      </c>
      <c r="O19" s="24">
        <f t="shared" si="17"/>
        <v>25.278069928275119</v>
      </c>
      <c r="P19" s="24">
        <f t="shared" si="18"/>
        <v>18.069314526590656</v>
      </c>
      <c r="Q19" t="s">
        <v>95</v>
      </c>
      <c r="R19" t="s">
        <v>109</v>
      </c>
      <c r="S19" s="48" t="s">
        <v>128</v>
      </c>
      <c r="T19" s="35">
        <v>100</v>
      </c>
      <c r="U19" s="35">
        <f t="shared" si="19"/>
        <v>56.331877729257641</v>
      </c>
      <c r="V19" s="35">
        <f t="shared" si="20"/>
        <v>69.512195121951223</v>
      </c>
      <c r="W19" s="35">
        <f t="shared" si="21"/>
        <v>70.760233918128648</v>
      </c>
      <c r="X19" s="35">
        <f t="shared" si="22"/>
        <v>59.727570959920115</v>
      </c>
      <c r="Y19" s="35">
        <f t="shared" si="23"/>
        <v>72.907888352613696</v>
      </c>
      <c r="Z19" s="35">
        <f t="shared" si="24"/>
        <v>74.155927148791136</v>
      </c>
      <c r="AA19" s="35">
        <f t="shared" si="25"/>
        <v>-3.3956932306624736</v>
      </c>
      <c r="AB19" s="35">
        <f t="shared" si="26"/>
        <v>-3.3956932306624736</v>
      </c>
      <c r="AC19" s="35">
        <f t="shared" si="27"/>
        <v>-3.3956932306624878</v>
      </c>
      <c r="AF19">
        <v>1.93</v>
      </c>
      <c r="AG19">
        <v>1.94</v>
      </c>
      <c r="AJ19" t="s">
        <v>112</v>
      </c>
    </row>
    <row r="20" spans="1:36" ht="15" x14ac:dyDescent="0.25">
      <c r="A20">
        <v>2.29</v>
      </c>
      <c r="B20">
        <v>3.28</v>
      </c>
      <c r="C20">
        <v>3.42</v>
      </c>
      <c r="D20" s="20">
        <f t="shared" si="3"/>
        <v>3.3956932306624665E-2</v>
      </c>
      <c r="E20" s="17">
        <f>IF(OR($A20="",$B20="",$C20=""),"",A20*'MPTO_working_3-way'!$I19)</f>
        <v>2.3677613749821704</v>
      </c>
      <c r="F20" s="21">
        <f>IF(OR($A20="",$B20="",$C20=""),"",B20*'MPTO_working_3-way'!$I19)</f>
        <v>3.3913787379657285</v>
      </c>
      <c r="G20" s="22">
        <f>IF(OR($A20="",$B20="",$C20=""),"",C20*'MPTO_working_3-way'!$I19)</f>
        <v>3.5361327084886565</v>
      </c>
      <c r="H20" s="17">
        <f>IF(OR($A20="",$B20="",$C20=""),"",'MPTO_working_3-way'!E19)</f>
        <v>2.350937374239273</v>
      </c>
      <c r="I20" s="21">
        <f>IF(OR($A20="",$B20="",$C20=""),"",'MPTO_working_3-way'!F19)</f>
        <v>3.4064694217026972</v>
      </c>
      <c r="J20" s="22">
        <f>IF(OR($A20="",$B20="",$C20=""),"",'MPTO_working_3-way'!G19)</f>
        <v>3.5577226560321571</v>
      </c>
      <c r="K20" s="17">
        <f>IF(OR($A20="",$B20="",$C20=""),"",'OddsRatio_working_3-way'!H19)</f>
        <v>2.3581519090173453</v>
      </c>
      <c r="L20" s="21">
        <f>IF(OR($A20="",$B20="",$C20=""),"",'OddsRatio_working_3-way'!I19)</f>
        <v>3.4004545368678656</v>
      </c>
      <c r="M20" s="22">
        <f>IF(OR($A20="",$B20="",$C20=""),"",'OddsRatio_working_3-way'!J19)</f>
        <v>3.5478508680790504</v>
      </c>
      <c r="N20" s="23">
        <f t="shared" si="16"/>
        <v>42.233985678034394</v>
      </c>
      <c r="O20" s="24">
        <f t="shared" si="17"/>
        <v>29.486532683749623</v>
      </c>
      <c r="P20" s="24">
        <f t="shared" si="18"/>
        <v>28.279481638216009</v>
      </c>
      <c r="Q20" t="s">
        <v>51</v>
      </c>
      <c r="R20" t="s">
        <v>53</v>
      </c>
      <c r="S20" s="48" t="s">
        <v>128</v>
      </c>
      <c r="T20" s="35">
        <v>100</v>
      </c>
      <c r="U20" s="35">
        <f t="shared" si="19"/>
        <v>48.717948717948723</v>
      </c>
      <c r="V20" s="35">
        <f t="shared" si="20"/>
        <v>72.067039106145245</v>
      </c>
      <c r="W20" s="35">
        <f t="shared" si="21"/>
        <v>74.424552429667528</v>
      </c>
      <c r="X20" s="35">
        <f t="shared" si="22"/>
        <v>53.508408464187227</v>
      </c>
      <c r="Y20" s="35">
        <f t="shared" si="23"/>
        <v>76.85749885238377</v>
      </c>
      <c r="Z20" s="35">
        <f t="shared" si="24"/>
        <v>79.215012175906026</v>
      </c>
      <c r="AA20" s="35">
        <f t="shared" si="25"/>
        <v>-4.7904597462385041</v>
      </c>
      <c r="AB20" s="35">
        <f t="shared" si="26"/>
        <v>-4.7904597462385254</v>
      </c>
      <c r="AC20" s="35">
        <f t="shared" si="27"/>
        <v>-4.790459746238497</v>
      </c>
      <c r="AF20">
        <v>2.29</v>
      </c>
      <c r="AG20">
        <v>1.66</v>
      </c>
      <c r="AJ20" t="s">
        <v>112</v>
      </c>
    </row>
    <row r="21" spans="1:36" ht="15" x14ac:dyDescent="0.25">
      <c r="A21">
        <v>1.95</v>
      </c>
      <c r="B21">
        <v>3.58</v>
      </c>
      <c r="C21">
        <v>3.91</v>
      </c>
      <c r="D21" s="20">
        <f t="shared" si="3"/>
        <v>4.7904597462385068E-2</v>
      </c>
      <c r="E21" s="17">
        <f>IF(OR($A21="",$B21="",$C21=""),"",A21*'MPTO_working_3-way'!$I20)</f>
        <v>2.0434139650516507</v>
      </c>
      <c r="F21" s="21">
        <f>IF(OR($A21="",$B21="",$C21=""),"",B21*'MPTO_working_3-way'!$I20)</f>
        <v>3.7514984589153384</v>
      </c>
      <c r="G21" s="22">
        <f>IF(OR($A21="",$B21="",$C21=""),"",C21*'MPTO_working_3-way'!$I20)</f>
        <v>4.0973069760779257</v>
      </c>
      <c r="H21" s="17">
        <f>IF(OR($A21="",$B21="",$C21=""),"",'MPTO_working_3-way'!E20)</f>
        <v>2.0126705109226042</v>
      </c>
      <c r="I21" s="21">
        <f>IF(OR($A21="",$B21="",$C21=""),"",'MPTO_working_3-way'!F20)</f>
        <v>3.7970635136657802</v>
      </c>
      <c r="J21" s="22">
        <f>IF(OR($A21="",$B21="",$C21=""),"",'MPTO_working_3-way'!G20)</f>
        <v>4.1703804504209483</v>
      </c>
      <c r="K21" s="17">
        <f>IF(OR($A21="",$B21="",$C21=""),"",'OddsRatio_working_3-way'!H20)</f>
        <v>2.024479318590704</v>
      </c>
      <c r="L21" s="21">
        <f>IF(OR($A21="",$B21="",$C21=""),"",'OddsRatio_working_3-way'!I20)</f>
        <v>3.7822701494358069</v>
      </c>
      <c r="M21" s="22">
        <f>IF(OR($A21="",$B21="",$C21=""),"",'OddsRatio_working_3-way'!J20)</f>
        <v>4.1381419127357359</v>
      </c>
      <c r="N21" s="23">
        <f t="shared" si="16"/>
        <v>48.937709984512281</v>
      </c>
      <c r="O21" s="24">
        <f t="shared" si="17"/>
        <v>26.65601521502764</v>
      </c>
      <c r="P21" s="24">
        <f t="shared" si="18"/>
        <v>24.406274800460086</v>
      </c>
      <c r="Q21" t="s">
        <v>125</v>
      </c>
      <c r="R21" t="s">
        <v>127</v>
      </c>
      <c r="S21" s="48" t="s">
        <v>128</v>
      </c>
      <c r="T21" s="35">
        <v>100</v>
      </c>
      <c r="U21" s="35">
        <f t="shared" si="19"/>
        <v>60.15936254980079</v>
      </c>
      <c r="V21" s="35">
        <f t="shared" si="20"/>
        <v>70.238095238095241</v>
      </c>
      <c r="W21" s="35">
        <f t="shared" si="21"/>
        <v>65.156794425087099</v>
      </c>
      <c r="X21" s="35">
        <f t="shared" si="22"/>
        <v>64.605110336817646</v>
      </c>
      <c r="Y21" s="35">
        <f t="shared" si="23"/>
        <v>74.683843025112097</v>
      </c>
      <c r="Z21" s="35">
        <f t="shared" si="24"/>
        <v>69.60254221210397</v>
      </c>
      <c r="AA21" s="35">
        <f t="shared" si="25"/>
        <v>-4.445747787016856</v>
      </c>
      <c r="AB21" s="35">
        <f t="shared" si="26"/>
        <v>-4.445747787016856</v>
      </c>
      <c r="AC21" s="35">
        <f t="shared" si="27"/>
        <v>-4.4457477870168702</v>
      </c>
      <c r="AF21">
        <v>1.83</v>
      </c>
      <c r="AG21">
        <v>2.02</v>
      </c>
      <c r="AJ21" t="s">
        <v>121</v>
      </c>
    </row>
    <row r="22" spans="1:36" ht="15" x14ac:dyDescent="0.25">
      <c r="A22">
        <v>2.5099999999999998</v>
      </c>
      <c r="B22">
        <v>3.36</v>
      </c>
      <c r="C22">
        <v>2.87</v>
      </c>
      <c r="D22" s="20">
        <f t="shared" si="3"/>
        <v>4.4457477870168516E-2</v>
      </c>
      <c r="E22" s="17">
        <f>IF(OR($A22="",$B22="",$C22=""),"",A22*'MPTO_working_3-way'!$I21)</f>
        <v>2.6215882694541226</v>
      </c>
      <c r="F22" s="21">
        <f>IF(OR($A22="",$B22="",$C22=""),"",B22*'MPTO_working_3-way'!$I21)</f>
        <v>3.5093771256437662</v>
      </c>
      <c r="G22" s="22">
        <f>IF(OR($A22="",$B22="",$C22=""),"",C22*'MPTO_working_3-way'!$I21)</f>
        <v>2.997592961487384</v>
      </c>
      <c r="H22" s="17">
        <f>IF(OR($A22="",$B22="",$C22=""),"",'MPTO_working_3-way'!E21)</f>
        <v>2.606969055127371</v>
      </c>
      <c r="I22" s="21">
        <f>IF(OR($A22="",$B22="",$C22=""),"",'MPTO_working_3-way'!F21)</f>
        <v>3.5360692888133798</v>
      </c>
      <c r="J22" s="22">
        <f>IF(OR($A22="",$B22="",$C22=""),"",'MPTO_working_3-way'!G21)</f>
        <v>2.9974860402996408</v>
      </c>
      <c r="K22" s="17">
        <f>IF(OR($A22="",$B22="",$C22=""),"",'OddsRatio_working_3-way'!H21)</f>
        <v>2.6137770877588742</v>
      </c>
      <c r="L22" s="21">
        <f>IF(OR($A22="",$B22="",$C22=""),"",'OddsRatio_working_3-way'!I21)</f>
        <v>3.5221946537158573</v>
      </c>
      <c r="M22" s="22">
        <f>IF(OR($A22="",$B22="",$C22=""),"",'OddsRatio_working_3-way'!J21)</f>
        <v>2.9985186451053614</v>
      </c>
      <c r="N22" s="23">
        <f t="shared" si="16"/>
        <v>38.14481517375053</v>
      </c>
      <c r="O22" s="24">
        <f t="shared" si="17"/>
        <v>28.495085144676729</v>
      </c>
      <c r="P22" s="24">
        <f t="shared" si="18"/>
        <v>33.360099681572756</v>
      </c>
      <c r="Q22" t="s">
        <v>122</v>
      </c>
      <c r="R22" t="s">
        <v>123</v>
      </c>
      <c r="S22" s="48" t="s">
        <v>128</v>
      </c>
      <c r="T22" s="35">
        <v>100</v>
      </c>
      <c r="U22" s="35">
        <f t="shared" si="19"/>
        <v>70.238095238095241</v>
      </c>
      <c r="V22" s="35">
        <f t="shared" si="20"/>
        <v>71.751412429378533</v>
      </c>
      <c r="W22" s="35">
        <f t="shared" si="21"/>
        <v>53.488372093023258</v>
      </c>
      <c r="X22" s="35">
        <f t="shared" si="22"/>
        <v>74.760215477598209</v>
      </c>
      <c r="Y22" s="35">
        <f t="shared" si="23"/>
        <v>76.273532668881501</v>
      </c>
      <c r="Z22" s="35">
        <f t="shared" si="24"/>
        <v>58.010492332526233</v>
      </c>
      <c r="AA22" s="35">
        <f t="shared" si="25"/>
        <v>-4.5221202395029678</v>
      </c>
      <c r="AB22" s="35">
        <f t="shared" si="26"/>
        <v>-4.5221202395029678</v>
      </c>
      <c r="AC22" s="35">
        <f t="shared" si="27"/>
        <v>-4.5221202395029749</v>
      </c>
      <c r="AF22">
        <v>1.89</v>
      </c>
      <c r="AG22">
        <v>1.94</v>
      </c>
      <c r="AJ22" t="s">
        <v>121</v>
      </c>
    </row>
    <row r="23" spans="1:36" ht="15" x14ac:dyDescent="0.25">
      <c r="A23">
        <v>3.36</v>
      </c>
      <c r="B23">
        <v>3.54</v>
      </c>
      <c r="C23">
        <v>2.15</v>
      </c>
      <c r="D23" s="20">
        <f t="shared" si="3"/>
        <v>4.5221202395029803E-2</v>
      </c>
      <c r="E23" s="17">
        <f>IF(OR($A23="",$B23="",$C23=""),"",A23*'MPTO_working_3-way'!$I22)</f>
        <v>3.5119432400472999</v>
      </c>
      <c r="F23" s="21">
        <f>IF(OR($A23="",$B23="",$C23=""),"",B23*'MPTO_working_3-way'!$I22)</f>
        <v>3.7000830564784057</v>
      </c>
      <c r="G23" s="22">
        <f>IF(OR($A23="",$B23="",$C23=""),"",C23*'MPTO_working_3-way'!$I22)</f>
        <v>2.2472255851493141</v>
      </c>
      <c r="H23" s="17">
        <f>IF(OR($A23="",$B23="",$C23=""),"",'MPTO_working_3-way'!E22)</f>
        <v>3.5392553061924956</v>
      </c>
      <c r="I23" s="21">
        <f>IF(OR($A23="",$B23="",$C23=""),"",'MPTO_working_3-way'!F22)</f>
        <v>3.7395459836338865</v>
      </c>
      <c r="J23" s="22">
        <f>IF(OR($A23="",$B23="",$C23=""),"",'MPTO_working_3-way'!G22)</f>
        <v>2.2220121436242497</v>
      </c>
      <c r="K23" s="17">
        <f>IF(OR($A23="",$B23="",$C23=""),"",'OddsRatio_working_3-way'!H22)</f>
        <v>3.5290202973037448</v>
      </c>
      <c r="L23" s="21">
        <f>IF(OR($A23="",$B23="",$C23=""),"",'OddsRatio_working_3-way'!I22)</f>
        <v>3.7219116759116577</v>
      </c>
      <c r="M23" s="22">
        <f>IF(OR($A23="",$B23="",$C23=""),"",'OddsRatio_working_3-way'!J22)</f>
        <v>2.2323615855505534</v>
      </c>
      <c r="N23" s="23">
        <f t="shared" si="16"/>
        <v>28.47426429325013</v>
      </c>
      <c r="O23" s="24">
        <f t="shared" si="17"/>
        <v>27.026420346135708</v>
      </c>
      <c r="P23" s="24">
        <f t="shared" si="18"/>
        <v>44.499315360614148</v>
      </c>
      <c r="Q23" t="s">
        <v>126</v>
      </c>
      <c r="R23" t="s">
        <v>119</v>
      </c>
      <c r="S23" s="48" t="s">
        <v>128</v>
      </c>
      <c r="T23" s="35">
        <v>100</v>
      </c>
      <c r="U23" s="35">
        <f t="shared" si="19"/>
        <v>60.629921259842511</v>
      </c>
      <c r="V23" s="35">
        <f t="shared" si="20"/>
        <v>66.21621621621621</v>
      </c>
      <c r="W23" s="35">
        <f t="shared" si="21"/>
        <v>70.414201183431956</v>
      </c>
      <c r="X23" s="35">
        <f t="shared" si="22"/>
        <v>63.369582600351833</v>
      </c>
      <c r="Y23" s="35">
        <f t="shared" si="23"/>
        <v>68.955877556725525</v>
      </c>
      <c r="Z23" s="35">
        <f t="shared" si="24"/>
        <v>73.153862523941257</v>
      </c>
      <c r="AA23" s="35">
        <f t="shared" si="25"/>
        <v>-2.739661340509322</v>
      </c>
      <c r="AB23" s="35">
        <f t="shared" si="26"/>
        <v>-2.7396613405093149</v>
      </c>
      <c r="AC23" s="35">
        <f t="shared" si="27"/>
        <v>-2.7396613405093007</v>
      </c>
      <c r="AF23">
        <v>1.88</v>
      </c>
      <c r="AG23">
        <v>1.96</v>
      </c>
      <c r="AJ23" t="s">
        <v>121</v>
      </c>
    </row>
    <row r="24" spans="1:36" ht="15" x14ac:dyDescent="0.25">
      <c r="A24">
        <v>2.54</v>
      </c>
      <c r="B24">
        <v>2.96</v>
      </c>
      <c r="C24">
        <v>3.38</v>
      </c>
      <c r="D24" s="20">
        <f t="shared" si="3"/>
        <v>2.739661340509314E-2</v>
      </c>
      <c r="E24" s="17">
        <f>IF(OR($A24="",$B24="",$C24=""),"",A24*'MPTO_working_3-way'!$I23)</f>
        <v>2.6095873980489368</v>
      </c>
      <c r="F24" s="21">
        <f>IF(OR($A24="",$B24="",$C24=""),"",B24*'MPTO_working_3-way'!$I23)</f>
        <v>3.0410939756790758</v>
      </c>
      <c r="G24" s="22">
        <f>IF(OR($A24="",$B24="",$C24=""),"",C24*'MPTO_working_3-way'!$I23)</f>
        <v>3.4726005533092148</v>
      </c>
      <c r="H24" s="17">
        <f>IF(OR($A24="",$B24="",$C24=""),"",'MPTO_working_3-way'!E23)</f>
        <v>2.6003164178746085</v>
      </c>
      <c r="I24" s="21">
        <f>IF(OR($A24="",$B24="",$C24=""),"",'MPTO_working_3-way'!F23)</f>
        <v>3.0422356615834891</v>
      </c>
      <c r="J24" s="22">
        <f>IF(OR($A24="",$B24="",$C24=""),"",'MPTO_working_3-way'!G23)</f>
        <v>3.4876528615775149</v>
      </c>
      <c r="K24" s="17">
        <f>IF(OR($A24="",$B24="",$C24=""),"",'OddsRatio_working_3-way'!H23)</f>
        <v>2.6046326500765034</v>
      </c>
      <c r="L24" s="21">
        <f>IF(OR($A24="",$B24="",$C24=""),"",'OddsRatio_working_3-way'!I23)</f>
        <v>3.0422597364610047</v>
      </c>
      <c r="M24" s="22">
        <f>IF(OR($A24="",$B24="",$C24=""),"",'OddsRatio_working_3-way'!J23)</f>
        <v>3.4798868228455051</v>
      </c>
      <c r="N24" s="23">
        <f t="shared" si="16"/>
        <v>38.32023410090239</v>
      </c>
      <c r="O24" s="24">
        <f t="shared" si="17"/>
        <v>32.882903586585158</v>
      </c>
      <c r="P24" s="24">
        <f t="shared" si="18"/>
        <v>28.796862312512449</v>
      </c>
      <c r="Q24" t="s">
        <v>37</v>
      </c>
      <c r="R24" t="s">
        <v>93</v>
      </c>
      <c r="S24" s="48" t="s">
        <v>129</v>
      </c>
      <c r="T24" s="35">
        <v>100</v>
      </c>
      <c r="U24" s="35">
        <f t="shared" si="19"/>
        <v>56.896551724137922</v>
      </c>
      <c r="V24" s="35">
        <f t="shared" si="20"/>
        <v>69.230769230769241</v>
      </c>
      <c r="W24" s="35">
        <f t="shared" si="21"/>
        <v>71.098265895953759</v>
      </c>
      <c r="X24" s="35">
        <f t="shared" si="22"/>
        <v>59.670964873277008</v>
      </c>
      <c r="Y24" s="35">
        <f t="shared" si="23"/>
        <v>72.005182379908319</v>
      </c>
      <c r="Z24" s="35">
        <f t="shared" si="24"/>
        <v>73.872679045092852</v>
      </c>
      <c r="AA24" s="35">
        <f t="shared" si="25"/>
        <v>-2.774413149139086</v>
      </c>
      <c r="AB24" s="35">
        <f t="shared" si="26"/>
        <v>-2.7744131491390789</v>
      </c>
      <c r="AC24" s="35">
        <f t="shared" si="27"/>
        <v>-2.7744131491390931</v>
      </c>
      <c r="AF24">
        <v>2.52</v>
      </c>
      <c r="AG24">
        <v>1.57</v>
      </c>
      <c r="AJ24" t="s">
        <v>111</v>
      </c>
    </row>
    <row r="25" spans="1:36" ht="15" x14ac:dyDescent="0.25">
      <c r="A25">
        <v>2.3199999999999998</v>
      </c>
      <c r="B25">
        <v>3.25</v>
      </c>
      <c r="C25">
        <v>3.46</v>
      </c>
      <c r="D25" s="20">
        <f t="shared" si="3"/>
        <v>2.7744131491390878E-2</v>
      </c>
      <c r="E25" s="17">
        <f>IF(OR($A25="",$B25="",$C25=""),"",A25*'MPTO_working_3-way'!$I24)</f>
        <v>2.3843663850600265</v>
      </c>
      <c r="F25" s="21">
        <f>IF(OR($A25="",$B25="",$C25=""),"",B25*'MPTO_working_3-way'!$I24)</f>
        <v>3.3401684273470202</v>
      </c>
      <c r="G25" s="22">
        <f>IF(OR($A25="",$B25="",$C25=""),"",C25*'MPTO_working_3-way'!$I24)</f>
        <v>3.5559946949602126</v>
      </c>
      <c r="H25" s="17">
        <f>IF(OR($A25="",$B25="",$C25=""),"",'MPTO_working_3-way'!E24)</f>
        <v>2.3708680690189992</v>
      </c>
      <c r="I25" s="21">
        <f>IF(OR($A25="",$B25="",$C25=""),"",'MPTO_working_3-way'!F24)</f>
        <v>3.3507093990016186</v>
      </c>
      <c r="J25" s="22">
        <f>IF(OR($A25="",$B25="",$C25=""),"",'MPTO_working_3-way'!G24)</f>
        <v>3.5743736356080054</v>
      </c>
      <c r="K25" s="17">
        <f>IF(OR($A25="",$B25="",$C25=""),"",'OddsRatio_working_3-way'!H24)</f>
        <v>2.3767216018052943</v>
      </c>
      <c r="L25" s="21">
        <f>IF(OR($A25="",$B25="",$C25=""),"",'OddsRatio_working_3-way'!I24)</f>
        <v>3.3466845485317518</v>
      </c>
      <c r="M25" s="22">
        <f>IF(OR($A25="",$B25="",$C25=""),"",'OddsRatio_working_3-way'!J24)</f>
        <v>3.5657084397280472</v>
      </c>
      <c r="N25" s="23">
        <f t="shared" si="16"/>
        <v>41.939863196604534</v>
      </c>
      <c r="O25" s="24">
        <f t="shared" si="17"/>
        <v>29.938610035730001</v>
      </c>
      <c r="P25" s="24">
        <f t="shared" si="18"/>
        <v>28.121526767665461</v>
      </c>
      <c r="Q25" t="s">
        <v>46</v>
      </c>
      <c r="R25" t="s">
        <v>38</v>
      </c>
      <c r="S25" s="48" t="s">
        <v>129</v>
      </c>
      <c r="T25" s="35">
        <v>100</v>
      </c>
      <c r="U25" s="35">
        <f t="shared" si="19"/>
        <v>30.069930069930074</v>
      </c>
      <c r="V25" s="35">
        <f t="shared" si="20"/>
        <v>79.035639412997895</v>
      </c>
      <c r="W25" s="35">
        <f t="shared" si="21"/>
        <v>87.864077669902912</v>
      </c>
      <c r="X25" s="35">
        <f t="shared" si="22"/>
        <v>33.100282917099186</v>
      </c>
      <c r="Y25" s="35">
        <f t="shared" si="23"/>
        <v>82.065992260167022</v>
      </c>
      <c r="Z25" s="35">
        <f t="shared" si="24"/>
        <v>90.894430517072038</v>
      </c>
      <c r="AA25" s="35">
        <f t="shared" si="25"/>
        <v>-3.0303528471691124</v>
      </c>
      <c r="AB25" s="35">
        <f t="shared" si="26"/>
        <v>-3.0303528471691266</v>
      </c>
      <c r="AC25" s="35">
        <f t="shared" si="27"/>
        <v>-3.0303528471691266</v>
      </c>
      <c r="AF25">
        <v>2.23</v>
      </c>
      <c r="AG25">
        <v>1.71</v>
      </c>
      <c r="AJ25" t="s">
        <v>111</v>
      </c>
    </row>
    <row r="26" spans="1:36" ht="15" x14ac:dyDescent="0.25">
      <c r="A26">
        <v>1.43</v>
      </c>
      <c r="B26">
        <v>4.7699999999999996</v>
      </c>
      <c r="C26">
        <v>8.24</v>
      </c>
      <c r="D26" s="20">
        <f t="shared" si="3"/>
        <v>3.0303528471691266E-2</v>
      </c>
      <c r="E26" s="17">
        <f>IF(OR($A26="",$B26="",$C26=""),"",A26*'MPTO_working_3-way'!$I25)</f>
        <v>1.4733340457145185</v>
      </c>
      <c r="F26" s="21">
        <f>IF(OR($A26="",$B26="",$C26=""),"",B26*'MPTO_working_3-way'!$I25)</f>
        <v>4.9145478308099673</v>
      </c>
      <c r="G26" s="22">
        <f>IF(OR($A26="",$B26="",$C26=""),"",C26*'MPTO_working_3-way'!$I25)</f>
        <v>8.489701074606737</v>
      </c>
      <c r="H26" s="17">
        <f>IF(OR($A26="",$B26="",$C26=""),"",'MPTO_working_3-way'!E25)</f>
        <v>1.4509586359534272</v>
      </c>
      <c r="I26" s="21">
        <f>IF(OR($A26="",$B26="",$C26=""),"",'MPTO_working_3-way'!F25)</f>
        <v>5.0114654885145988</v>
      </c>
      <c r="J26" s="22">
        <f>IF(OR($A26="",$B26="",$C26=""),"",'MPTO_working_3-way'!G25)</f>
        <v>8.9881138998246506</v>
      </c>
      <c r="K26" s="17">
        <f>IF(OR($A26="",$B26="",$C26=""),"",'OddsRatio_working_3-way'!H25)</f>
        <v>1.4580432322452948</v>
      </c>
      <c r="L26" s="21">
        <f>IF(OR($A26="",$B26="",$C26=""),"",'OddsRatio_working_3-way'!I25)</f>
        <v>5.0158674082901449</v>
      </c>
      <c r="M26" s="22">
        <f>IF(OR($A26="",$B26="",$C26=""),"",'OddsRatio_working_3-way'!J25)</f>
        <v>8.7121697708277583</v>
      </c>
      <c r="N26" s="23">
        <f t="shared" si="16"/>
        <v>67.87327034956509</v>
      </c>
      <c r="O26" s="24">
        <f t="shared" si="17"/>
        <v>20.347751907731251</v>
      </c>
      <c r="P26" s="24">
        <f t="shared" si="18"/>
        <v>11.778977742703649</v>
      </c>
      <c r="Q26" t="s">
        <v>34</v>
      </c>
      <c r="R26" t="s">
        <v>48</v>
      </c>
      <c r="S26" s="48" t="s">
        <v>129</v>
      </c>
      <c r="T26" s="35">
        <v>100</v>
      </c>
      <c r="U26" s="35">
        <f t="shared" si="19"/>
        <v>63.768115942028999</v>
      </c>
      <c r="V26" s="35">
        <f t="shared" si="20"/>
        <v>69.040247678018574</v>
      </c>
      <c r="W26" s="35">
        <f t="shared" si="21"/>
        <v>64.412811387900362</v>
      </c>
      <c r="X26" s="35">
        <f t="shared" si="22"/>
        <v>66.546940934081064</v>
      </c>
      <c r="Y26" s="35">
        <f t="shared" si="23"/>
        <v>71.819072670070653</v>
      </c>
      <c r="Z26" s="35">
        <f t="shared" si="24"/>
        <v>67.191636379952442</v>
      </c>
      <c r="AA26" s="35">
        <f t="shared" si="25"/>
        <v>-2.7788249920520656</v>
      </c>
      <c r="AB26" s="35">
        <f t="shared" si="26"/>
        <v>-2.7788249920520798</v>
      </c>
      <c r="AC26" s="35">
        <f t="shared" si="27"/>
        <v>-2.7788249920520798</v>
      </c>
      <c r="AF26">
        <v>1.73</v>
      </c>
      <c r="AG26">
        <v>2.2000000000000002</v>
      </c>
      <c r="AJ26" t="s">
        <v>111</v>
      </c>
    </row>
    <row r="27" spans="1:36" ht="15" x14ac:dyDescent="0.25">
      <c r="A27">
        <v>2.76</v>
      </c>
      <c r="B27">
        <v>3.23</v>
      </c>
      <c r="C27">
        <v>2.81</v>
      </c>
      <c r="D27" s="20">
        <f t="shared" si="3"/>
        <v>2.7788249920520869E-2</v>
      </c>
      <c r="E27" s="17">
        <f>IF(OR($A27="",$B27="",$C27=""),"",A27*'MPTO_working_3-way'!$I26)</f>
        <v>2.8366955697806375</v>
      </c>
      <c r="F27" s="21">
        <f>IF(OR($A27="",$B27="",$C27=""),"",B27*'MPTO_working_3-way'!$I26)</f>
        <v>3.3197560472432825</v>
      </c>
      <c r="G27" s="22">
        <f>IF(OR($A27="",$B27="",$C27=""),"",C27*'MPTO_working_3-way'!$I26)</f>
        <v>2.8880849822766637</v>
      </c>
      <c r="H27" s="17">
        <f>IF(OR($A27="",$B27="",$C27=""),"",'MPTO_working_3-way'!E26)</f>
        <v>2.8324111284498259</v>
      </c>
      <c r="I27" s="21">
        <f>IF(OR($A27="",$B27="",$C27=""),"",'MPTO_working_3-way'!F26)</f>
        <v>3.3296177768262982</v>
      </c>
      <c r="J27" s="22">
        <f>IF(OR($A27="",$B27="",$C27=""),"",'MPTO_working_3-way'!G26)</f>
        <v>2.8850941758629203</v>
      </c>
      <c r="K27" s="17">
        <f>IF(OR($A27="",$B27="",$C27=""),"",'OddsRatio_working_3-way'!H26)</f>
        <v>2.8345796563950412</v>
      </c>
      <c r="L27" s="21">
        <f>IF(OR($A27="",$B27="",$C27=""),"",'OddsRatio_working_3-way'!I26)</f>
        <v>3.3244958146368986</v>
      </c>
      <c r="M27" s="22">
        <f>IF(OR($A27="",$B27="",$C27=""),"",'OddsRatio_working_3-way'!J26)</f>
        <v>2.8866983966335362</v>
      </c>
      <c r="N27" s="23">
        <f t="shared" si="16"/>
        <v>35.252284758823457</v>
      </c>
      <c r="O27" s="24">
        <f t="shared" si="17"/>
        <v>30.122695335712923</v>
      </c>
      <c r="P27" s="24">
        <f t="shared" si="18"/>
        <v>34.62501990546361</v>
      </c>
      <c r="Q27" t="s">
        <v>36</v>
      </c>
      <c r="R27" t="s">
        <v>76</v>
      </c>
      <c r="S27" s="48" t="s">
        <v>129</v>
      </c>
      <c r="T27" s="35">
        <v>100</v>
      </c>
      <c r="U27" s="35">
        <f t="shared" si="19"/>
        <v>52.606635071090047</v>
      </c>
      <c r="V27" s="35">
        <f t="shared" si="20"/>
        <v>68.75</v>
      </c>
      <c r="W27" s="35">
        <f t="shared" si="21"/>
        <v>75.728155339805824</v>
      </c>
      <c r="X27" s="35">
        <f t="shared" si="22"/>
        <v>55.521844660194176</v>
      </c>
      <c r="Y27" s="35">
        <f t="shared" si="23"/>
        <v>71.665209589104123</v>
      </c>
      <c r="Z27" s="35">
        <f t="shared" si="24"/>
        <v>78.643364928909961</v>
      </c>
      <c r="AA27" s="35">
        <f t="shared" si="25"/>
        <v>-2.9152095891041299</v>
      </c>
      <c r="AB27" s="35">
        <f t="shared" si="26"/>
        <v>-2.9152095891041228</v>
      </c>
      <c r="AC27" s="35">
        <f t="shared" si="27"/>
        <v>-2.915209589104137</v>
      </c>
      <c r="AF27">
        <v>2.17</v>
      </c>
      <c r="AG27">
        <v>1.75</v>
      </c>
      <c r="AJ27" t="s">
        <v>111</v>
      </c>
    </row>
    <row r="28" spans="1:36" ht="15" x14ac:dyDescent="0.25">
      <c r="A28">
        <v>2.11</v>
      </c>
      <c r="B28">
        <v>3.2</v>
      </c>
      <c r="C28">
        <v>4.12</v>
      </c>
      <c r="D28" s="20">
        <f t="shared" si="3"/>
        <v>2.9152095891041174E-2</v>
      </c>
      <c r="E28" s="17">
        <f>IF(OR($A28="",$B28="",$C28=""),"",A28*'MPTO_working_3-way'!$I27)</f>
        <v>2.1715109223300968</v>
      </c>
      <c r="F28" s="21">
        <f>IF(OR($A28="",$B28="",$C28=""),"",B28*'MPTO_working_3-way'!$I27)</f>
        <v>3.2932867068513318</v>
      </c>
      <c r="G28" s="22">
        <f>IF(OR($A28="",$B28="",$C28=""),"",C28*'MPTO_working_3-way'!$I27)</f>
        <v>4.2401066350710899</v>
      </c>
      <c r="H28" s="17">
        <f>IF(OR($A28="",$B28="",$C28=""),"",'MPTO_working_3-way'!E27)</f>
        <v>2.1541682928491337</v>
      </c>
      <c r="I28" s="21">
        <f>IF(OR($A28="",$B28="",$C28=""),"",'MPTO_working_3-way'!F27)</f>
        <v>3.3026993142488079</v>
      </c>
      <c r="J28" s="22">
        <f>IF(OR($A28="",$B28="",$C28=""),"",'MPTO_working_3-way'!G27)</f>
        <v>4.2918255760852118</v>
      </c>
      <c r="K28" s="17">
        <f>IF(OR($A28="",$B28="",$C28=""),"",'OddsRatio_working_3-way'!H27)</f>
        <v>2.1614305832380118</v>
      </c>
      <c r="L28" s="21">
        <f>IF(OR($A28="",$B28="",$C28=""),"",'OddsRatio_working_3-way'!I27)</f>
        <v>3.3019344893005642</v>
      </c>
      <c r="M28" s="22">
        <f>IF(OR($A28="",$B28="",$C28=""),"",'OddsRatio_working_3-way'!J27)</f>
        <v>4.264561639371709</v>
      </c>
      <c r="N28" s="23">
        <f t="shared" si="16"/>
        <v>46.050885110306965</v>
      </c>
      <c r="O28" s="24">
        <f t="shared" si="17"/>
        <v>30.36480236960865</v>
      </c>
      <c r="P28" s="24">
        <f t="shared" si="18"/>
        <v>23.584312520084392</v>
      </c>
      <c r="Q28" t="s">
        <v>43</v>
      </c>
      <c r="R28" t="s">
        <v>49</v>
      </c>
      <c r="S28" s="48" t="s">
        <v>129</v>
      </c>
      <c r="T28" s="35">
        <v>100</v>
      </c>
      <c r="U28" s="35">
        <f t="shared" si="19"/>
        <v>80.657640232108321</v>
      </c>
      <c r="V28" s="35">
        <f t="shared" si="20"/>
        <v>73.40425531914893</v>
      </c>
      <c r="W28" s="35">
        <f t="shared" si="21"/>
        <v>42.857142857142854</v>
      </c>
      <c r="X28" s="35">
        <f t="shared" si="22"/>
        <v>83.738601823708208</v>
      </c>
      <c r="Y28" s="35">
        <f t="shared" si="23"/>
        <v>76.485216910748818</v>
      </c>
      <c r="Z28" s="35">
        <f t="shared" si="24"/>
        <v>45.938104448742742</v>
      </c>
      <c r="AA28" s="35">
        <f t="shared" si="25"/>
        <v>-3.0809615915998876</v>
      </c>
      <c r="AB28" s="35">
        <f t="shared" si="26"/>
        <v>-3.0809615915998876</v>
      </c>
      <c r="AC28" s="35">
        <f t="shared" si="27"/>
        <v>-3.0809615915998876</v>
      </c>
      <c r="AF28">
        <v>2.36</v>
      </c>
      <c r="AG28">
        <v>1.64</v>
      </c>
      <c r="AJ28" t="s">
        <v>111</v>
      </c>
    </row>
    <row r="29" spans="1:36" ht="15" x14ac:dyDescent="0.25">
      <c r="A29">
        <v>5.17</v>
      </c>
      <c r="B29">
        <v>3.76</v>
      </c>
      <c r="C29">
        <v>1.75</v>
      </c>
      <c r="D29" s="20">
        <f t="shared" si="3"/>
        <v>3.0809615915998734E-2</v>
      </c>
      <c r="E29" s="17">
        <f>IF(OR($A29="",$B29="",$C29=""),"",A29*'MPTO_working_3-way'!$I28)</f>
        <v>5.3292857142857137</v>
      </c>
      <c r="F29" s="21">
        <f>IF(OR($A29="",$B29="",$C29=""),"",B29*'MPTO_working_3-way'!$I28)</f>
        <v>3.8758441558441552</v>
      </c>
      <c r="G29" s="22">
        <f>IF(OR($A29="",$B29="",$C29=""),"",C29*'MPTO_working_3-way'!$I28)</f>
        <v>1.8039168278529978</v>
      </c>
      <c r="H29" s="17">
        <f>IF(OR($A29="",$B29="",$C29=""),"",'MPTO_working_3-way'!E28)</f>
        <v>5.4598943927583585</v>
      </c>
      <c r="I29" s="21">
        <f>IF(OR($A29="",$B29="",$C29=""),"",'MPTO_working_3-way'!F28)</f>
        <v>3.9110230547550424</v>
      </c>
      <c r="J29" s="22">
        <f>IF(OR($A29="",$B29="",$C29=""),"",'MPTO_working_3-way'!G28)</f>
        <v>1.782027082478457</v>
      </c>
      <c r="K29" s="17">
        <f>IF(OR($A29="",$B29="",$C29=""),"",'OddsRatio_working_3-way'!H28)</f>
        <v>5.3927223765866419</v>
      </c>
      <c r="L29" s="21">
        <f>IF(OR($A29="",$B29="",$C29=""),"",'OddsRatio_working_3-way'!I28)</f>
        <v>3.9074133715537487</v>
      </c>
      <c r="M29" s="22">
        <f>IF(OR($A29="",$B29="",$C29=""),"",'OddsRatio_working_3-way'!J28)</f>
        <v>1.7900579814004753</v>
      </c>
      <c r="N29" s="23">
        <f t="shared" si="16"/>
        <v>18.764240718402363</v>
      </c>
      <c r="O29" s="24">
        <f t="shared" si="17"/>
        <v>25.800830987803248</v>
      </c>
      <c r="P29" s="24">
        <f t="shared" si="18"/>
        <v>55.434928293794407</v>
      </c>
      <c r="Q29" t="s">
        <v>106</v>
      </c>
      <c r="R29" t="s">
        <v>55</v>
      </c>
      <c r="S29" s="48" t="s">
        <v>129</v>
      </c>
      <c r="T29" s="35">
        <v>100</v>
      </c>
      <c r="U29" s="35">
        <f t="shared" si="19"/>
        <v>56.521739130434774</v>
      </c>
      <c r="V29" s="35">
        <f t="shared" si="20"/>
        <v>70.149253731343279</v>
      </c>
      <c r="W29" s="35">
        <f t="shared" si="21"/>
        <v>67.845659163987136</v>
      </c>
      <c r="X29" s="35">
        <f t="shared" si="22"/>
        <v>62.005087104669578</v>
      </c>
      <c r="Y29" s="35">
        <f t="shared" si="23"/>
        <v>75.632601705578082</v>
      </c>
      <c r="Z29" s="35">
        <f t="shared" si="24"/>
        <v>73.329007138221939</v>
      </c>
      <c r="AA29" s="35">
        <f t="shared" si="25"/>
        <v>-5.4833479742348032</v>
      </c>
      <c r="AB29" s="35">
        <f t="shared" si="26"/>
        <v>-5.4833479742348032</v>
      </c>
      <c r="AC29" s="35">
        <f t="shared" si="27"/>
        <v>-5.4833479742348032</v>
      </c>
      <c r="AF29">
        <v>1.9</v>
      </c>
      <c r="AG29">
        <v>1.99</v>
      </c>
      <c r="AJ29" t="s">
        <v>111</v>
      </c>
    </row>
    <row r="30" spans="1:36" ht="15" x14ac:dyDescent="0.25">
      <c r="A30">
        <v>2.2999999999999998</v>
      </c>
      <c r="B30">
        <v>3.35</v>
      </c>
      <c r="C30">
        <v>3.11</v>
      </c>
      <c r="D30" s="20">
        <f t="shared" si="3"/>
        <v>5.4833479742347979E-2</v>
      </c>
      <c r="E30" s="17">
        <f>IF(OR($A30="",$B30="",$C30=""),"",A30*'MPTO_working_3-way'!$I29)</f>
        <v>2.4261170034074002</v>
      </c>
      <c r="F30" s="21">
        <f>IF(OR($A30="",$B30="",$C30=""),"",B30*'MPTO_working_3-way'!$I29)</f>
        <v>3.533692157136866</v>
      </c>
      <c r="G30" s="22">
        <f>IF(OR($A30="",$B30="",$C30=""),"",C30*'MPTO_working_3-way'!$I29)</f>
        <v>3.2805321219987023</v>
      </c>
      <c r="H30" s="17">
        <f>IF(OR($A30="",$B30="",$C30=""),"",'MPTO_working_3-way'!E29)</f>
        <v>2.400932817439311</v>
      </c>
      <c r="I30" s="21">
        <f>IF(OR($A30="",$B30="",$C30=""),"",'MPTO_working_3-way'!F29)</f>
        <v>3.5685019396824535</v>
      </c>
      <c r="J30" s="22">
        <f>IF(OR($A30="",$B30="",$C30=""),"",'MPTO_working_3-way'!G29)</f>
        <v>3.2974398022113616</v>
      </c>
      <c r="K30" s="17">
        <f>IF(OR($A30="",$B30="",$C30=""),"",'OddsRatio_working_3-way'!H29)</f>
        <v>2.4117316753424562</v>
      </c>
      <c r="L30" s="21">
        <f>IF(OR($A30="",$B30="",$C30=""),"",'OddsRatio_working_3-way'!I29)</f>
        <v>3.5519764900421329</v>
      </c>
      <c r="M30" s="22">
        <f>IF(OR($A30="",$B30="",$C30=""),"",'OddsRatio_working_3-way'!J29)</f>
        <v>3.2913491038250635</v>
      </c>
      <c r="N30" s="23">
        <f t="shared" si="16"/>
        <v>41.218127509742253</v>
      </c>
      <c r="O30" s="24">
        <f t="shared" si="17"/>
        <v>28.299012917136469</v>
      </c>
      <c r="P30" s="24">
        <f t="shared" si="18"/>
        <v>30.482859573121278</v>
      </c>
      <c r="Q30" t="s">
        <v>124</v>
      </c>
      <c r="R30" t="s">
        <v>118</v>
      </c>
      <c r="S30" s="48" t="s">
        <v>129</v>
      </c>
      <c r="T30" s="35">
        <v>100</v>
      </c>
      <c r="U30" s="35" t="e">
        <f t="shared" si="19"/>
        <v>#DIV/0!</v>
      </c>
      <c r="V30" s="35" t="e">
        <f t="shared" si="20"/>
        <v>#DIV/0!</v>
      </c>
      <c r="W30" s="35" t="e">
        <f t="shared" si="21"/>
        <v>#DIV/0!</v>
      </c>
      <c r="X30" s="35" t="e">
        <f t="shared" si="22"/>
        <v>#DIV/0!</v>
      </c>
      <c r="Y30" s="35" t="e">
        <f t="shared" si="23"/>
        <v>#DIV/0!</v>
      </c>
      <c r="Z30" s="35" t="e">
        <f t="shared" si="24"/>
        <v>#DIV/0!</v>
      </c>
      <c r="AA30" s="35" t="e">
        <f t="shared" si="25"/>
        <v>#DIV/0!</v>
      </c>
      <c r="AB30" s="35" t="e">
        <f t="shared" si="26"/>
        <v>#DIV/0!</v>
      </c>
      <c r="AC30" s="35" t="e">
        <f t="shared" si="27"/>
        <v>#DIV/0!</v>
      </c>
      <c r="AF30">
        <v>1.94</v>
      </c>
      <c r="AG30">
        <v>1.86</v>
      </c>
      <c r="AJ30" t="s">
        <v>120</v>
      </c>
    </row>
    <row r="31" spans="1:36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48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F31"/>
      <c r="AG31"/>
      <c r="AJ31"/>
    </row>
    <row r="32" spans="1:36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48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F32"/>
      <c r="AG32"/>
      <c r="AJ32"/>
    </row>
    <row r="33" spans="1:36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48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F33"/>
      <c r="AG33"/>
      <c r="AJ33"/>
    </row>
    <row r="34" spans="1:36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48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F34"/>
      <c r="AG34"/>
      <c r="AJ34"/>
    </row>
    <row r="35" spans="1:36" s="35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48"/>
      <c r="AD35" s="36"/>
      <c r="AE35" s="36"/>
      <c r="AF35"/>
      <c r="AG35"/>
      <c r="AH35" s="36"/>
      <c r="AI35" s="36"/>
      <c r="AJ35"/>
    </row>
    <row r="36" spans="1:36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48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F36"/>
      <c r="AG36"/>
      <c r="AJ36"/>
    </row>
    <row r="37" spans="1:36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48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F37"/>
      <c r="AG37"/>
      <c r="AJ37"/>
    </row>
    <row r="38" spans="1:36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48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F38"/>
      <c r="AG38"/>
      <c r="AJ38"/>
    </row>
    <row r="39" spans="1:36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48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F39"/>
      <c r="AG39"/>
      <c r="AJ39"/>
    </row>
    <row r="40" spans="1:36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48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F40"/>
      <c r="AG40"/>
      <c r="AJ40"/>
    </row>
    <row r="41" spans="1:36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48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F41"/>
      <c r="AG41"/>
      <c r="AJ41"/>
    </row>
    <row r="42" spans="1:36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48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F42"/>
      <c r="AG42"/>
      <c r="AJ42"/>
    </row>
    <row r="43" spans="1:36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48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F43"/>
      <c r="AG43"/>
      <c r="AJ43"/>
    </row>
    <row r="44" spans="1:36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48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F44"/>
      <c r="AG44"/>
      <c r="AJ44"/>
    </row>
    <row r="45" spans="1:36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48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F45"/>
      <c r="AG45"/>
      <c r="AJ45"/>
    </row>
    <row r="46" spans="1:36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48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F46"/>
      <c r="AG46"/>
      <c r="AJ46"/>
    </row>
    <row r="47" spans="1:36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48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F47"/>
      <c r="AG47"/>
      <c r="AJ47"/>
    </row>
    <row r="48" spans="1:36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48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F48"/>
      <c r="AG48"/>
      <c r="AJ48"/>
    </row>
    <row r="49" spans="1:36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48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F49"/>
      <c r="AG49"/>
      <c r="AJ49"/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48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48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48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48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F53"/>
      <c r="AG53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48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48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48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48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4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48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48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F60"/>
      <c r="AG60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48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48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48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F63"/>
      <c r="AG63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48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F113"/>
      <c r="AG113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F134"/>
      <c r="AG134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6"/>
      <c r="AE178" s="36"/>
      <c r="AF178"/>
      <c r="AG178"/>
      <c r="AI178" s="36"/>
      <c r="AJ178"/>
      <c r="AK178" s="35"/>
      <c r="AL178" s="35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6"/>
      <c r="AE181" s="36"/>
      <c r="AF181"/>
      <c r="AG181"/>
      <c r="AI181" s="36"/>
      <c r="AJ181"/>
      <c r="AK181" s="35"/>
      <c r="AL181" s="35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6"/>
      <c r="AE201" s="36"/>
      <c r="AF201"/>
      <c r="AG201"/>
      <c r="AH201" s="41"/>
      <c r="AI201" s="36"/>
      <c r="AJ201"/>
      <c r="AK201" s="35"/>
      <c r="AL201" s="35"/>
    </row>
    <row r="202" spans="1:38" s="50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51"/>
      <c r="AE202" s="51"/>
      <c r="AF202"/>
      <c r="AG202"/>
      <c r="AH202" s="52"/>
      <c r="AI202" s="51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6"/>
      <c r="AE230" s="36"/>
      <c r="AF230"/>
      <c r="AG230"/>
      <c r="AH230" s="41"/>
      <c r="AI230" s="36"/>
      <c r="AJ230"/>
      <c r="AK230" s="35"/>
      <c r="AL230" s="35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6"/>
      <c r="AE241" s="36"/>
      <c r="AF241"/>
      <c r="AG241"/>
      <c r="AH241" s="41"/>
      <c r="AI241" s="36"/>
      <c r="AJ241"/>
      <c r="AK241" s="35"/>
      <c r="AL241" s="35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 s="28"/>
      <c r="B243" s="28"/>
      <c r="C243" s="28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28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28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28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28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28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28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28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28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28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28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28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29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29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29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29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3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3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3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2021-09-28T16:17:21Z</dcterms:modified>
</cp:coreProperties>
</file>