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lantic\Downloads\"/>
    </mc:Choice>
  </mc:AlternateContent>
  <bookViews>
    <workbookView xWindow="0" yWindow="0" windowWidth="21570" windowHeight="8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Sheet1!$A$1:$AM$13</definedName>
  </definedNames>
  <calcPr calcId="162913"/>
</workbook>
</file>

<file path=xl/calcChain.xml><?xml version="1.0" encoding="utf-8"?>
<calcChain xmlns="http://schemas.openxmlformats.org/spreadsheetml/2006/main">
  <c r="F13" i="1" l="1"/>
  <c r="D13" i="1"/>
  <c r="C13" i="1"/>
  <c r="B13" i="1"/>
  <c r="F12" i="1"/>
  <c r="D12" i="1"/>
  <c r="C12" i="1"/>
  <c r="B12" i="1"/>
  <c r="F11" i="1"/>
  <c r="D11" i="1"/>
  <c r="C11" i="1"/>
  <c r="B11" i="1"/>
  <c r="F10" i="1"/>
  <c r="D10" i="1"/>
  <c r="C10" i="1"/>
  <c r="B10" i="1"/>
  <c r="F9" i="1"/>
  <c r="D9" i="1"/>
  <c r="C9" i="1"/>
  <c r="B9" i="1"/>
  <c r="F8" i="1"/>
  <c r="D8" i="1"/>
  <c r="C8" i="1"/>
  <c r="B8" i="1"/>
  <c r="F7" i="1"/>
  <c r="D7" i="1"/>
  <c r="C7" i="1"/>
  <c r="B7" i="1"/>
  <c r="F6" i="1"/>
  <c r="D6" i="1"/>
  <c r="C6" i="1"/>
  <c r="B6" i="1"/>
  <c r="F5" i="1"/>
  <c r="D5" i="1"/>
  <c r="C5" i="1"/>
  <c r="B5" i="1"/>
  <c r="F4" i="1"/>
  <c r="D4" i="1"/>
  <c r="C4" i="1"/>
  <c r="B4" i="1"/>
  <c r="F3" i="1" l="1"/>
  <c r="D3" i="1"/>
  <c r="C3" i="1"/>
  <c r="B3" i="1"/>
  <c r="F2" i="1"/>
  <c r="D2" i="1"/>
  <c r="C2" i="1"/>
  <c r="B2" i="1"/>
</calcChain>
</file>

<file path=xl/sharedStrings.xml><?xml version="1.0" encoding="utf-8"?>
<sst xmlns="http://schemas.openxmlformats.org/spreadsheetml/2006/main" count="281" uniqueCount="114">
  <si>
    <t>TOTAL VL</t>
  </si>
  <si>
    <t>Stone No</t>
  </si>
  <si>
    <t>Image link</t>
  </si>
  <si>
    <t>Video Link</t>
  </si>
  <si>
    <t>Video</t>
  </si>
  <si>
    <t>Lab</t>
  </si>
  <si>
    <t>Report No</t>
  </si>
  <si>
    <t>Shape</t>
  </si>
  <si>
    <t>Carats</t>
  </si>
  <si>
    <t>Color</t>
  </si>
  <si>
    <t>Clarity</t>
  </si>
  <si>
    <t>Rap</t>
  </si>
  <si>
    <t>value</t>
  </si>
  <si>
    <t>Disc %</t>
  </si>
  <si>
    <t>Price/Ct</t>
  </si>
  <si>
    <t>Amount</t>
  </si>
  <si>
    <t>Cut</t>
  </si>
  <si>
    <t>Polish</t>
  </si>
  <si>
    <t>Sym</t>
  </si>
  <si>
    <t>Flour</t>
  </si>
  <si>
    <t>Measurement</t>
  </si>
  <si>
    <t>Table %</t>
  </si>
  <si>
    <t>Depth %</t>
  </si>
  <si>
    <t>Crown Angle</t>
  </si>
  <si>
    <t>Crown Height</t>
  </si>
  <si>
    <t>Pav Angle</t>
  </si>
  <si>
    <t>Pav Height</t>
  </si>
  <si>
    <t>Key To Symbols</t>
  </si>
  <si>
    <t>lower Half</t>
  </si>
  <si>
    <t>Girdle Thickness</t>
  </si>
  <si>
    <t>Girdle Size</t>
  </si>
  <si>
    <t>Ratio</t>
  </si>
  <si>
    <t>Natts</t>
  </si>
  <si>
    <t>HNA</t>
  </si>
  <si>
    <t>Comment</t>
  </si>
  <si>
    <t>Shade</t>
  </si>
  <si>
    <t>Kapan Origin</t>
  </si>
  <si>
    <t>CULET</t>
  </si>
  <si>
    <t>Report Type</t>
  </si>
  <si>
    <t>GIA</t>
  </si>
  <si>
    <t>P</t>
  </si>
  <si>
    <t>OVAL</t>
  </si>
  <si>
    <t>G</t>
  </si>
  <si>
    <t>VS1</t>
  </si>
  <si>
    <t/>
  </si>
  <si>
    <t>EX</t>
  </si>
  <si>
    <t>VG</t>
  </si>
  <si>
    <t>MED</t>
  </si>
  <si>
    <t>NON</t>
  </si>
  <si>
    <t>BC0 - BT0</t>
  </si>
  <si>
    <t>NO</t>
  </si>
  <si>
    <t>NO BROWN NO MILKY</t>
  </si>
  <si>
    <t>F</t>
  </si>
  <si>
    <t>FNT</t>
  </si>
  <si>
    <t>H</t>
  </si>
  <si>
    <t>BC0 - BT1</t>
  </si>
  <si>
    <t>MED to THK</t>
  </si>
  <si>
    <t>VS2</t>
  </si>
  <si>
    <t>BC1 - BT2</t>
  </si>
  <si>
    <t>No BROWN NO MILKY</t>
  </si>
  <si>
    <t>I</t>
  </si>
  <si>
    <t>SI1</t>
  </si>
  <si>
    <t>BC2 - BT1</t>
  </si>
  <si>
    <t>Additional clouds are not shown. Pinpoints are not shown.</t>
  </si>
  <si>
    <t>E</t>
  </si>
  <si>
    <t>VVS2</t>
  </si>
  <si>
    <t>Cloud, Pinpoint</t>
  </si>
  <si>
    <t>MED to STK</t>
  </si>
  <si>
    <t>BC1 - BT1</t>
  </si>
  <si>
    <t>CRYSTAL,PINPOINT</t>
  </si>
  <si>
    <t>BC0 - BT2</t>
  </si>
  <si>
    <t>LV-1</t>
  </si>
  <si>
    <t>13.93 * 9.95 * 6.35</t>
  </si>
  <si>
    <t>Additional pinpoints are not shown.</t>
  </si>
  <si>
    <t>STK to THK</t>
  </si>
  <si>
    <t>SI2</t>
  </si>
  <si>
    <t>THK to VTK</t>
  </si>
  <si>
    <t>THN to MED</t>
  </si>
  <si>
    <t>RU-31</t>
  </si>
  <si>
    <t>8.97 * 6.50 * 4.12</t>
  </si>
  <si>
    <t>Crystal, Needle</t>
  </si>
  <si>
    <t>Clouds are not shown. Pinpoints are not shown.</t>
  </si>
  <si>
    <t>CUSHION</t>
  </si>
  <si>
    <t>VTK to ETK</t>
  </si>
  <si>
    <t>HX-2</t>
  </si>
  <si>
    <t>6.27 * 6.19 * 4.31</t>
  </si>
  <si>
    <t>CRYSTAL,NEEDLE,PINPOINT,INDENTED NATURAL,NATURAL</t>
  </si>
  <si>
    <t>ML-31</t>
  </si>
  <si>
    <t>6.66 * 6.04 * 4.05</t>
  </si>
  <si>
    <t>NEEDLE,CLOUD,INDENTED NATURAL,NATURAL</t>
  </si>
  <si>
    <t>OQ-31</t>
  </si>
  <si>
    <t>6.56 * 6.50 * 4.31</t>
  </si>
  <si>
    <t>CRYSTAL,CLOUD,FEATHER,NEEDLE</t>
  </si>
  <si>
    <t>QL-2</t>
  </si>
  <si>
    <t>9.23 * 8.61 * 5.88</t>
  </si>
  <si>
    <t>Crystal, Cloud, Feather, Needle, Knot</t>
  </si>
  <si>
    <t>QM-30</t>
  </si>
  <si>
    <t>7.64 * 7.61 * 5.05</t>
  </si>
  <si>
    <t>Crystal, Feather, Cloud, Pinpoint, Indented Natural</t>
  </si>
  <si>
    <t>QM-50</t>
  </si>
  <si>
    <t>6.86 * 6.57 * 4.39</t>
  </si>
  <si>
    <t>RU-110</t>
  </si>
  <si>
    <t>6.68 * 6.20 * 4.24</t>
  </si>
  <si>
    <t>Cloud, Crystal, Feather, Needle</t>
  </si>
  <si>
    <t>SE-54</t>
  </si>
  <si>
    <t>7.08 * 6.98 * 4.66</t>
  </si>
  <si>
    <t>Pinpoint, Natural</t>
  </si>
  <si>
    <t>VJ-20</t>
  </si>
  <si>
    <t>6.33 * 6.31 * 4.39</t>
  </si>
  <si>
    <t>CRYSTAL,FEATHER,NEEDLE,NATURAL</t>
  </si>
  <si>
    <t>PRINCESS</t>
  </si>
  <si>
    <t>RU-1</t>
  </si>
  <si>
    <t>6.91 * 6.79 * 4.99</t>
  </si>
  <si>
    <t>Cloud, Crystal, Needle, Indented Natural,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</si>
</sst>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8"/>
      <color rgb="FF000000"/>
      <name val="Cambria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0D9"/>
        <bgColor rgb="FFFFFFFF"/>
      </patternFill>
    </fill>
    <fill>
      <patternFill patternType="solid">
        <fgColor rgb="FF95B3D7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K15" sqref="K15"/>
    </sheetView>
  </sheetViews>
  <sheetFormatPr defaultRowHeight="15" x14ac:dyDescent="0.25"/>
  <cols>
    <col min="1" max="1" width="11.85546875" style="1" bestFit="1" customWidth="1"/>
    <col min="2" max="3" width="13.28515625" style="7" bestFit="1" customWidth="1"/>
    <col min="4" max="4" width="9.7109375" style="7" bestFit="1" customWidth="1"/>
    <col min="5" max="5" width="9.140625" style="1" customWidth="1"/>
    <col min="6" max="6" width="12.7109375" style="1" bestFit="1" customWidth="1"/>
    <col min="7" max="7" width="14.5703125" style="1" bestFit="1" customWidth="1"/>
    <col min="8" max="8" width="9.140625" style="1" customWidth="1"/>
    <col min="9" max="9" width="9.140625" style="2" customWidth="1"/>
    <col min="10" max="10" width="9.140625" style="1" customWidth="1"/>
    <col min="11" max="11" width="10.28515625" style="1" bestFit="1" customWidth="1"/>
    <col min="12" max="12" width="9.140625" style="1" customWidth="1"/>
    <col min="13" max="13" width="10.7109375" style="1" bestFit="1" customWidth="1"/>
    <col min="14" max="14" width="10.42578125" style="2" bestFit="1" customWidth="1"/>
    <col min="15" max="15" width="11.5703125" style="1" bestFit="1" customWidth="1"/>
    <col min="16" max="16" width="11.42578125" style="1" bestFit="1" customWidth="1"/>
    <col min="17" max="17" width="9.140625" style="1" customWidth="1"/>
    <col min="18" max="18" width="10" style="1" bestFit="1" customWidth="1"/>
    <col min="19" max="19" width="9.140625" style="1" customWidth="1"/>
    <col min="20" max="20" width="9.42578125" style="1" bestFit="1" customWidth="1"/>
    <col min="21" max="21" width="15.7109375" style="1" bestFit="1" customWidth="1"/>
    <col min="22" max="22" width="11.5703125" style="2" bestFit="1" customWidth="1"/>
    <col min="23" max="23" width="12" style="2" bestFit="1" customWidth="1"/>
    <col min="24" max="24" width="10.140625" style="2" bestFit="1" customWidth="1"/>
    <col min="25" max="25" width="14.7109375" style="2" bestFit="1" customWidth="1"/>
    <col min="26" max="26" width="15.42578125" style="2" bestFit="1" customWidth="1"/>
    <col min="27" max="27" width="12.7109375" style="2" bestFit="1" customWidth="1"/>
    <col min="28" max="28" width="13.42578125" style="2" bestFit="1" customWidth="1"/>
    <col min="29" max="29" width="16.85546875" style="1" bestFit="1" customWidth="1"/>
    <col min="30" max="30" width="13" style="1" bestFit="1" customWidth="1"/>
    <col min="31" max="31" width="17.85546875" style="1" bestFit="1" customWidth="1"/>
    <col min="32" max="34" width="9.140625" style="1" customWidth="1"/>
    <col min="35" max="35" width="8.7109375" style="1" bestFit="1" customWidth="1"/>
    <col min="36" max="37" width="23.85546875" style="3" customWidth="1"/>
    <col min="38" max="38" width="13.5703125" style="4" customWidth="1"/>
  </cols>
  <sheetData>
    <row r="1" spans="1:39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38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37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9" t="s">
        <v>34</v>
      </c>
      <c r="AK1" s="9" t="s">
        <v>35</v>
      </c>
      <c r="AL1" s="10" t="s">
        <v>36</v>
      </c>
    </row>
    <row r="2" spans="1:39" x14ac:dyDescent="0.25">
      <c r="A2" s="11" t="s">
        <v>71</v>
      </c>
      <c r="B2" s="11" t="str">
        <f>HYPERLINK("https://diamdna.azureedge.net/imaged/lv-1/still.jpg ","Image")</f>
        <v>Image</v>
      </c>
      <c r="C2" s="11" t="str">
        <f>HYPERLINK("https://diamdna.azureedge.net/Vision360.html?d=lv-1&amp;sr=-30&amp;s=30 ","Video")</f>
        <v>Video</v>
      </c>
      <c r="D2" s="11" t="str">
        <f>HYPERLINK("https://diamdna.azureedge.net/imaged/lv-1/video.mp4 ","Download")</f>
        <v>Download</v>
      </c>
      <c r="E2" s="11" t="s">
        <v>39</v>
      </c>
      <c r="F2" s="11" t="str">
        <f>HYPERLINK("https://diamdna.azureedge.net/reports/2434511694.pdf#zoom=150 ","2434511694")</f>
        <v>2434511694</v>
      </c>
      <c r="G2" s="11" t="s">
        <v>40</v>
      </c>
      <c r="H2" s="11" t="s">
        <v>41</v>
      </c>
      <c r="I2" s="11">
        <v>5.55</v>
      </c>
      <c r="J2" s="11" t="s">
        <v>42</v>
      </c>
      <c r="K2" s="11" t="s">
        <v>61</v>
      </c>
      <c r="L2" s="11">
        <v>29500</v>
      </c>
      <c r="M2" s="11">
        <v>163725</v>
      </c>
      <c r="N2" s="11">
        <v>-44</v>
      </c>
      <c r="O2" s="11">
        <v>16520</v>
      </c>
      <c r="P2" s="11">
        <v>91686</v>
      </c>
      <c r="Q2" s="11" t="s">
        <v>44</v>
      </c>
      <c r="R2" s="11" t="s">
        <v>45</v>
      </c>
      <c r="S2" s="11" t="s">
        <v>45</v>
      </c>
      <c r="T2" s="11" t="s">
        <v>47</v>
      </c>
      <c r="U2" s="11" t="s">
        <v>72</v>
      </c>
      <c r="V2" s="11">
        <v>59</v>
      </c>
      <c r="W2" s="11">
        <v>63.9</v>
      </c>
      <c r="X2" s="11" t="s">
        <v>48</v>
      </c>
      <c r="Y2" s="11">
        <v>0</v>
      </c>
      <c r="Z2" s="11">
        <v>0</v>
      </c>
      <c r="AA2" s="11">
        <v>0</v>
      </c>
      <c r="AB2" s="11">
        <v>0</v>
      </c>
      <c r="AC2" s="11" t="s">
        <v>69</v>
      </c>
      <c r="AD2" s="11" t="s">
        <v>44</v>
      </c>
      <c r="AE2" s="11" t="s">
        <v>67</v>
      </c>
      <c r="AF2" s="11">
        <v>3.35</v>
      </c>
      <c r="AG2" s="11">
        <v>1.4</v>
      </c>
      <c r="AH2" s="11" t="s">
        <v>70</v>
      </c>
      <c r="AI2" s="11" t="s">
        <v>50</v>
      </c>
      <c r="AJ2" s="11" t="s">
        <v>73</v>
      </c>
      <c r="AK2" s="11" t="s">
        <v>50</v>
      </c>
      <c r="AL2" s="11"/>
      <c r="AM2" s="11" t="s">
        <v>51</v>
      </c>
    </row>
    <row r="3" spans="1:39" x14ac:dyDescent="0.25">
      <c r="A3" s="11" t="s">
        <v>78</v>
      </c>
      <c r="B3" s="11" t="str">
        <f>HYPERLINK("https://diamdna.azureedge.net/imaged/ru-31/still.jpg ","Image")</f>
        <v>Image</v>
      </c>
      <c r="C3" s="11" t="str">
        <f>HYPERLINK("https://diamdna.azureedge.net/Vision360.html?d=ru-31&amp;sr=-30&amp;s=30 ","Video")</f>
        <v>Video</v>
      </c>
      <c r="D3" s="11" t="str">
        <f>HYPERLINK("https://diamdna.azureedge.net/imaged/ru-31/video.mp4 ","Download")</f>
        <v>Download</v>
      </c>
      <c r="E3" s="11" t="s">
        <v>39</v>
      </c>
      <c r="F3" s="11" t="str">
        <f>HYPERLINK("https://diamdna.azureedge.net/reports/1468411832.pdf#zoom=150 ","1468411832")</f>
        <v>1468411832</v>
      </c>
      <c r="G3" s="11" t="s">
        <v>40</v>
      </c>
      <c r="H3" s="11" t="s">
        <v>41</v>
      </c>
      <c r="I3" s="11">
        <v>1.5</v>
      </c>
      <c r="J3" s="11" t="s">
        <v>54</v>
      </c>
      <c r="K3" s="11" t="s">
        <v>65</v>
      </c>
      <c r="L3" s="11">
        <v>9900</v>
      </c>
      <c r="M3" s="11">
        <v>14850</v>
      </c>
      <c r="N3" s="11">
        <v>-31</v>
      </c>
      <c r="O3" s="11">
        <v>6831</v>
      </c>
      <c r="P3" s="11">
        <v>10246.5</v>
      </c>
      <c r="Q3" s="11" t="s">
        <v>44</v>
      </c>
      <c r="R3" s="11" t="s">
        <v>45</v>
      </c>
      <c r="S3" s="11" t="s">
        <v>45</v>
      </c>
      <c r="T3" s="11" t="s">
        <v>48</v>
      </c>
      <c r="U3" s="11" t="s">
        <v>79</v>
      </c>
      <c r="V3" s="11">
        <v>60</v>
      </c>
      <c r="W3" s="11">
        <v>63.4</v>
      </c>
      <c r="X3" s="11" t="s">
        <v>48</v>
      </c>
      <c r="Y3" s="11">
        <v>39.200000000000003</v>
      </c>
      <c r="Z3" s="11">
        <v>0</v>
      </c>
      <c r="AA3" s="11">
        <v>0</v>
      </c>
      <c r="AB3" s="11">
        <v>0</v>
      </c>
      <c r="AC3" s="11" t="s">
        <v>66</v>
      </c>
      <c r="AD3" s="11" t="s">
        <v>44</v>
      </c>
      <c r="AE3" s="11" t="s">
        <v>67</v>
      </c>
      <c r="AF3" s="11">
        <v>3.35</v>
      </c>
      <c r="AG3" s="11">
        <v>1.38</v>
      </c>
      <c r="AH3" s="11" t="s">
        <v>49</v>
      </c>
      <c r="AI3" s="11" t="s">
        <v>50</v>
      </c>
      <c r="AJ3" s="11"/>
      <c r="AK3" s="11" t="s">
        <v>50</v>
      </c>
      <c r="AL3" s="11"/>
      <c r="AM3" s="11" t="s">
        <v>59</v>
      </c>
    </row>
    <row r="4" spans="1:39" s="5" customFormat="1" x14ac:dyDescent="0.25">
      <c r="A4" s="11" t="s">
        <v>84</v>
      </c>
      <c r="B4" s="11" t="str">
        <f>HYPERLINK("https://diamdna.azureedge.net/imaged/hx-2/still.jpg ","Image")</f>
        <v>Image</v>
      </c>
      <c r="C4" s="11" t="str">
        <f>HYPERLINK("https://diamdna.azureedge.net/Vision360.html?d=hx-2&amp;sr=-30&amp;s=30 ","Video")</f>
        <v>Video</v>
      </c>
      <c r="D4" s="11" t="str">
        <f>HYPERLINK("https://diamdna.azureedge.net/imaged/hx-2/video.mp4 ","Download")</f>
        <v>Download</v>
      </c>
      <c r="E4" s="11" t="s">
        <v>39</v>
      </c>
      <c r="F4" s="11" t="str">
        <f>HYPERLINK("https://diamdna.azureedge.net/reports/6421414877.pdf#zoom=150 ","6421414877")</f>
        <v>6421414877</v>
      </c>
      <c r="G4" s="11" t="s">
        <v>40</v>
      </c>
      <c r="H4" s="11" t="s">
        <v>82</v>
      </c>
      <c r="I4" s="11">
        <v>1.51</v>
      </c>
      <c r="J4" s="11" t="s">
        <v>54</v>
      </c>
      <c r="K4" s="11" t="s">
        <v>75</v>
      </c>
      <c r="L4" s="11">
        <v>6600</v>
      </c>
      <c r="M4" s="11">
        <v>9966</v>
      </c>
      <c r="N4" s="11">
        <v>-70.5</v>
      </c>
      <c r="O4" s="11">
        <v>1947</v>
      </c>
      <c r="P4" s="11">
        <v>2939.97</v>
      </c>
      <c r="Q4" s="11" t="s">
        <v>44</v>
      </c>
      <c r="R4" s="11" t="s">
        <v>45</v>
      </c>
      <c r="S4" s="11" t="s">
        <v>46</v>
      </c>
      <c r="T4" s="11" t="s">
        <v>48</v>
      </c>
      <c r="U4" s="11" t="s">
        <v>85</v>
      </c>
      <c r="V4" s="11">
        <v>59</v>
      </c>
      <c r="W4" s="11">
        <v>69.599999999999994</v>
      </c>
      <c r="X4" s="11" t="s">
        <v>48</v>
      </c>
      <c r="Y4" s="11">
        <v>0</v>
      </c>
      <c r="Z4" s="11">
        <v>0</v>
      </c>
      <c r="AA4" s="11">
        <v>0</v>
      </c>
      <c r="AB4" s="11">
        <v>0</v>
      </c>
      <c r="AC4" s="11" t="s">
        <v>86</v>
      </c>
      <c r="AD4" s="11" t="s">
        <v>44</v>
      </c>
      <c r="AE4" s="11" t="s">
        <v>76</v>
      </c>
      <c r="AF4" s="11">
        <v>4.3499999999999996</v>
      </c>
      <c r="AG4" s="11">
        <v>1.01</v>
      </c>
      <c r="AH4" s="11" t="s">
        <v>70</v>
      </c>
      <c r="AI4" s="11" t="s">
        <v>50</v>
      </c>
      <c r="AJ4" s="11" t="s">
        <v>73</v>
      </c>
      <c r="AK4" s="11" t="s">
        <v>50</v>
      </c>
      <c r="AL4" s="11"/>
      <c r="AM4" s="11" t="s">
        <v>51</v>
      </c>
    </row>
    <row r="5" spans="1:39" s="5" customFormat="1" x14ac:dyDescent="0.25">
      <c r="A5" s="11" t="s">
        <v>87</v>
      </c>
      <c r="B5" s="11" t="str">
        <f>HYPERLINK("https://diamdna.azureedge.net/imaged/ml-31/still.jpg ","Image")</f>
        <v>Image</v>
      </c>
      <c r="C5" s="11" t="str">
        <f>HYPERLINK("https://diamdna.azureedge.net/Vision360.html?d=ml-31&amp;sr=-30&amp;s=30 ","Video")</f>
        <v>Video</v>
      </c>
      <c r="D5" s="11" t="str">
        <f>HYPERLINK("https://diamdna.azureedge.net/imaged/ml-31/video.mp4 ","Download")</f>
        <v>Download</v>
      </c>
      <c r="E5" s="11" t="s">
        <v>39</v>
      </c>
      <c r="F5" s="11" t="str">
        <f>HYPERLINK("https://diamdna.azureedge.net/reports/6445020614.pdf#zoom=150 ","6445020614")</f>
        <v>6445020614</v>
      </c>
      <c r="G5" s="11" t="s">
        <v>40</v>
      </c>
      <c r="H5" s="11" t="s">
        <v>82</v>
      </c>
      <c r="I5" s="11">
        <v>1.51</v>
      </c>
      <c r="J5" s="11" t="s">
        <v>54</v>
      </c>
      <c r="K5" s="11" t="s">
        <v>43</v>
      </c>
      <c r="L5" s="11">
        <v>9500</v>
      </c>
      <c r="M5" s="11">
        <v>14345</v>
      </c>
      <c r="N5" s="11">
        <v>-64</v>
      </c>
      <c r="O5" s="11">
        <v>3420</v>
      </c>
      <c r="P5" s="11">
        <v>5164.2</v>
      </c>
      <c r="Q5" s="11" t="s">
        <v>44</v>
      </c>
      <c r="R5" s="11" t="s">
        <v>45</v>
      </c>
      <c r="S5" s="11" t="s">
        <v>45</v>
      </c>
      <c r="T5" s="11" t="s">
        <v>48</v>
      </c>
      <c r="U5" s="11" t="s">
        <v>88</v>
      </c>
      <c r="V5" s="11">
        <v>63</v>
      </c>
      <c r="W5" s="11">
        <v>67</v>
      </c>
      <c r="X5" s="11" t="s">
        <v>48</v>
      </c>
      <c r="Y5" s="11">
        <v>0</v>
      </c>
      <c r="Z5" s="11">
        <v>0</v>
      </c>
      <c r="AA5" s="11">
        <v>0</v>
      </c>
      <c r="AB5" s="11">
        <v>0</v>
      </c>
      <c r="AC5" s="11" t="s">
        <v>89</v>
      </c>
      <c r="AD5" s="11" t="s">
        <v>44</v>
      </c>
      <c r="AE5" s="11" t="s">
        <v>67</v>
      </c>
      <c r="AF5" s="11">
        <v>3.35</v>
      </c>
      <c r="AG5" s="11">
        <v>1.1000000000000001</v>
      </c>
      <c r="AH5" s="11" t="s">
        <v>55</v>
      </c>
      <c r="AI5" s="11" t="s">
        <v>50</v>
      </c>
      <c r="AJ5" s="11" t="s">
        <v>63</v>
      </c>
      <c r="AK5" s="11" t="s">
        <v>50</v>
      </c>
      <c r="AL5" s="11"/>
      <c r="AM5" s="11" t="s">
        <v>51</v>
      </c>
    </row>
    <row r="6" spans="1:39" s="5" customFormat="1" x14ac:dyDescent="0.25">
      <c r="A6" s="11" t="s">
        <v>90</v>
      </c>
      <c r="B6" s="11" t="str">
        <f>HYPERLINK("https://diamdna.azureedge.net/imaged/oq-31/still.jpg ","Image")</f>
        <v>Image</v>
      </c>
      <c r="C6" s="11" t="str">
        <f>HYPERLINK("https://diamdna.azureedge.net/Vision360.html?d=oq-31&amp;sr=-30&amp;s=30 ","Video")</f>
        <v>Video</v>
      </c>
      <c r="D6" s="11" t="str">
        <f>HYPERLINK("https://diamdna.azureedge.net/imaged/oq-31/video.mp4 ","Download")</f>
        <v>Download</v>
      </c>
      <c r="E6" s="11" t="s">
        <v>39</v>
      </c>
      <c r="F6" s="11" t="str">
        <f>HYPERLINK("https://diamdna.azureedge.net/reports/6445988672.pdf#zoom=150 ","6445988672")</f>
        <v>6445988672</v>
      </c>
      <c r="G6" s="11" t="s">
        <v>40</v>
      </c>
      <c r="H6" s="11" t="s">
        <v>82</v>
      </c>
      <c r="I6" s="11">
        <v>1.57</v>
      </c>
      <c r="J6" s="11" t="s">
        <v>42</v>
      </c>
      <c r="K6" s="11" t="s">
        <v>75</v>
      </c>
      <c r="L6" s="11">
        <v>7000</v>
      </c>
      <c r="M6" s="11">
        <v>10990</v>
      </c>
      <c r="N6" s="11">
        <v>-69.099999999999994</v>
      </c>
      <c r="O6" s="11">
        <v>2163</v>
      </c>
      <c r="P6" s="11">
        <v>3395.91</v>
      </c>
      <c r="Q6" s="11" t="s">
        <v>44</v>
      </c>
      <c r="R6" s="11" t="s">
        <v>45</v>
      </c>
      <c r="S6" s="11" t="s">
        <v>45</v>
      </c>
      <c r="T6" s="11" t="s">
        <v>48</v>
      </c>
      <c r="U6" s="11" t="s">
        <v>91</v>
      </c>
      <c r="V6" s="11">
        <v>62</v>
      </c>
      <c r="W6" s="11">
        <v>66.3</v>
      </c>
      <c r="X6" s="11" t="s">
        <v>48</v>
      </c>
      <c r="Y6" s="11">
        <v>0</v>
      </c>
      <c r="Z6" s="11">
        <v>0</v>
      </c>
      <c r="AA6" s="11">
        <v>0</v>
      </c>
      <c r="AB6" s="11">
        <v>0</v>
      </c>
      <c r="AC6" s="11" t="s">
        <v>92</v>
      </c>
      <c r="AD6" s="11" t="s">
        <v>44</v>
      </c>
      <c r="AE6" s="11" t="s">
        <v>67</v>
      </c>
      <c r="AF6" s="11">
        <v>3.35</v>
      </c>
      <c r="AG6" s="11">
        <v>1.01</v>
      </c>
      <c r="AH6" s="11" t="s">
        <v>58</v>
      </c>
      <c r="AI6" s="11" t="s">
        <v>50</v>
      </c>
      <c r="AJ6" s="11" t="s">
        <v>63</v>
      </c>
      <c r="AK6" s="11" t="s">
        <v>50</v>
      </c>
      <c r="AL6" s="11"/>
      <c r="AM6" s="11" t="s">
        <v>51</v>
      </c>
    </row>
    <row r="7" spans="1:39" s="5" customFormat="1" x14ac:dyDescent="0.25">
      <c r="A7" s="11" t="s">
        <v>93</v>
      </c>
      <c r="B7" s="11" t="str">
        <f>HYPERLINK("https://diamdna.azureedge.net/imaged/ql-2/still.jpg ","Image")</f>
        <v>Image</v>
      </c>
      <c r="C7" s="11" t="str">
        <f>HYPERLINK("https://diamdna.azureedge.net/Vision360.html?d=ql-2&amp;sr=-30&amp;s=30 ","Video")</f>
        <v>Video</v>
      </c>
      <c r="D7" s="11" t="str">
        <f>HYPERLINK("https://diamdna.azureedge.net/imaged/ql-2/video.mp4 ","Download")</f>
        <v>Download</v>
      </c>
      <c r="E7" s="11" t="s">
        <v>39</v>
      </c>
      <c r="F7" s="11" t="str">
        <f>HYPERLINK("https://diamdna.azureedge.net/reports/7451956388.pdf#zoom=150 ","7451956388")</f>
        <v>7451956388</v>
      </c>
      <c r="G7" s="11" t="s">
        <v>40</v>
      </c>
      <c r="H7" s="11" t="s">
        <v>82</v>
      </c>
      <c r="I7" s="11">
        <v>4.05</v>
      </c>
      <c r="J7" s="11" t="s">
        <v>60</v>
      </c>
      <c r="K7" s="11" t="s">
        <v>75</v>
      </c>
      <c r="L7" s="11">
        <v>14000</v>
      </c>
      <c r="M7" s="11">
        <v>56700</v>
      </c>
      <c r="N7" s="11">
        <v>-41</v>
      </c>
      <c r="O7" s="11">
        <v>8260</v>
      </c>
      <c r="P7" s="11">
        <v>33453</v>
      </c>
      <c r="Q7" s="11" t="s">
        <v>44</v>
      </c>
      <c r="R7" s="11" t="s">
        <v>45</v>
      </c>
      <c r="S7" s="11" t="s">
        <v>45</v>
      </c>
      <c r="T7" s="11" t="s">
        <v>48</v>
      </c>
      <c r="U7" s="11" t="s">
        <v>94</v>
      </c>
      <c r="V7" s="11">
        <v>63</v>
      </c>
      <c r="W7" s="11">
        <v>68.3</v>
      </c>
      <c r="X7" s="11" t="s">
        <v>48</v>
      </c>
      <c r="Y7" s="11">
        <v>35</v>
      </c>
      <c r="Z7" s="11">
        <v>0</v>
      </c>
      <c r="AA7" s="11">
        <v>0</v>
      </c>
      <c r="AB7" s="11">
        <v>0</v>
      </c>
      <c r="AC7" s="11" t="s">
        <v>95</v>
      </c>
      <c r="AD7" s="11" t="s">
        <v>44</v>
      </c>
      <c r="AE7" s="11" t="s">
        <v>74</v>
      </c>
      <c r="AF7" s="11">
        <v>3.6</v>
      </c>
      <c r="AG7" s="11">
        <v>1.07</v>
      </c>
      <c r="AH7" s="11" t="s">
        <v>62</v>
      </c>
      <c r="AI7" s="11" t="s">
        <v>50</v>
      </c>
      <c r="AJ7" s="11" t="s">
        <v>63</v>
      </c>
      <c r="AK7" s="11" t="s">
        <v>50</v>
      </c>
      <c r="AL7" s="11"/>
      <c r="AM7" s="11" t="s">
        <v>59</v>
      </c>
    </row>
    <row r="8" spans="1:39" s="5" customFormat="1" x14ac:dyDescent="0.25">
      <c r="A8" s="11" t="s">
        <v>96</v>
      </c>
      <c r="B8" s="11" t="str">
        <f>HYPERLINK("https://diamdna.azureedge.net/imaged/qm-30/still.jpg ","Image")</f>
        <v>Image</v>
      </c>
      <c r="C8" s="11" t="str">
        <f>HYPERLINK("https://diamdna.azureedge.net/Vision360.html?d=qm-30&amp;sr=-30&amp;s=30 ","Video")</f>
        <v>Video</v>
      </c>
      <c r="D8" s="11" t="str">
        <f>HYPERLINK("https://diamdna.azureedge.net/imaged/qm-30/video.mp4 ","Download")</f>
        <v>Download</v>
      </c>
      <c r="E8" s="11" t="s">
        <v>39</v>
      </c>
      <c r="F8" s="11" t="str">
        <f>HYPERLINK("https://diamdna.azureedge.net/reports/6451963548.pdf#zoom=150 ","6451963548")</f>
        <v>6451963548</v>
      </c>
      <c r="G8" s="11" t="s">
        <v>40</v>
      </c>
      <c r="H8" s="11" t="s">
        <v>82</v>
      </c>
      <c r="I8" s="11">
        <v>2.44</v>
      </c>
      <c r="J8" s="11" t="s">
        <v>64</v>
      </c>
      <c r="K8" s="11" t="s">
        <v>57</v>
      </c>
      <c r="L8" s="11">
        <v>16500</v>
      </c>
      <c r="M8" s="11">
        <v>40260</v>
      </c>
      <c r="N8" s="11">
        <v>-55</v>
      </c>
      <c r="O8" s="11">
        <v>7425</v>
      </c>
      <c r="P8" s="11">
        <v>18117</v>
      </c>
      <c r="Q8" s="11" t="s">
        <v>44</v>
      </c>
      <c r="R8" s="11" t="s">
        <v>45</v>
      </c>
      <c r="S8" s="11" t="s">
        <v>45</v>
      </c>
      <c r="T8" s="11" t="s">
        <v>48</v>
      </c>
      <c r="U8" s="11" t="s">
        <v>97</v>
      </c>
      <c r="V8" s="11">
        <v>59</v>
      </c>
      <c r="W8" s="11">
        <v>66.400000000000006</v>
      </c>
      <c r="X8" s="11" t="s">
        <v>48</v>
      </c>
      <c r="Y8" s="11">
        <v>37</v>
      </c>
      <c r="Z8" s="11">
        <v>0</v>
      </c>
      <c r="AA8" s="11">
        <v>0</v>
      </c>
      <c r="AB8" s="11">
        <v>0</v>
      </c>
      <c r="AC8" s="11" t="s">
        <v>98</v>
      </c>
      <c r="AD8" s="11" t="s">
        <v>44</v>
      </c>
      <c r="AE8" s="11" t="s">
        <v>56</v>
      </c>
      <c r="AF8" s="11">
        <v>3.6</v>
      </c>
      <c r="AG8" s="11">
        <v>1</v>
      </c>
      <c r="AH8" s="11" t="s">
        <v>55</v>
      </c>
      <c r="AI8" s="11" t="s">
        <v>50</v>
      </c>
      <c r="AJ8" s="11" t="s">
        <v>73</v>
      </c>
      <c r="AK8" s="11" t="s">
        <v>50</v>
      </c>
      <c r="AL8" s="11"/>
      <c r="AM8" s="11" t="s">
        <v>59</v>
      </c>
    </row>
    <row r="9" spans="1:39" s="5" customFormat="1" x14ac:dyDescent="0.25">
      <c r="A9" s="11" t="s">
        <v>99</v>
      </c>
      <c r="B9" s="11" t="str">
        <f>HYPERLINK("https://diamdna.azureedge.net/imaged/qm-50/still.jpg ","Image")</f>
        <v>Image</v>
      </c>
      <c r="C9" s="11" t="str">
        <f>HYPERLINK("https://diamdna.azureedge.net/Vision360.html?d=qm-50&amp;sr=-30&amp;s=30 ","Video")</f>
        <v>Video</v>
      </c>
      <c r="D9" s="11" t="str">
        <f>HYPERLINK("https://diamdna.azureedge.net/imaged/qm-50/video.mp4 ","Download")</f>
        <v>Download</v>
      </c>
      <c r="E9" s="11" t="s">
        <v>39</v>
      </c>
      <c r="F9" s="11" t="str">
        <f>HYPERLINK("https://diamdna.azureedge.net/reports/2458963545.pdf#zoom=150 ","2458963545")</f>
        <v>2458963545</v>
      </c>
      <c r="G9" s="11" t="s">
        <v>40</v>
      </c>
      <c r="H9" s="11" t="s">
        <v>82</v>
      </c>
      <c r="I9" s="11">
        <v>1.7</v>
      </c>
      <c r="J9" s="11" t="s">
        <v>42</v>
      </c>
      <c r="K9" s="11" t="s">
        <v>43</v>
      </c>
      <c r="L9" s="11">
        <v>11200</v>
      </c>
      <c r="M9" s="11">
        <v>19040</v>
      </c>
      <c r="N9" s="11">
        <v>-59</v>
      </c>
      <c r="O9" s="11">
        <v>4592</v>
      </c>
      <c r="P9" s="11">
        <v>7806.4</v>
      </c>
      <c r="Q9" s="11" t="s">
        <v>44</v>
      </c>
      <c r="R9" s="11" t="s">
        <v>45</v>
      </c>
      <c r="S9" s="11" t="s">
        <v>45</v>
      </c>
      <c r="T9" s="11" t="s">
        <v>48</v>
      </c>
      <c r="U9" s="11" t="s">
        <v>100</v>
      </c>
      <c r="V9" s="11">
        <v>59</v>
      </c>
      <c r="W9" s="11">
        <v>66.8</v>
      </c>
      <c r="X9" s="11" t="s">
        <v>48</v>
      </c>
      <c r="Y9" s="11">
        <v>38</v>
      </c>
      <c r="Z9" s="11">
        <v>0</v>
      </c>
      <c r="AA9" s="11">
        <v>0</v>
      </c>
      <c r="AB9" s="11">
        <v>0</v>
      </c>
      <c r="AC9" s="11" t="s">
        <v>80</v>
      </c>
      <c r="AD9" s="11" t="s">
        <v>44</v>
      </c>
      <c r="AE9" s="11" t="s">
        <v>77</v>
      </c>
      <c r="AF9" s="11">
        <v>3.35</v>
      </c>
      <c r="AG9" s="11">
        <v>1.04</v>
      </c>
      <c r="AH9" s="11" t="s">
        <v>55</v>
      </c>
      <c r="AI9" s="11" t="s">
        <v>50</v>
      </c>
      <c r="AJ9" s="11"/>
      <c r="AK9" s="11" t="s">
        <v>50</v>
      </c>
      <c r="AL9" s="11"/>
      <c r="AM9" s="11" t="s">
        <v>59</v>
      </c>
    </row>
    <row r="10" spans="1:39" s="5" customFormat="1" x14ac:dyDescent="0.25">
      <c r="A10" s="11" t="s">
        <v>101</v>
      </c>
      <c r="B10" s="11" t="str">
        <f>HYPERLINK("https://diamdna.azureedge.net/imaged/ru-110/still.jpg ","Image")</f>
        <v>Image</v>
      </c>
      <c r="C10" s="11" t="str">
        <f>HYPERLINK("https://diamdna.azureedge.net/Vision360.html?d=ru-110&amp;sr=-30&amp;s=30 ","Video")</f>
        <v>Video</v>
      </c>
      <c r="D10" s="11" t="str">
        <f>HYPERLINK("https://diamdna.azureedge.net/imaged/ru-110/video.mp4 ","Download")</f>
        <v>Download</v>
      </c>
      <c r="E10" s="11" t="s">
        <v>39</v>
      </c>
      <c r="F10" s="11" t="str">
        <f>HYPERLINK("https://diamdna.azureedge.net/reports/6462475175.pdf#zoom=150 ","6462475175")</f>
        <v>6462475175</v>
      </c>
      <c r="G10" s="11" t="s">
        <v>40</v>
      </c>
      <c r="H10" s="11" t="s">
        <v>82</v>
      </c>
      <c r="I10" s="11">
        <v>1.51</v>
      </c>
      <c r="J10" s="11" t="s">
        <v>52</v>
      </c>
      <c r="K10" s="11" t="s">
        <v>57</v>
      </c>
      <c r="L10" s="11">
        <v>10900</v>
      </c>
      <c r="M10" s="11">
        <v>16459</v>
      </c>
      <c r="N10" s="11">
        <v>-63</v>
      </c>
      <c r="O10" s="11">
        <v>4033</v>
      </c>
      <c r="P10" s="11">
        <v>6089.83</v>
      </c>
      <c r="Q10" s="11" t="s">
        <v>44</v>
      </c>
      <c r="R10" s="11" t="s">
        <v>45</v>
      </c>
      <c r="S10" s="11" t="s">
        <v>46</v>
      </c>
      <c r="T10" s="11" t="s">
        <v>53</v>
      </c>
      <c r="U10" s="11" t="s">
        <v>102</v>
      </c>
      <c r="V10" s="11">
        <v>62</v>
      </c>
      <c r="W10" s="11">
        <v>68.400000000000006</v>
      </c>
      <c r="X10" s="11" t="s">
        <v>48</v>
      </c>
      <c r="Y10" s="11">
        <v>37</v>
      </c>
      <c r="Z10" s="11">
        <v>0</v>
      </c>
      <c r="AA10" s="11">
        <v>0</v>
      </c>
      <c r="AB10" s="11">
        <v>0</v>
      </c>
      <c r="AC10" s="11" t="s">
        <v>103</v>
      </c>
      <c r="AD10" s="11" t="s">
        <v>44</v>
      </c>
      <c r="AE10" s="11" t="s">
        <v>56</v>
      </c>
      <c r="AF10" s="11">
        <v>3.6</v>
      </c>
      <c r="AG10" s="11">
        <v>1.08</v>
      </c>
      <c r="AH10" s="11" t="s">
        <v>68</v>
      </c>
      <c r="AI10" s="11" t="s">
        <v>50</v>
      </c>
      <c r="AJ10" s="11" t="s">
        <v>63</v>
      </c>
      <c r="AK10" s="11" t="s">
        <v>50</v>
      </c>
      <c r="AL10" s="11"/>
      <c r="AM10" s="11" t="s">
        <v>59</v>
      </c>
    </row>
    <row r="11" spans="1:39" s="5" customFormat="1" x14ac:dyDescent="0.25">
      <c r="A11" s="11" t="s">
        <v>104</v>
      </c>
      <c r="B11" s="11" t="str">
        <f>HYPERLINK("https://diamdna.azureedge.net/imaged/se-54/still.jpg ","Image")</f>
        <v>Image</v>
      </c>
      <c r="C11" s="11" t="str">
        <f>HYPERLINK("https://diamdna.azureedge.net/Vision360.html?d=se-54&amp;sr=-30&amp;s=30 ","Video")</f>
        <v>Video</v>
      </c>
      <c r="D11" s="11" t="str">
        <f>HYPERLINK("https://diamdna.azureedge.net/imaged/se-54/video.mp4 ","Download")</f>
        <v>Download</v>
      </c>
      <c r="E11" s="11" t="s">
        <v>39</v>
      </c>
      <c r="F11" s="11" t="str">
        <f>HYPERLINK("https://diamdna.azureedge.net/reports/1465577474.pdf#zoom=150 ","1465577474")</f>
        <v>1465577474</v>
      </c>
      <c r="G11" s="11" t="s">
        <v>40</v>
      </c>
      <c r="H11" s="11" t="s">
        <v>82</v>
      </c>
      <c r="I11" s="11">
        <v>2.0099999999999998</v>
      </c>
      <c r="J11" s="11" t="s">
        <v>60</v>
      </c>
      <c r="K11" s="11" t="s">
        <v>65</v>
      </c>
      <c r="L11" s="11">
        <v>10700</v>
      </c>
      <c r="M11" s="11">
        <v>21506.999999999996</v>
      </c>
      <c r="N11" s="11">
        <v>-49</v>
      </c>
      <c r="O11" s="11">
        <v>5457</v>
      </c>
      <c r="P11" s="11">
        <v>10968.57</v>
      </c>
      <c r="Q11" s="11" t="s">
        <v>44</v>
      </c>
      <c r="R11" s="11" t="s">
        <v>45</v>
      </c>
      <c r="S11" s="11" t="s">
        <v>45</v>
      </c>
      <c r="T11" s="11" t="s">
        <v>48</v>
      </c>
      <c r="U11" s="11" t="s">
        <v>105</v>
      </c>
      <c r="V11" s="11">
        <v>61</v>
      </c>
      <c r="W11" s="11">
        <v>66.8</v>
      </c>
      <c r="X11" s="11" t="s">
        <v>48</v>
      </c>
      <c r="Y11" s="11">
        <v>38</v>
      </c>
      <c r="Z11" s="11">
        <v>0</v>
      </c>
      <c r="AA11" s="11">
        <v>0</v>
      </c>
      <c r="AB11" s="11">
        <v>0</v>
      </c>
      <c r="AC11" s="11" t="s">
        <v>106</v>
      </c>
      <c r="AD11" s="11" t="s">
        <v>44</v>
      </c>
      <c r="AE11" s="11" t="s">
        <v>56</v>
      </c>
      <c r="AF11" s="11">
        <v>3.6</v>
      </c>
      <c r="AG11" s="11">
        <v>1.01</v>
      </c>
      <c r="AH11" s="11" t="s">
        <v>49</v>
      </c>
      <c r="AI11" s="11" t="s">
        <v>50</v>
      </c>
      <c r="AJ11" s="11"/>
      <c r="AK11" s="11" t="s">
        <v>50</v>
      </c>
      <c r="AL11" s="11"/>
      <c r="AM11" s="11" t="s">
        <v>59</v>
      </c>
    </row>
    <row r="12" spans="1:39" s="5" customFormat="1" x14ac:dyDescent="0.25">
      <c r="A12" s="11" t="s">
        <v>107</v>
      </c>
      <c r="B12" s="11" t="str">
        <f>HYPERLINK("https://diamdna.azureedge.net/imaged/vj-20/still.jpg ","Image")</f>
        <v>Image</v>
      </c>
      <c r="C12" s="11" t="str">
        <f>HYPERLINK("https://diamdna.azureedge.net/Vision360.html?d=vj-20&amp;sr=-30&amp;s=30 ","Video")</f>
        <v>Video</v>
      </c>
      <c r="D12" s="11" t="str">
        <f>HYPERLINK("https://diamdna.azureedge.net/imaged/vj-20/video.mp4 ","Download")</f>
        <v>Download</v>
      </c>
      <c r="E12" s="11" t="s">
        <v>39</v>
      </c>
      <c r="F12" s="11" t="str">
        <f>HYPERLINK("https://diamdna.azureedge.net/reports/2377773696.pdf#zoom=150 ","2377773696")</f>
        <v>2377773696</v>
      </c>
      <c r="G12" s="11" t="s">
        <v>40</v>
      </c>
      <c r="H12" s="11" t="s">
        <v>82</v>
      </c>
      <c r="I12" s="11">
        <v>1.5</v>
      </c>
      <c r="J12" s="11" t="s">
        <v>52</v>
      </c>
      <c r="K12" s="11" t="s">
        <v>61</v>
      </c>
      <c r="L12" s="11">
        <v>9300</v>
      </c>
      <c r="M12" s="11">
        <v>13950</v>
      </c>
      <c r="N12" s="11">
        <v>-70</v>
      </c>
      <c r="O12" s="11">
        <v>2790</v>
      </c>
      <c r="P12" s="11">
        <v>4185</v>
      </c>
      <c r="Q12" s="11" t="s">
        <v>44</v>
      </c>
      <c r="R12" s="11" t="s">
        <v>45</v>
      </c>
      <c r="S12" s="11" t="s">
        <v>46</v>
      </c>
      <c r="T12" s="11" t="s">
        <v>48</v>
      </c>
      <c r="U12" s="11" t="s">
        <v>108</v>
      </c>
      <c r="V12" s="11">
        <v>60</v>
      </c>
      <c r="W12" s="11">
        <v>69.599999999999994</v>
      </c>
      <c r="X12" s="11" t="s">
        <v>48</v>
      </c>
      <c r="Y12" s="11">
        <v>0</v>
      </c>
      <c r="Z12" s="11">
        <v>0</v>
      </c>
      <c r="AA12" s="11">
        <v>0</v>
      </c>
      <c r="AB12" s="11">
        <v>0</v>
      </c>
      <c r="AC12" s="11" t="s">
        <v>109</v>
      </c>
      <c r="AD12" s="11" t="s">
        <v>44</v>
      </c>
      <c r="AE12" s="11" t="s">
        <v>83</v>
      </c>
      <c r="AF12" s="11">
        <v>5.25</v>
      </c>
      <c r="AG12" s="11">
        <v>1</v>
      </c>
      <c r="AH12" s="11" t="s">
        <v>55</v>
      </c>
      <c r="AI12" s="11" t="s">
        <v>50</v>
      </c>
      <c r="AJ12" s="11" t="s">
        <v>81</v>
      </c>
      <c r="AK12" s="11" t="s">
        <v>50</v>
      </c>
      <c r="AL12" s="11"/>
      <c r="AM12" s="11" t="s">
        <v>51</v>
      </c>
    </row>
    <row r="13" spans="1:39" s="5" customFormat="1" x14ac:dyDescent="0.25">
      <c r="A13" s="11" t="s">
        <v>111</v>
      </c>
      <c r="B13" s="11" t="str">
        <f>HYPERLINK("https://diamdna.azureedge.net/imaged/ru-1/still.jpg ","Image")</f>
        <v>Image</v>
      </c>
      <c r="C13" s="11" t="str">
        <f>HYPERLINK("https://diamdna.azureedge.net/Vision360.html?d=ru-1&amp;sr=-30&amp;s=30 ","Video")</f>
        <v>Video</v>
      </c>
      <c r="D13" s="11" t="str">
        <f>HYPERLINK("https://diamdna.azureedge.net/imaged/ru-1/video.mp4 ","Download")</f>
        <v>Download</v>
      </c>
      <c r="E13" s="11" t="s">
        <v>39</v>
      </c>
      <c r="F13" s="11" t="str">
        <f>HYPERLINK("https://diamdna.azureedge.net/reports/2466411924.pdf#zoom=150 ","2466411924")</f>
        <v>2466411924</v>
      </c>
      <c r="G13" s="11" t="s">
        <v>40</v>
      </c>
      <c r="H13" s="11" t="s">
        <v>110</v>
      </c>
      <c r="I13" s="11">
        <v>2.0099999999999998</v>
      </c>
      <c r="J13" s="11" t="s">
        <v>54</v>
      </c>
      <c r="K13" s="11" t="s">
        <v>61</v>
      </c>
      <c r="L13" s="11">
        <v>10700</v>
      </c>
      <c r="M13" s="11">
        <v>21506.999999999996</v>
      </c>
      <c r="N13" s="11">
        <v>-50</v>
      </c>
      <c r="O13" s="11">
        <v>5350</v>
      </c>
      <c r="P13" s="11">
        <v>10753.5</v>
      </c>
      <c r="Q13" s="11" t="s">
        <v>44</v>
      </c>
      <c r="R13" s="11" t="s">
        <v>45</v>
      </c>
      <c r="S13" s="11" t="s">
        <v>45</v>
      </c>
      <c r="T13" s="11" t="s">
        <v>48</v>
      </c>
      <c r="U13" s="11" t="s">
        <v>112</v>
      </c>
      <c r="V13" s="11">
        <v>69</v>
      </c>
      <c r="W13" s="11">
        <v>73.5</v>
      </c>
      <c r="X13" s="11" t="s">
        <v>48</v>
      </c>
      <c r="Y13" s="11">
        <v>44.8</v>
      </c>
      <c r="Z13" s="11">
        <v>0</v>
      </c>
      <c r="AA13" s="11">
        <v>0</v>
      </c>
      <c r="AB13" s="11">
        <v>0</v>
      </c>
      <c r="AC13" s="11" t="s">
        <v>113</v>
      </c>
      <c r="AD13" s="11" t="s">
        <v>44</v>
      </c>
      <c r="AE13" s="11" t="s">
        <v>56</v>
      </c>
      <c r="AF13" s="11">
        <v>3.25</v>
      </c>
      <c r="AG13" s="11">
        <v>1.02</v>
      </c>
      <c r="AH13" s="11" t="s">
        <v>68</v>
      </c>
      <c r="AI13" s="11" t="s">
        <v>50</v>
      </c>
      <c r="AJ13" s="11" t="s">
        <v>63</v>
      </c>
      <c r="AK13" s="11" t="s">
        <v>50</v>
      </c>
      <c r="AL13" s="11"/>
      <c r="AM13" s="11" t="s">
        <v>59</v>
      </c>
    </row>
  </sheetData>
  <sheetProtection formatCells="0" formatColumns="0" formatRows="0" insertColumns="0" insertRows="0" insertHyperlinks="0" deleteColumns="0" deleteRows="0" sort="0" autoFilter="0" pivotTables="0"/>
  <autoFilter ref="A1:AM13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U11" sqref="U11"/>
    </sheetView>
  </sheetViews>
  <sheetFormatPr defaultRowHeight="15" x14ac:dyDescent="0.25"/>
  <cols>
    <col min="1" max="5" width="9.140625" style="1" customWidth="1"/>
    <col min="6" max="6" width="13.42578125" style="1" customWidth="1"/>
    <col min="7" max="7" width="9.140625" style="1" customWidth="1"/>
    <col min="8" max="8" width="9.140625" style="2" customWidth="1"/>
    <col min="9" max="12" width="9.140625" style="1" customWidth="1"/>
    <col min="13" max="13" width="9.140625" style="2" customWidth="1"/>
    <col min="14" max="19" width="9.140625" style="1" customWidth="1"/>
    <col min="20" max="20" width="14.7109375" style="1" customWidth="1"/>
    <col min="21" max="26" width="9.140625" style="2" customWidth="1"/>
    <col min="27" max="27" width="14.7109375" style="1" customWidth="1"/>
    <col min="28" max="33" width="9.140625" style="1" customWidth="1"/>
    <col min="34" max="35" width="23.85546875" style="3" customWidth="1"/>
    <col min="36" max="36" width="13.5703125" style="4" customWidth="1"/>
  </cols>
  <sheetData>
    <row r="1" spans="3:36" x14ac:dyDescent="0.25">
      <c r="AJ1" s="5"/>
    </row>
    <row r="2" spans="3:36" x14ac:dyDescent="0.25">
      <c r="O2" s="1" t="s">
        <v>0</v>
      </c>
      <c r="AJ2" s="5"/>
    </row>
    <row r="3" spans="3:36" x14ac:dyDescent="0.25">
      <c r="AJ3" s="5"/>
    </row>
    <row r="4" spans="3:36" x14ac:dyDescent="0.25">
      <c r="AJ4" s="5"/>
    </row>
    <row r="5" spans="3:36" x14ac:dyDescent="0.25">
      <c r="C5" s="1" t="s">
        <v>3</v>
      </c>
      <c r="D5" s="1" t="s">
        <v>4</v>
      </c>
      <c r="AE5" s="1" t="s">
        <v>31</v>
      </c>
      <c r="AI5" s="3" t="s">
        <v>35</v>
      </c>
      <c r="AJ5" s="6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Atlantic</cp:lastModifiedBy>
  <dcterms:created xsi:type="dcterms:W3CDTF">2006-09-16T00:00:00Z</dcterms:created>
  <dcterms:modified xsi:type="dcterms:W3CDTF">2023-06-22T15:04:51Z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