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Sheet1!$A$2:$CE$2</definedName>
  </definedNames>
  <calcPr fullCalcOnLoad="1"/>
</workbook>
</file>

<file path=xl/sharedStrings.xml><?xml version="1.0" encoding="utf-8"?>
<sst xmlns="http://schemas.openxmlformats.org/spreadsheetml/2006/main" count="1959" uniqueCount="1959">
  <si>
    <t xml:space="preserve">Total Carat: 698.12    Total Amount  $ : 41,59,360.09    Average: 5,957.94    Rap Average  $: -49.44%  </t>
  </si>
  <si>
    <t>SrNo</t>
  </si>
  <si>
    <t>Location</t>
  </si>
  <si>
    <t>Image</t>
  </si>
  <si>
    <t>View360</t>
  </si>
  <si>
    <t>LAB</t>
  </si>
  <si>
    <t>DNA</t>
  </si>
  <si>
    <t>Verify</t>
  </si>
  <si>
    <t>Refno</t>
  </si>
  <si>
    <t>Shape</t>
  </si>
  <si>
    <t>Carat</t>
  </si>
  <si>
    <t>Threads</t>
  </si>
  <si>
    <t>Rapaport</t>
  </si>
  <si>
    <t>Price/CTS $</t>
  </si>
  <si>
    <t>TotalValue $</t>
  </si>
  <si>
    <t>OffPer</t>
  </si>
  <si>
    <t>RapOff5Cts</t>
  </si>
  <si>
    <t>BidType</t>
  </si>
  <si>
    <t>BID(%)</t>
  </si>
  <si>
    <t>BID Price</t>
  </si>
  <si>
    <t>BIDValidTill</t>
  </si>
  <si>
    <t>Color</t>
  </si>
  <si>
    <t>CS</t>
  </si>
  <si>
    <t>Clarity</t>
  </si>
  <si>
    <t>Cut</t>
  </si>
  <si>
    <t>Polish</t>
  </si>
  <si>
    <t>Symm</t>
  </si>
  <si>
    <t>Fl</t>
  </si>
  <si>
    <t>FC</t>
  </si>
  <si>
    <t>Diam/LxW/TD(mm)</t>
  </si>
  <si>
    <t>TD%</t>
  </si>
  <si>
    <t>Tab%</t>
  </si>
  <si>
    <t>NOBGM</t>
  </si>
  <si>
    <t>Grd%</t>
  </si>
  <si>
    <t>CrAngPer</t>
  </si>
  <si>
    <t>HA</t>
  </si>
  <si>
    <t>Ratio</t>
  </si>
  <si>
    <t>TI</t>
  </si>
  <si>
    <t>BIS</t>
  </si>
  <si>
    <t>BIC</t>
  </si>
  <si>
    <t>TOI</t>
  </si>
  <si>
    <t>EyeClean</t>
  </si>
  <si>
    <t>Luster</t>
  </si>
  <si>
    <t>CrownHeight</t>
  </si>
  <si>
    <t>PavalionHeight</t>
  </si>
  <si>
    <t>PavalionAngle</t>
  </si>
  <si>
    <t>CU</t>
  </si>
  <si>
    <t>OPPV</t>
  </si>
  <si>
    <t>OPCR</t>
  </si>
  <si>
    <t>OPTA</t>
  </si>
  <si>
    <t>EFCR</t>
  </si>
  <si>
    <t>EFPV</t>
  </si>
  <si>
    <t>Natural-PV</t>
  </si>
  <si>
    <t>Natural-CR</t>
  </si>
  <si>
    <t>Natural-GRD</t>
  </si>
  <si>
    <t>INatural-PV</t>
  </si>
  <si>
    <t>INatural-CR</t>
  </si>
  <si>
    <t>INatural-GRD</t>
  </si>
  <si>
    <t>Graining</t>
  </si>
  <si>
    <t>SurfaceGraining</t>
  </si>
  <si>
    <t>GirdleDesc</t>
  </si>
  <si>
    <t>GirdleMinMax%</t>
  </si>
  <si>
    <t>GC</t>
  </si>
  <si>
    <t>StarLength</t>
  </si>
  <si>
    <t>LowerHalf</t>
  </si>
  <si>
    <t>Cert. Type</t>
  </si>
  <si>
    <t>Cert.No</t>
  </si>
  <si>
    <t>Cert.Date</t>
  </si>
  <si>
    <t>MultiGroup</t>
  </si>
  <si>
    <t>Type2</t>
  </si>
  <si>
    <t>FM</t>
  </si>
  <si>
    <t>DOR Code</t>
  </si>
  <si>
    <t>SealedCode</t>
  </si>
  <si>
    <t>MineName</t>
  </si>
  <si>
    <t>QC</t>
  </si>
  <si>
    <t>INS</t>
  </si>
  <si>
    <t>RoughOrigin</t>
  </si>
  <si>
    <t>DOR No</t>
  </si>
  <si>
    <t>LabControlNo</t>
  </si>
  <si>
    <t>KeytoSymbols</t>
  </si>
  <si>
    <t>ReportComments</t>
  </si>
  <si>
    <t>RPComment</t>
  </si>
  <si>
    <t>BuyerComment</t>
  </si>
  <si>
    <t>Username</t>
  </si>
  <si>
    <t>DUBAI</t>
  </si>
  <si>
    <t>722817102</t>
  </si>
  <si>
    <t/>
  </si>
  <si>
    <t>F</t>
  </si>
  <si>
    <t>VVS2</t>
  </si>
  <si>
    <t>EX</t>
  </si>
  <si>
    <t>7.05 x 6.44 x 4.44</t>
  </si>
  <si>
    <t>No BGM</t>
  </si>
  <si>
    <t>T0</t>
  </si>
  <si>
    <t>NN</t>
  </si>
  <si>
    <t>E1</t>
  </si>
  <si>
    <t>L1</t>
  </si>
  <si>
    <t>PO</t>
  </si>
  <si>
    <t>STK TO VTK</t>
  </si>
  <si>
    <t>0.00-0.00</t>
  </si>
  <si>
    <t>******6872</t>
  </si>
  <si>
    <t>18-05-2022</t>
  </si>
  <si>
    <t>YES</t>
  </si>
  <si>
    <t>6432066872</t>
  </si>
  <si>
    <t>Needle, Pinpoint</t>
  </si>
  <si>
    <t>Clouds are not shown.</t>
  </si>
  <si>
    <t>123814704</t>
  </si>
  <si>
    <t>G</t>
  </si>
  <si>
    <t>VS1+</t>
  </si>
  <si>
    <t>M</t>
  </si>
  <si>
    <t>BL</t>
  </si>
  <si>
    <t>6.78 x 6.26 x 4.50</t>
  </si>
  <si>
    <t>T2</t>
  </si>
  <si>
    <t>NV</t>
  </si>
  <si>
    <t>******7659</t>
  </si>
  <si>
    <t>10-05-2023</t>
  </si>
  <si>
    <t>100459572559</t>
  </si>
  <si>
    <t>Crystal, Natural</t>
  </si>
  <si>
    <t>621923317</t>
  </si>
  <si>
    <t>I</t>
  </si>
  <si>
    <t>N</t>
  </si>
  <si>
    <t>7.07 x 7.06 x 5.08</t>
  </si>
  <si>
    <t>VTK</t>
  </si>
  <si>
    <t>******9899</t>
  </si>
  <si>
    <t>10-08-2021</t>
  </si>
  <si>
    <t>1398259899</t>
  </si>
  <si>
    <t>Feather, Indented Natural, Natural</t>
  </si>
  <si>
    <t>821927868</t>
  </si>
  <si>
    <t>7.21 x 6.97 x 5.02</t>
  </si>
  <si>
    <t>B1</t>
  </si>
  <si>
    <t>THK TO ETK</t>
  </si>
  <si>
    <t>******5313</t>
  </si>
  <si>
    <t>22-09-2021</t>
  </si>
  <si>
    <t>7401445313</t>
  </si>
  <si>
    <t>Needle, Pinpoint, Feather, Natural</t>
  </si>
  <si>
    <t>921833598</t>
  </si>
  <si>
    <t>CUMBR</t>
  </si>
  <si>
    <t>E</t>
  </si>
  <si>
    <t>SI1</t>
  </si>
  <si>
    <t>VG</t>
  </si>
  <si>
    <t>6.95 x 6.93 x 4.96</t>
  </si>
  <si>
    <t>B0</t>
  </si>
  <si>
    <t>O1</t>
  </si>
  <si>
    <t>MED TO THK</t>
  </si>
  <si>
    <t>******7453</t>
  </si>
  <si>
    <t>18-11-2021</t>
  </si>
  <si>
    <t>2414267453</t>
  </si>
  <si>
    <t>Crystal, Feather, Pinpoint, Indented Natural</t>
  </si>
  <si>
    <t>HONG KONG</t>
  </si>
  <si>
    <t>922827635</t>
  </si>
  <si>
    <t>VS1</t>
  </si>
  <si>
    <t>7.46 x 6.91 x 4.95</t>
  </si>
  <si>
    <t>B2</t>
  </si>
  <si>
    <t>******0063</t>
  </si>
  <si>
    <t>01-08-2022</t>
  </si>
  <si>
    <t>1448150063</t>
  </si>
  <si>
    <t>Crystal, Cloud, Needle, Pinpoint</t>
  </si>
  <si>
    <t>Additional pinpoints are not shown.</t>
  </si>
  <si>
    <t>NEW YORK</t>
  </si>
  <si>
    <t>921905070</t>
  </si>
  <si>
    <t>I+</t>
  </si>
  <si>
    <t>6.75 x 6.27 x 4.48</t>
  </si>
  <si>
    <t>******2077</t>
  </si>
  <si>
    <t>17-07-2020</t>
  </si>
  <si>
    <t>-</t>
  </si>
  <si>
    <t>1216052077</t>
  </si>
  <si>
    <t>Cloud, Needle</t>
  </si>
  <si>
    <t>Additional clouds are not shown. Pinpoints are not shown.</t>
  </si>
  <si>
    <t>923807228</t>
  </si>
  <si>
    <t>D</t>
  </si>
  <si>
    <t>SI1+</t>
  </si>
  <si>
    <t>7.54 x 6.92 x 4.95</t>
  </si>
  <si>
    <t>C</t>
  </si>
  <si>
    <t>SG</t>
  </si>
  <si>
    <t>STK TO ETK</t>
  </si>
  <si>
    <t>3.10-3.10</t>
  </si>
  <si>
    <t>******6703</t>
  </si>
  <si>
    <t>30-01-2023</t>
  </si>
  <si>
    <t>100753255390</t>
  </si>
  <si>
    <t>Crystal, Cloud, Feather, Needle</t>
  </si>
  <si>
    <t>Additional clouds, pinpoints and surface graining are not shown.</t>
  </si>
  <si>
    <t>923807229</t>
  </si>
  <si>
    <t>7.67 x 6.98 x 4.71</t>
  </si>
  <si>
    <t>STK TO THK</t>
  </si>
  <si>
    <t>3.50-3.50</t>
  </si>
  <si>
    <t>******9019</t>
  </si>
  <si>
    <t>16-01-2023</t>
  </si>
  <si>
    <t>100752216903</t>
  </si>
  <si>
    <t>Crystal, Cloud, Feather</t>
  </si>
  <si>
    <t>923807230</t>
  </si>
  <si>
    <t>7.28 x 7.26 x 4.94</t>
  </si>
  <si>
    <t>T1</t>
  </si>
  <si>
    <t>3.40-3.40</t>
  </si>
  <si>
    <t>******4793</t>
  </si>
  <si>
    <t>08-11-2022</t>
  </si>
  <si>
    <t>100751762465</t>
  </si>
  <si>
    <t>Crystal, Feather, Cloud, Needle</t>
  </si>
  <si>
    <t>923807231</t>
  </si>
  <si>
    <t>7.37 x 7.35 x 5.17</t>
  </si>
  <si>
    <t>T3</t>
  </si>
  <si>
    <t>3.20-3.20</t>
  </si>
  <si>
    <t>******8199</t>
  </si>
  <si>
    <t>23-05-2022</t>
  </si>
  <si>
    <t>100748029344</t>
  </si>
  <si>
    <t>Crystal, Feather, Pinpoint</t>
  </si>
  <si>
    <t>Additional pinpoints are not shown. Surface graining is not shown.</t>
  </si>
  <si>
    <t>923807232</t>
  </si>
  <si>
    <t>SI1-</t>
  </si>
  <si>
    <t>8.05 x 7.30 x 5.03</t>
  </si>
  <si>
    <t>E2</t>
  </si>
  <si>
    <t>******8399</t>
  </si>
  <si>
    <t>05-08-2022</t>
  </si>
  <si>
    <t>100751836933</t>
  </si>
  <si>
    <t>923807233</t>
  </si>
  <si>
    <t>SI2</t>
  </si>
  <si>
    <t>7.50 x 7.15 x 4.70</t>
  </si>
  <si>
    <t>THK TO VTK</t>
  </si>
  <si>
    <t>3.80-3.80</t>
  </si>
  <si>
    <t>******5359</t>
  </si>
  <si>
    <t>22-03-2022</t>
  </si>
  <si>
    <t>100747779879</t>
  </si>
  <si>
    <t>Crystal, Feather, Needle</t>
  </si>
  <si>
    <t>Clouds are not shown. Pinpoints are not shown.</t>
  </si>
  <si>
    <t>923807234</t>
  </si>
  <si>
    <t>VS2</t>
  </si>
  <si>
    <t>7.65 x 7.64 x 5.36</t>
  </si>
  <si>
    <t>4.00-4.00</t>
  </si>
  <si>
    <t>******7173</t>
  </si>
  <si>
    <t>31-05-2022</t>
  </si>
  <si>
    <t>100751815581</t>
  </si>
  <si>
    <t>Cloud, Crystal, Feather, Needle</t>
  </si>
  <si>
    <t>923807236</t>
  </si>
  <si>
    <t>7.37 x 7.19 x 4.92</t>
  </si>
  <si>
    <t>3.30-3.30</t>
  </si>
  <si>
    <t>******0760</t>
  </si>
  <si>
    <t>100755575840</t>
  </si>
  <si>
    <t>923807237</t>
  </si>
  <si>
    <t>7.22 x 7.20 x 4.95</t>
  </si>
  <si>
    <t>******0824</t>
  </si>
  <si>
    <t>10-01-2023</t>
  </si>
  <si>
    <t>100751761970</t>
  </si>
  <si>
    <t>923807240</t>
  </si>
  <si>
    <t>G+</t>
  </si>
  <si>
    <t>7.07 x 7.06 x 5.02</t>
  </si>
  <si>
    <t>VTK TO ETK</t>
  </si>
  <si>
    <t>4.90-4.90</t>
  </si>
  <si>
    <t>******7169</t>
  </si>
  <si>
    <t>12-09-2022</t>
  </si>
  <si>
    <t>100752102632</t>
  </si>
  <si>
    <t>Crystal, Twinning Wisp, Cloud, Feather, Needle</t>
  </si>
  <si>
    <t>923807303</t>
  </si>
  <si>
    <t>7.17 x 7.08 x 5.00</t>
  </si>
  <si>
    <t>******2563</t>
  </si>
  <si>
    <t>05-05-2022</t>
  </si>
  <si>
    <t>100748246114</t>
  </si>
  <si>
    <t>Crystal, Feather</t>
  </si>
  <si>
    <t>923807241</t>
  </si>
  <si>
    <t>7.16 x 7.08 x 4.94</t>
  </si>
  <si>
    <t>4.20-4.20</t>
  </si>
  <si>
    <t>******5317</t>
  </si>
  <si>
    <t>23-12-2022</t>
  </si>
  <si>
    <t>100752944105</t>
  </si>
  <si>
    <t>Crystal, Needle, Pinpoint</t>
  </si>
  <si>
    <t>923807242</t>
  </si>
  <si>
    <t>7.90 x 7.41 x 5.13</t>
  </si>
  <si>
    <t>THN TO STK</t>
  </si>
  <si>
    <t>1.70-1.70</t>
  </si>
  <si>
    <t>******0718</t>
  </si>
  <si>
    <t>100752569345</t>
  </si>
  <si>
    <t>Crystal</t>
  </si>
  <si>
    <t>Pinpoints are not shown.</t>
  </si>
  <si>
    <t>923807243</t>
  </si>
  <si>
    <t>H</t>
  </si>
  <si>
    <t>7.42 x 7.33 x 4.99</t>
  </si>
  <si>
    <t>THN TO VTK</t>
  </si>
  <si>
    <t>1.40-1.40</t>
  </si>
  <si>
    <t>******1565</t>
  </si>
  <si>
    <t>21-10-2022</t>
  </si>
  <si>
    <t>110112146825</t>
  </si>
  <si>
    <t>Crystal, Needle</t>
  </si>
  <si>
    <t>Pinpoints are not shown. Surface graining is not shown.</t>
  </si>
  <si>
    <t>923807245</t>
  </si>
  <si>
    <t>7.53 x 7.18 x 4.94</t>
  </si>
  <si>
    <t>IG</t>
  </si>
  <si>
    <t>******4089</t>
  </si>
  <si>
    <t>09-02-2023</t>
  </si>
  <si>
    <t>100752739856</t>
  </si>
  <si>
    <t>Additional clouds, pinpoints and internal graining are not shown.</t>
  </si>
  <si>
    <t>923807248</t>
  </si>
  <si>
    <t>7.63 x 6.76 x 4.84</t>
  </si>
  <si>
    <t>******5745</t>
  </si>
  <si>
    <t>10-10-2022</t>
  </si>
  <si>
    <t>100758955769</t>
  </si>
  <si>
    <t>321908368</t>
  </si>
  <si>
    <t>7.19 x 7.01 x 5.02</t>
  </si>
  <si>
    <t>******0074</t>
  </si>
  <si>
    <t>04-03-2021</t>
  </si>
  <si>
    <t>2215500074</t>
  </si>
  <si>
    <t>Crystal, Cloud, Needle</t>
  </si>
  <si>
    <t>Additional clouds are not shown.</t>
  </si>
  <si>
    <t>923807249</t>
  </si>
  <si>
    <t>7.64 x 7.12 x 4.85</t>
  </si>
  <si>
    <t>******0192</t>
  </si>
  <si>
    <t>15-12-2022</t>
  </si>
  <si>
    <t>100752555741</t>
  </si>
  <si>
    <t>Feather, Cloud, Pinpoint</t>
  </si>
  <si>
    <t>923807250</t>
  </si>
  <si>
    <t>7.72 x 6.70 x 4.82</t>
  </si>
  <si>
    <t>B</t>
  </si>
  <si>
    <t>4.60-4.60</t>
  </si>
  <si>
    <t>******8192</t>
  </si>
  <si>
    <t>06-12-2022</t>
  </si>
  <si>
    <t>100752816602</t>
  </si>
  <si>
    <t>Cloud, Crystal, Needle</t>
  </si>
  <si>
    <t>923807254</t>
  </si>
  <si>
    <t>8.74 x 8.10 x 5.52</t>
  </si>
  <si>
    <t>3.00-3.00</t>
  </si>
  <si>
    <t>******4068</t>
  </si>
  <si>
    <t>13-02-2023</t>
  </si>
  <si>
    <t>100752545275</t>
  </si>
  <si>
    <t>Pinpoint, Cloud</t>
  </si>
  <si>
    <t>923807256</t>
  </si>
  <si>
    <t>8.54 x 8.06 x 5.60</t>
  </si>
  <si>
    <t>2.80-2.80</t>
  </si>
  <si>
    <t>******2658</t>
  </si>
  <si>
    <t>29-08-2022</t>
  </si>
  <si>
    <t>100751986069</t>
  </si>
  <si>
    <t>923807304</t>
  </si>
  <si>
    <t>8.45 x 8.31 x 5.69</t>
  </si>
  <si>
    <t>2.50-2.50</t>
  </si>
  <si>
    <t>******9360</t>
  </si>
  <si>
    <t>24-05-2022</t>
  </si>
  <si>
    <t>100748305012</t>
  </si>
  <si>
    <t>Feather, Pinpoint</t>
  </si>
  <si>
    <t>923807257</t>
  </si>
  <si>
    <t>8.60 x 8.48 x 5.82</t>
  </si>
  <si>
    <t>2.60-2.60</t>
  </si>
  <si>
    <t>******1211</t>
  </si>
  <si>
    <t>23-06-2022</t>
  </si>
  <si>
    <t>100747363941</t>
  </si>
  <si>
    <t>923807260</t>
  </si>
  <si>
    <t>8.22 x 8.19 x 5.65</t>
  </si>
  <si>
    <t>4.10-4.10</t>
  </si>
  <si>
    <t>******8875</t>
  </si>
  <si>
    <t>100748479867</t>
  </si>
  <si>
    <t>923807261</t>
  </si>
  <si>
    <t>8.84 x 8.41 x 5.72</t>
  </si>
  <si>
    <t>1.60-1.60</t>
  </si>
  <si>
    <t>******5051</t>
  </si>
  <si>
    <t>11-01-2023</t>
  </si>
  <si>
    <t>100752746849</t>
  </si>
  <si>
    <t>Crystal, Cloud</t>
  </si>
  <si>
    <t>923807262</t>
  </si>
  <si>
    <t>VS2+</t>
  </si>
  <si>
    <t>8.53 x 8.29 x 5.73</t>
  </si>
  <si>
    <t>2.40-2.40</t>
  </si>
  <si>
    <t>******9211</t>
  </si>
  <si>
    <t>21-09-2022</t>
  </si>
  <si>
    <t>100747707921</t>
  </si>
  <si>
    <t>Additional clouds, pinpoints, internal graining and surface graining are not shown.</t>
  </si>
  <si>
    <t>923807263</t>
  </si>
  <si>
    <t>9.09 x 8.29 x 5.85</t>
  </si>
  <si>
    <t>******0282</t>
  </si>
  <si>
    <t>100747572235</t>
  </si>
  <si>
    <t>921905071</t>
  </si>
  <si>
    <t>6.27 x 6.26 x 4.46</t>
  </si>
  <si>
    <t>******6568</t>
  </si>
  <si>
    <t>29-09-2020</t>
  </si>
  <si>
    <t>5211156568</t>
  </si>
  <si>
    <t>Needle, Cloud, Pinpoint</t>
  </si>
  <si>
    <t>923807270</t>
  </si>
  <si>
    <t>7.04 x 6.86 x 4.92</t>
  </si>
  <si>
    <t>******7422</t>
  </si>
  <si>
    <t>16-11-2022</t>
  </si>
  <si>
    <t>100752955677</t>
  </si>
  <si>
    <t>921910936</t>
  </si>
  <si>
    <t>H+</t>
  </si>
  <si>
    <t>7.11 x 6.83 x 4.90</t>
  </si>
  <si>
    <t>******8779</t>
  </si>
  <si>
    <t>23-02-2021</t>
  </si>
  <si>
    <t>6372678779</t>
  </si>
  <si>
    <t>921905082</t>
  </si>
  <si>
    <t>7.11 x 6.79 x 4.85</t>
  </si>
  <si>
    <t>******6338</t>
  </si>
  <si>
    <t>13-01-2020</t>
  </si>
  <si>
    <t>6345576338</t>
  </si>
  <si>
    <t>923807273</t>
  </si>
  <si>
    <t>7.20 x 7.10 x 4.95</t>
  </si>
  <si>
    <t>2.90-2.90</t>
  </si>
  <si>
    <t>******9552</t>
  </si>
  <si>
    <t>16-02-2023</t>
  </si>
  <si>
    <t>100752762999</t>
  </si>
  <si>
    <t>923807274</t>
  </si>
  <si>
    <t>7.17 x 7.14 x 4.76</t>
  </si>
  <si>
    <t>******5302</t>
  </si>
  <si>
    <t>100752921039</t>
  </si>
  <si>
    <t>MUMBAI</t>
  </si>
  <si>
    <t>423111785</t>
  </si>
  <si>
    <t>7.51 x 6.36 x 4.28</t>
  </si>
  <si>
    <t>DG</t>
  </si>
  <si>
    <t>******1304</t>
  </si>
  <si>
    <t>11-05-2023</t>
  </si>
  <si>
    <t>BOTSWANA</t>
  </si>
  <si>
    <t>100756707781</t>
  </si>
  <si>
    <t>Cloud</t>
  </si>
  <si>
    <t>822123834</t>
  </si>
  <si>
    <t>7.29 x 6.44 x 4.44</t>
  </si>
  <si>
    <t>******2910</t>
  </si>
  <si>
    <t>08-05-2023</t>
  </si>
  <si>
    <t>100762426840</t>
  </si>
  <si>
    <t>Internal graining is not shown.</t>
  </si>
  <si>
    <t>423405296</t>
  </si>
  <si>
    <t>6.84 x 6.46 x 4.44</t>
  </si>
  <si>
    <t>******2191</t>
  </si>
  <si>
    <t>15-03-2023</t>
  </si>
  <si>
    <t>SIERRA LEONE</t>
  </si>
  <si>
    <t>100753201123</t>
  </si>
  <si>
    <t>Crystal, Needle, Feather</t>
  </si>
  <si>
    <t>Clouds, pinpoints and surface graining are not shown.</t>
  </si>
  <si>
    <t>923506744</t>
  </si>
  <si>
    <t>7.19 x 6.34 x 4.34</t>
  </si>
  <si>
    <t>2.20-2.20</t>
  </si>
  <si>
    <t>******3352</t>
  </si>
  <si>
    <t>23-03-2023</t>
  </si>
  <si>
    <t>ANGOLA</t>
  </si>
  <si>
    <t>100752420350</t>
  </si>
  <si>
    <t>Pinpoints, clouds and surface graining are not shown.</t>
  </si>
  <si>
    <t>323010513</t>
  </si>
  <si>
    <t>E+</t>
  </si>
  <si>
    <t>6.93 x 6.47 x 4.38</t>
  </si>
  <si>
    <t>MED TO VTK</t>
  </si>
  <si>
    <t>2.70-2.70</t>
  </si>
  <si>
    <t>******4838</t>
  </si>
  <si>
    <t>04-05-2023</t>
  </si>
  <si>
    <t>100756559880</t>
  </si>
  <si>
    <t>323507899</t>
  </si>
  <si>
    <t>7.52 x 6.21 x 4.19</t>
  </si>
  <si>
    <t>******1754</t>
  </si>
  <si>
    <t>27-03-2023</t>
  </si>
  <si>
    <t>EDOR</t>
  </si>
  <si>
    <t>CANADA</t>
  </si>
  <si>
    <t>100753109565</t>
  </si>
  <si>
    <t>823506562</t>
  </si>
  <si>
    <t>6.59 x 6.45 x 4.55</t>
  </si>
  <si>
    <t>******2708</t>
  </si>
  <si>
    <t>24-04-2023</t>
  </si>
  <si>
    <t>100753346153</t>
  </si>
  <si>
    <t>122736266</t>
  </si>
  <si>
    <t>6.89 x 6.17 x 4.42</t>
  </si>
  <si>
    <t>MED TO ETK</t>
  </si>
  <si>
    <t>******4581</t>
  </si>
  <si>
    <t>13-01-2023</t>
  </si>
  <si>
    <t>100752093125</t>
  </si>
  <si>
    <t>822635963</t>
  </si>
  <si>
    <t>6.49 x 6.42 x 4.61</t>
  </si>
  <si>
    <t>******4597</t>
  </si>
  <si>
    <t>100751802803</t>
  </si>
  <si>
    <t>Crystal, Needle, Cloud, Feather</t>
  </si>
  <si>
    <t>822011933</t>
  </si>
  <si>
    <t>6.84 x 6.23 x 4.39</t>
  </si>
  <si>
    <t>3.70-3.70</t>
  </si>
  <si>
    <t>******7975</t>
  </si>
  <si>
    <t>CANADA*</t>
  </si>
  <si>
    <t>100747932391</t>
  </si>
  <si>
    <t>Twinning Wisp, Crystal, Cloud, Feather, Needle</t>
  </si>
  <si>
    <t>Pinpoints are not shown. Internal graining is not shown.</t>
  </si>
  <si>
    <t>121201462</t>
  </si>
  <si>
    <t>6.50 x 6.36 x 4.55</t>
  </si>
  <si>
    <t>B3</t>
  </si>
  <si>
    <t>******7966</t>
  </si>
  <si>
    <t>30-05-2022</t>
  </si>
  <si>
    <t>ANGOLA*</t>
  </si>
  <si>
    <t>100755632871</t>
  </si>
  <si>
    <t>Crystal, Needle, Natural</t>
  </si>
  <si>
    <t>723304745</t>
  </si>
  <si>
    <t>VVS2+</t>
  </si>
  <si>
    <t>6.96 x 6.40 x 4.42</t>
  </si>
  <si>
    <t>******4342</t>
  </si>
  <si>
    <t>13-03-2023</t>
  </si>
  <si>
    <t>NAMIBIA</t>
  </si>
  <si>
    <t>100753031367</t>
  </si>
  <si>
    <t>Pinpoint</t>
  </si>
  <si>
    <t>123111415</t>
  </si>
  <si>
    <t>F+</t>
  </si>
  <si>
    <t>7.61 x 6.25 x 4.15</t>
  </si>
  <si>
    <t>******0973</t>
  </si>
  <si>
    <t>15-06-2023</t>
  </si>
  <si>
    <t>100762952442</t>
  </si>
  <si>
    <t>Feather, Pinpoint, Cloud</t>
  </si>
  <si>
    <t>223313961</t>
  </si>
  <si>
    <t>7.81 x 6.19 x 4.16</t>
  </si>
  <si>
    <t>******9826</t>
  </si>
  <si>
    <t>25-05-2023</t>
  </si>
  <si>
    <t>100756508370</t>
  </si>
  <si>
    <t>423010627</t>
  </si>
  <si>
    <t>7.42 x 6.30 x 4.22</t>
  </si>
  <si>
    <t>******7681</t>
  </si>
  <si>
    <t>28-04-2023</t>
  </si>
  <si>
    <t>100756427907</t>
  </si>
  <si>
    <t>223001936</t>
  </si>
  <si>
    <t>6.46 x 6.46 x 4.52</t>
  </si>
  <si>
    <t>******2343</t>
  </si>
  <si>
    <t>02-02-2023</t>
  </si>
  <si>
    <t>100752552291</t>
  </si>
  <si>
    <t>223203683</t>
  </si>
  <si>
    <t>6.73 x 6.41 x 4.43</t>
  </si>
  <si>
    <t>******7401</t>
  </si>
  <si>
    <t>17-02-2023</t>
  </si>
  <si>
    <t>100752497024</t>
  </si>
  <si>
    <t>323709492</t>
  </si>
  <si>
    <t>7.77 x 6.26 x 4.21</t>
  </si>
  <si>
    <t>******2234</t>
  </si>
  <si>
    <t>19-04-2023</t>
  </si>
  <si>
    <t>100752169582</t>
  </si>
  <si>
    <t>Crystal, Feather, Needle, Cloud</t>
  </si>
  <si>
    <t>923303195</t>
  </si>
  <si>
    <t>7.16 x 6.68 x 4.44</t>
  </si>
  <si>
    <t>2.10-2.10</t>
  </si>
  <si>
    <t>******8582</t>
  </si>
  <si>
    <t>24-02-2023</t>
  </si>
  <si>
    <t>100753337637</t>
  </si>
  <si>
    <t>923607391</t>
  </si>
  <si>
    <t>7.19 x 6.27 x 4.26</t>
  </si>
  <si>
    <t>******8843</t>
  </si>
  <si>
    <t>10-04-2023</t>
  </si>
  <si>
    <t>100753471484</t>
  </si>
  <si>
    <t>Feather, Crystal, Cloud</t>
  </si>
  <si>
    <t>423312109</t>
  </si>
  <si>
    <t>7.06 x 6.45 x 4.44</t>
  </si>
  <si>
    <t>******5102</t>
  </si>
  <si>
    <t>22-05-2023</t>
  </si>
  <si>
    <t>DE BEERS GROUP OF COMPANIES</t>
  </si>
  <si>
    <t>100756496440</t>
  </si>
  <si>
    <t>Crystal, Feather, Needle, Pinpoint</t>
  </si>
  <si>
    <t>522736782</t>
  </si>
  <si>
    <t>6.96 x 6.34 x 4.34</t>
  </si>
  <si>
    <t>******6082</t>
  </si>
  <si>
    <t>03-03-2023</t>
  </si>
  <si>
    <t>100359368988</t>
  </si>
  <si>
    <t>523000128</t>
  </si>
  <si>
    <t>7.02 x 6.56 x 4.49</t>
  </si>
  <si>
    <t>******5809</t>
  </si>
  <si>
    <t>100752575799</t>
  </si>
  <si>
    <t>722019650</t>
  </si>
  <si>
    <t>6.60 x 6.43 x 4.45</t>
  </si>
  <si>
    <t>******8416</t>
  </si>
  <si>
    <t>NAMIBIA*</t>
  </si>
  <si>
    <t>100748524394</t>
  </si>
  <si>
    <t>Pinpoints are not shown. Clouds are not shown.</t>
  </si>
  <si>
    <t>123709312</t>
  </si>
  <si>
    <t>7.02 x 6.35 x 4.41</t>
  </si>
  <si>
    <t>******0445</t>
  </si>
  <si>
    <t>18-04-2023</t>
  </si>
  <si>
    <t>BRAUNA MINE</t>
  </si>
  <si>
    <t>BRAZIL</t>
  </si>
  <si>
    <t>100752444424</t>
  </si>
  <si>
    <t>222602455</t>
  </si>
  <si>
    <t>6.72 x 6.21 x 4.41</t>
  </si>
  <si>
    <t>******0230</t>
  </si>
  <si>
    <t>07-03-2022</t>
  </si>
  <si>
    <t>100747630358</t>
  </si>
  <si>
    <t>223212799</t>
  </si>
  <si>
    <t>7.28 x 6.16 x 4.28</t>
  </si>
  <si>
    <t>3.90-3.90</t>
  </si>
  <si>
    <t>******5164</t>
  </si>
  <si>
    <t>24-05-2023</t>
  </si>
  <si>
    <t>MIX</t>
  </si>
  <si>
    <t>100756273484</t>
  </si>
  <si>
    <t>Crystal, Cloud, Feather, Needle, Indented Natural</t>
  </si>
  <si>
    <t>922417566</t>
  </si>
  <si>
    <t>7.71 x 6.15 x 4.27</t>
  </si>
  <si>
    <t>1.80-1.80</t>
  </si>
  <si>
    <t>******8413</t>
  </si>
  <si>
    <t>10-08-2022</t>
  </si>
  <si>
    <t>100751724927</t>
  </si>
  <si>
    <t>523000196</t>
  </si>
  <si>
    <t>6.80 x 6.37 x 4.39</t>
  </si>
  <si>
    <t>3.60-3.60</t>
  </si>
  <si>
    <t>******3420</t>
  </si>
  <si>
    <t>31-01-2023</t>
  </si>
  <si>
    <t>100752572164</t>
  </si>
  <si>
    <t>Additional pinpoints, additional clouds and surface graining are not shown.</t>
  </si>
  <si>
    <t>123304403</t>
  </si>
  <si>
    <t>6.77 x 6.41 x 4.41</t>
  </si>
  <si>
    <t>******8034</t>
  </si>
  <si>
    <t>100753027587</t>
  </si>
  <si>
    <t>922116748</t>
  </si>
  <si>
    <t>6.71 x 6.16 x 4.42</t>
  </si>
  <si>
    <t>4.80-4.80</t>
  </si>
  <si>
    <t>******7604</t>
  </si>
  <si>
    <t>17-08-2022</t>
  </si>
  <si>
    <t>RENARD MINE</t>
  </si>
  <si>
    <t>100748276020</t>
  </si>
  <si>
    <t>Cloud, Needle, Pinpoint</t>
  </si>
  <si>
    <t>223203671</t>
  </si>
  <si>
    <t>6.71 x 6.46 x 4.57</t>
  </si>
  <si>
    <t>******6479</t>
  </si>
  <si>
    <t>100752646803</t>
  </si>
  <si>
    <t>523010839</t>
  </si>
  <si>
    <t>7.17 x 6.01 x 4.30</t>
  </si>
  <si>
    <t>******1093</t>
  </si>
  <si>
    <t>100747441161</t>
  </si>
  <si>
    <t>223506197</t>
  </si>
  <si>
    <t>7.22 x 6.23 x 4.27</t>
  </si>
  <si>
    <t>******6069</t>
  </si>
  <si>
    <t>21-03-2023</t>
  </si>
  <si>
    <t>100752077712</t>
  </si>
  <si>
    <t>Crystal, Pinpoint</t>
  </si>
  <si>
    <t>623506463</t>
  </si>
  <si>
    <t>7.67 x 6.08 x 4.19</t>
  </si>
  <si>
    <t>******3302</t>
  </si>
  <si>
    <t>100752253460</t>
  </si>
  <si>
    <t>722534679</t>
  </si>
  <si>
    <t>6.56 x 6.52 x 4.56</t>
  </si>
  <si>
    <t>******3614</t>
  </si>
  <si>
    <t>28-12-2022</t>
  </si>
  <si>
    <t>100751820699</t>
  </si>
  <si>
    <t>922223144</t>
  </si>
  <si>
    <t>7.18 x 6.60 x 4.55</t>
  </si>
  <si>
    <t>******6702</t>
  </si>
  <si>
    <t>20-09-2022</t>
  </si>
  <si>
    <t>100752327593</t>
  </si>
  <si>
    <t>Crystal, Feather, Cloud, Needle, Pinpoint</t>
  </si>
  <si>
    <t>323203749</t>
  </si>
  <si>
    <t>6.60 x 6.58 x 4.48</t>
  </si>
  <si>
    <t>******9529</t>
  </si>
  <si>
    <t>100752565220</t>
  </si>
  <si>
    <t>Cloud, Feather, Needle</t>
  </si>
  <si>
    <t>823211353</t>
  </si>
  <si>
    <t>7.24 x 6.12 x 4.24</t>
  </si>
  <si>
    <t>******7510</t>
  </si>
  <si>
    <t>17-05-2023</t>
  </si>
  <si>
    <t>100756499277</t>
  </si>
  <si>
    <t>Cloud, Feather, Crystal</t>
  </si>
  <si>
    <t>723101301</t>
  </si>
  <si>
    <t>6.58 x 6.56 x 4.47</t>
  </si>
  <si>
    <t>******7670</t>
  </si>
  <si>
    <t>01-02-2023</t>
  </si>
  <si>
    <t>100753239852</t>
  </si>
  <si>
    <t>Crystal, Cloud, Pinpoint</t>
  </si>
  <si>
    <t>Additional clouds are not shown. Additional pinpoints are not shown.</t>
  </si>
  <si>
    <t>423304523</t>
  </si>
  <si>
    <t>6.93 x 6.46 x 4.40</t>
  </si>
  <si>
    <t>******4328</t>
  </si>
  <si>
    <t>01-03-2023</t>
  </si>
  <si>
    <t>100752824454</t>
  </si>
  <si>
    <t>Feather, Crystal, Cloud, Needle</t>
  </si>
  <si>
    <t>823101391</t>
  </si>
  <si>
    <t>6.74 x 6.45 x 4.33</t>
  </si>
  <si>
    <t>******6008</t>
  </si>
  <si>
    <t>100752652552</t>
  </si>
  <si>
    <t>Pinpoints, clouds and internal graining are not shown.</t>
  </si>
  <si>
    <t>922735096</t>
  </si>
  <si>
    <t>7.27 x 6.39 x 4.15</t>
  </si>
  <si>
    <t>******4621</t>
  </si>
  <si>
    <t>100752583058</t>
  </si>
  <si>
    <t>623506471</t>
  </si>
  <si>
    <t>7.49 x 6.33 x 4.25</t>
  </si>
  <si>
    <t>MED TO STK</t>
  </si>
  <si>
    <t>1.90-1.90</t>
  </si>
  <si>
    <t>******6787</t>
  </si>
  <si>
    <t>24-03-2023</t>
  </si>
  <si>
    <t>100752159228</t>
  </si>
  <si>
    <t>923101635</t>
  </si>
  <si>
    <t>7.56 x 6.41 x 4.32</t>
  </si>
  <si>
    <t>******2462</t>
  </si>
  <si>
    <t>100752578848</t>
  </si>
  <si>
    <t>922726210</t>
  </si>
  <si>
    <t>6.70 x 6.39 x 4.45</t>
  </si>
  <si>
    <t>******4396</t>
  </si>
  <si>
    <t>11-10-2022</t>
  </si>
  <si>
    <t>100751811345</t>
  </si>
  <si>
    <t>Feather, Crystal, Needle</t>
  </si>
  <si>
    <t>822116572</t>
  </si>
  <si>
    <t>6.87 x 6.39 x 4.41</t>
  </si>
  <si>
    <t>******4490</t>
  </si>
  <si>
    <t>11-07-2022</t>
  </si>
  <si>
    <t>100747433054</t>
  </si>
  <si>
    <t>822011927</t>
  </si>
  <si>
    <t>6.97 x 6.48 x 4.40</t>
  </si>
  <si>
    <t>******3927</t>
  </si>
  <si>
    <t>27-05-2022</t>
  </si>
  <si>
    <t>100747945118</t>
  </si>
  <si>
    <t>522507638</t>
  </si>
  <si>
    <t>6.72 x 6.38 x 4.51</t>
  </si>
  <si>
    <t>******1783</t>
  </si>
  <si>
    <t>25-04-2022</t>
  </si>
  <si>
    <t>100747877847</t>
  </si>
  <si>
    <t>Twinning Wisp, Feather, Needle</t>
  </si>
  <si>
    <t>Additional twinning wisps, pinpoints, internal graining and surface graining are not shown.</t>
  </si>
  <si>
    <t>420034113</t>
  </si>
  <si>
    <t>6.67 x 6.57 x 4.44</t>
  </si>
  <si>
    <t>******1838</t>
  </si>
  <si>
    <t>DOR</t>
  </si>
  <si>
    <t>6365150961</t>
  </si>
  <si>
    <t>100755632872</t>
  </si>
  <si>
    <t>323608686</t>
  </si>
  <si>
    <t>7.62 x 6.14 x 4.20</t>
  </si>
  <si>
    <t>******6925</t>
  </si>
  <si>
    <t>05-04-2023</t>
  </si>
  <si>
    <t>100752077513</t>
  </si>
  <si>
    <t>Surface graining is not shown.</t>
  </si>
  <si>
    <t>123212600</t>
  </si>
  <si>
    <t>7.19 x 6.45 x 4.38</t>
  </si>
  <si>
    <t>2.00-2.00</t>
  </si>
  <si>
    <t>******8348</t>
  </si>
  <si>
    <t>15-05-2023</t>
  </si>
  <si>
    <t>100756479548</t>
  </si>
  <si>
    <t>Cloud, Pinpoint</t>
  </si>
  <si>
    <t>622534492</t>
  </si>
  <si>
    <t>6.62 x 6.53 x 4.53</t>
  </si>
  <si>
    <t>******9766</t>
  </si>
  <si>
    <t>22-12-2022</t>
  </si>
  <si>
    <t>100751692924</t>
  </si>
  <si>
    <t>923312730</t>
  </si>
  <si>
    <t>7.40 x 6.30 x 4.24</t>
  </si>
  <si>
    <t>2.30-2.30</t>
  </si>
  <si>
    <t>******8914</t>
  </si>
  <si>
    <t>100756620963</t>
  </si>
  <si>
    <t>323101029</t>
  </si>
  <si>
    <t>6.70 x 6.21 x 4.43</t>
  </si>
  <si>
    <t>******7653</t>
  </si>
  <si>
    <t>100753356487</t>
  </si>
  <si>
    <t>Clouds, pinpoints, internal graining and surface graining are not shown.</t>
  </si>
  <si>
    <t>423111655</t>
  </si>
  <si>
    <t>7.17 x 6.34 x 4.28</t>
  </si>
  <si>
    <t>******1226</t>
  </si>
  <si>
    <t>09-05-2023</t>
  </si>
  <si>
    <t>100747703928</t>
  </si>
  <si>
    <t>Cloud, Feather, Needle, Pinpoint</t>
  </si>
  <si>
    <t>623608826</t>
  </si>
  <si>
    <t>6.65 x 6.40 x 4.57</t>
  </si>
  <si>
    <t>******4275</t>
  </si>
  <si>
    <t>12-04-2023</t>
  </si>
  <si>
    <t>100752067448</t>
  </si>
  <si>
    <t>Feather, Needle, Cloud, Pinpoint</t>
  </si>
  <si>
    <t>722128720</t>
  </si>
  <si>
    <t>7.06 x 6.29 x 4.30</t>
  </si>
  <si>
    <t>******8519</t>
  </si>
  <si>
    <t>11-11-2022</t>
  </si>
  <si>
    <t>100748403145</t>
  </si>
  <si>
    <t>Clouds, pinpoints and internal graining are not shown.</t>
  </si>
  <si>
    <t>723101189</t>
  </si>
  <si>
    <t>6.81 x 6.46 x 4.36</t>
  </si>
  <si>
    <t>******7682</t>
  </si>
  <si>
    <t>100753213532</t>
  </si>
  <si>
    <t>723304728</t>
  </si>
  <si>
    <t>6.61 x 6.47 x 4.44</t>
  </si>
  <si>
    <t>******1728</t>
  </si>
  <si>
    <t>100752998873</t>
  </si>
  <si>
    <t>Feather, Cloud</t>
  </si>
  <si>
    <t>923708177</t>
  </si>
  <si>
    <t>6.76 x 6.53 x 4.49</t>
  </si>
  <si>
    <t>******0454</t>
  </si>
  <si>
    <t>100752164456</t>
  </si>
  <si>
    <t>922331143</t>
  </si>
  <si>
    <t>7.00 x 6.26 x 4.34</t>
  </si>
  <si>
    <t>******8185</t>
  </si>
  <si>
    <t>100753268506</t>
  </si>
  <si>
    <t>122418892</t>
  </si>
  <si>
    <t>6.95 x 6.42 x 4.37</t>
  </si>
  <si>
    <t>******3035</t>
  </si>
  <si>
    <t>15-07-2022</t>
  </si>
  <si>
    <t>100751837355</t>
  </si>
  <si>
    <t>Cloud, Crystal, Feather, Needle, Natural</t>
  </si>
  <si>
    <t>223305988</t>
  </si>
  <si>
    <t>6.61 x 6.43 x 4.42</t>
  </si>
  <si>
    <t>******4887</t>
  </si>
  <si>
    <t>07-03-2023</t>
  </si>
  <si>
    <t>100753178753</t>
  </si>
  <si>
    <t>Feather, Cloud, Crystal, Needle</t>
  </si>
  <si>
    <t>623211152</t>
  </si>
  <si>
    <t>7.25 x 6.16 x 4.37</t>
  </si>
  <si>
    <t>******4408</t>
  </si>
  <si>
    <t>100756569841</t>
  </si>
  <si>
    <t>322421488</t>
  </si>
  <si>
    <t>6.88 x 6.42 x 4.44</t>
  </si>
  <si>
    <t>******9207</t>
  </si>
  <si>
    <t>100751903621</t>
  </si>
  <si>
    <t>923405781</t>
  </si>
  <si>
    <t>7.04 x 6.53 x 4.44</t>
  </si>
  <si>
    <t>******1209</t>
  </si>
  <si>
    <t>100752325281</t>
  </si>
  <si>
    <t>622317712</t>
  </si>
  <si>
    <t>6.86 x 6.45 x 4.45</t>
  </si>
  <si>
    <t>******9079</t>
  </si>
  <si>
    <t>100748486409</t>
  </si>
  <si>
    <t>Cloud, Feather, Crystal, Needle, Indented Natural</t>
  </si>
  <si>
    <t>722019654</t>
  </si>
  <si>
    <t>6.63 x 6.42 x 4.51</t>
  </si>
  <si>
    <t>******8388</t>
  </si>
  <si>
    <t>100751706997</t>
  </si>
  <si>
    <t>821401229</t>
  </si>
  <si>
    <t>7.05 x 6.42 x 4.32</t>
  </si>
  <si>
    <t>******5863</t>
  </si>
  <si>
    <t>2374012430</t>
  </si>
  <si>
    <t>100755632873</t>
  </si>
  <si>
    <t>322220240</t>
  </si>
  <si>
    <t>6.84 x 6.57 x 4.50</t>
  </si>
  <si>
    <t>******5574</t>
  </si>
  <si>
    <t>11-08-2022</t>
  </si>
  <si>
    <t>100751922190</t>
  </si>
  <si>
    <t>Crystal, Needle, Feather, Cloud</t>
  </si>
  <si>
    <t>422626472</t>
  </si>
  <si>
    <t>6.64 x 6.23 x 4.44</t>
  </si>
  <si>
    <t>******7112</t>
  </si>
  <si>
    <t>100751733681</t>
  </si>
  <si>
    <t>923211543</t>
  </si>
  <si>
    <t>6.66 x 6.62 x 4.55</t>
  </si>
  <si>
    <t>******5173</t>
  </si>
  <si>
    <t>100756639982</t>
  </si>
  <si>
    <t>Crystal, Feather, Needle, Natural</t>
  </si>
  <si>
    <t>623709838</t>
  </si>
  <si>
    <t>6.45 x 6.39 x 4.58</t>
  </si>
  <si>
    <t>4.50-4.50</t>
  </si>
  <si>
    <t>******8418</t>
  </si>
  <si>
    <t>26-04-2023</t>
  </si>
  <si>
    <t>100752134256</t>
  </si>
  <si>
    <t>423312096</t>
  </si>
  <si>
    <t>7.03 x 6.33 x 4.38</t>
  </si>
  <si>
    <t>******3259</t>
  </si>
  <si>
    <t>100756571951</t>
  </si>
  <si>
    <t>923110236</t>
  </si>
  <si>
    <t>7.17 x 6.42 x 4.34</t>
  </si>
  <si>
    <t>******3789</t>
  </si>
  <si>
    <t>100747762743</t>
  </si>
  <si>
    <t>Cloud, Feather, Pinpoint</t>
  </si>
  <si>
    <t>623405582</t>
  </si>
  <si>
    <t>6.75 x 6.71 x 4.59</t>
  </si>
  <si>
    <t>******1432</t>
  </si>
  <si>
    <t>100753413666</t>
  </si>
  <si>
    <t>Needle</t>
  </si>
  <si>
    <t>223305999</t>
  </si>
  <si>
    <t>7.26 x 6.00 x 4.27</t>
  </si>
  <si>
    <t>4.40-4.40</t>
  </si>
  <si>
    <t>******6805</t>
  </si>
  <si>
    <t>09-03-2023</t>
  </si>
  <si>
    <t>100752532536</t>
  </si>
  <si>
    <t>423304535</t>
  </si>
  <si>
    <t>6.87 x 6.51 x 4.37</t>
  </si>
  <si>
    <t>******7467</t>
  </si>
  <si>
    <t>28-02-2023</t>
  </si>
  <si>
    <t>100753129932</t>
  </si>
  <si>
    <t>523304579</t>
  </si>
  <si>
    <t>6.80 x 6.60 x 4.40</t>
  </si>
  <si>
    <t>******7391</t>
  </si>
  <si>
    <t>100752887234</t>
  </si>
  <si>
    <t>222027115</t>
  </si>
  <si>
    <t>7.14 x 6.20 x 4.30</t>
  </si>
  <si>
    <t>******0699</t>
  </si>
  <si>
    <t>100751697247</t>
  </si>
  <si>
    <t>622510856</t>
  </si>
  <si>
    <t>6.98 x 6.17 x 4.38</t>
  </si>
  <si>
    <t>******2738</t>
  </si>
  <si>
    <t>16-06-2022</t>
  </si>
  <si>
    <t>100748205571</t>
  </si>
  <si>
    <t>Crystal, Cloud, Feather, Needle, Pinpoint</t>
  </si>
  <si>
    <t>623101034</t>
  </si>
  <si>
    <t>7.56 x 6.22 x 4.05</t>
  </si>
  <si>
    <t>******7701</t>
  </si>
  <si>
    <t>100753408137</t>
  </si>
  <si>
    <t>123305884</t>
  </si>
  <si>
    <t>7.00 x 6.56 x 4.49</t>
  </si>
  <si>
    <t>******4890</t>
  </si>
  <si>
    <t>100753247450</t>
  </si>
  <si>
    <t>523405451</t>
  </si>
  <si>
    <t>7.76 x 6.19 x 4.16</t>
  </si>
  <si>
    <t>******2200</t>
  </si>
  <si>
    <t>SOUTH AFRICA</t>
  </si>
  <si>
    <t>100752823634</t>
  </si>
  <si>
    <t>523202152</t>
  </si>
  <si>
    <t>7.58 x 6.40 x 4.30</t>
  </si>
  <si>
    <t>THN TO THK</t>
  </si>
  <si>
    <t>******9816</t>
  </si>
  <si>
    <t>100753207222</t>
  </si>
  <si>
    <t>423507978</t>
  </si>
  <si>
    <t>6.97 x 6.32 x 4.37</t>
  </si>
  <si>
    <t>******2604</t>
  </si>
  <si>
    <t>03-04-2023</t>
  </si>
  <si>
    <t>100753020705</t>
  </si>
  <si>
    <t>Crystal, Cloud, Needle, Feather</t>
  </si>
  <si>
    <t>222736346</t>
  </si>
  <si>
    <t>6.60 x 6.40 x 4.50</t>
  </si>
  <si>
    <t>******9622</t>
  </si>
  <si>
    <t>100752441037</t>
  </si>
  <si>
    <t>223111562</t>
  </si>
  <si>
    <t>6.52 x 6.45 x 4.59</t>
  </si>
  <si>
    <t>******1229</t>
  </si>
  <si>
    <t>100747708886</t>
  </si>
  <si>
    <t>422626352</t>
  </si>
  <si>
    <t>7.18 x 6.23 x 4.32</t>
  </si>
  <si>
    <t>******8214</t>
  </si>
  <si>
    <t>100748505099</t>
  </si>
  <si>
    <t>Cloud, Twinning Wisp, Feather, Needle</t>
  </si>
  <si>
    <t>423304538</t>
  </si>
  <si>
    <t>7.12 x 6.32 x 4.35</t>
  </si>
  <si>
    <t>******4347</t>
  </si>
  <si>
    <t>23-02-2023</t>
  </si>
  <si>
    <t>100753014130</t>
  </si>
  <si>
    <t>123203555</t>
  </si>
  <si>
    <t>7.27 x 6.43 x 4.40</t>
  </si>
  <si>
    <t>1.00-1.00</t>
  </si>
  <si>
    <t>******9471</t>
  </si>
  <si>
    <t>100752661128</t>
  </si>
  <si>
    <t>422534398</t>
  </si>
  <si>
    <t>7.11 x 6.53 x 4.50</t>
  </si>
  <si>
    <t>******6280</t>
  </si>
  <si>
    <t>100753269980</t>
  </si>
  <si>
    <t>Pinpoints, internal graining and surface graining are not shown.</t>
  </si>
  <si>
    <t>123203609</t>
  </si>
  <si>
    <t>6.89 x 6.55 x 4.38</t>
  </si>
  <si>
    <t>******9894</t>
  </si>
  <si>
    <t>100752654830</t>
  </si>
  <si>
    <t>722635843</t>
  </si>
  <si>
    <t>6.45 x 6.35 x 4.52</t>
  </si>
  <si>
    <t>******9890</t>
  </si>
  <si>
    <t>100751705944</t>
  </si>
  <si>
    <t>922735063</t>
  </si>
  <si>
    <t>6.56 x 6.43 x 4.55</t>
  </si>
  <si>
    <t>******0596</t>
  </si>
  <si>
    <t>100752282252</t>
  </si>
  <si>
    <t>522016596</t>
  </si>
  <si>
    <t>6.49 x 6.32 x 4.50</t>
  </si>
  <si>
    <t>30-06-2022</t>
  </si>
  <si>
    <t>100748531458</t>
  </si>
  <si>
    <t>Crystal, Cloud, Needle, Indented Natural, Natural</t>
  </si>
  <si>
    <t>322100693</t>
  </si>
  <si>
    <t>7.02 x 6.26 x 4.43</t>
  </si>
  <si>
    <t>******6237</t>
  </si>
  <si>
    <t>10-02-2022</t>
  </si>
  <si>
    <t>100747590466</t>
  </si>
  <si>
    <t>823009023</t>
  </si>
  <si>
    <t>6.76 x 6.30 x 4.39</t>
  </si>
  <si>
    <t>******1167</t>
  </si>
  <si>
    <t>100752349010</t>
  </si>
  <si>
    <t>Crystal, Cloud, Feather, Needle, Natural</t>
  </si>
  <si>
    <t>623202228</t>
  </si>
  <si>
    <t>7.54 x 6.22 x 4.38</t>
  </si>
  <si>
    <t>O2</t>
  </si>
  <si>
    <t>1.50-1.50</t>
  </si>
  <si>
    <t>******9907</t>
  </si>
  <si>
    <t>21-02-2023</t>
  </si>
  <si>
    <t>100753188070</t>
  </si>
  <si>
    <t>523202066</t>
  </si>
  <si>
    <t>7.49 x 6.71 x 4.46</t>
  </si>
  <si>
    <t>******2453</t>
  </si>
  <si>
    <t>100752774030</t>
  </si>
  <si>
    <t>Crystal, Feather, Cloud</t>
  </si>
  <si>
    <t>523506380</t>
  </si>
  <si>
    <t>6.76 x 6.69 x 4.76</t>
  </si>
  <si>
    <t>******6774</t>
  </si>
  <si>
    <t>100752108361</t>
  </si>
  <si>
    <t>Crystal, Twinning Wisp, Feather, Needle, Natural</t>
  </si>
  <si>
    <t>Additional twinning wisps, clouds, pinpoints and surface graining are not shown.</t>
  </si>
  <si>
    <t>922424199</t>
  </si>
  <si>
    <t>7.25 x 6.65 x 4.75</t>
  </si>
  <si>
    <t>******8743</t>
  </si>
  <si>
    <t>26-09-2022</t>
  </si>
  <si>
    <t>100747700736</t>
  </si>
  <si>
    <t>Twinning Wisp, Feather</t>
  </si>
  <si>
    <t>Additional twinning wisps are not shown. Surface graining is not shown.</t>
  </si>
  <si>
    <t>823009098</t>
  </si>
  <si>
    <t>6.93 x 6.89 x 4.71</t>
  </si>
  <si>
    <t>******1140</t>
  </si>
  <si>
    <t>100752470908</t>
  </si>
  <si>
    <t>323709579</t>
  </si>
  <si>
    <t>6.93 x 6.43 x 4.61</t>
  </si>
  <si>
    <t>******2266</t>
  </si>
  <si>
    <t>100752130552</t>
  </si>
  <si>
    <t>Pinpoint, Needle, Feather</t>
  </si>
  <si>
    <t>123304376</t>
  </si>
  <si>
    <t>7.85 x 6.60 x 4.45</t>
  </si>
  <si>
    <t>******8586</t>
  </si>
  <si>
    <t>100753053384</t>
  </si>
  <si>
    <t>Crystal, Pinpoint, Needle</t>
  </si>
  <si>
    <t>823303122</t>
  </si>
  <si>
    <t>6.98 x 6.97 x 4.75</t>
  </si>
  <si>
    <t>******0812</t>
  </si>
  <si>
    <t>22-02-2023</t>
  </si>
  <si>
    <t>100753207894</t>
  </si>
  <si>
    <t>Crystal, Needle, Cloud, Pinpoint</t>
  </si>
  <si>
    <t>923110298</t>
  </si>
  <si>
    <t>7.39 x 6.44 x 4.55</t>
  </si>
  <si>
    <t>******1323</t>
  </si>
  <si>
    <t>100747763513</t>
  </si>
  <si>
    <t>122425451</t>
  </si>
  <si>
    <t>6.77 x 6.72 x 4.62</t>
  </si>
  <si>
    <t>******4103</t>
  </si>
  <si>
    <t>29-09-2022</t>
  </si>
  <si>
    <t>100747759608</t>
  </si>
  <si>
    <t>722027682</t>
  </si>
  <si>
    <t>7.36 x 6.53 x 4.45</t>
  </si>
  <si>
    <t>******7103</t>
  </si>
  <si>
    <t>100748458004</t>
  </si>
  <si>
    <t>622011265</t>
  </si>
  <si>
    <t>6.85 x 6.83 x 4.75</t>
  </si>
  <si>
    <t>******7868</t>
  </si>
  <si>
    <t>100748298269</t>
  </si>
  <si>
    <t>Pinpoints, clouds, internal graining and surface graining are not shown.</t>
  </si>
  <si>
    <t>922726433</t>
  </si>
  <si>
    <t>7.32 x 6.57 x 4.52</t>
  </si>
  <si>
    <t>******4415</t>
  </si>
  <si>
    <t>17-10-2022</t>
  </si>
  <si>
    <t>100751692177</t>
  </si>
  <si>
    <t>422719792</t>
  </si>
  <si>
    <t>6.94 x 6.64 x 4.66</t>
  </si>
  <si>
    <t>******0734</t>
  </si>
  <si>
    <t>100751892672</t>
  </si>
  <si>
    <t>923202525</t>
  </si>
  <si>
    <t>7.50 x 6.52 x 4.47</t>
  </si>
  <si>
    <t>******3684</t>
  </si>
  <si>
    <t>15-02-2023</t>
  </si>
  <si>
    <t>100752715628</t>
  </si>
  <si>
    <t>Needle, Cloud, Pinpoint, Feather</t>
  </si>
  <si>
    <t>723304727</t>
  </si>
  <si>
    <t>7.02 x 7.01 x 4.78</t>
  </si>
  <si>
    <t>******4341</t>
  </si>
  <si>
    <t>100753047970</t>
  </si>
  <si>
    <t>Feather</t>
  </si>
  <si>
    <t>223304445</t>
  </si>
  <si>
    <t>7.03 x 6.88 x 4.75</t>
  </si>
  <si>
    <t>******4390</t>
  </si>
  <si>
    <t>100752856467</t>
  </si>
  <si>
    <t>Cloud, Crystal, Feather</t>
  </si>
  <si>
    <t>123709375</t>
  </si>
  <si>
    <t>7.31 x 6.83 x 4.69</t>
  </si>
  <si>
    <t>******2309</t>
  </si>
  <si>
    <t>100752348494</t>
  </si>
  <si>
    <t>223304424</t>
  </si>
  <si>
    <t>7.00 x 6.98 x 4.83</t>
  </si>
  <si>
    <t>******4842</t>
  </si>
  <si>
    <t>100753041310</t>
  </si>
  <si>
    <t>222622734</t>
  </si>
  <si>
    <t>7.11 x 6.52 x 4.60</t>
  </si>
  <si>
    <t>******6923</t>
  </si>
  <si>
    <t>09-09-2022</t>
  </si>
  <si>
    <t>100752189783</t>
  </si>
  <si>
    <t>323405230</t>
  </si>
  <si>
    <t>7.69 x 6.58 x 4.49</t>
  </si>
  <si>
    <t>******2219</t>
  </si>
  <si>
    <t>100753447061</t>
  </si>
  <si>
    <t>423304478</t>
  </si>
  <si>
    <t>7.11 x 6.91 x 4.72</t>
  </si>
  <si>
    <t>******4395</t>
  </si>
  <si>
    <t>100752921389</t>
  </si>
  <si>
    <t>223010309</t>
  </si>
  <si>
    <t>7.02 x 6.70 x 4.63</t>
  </si>
  <si>
    <t>******4826</t>
  </si>
  <si>
    <t>25-04-2023</t>
  </si>
  <si>
    <t>100757010869</t>
  </si>
  <si>
    <t>223313958</t>
  </si>
  <si>
    <t>7.14 x 6.55 x 4.63</t>
  </si>
  <si>
    <t>******2130</t>
  </si>
  <si>
    <t>31-05-2023</t>
  </si>
  <si>
    <t>100756614752</t>
  </si>
  <si>
    <t>Cloud, Feather, Crystal, Needle</t>
  </si>
  <si>
    <t>223507797</t>
  </si>
  <si>
    <t>SI2-</t>
  </si>
  <si>
    <t>7.57 x 6.56 x 4.50</t>
  </si>
  <si>
    <t>******3338</t>
  </si>
  <si>
    <t>100752040926</t>
  </si>
  <si>
    <t>722521654</t>
  </si>
  <si>
    <t>7.30 x 6.31 x 4.53</t>
  </si>
  <si>
    <t>5.50-5.50</t>
  </si>
  <si>
    <t>******9627</t>
  </si>
  <si>
    <t>100752413904</t>
  </si>
  <si>
    <t>323203734</t>
  </si>
  <si>
    <t>6.87 x 6.80 x 4.65</t>
  </si>
  <si>
    <t>******6471</t>
  </si>
  <si>
    <t>100752637928</t>
  </si>
  <si>
    <t>Cloud, Pinpoint, Needle</t>
  </si>
  <si>
    <t>222615213</t>
  </si>
  <si>
    <t>7.24 x 6.43 x 4.54</t>
  </si>
  <si>
    <t>******0243</t>
  </si>
  <si>
    <t>100747368065</t>
  </si>
  <si>
    <t>723202361</t>
  </si>
  <si>
    <t>7.33 x 6.54 x 4.52</t>
  </si>
  <si>
    <t>******9930</t>
  </si>
  <si>
    <t>100752655335</t>
  </si>
  <si>
    <t>923303160</t>
  </si>
  <si>
    <t>7.05 x 6.99 x 4.70</t>
  </si>
  <si>
    <t>******8036</t>
  </si>
  <si>
    <t>27-02-2023</t>
  </si>
  <si>
    <t>100753409769</t>
  </si>
  <si>
    <t>822324434</t>
  </si>
  <si>
    <t>6.96 x 6.85 x 4.74</t>
  </si>
  <si>
    <t>******9246</t>
  </si>
  <si>
    <t>100748076755</t>
  </si>
  <si>
    <t>523010751</t>
  </si>
  <si>
    <t>7.35 x 6.85 x 4.67</t>
  </si>
  <si>
    <t>******1122</t>
  </si>
  <si>
    <t>100756582711</t>
  </si>
  <si>
    <t>123111471</t>
  </si>
  <si>
    <t>6.86 x 6.83 x 4.73</t>
  </si>
  <si>
    <t>******0963</t>
  </si>
  <si>
    <t>100747708124</t>
  </si>
  <si>
    <t>Crystal, Cloud, Feather, Pinpoint</t>
  </si>
  <si>
    <t>823110041</t>
  </si>
  <si>
    <t>Daily</t>
  </si>
  <si>
    <t>22-06-2023</t>
  </si>
  <si>
    <t>7.00 x 6.70 x 4.59</t>
  </si>
  <si>
    <t>******4588</t>
  </si>
  <si>
    <t>100753106211</t>
  </si>
  <si>
    <t>923211548</t>
  </si>
  <si>
    <t>6.82 x 6.81 x 4.74</t>
  </si>
  <si>
    <t>******5174</t>
  </si>
  <si>
    <t>100756558662</t>
  </si>
  <si>
    <t>Feather, Crystal, Pinpoint</t>
  </si>
  <si>
    <t>Clouds are not shown. Additional pinpoints are not shown.</t>
  </si>
  <si>
    <t>323212898</t>
  </si>
  <si>
    <t>7.39 x 6.78 x 4.64</t>
  </si>
  <si>
    <t>******5618</t>
  </si>
  <si>
    <t>100756613528</t>
  </si>
  <si>
    <t>123010234</t>
  </si>
  <si>
    <t>6.72 x 6.71 x 4.80</t>
  </si>
  <si>
    <t>******4844</t>
  </si>
  <si>
    <t>27-04-2023</t>
  </si>
  <si>
    <t>100757022920</t>
  </si>
  <si>
    <t>822521856</t>
  </si>
  <si>
    <t>7.58 x 6.31 x 4.52</t>
  </si>
  <si>
    <t>5.00-5.00</t>
  </si>
  <si>
    <t>******2959</t>
  </si>
  <si>
    <t>30-08-2022</t>
  </si>
  <si>
    <t>100752188652</t>
  </si>
  <si>
    <t>922208014</t>
  </si>
  <si>
    <t>7.09 x 6.52 x 4.52</t>
  </si>
  <si>
    <t>******3997</t>
  </si>
  <si>
    <t>100748202553</t>
  </si>
  <si>
    <t>Twinning Wisp, Cloud, Crystal, Needle</t>
  </si>
  <si>
    <t>Additional twinning wisps, additional clouds, pinpoints and internal graining are not shown.</t>
  </si>
  <si>
    <t>922412149</t>
  </si>
  <si>
    <t>6.72 x 6.65 x 4.72</t>
  </si>
  <si>
    <t>******5194</t>
  </si>
  <si>
    <t>100748285171</t>
  </si>
  <si>
    <t>923312589</t>
  </si>
  <si>
    <t>7.46 x 6.70 x 4.64</t>
  </si>
  <si>
    <t>******9824</t>
  </si>
  <si>
    <t>27-05-2023</t>
  </si>
  <si>
    <t>100756630081</t>
  </si>
  <si>
    <t>922119540</t>
  </si>
  <si>
    <t>7.05 x 6.62 x 4.59</t>
  </si>
  <si>
    <t>******3546</t>
  </si>
  <si>
    <t>100752470423</t>
  </si>
  <si>
    <t>722005425</t>
  </si>
  <si>
    <t>7.26 x 6.57 x 4.56</t>
  </si>
  <si>
    <t>******8203</t>
  </si>
  <si>
    <t>11-05-2022</t>
  </si>
  <si>
    <t>100743100186</t>
  </si>
  <si>
    <t>923312560</t>
  </si>
  <si>
    <t>7.09 x 6.72 x 4.64</t>
  </si>
  <si>
    <t>******8857</t>
  </si>
  <si>
    <t>100756620105</t>
  </si>
  <si>
    <t>Pinpoint, Needle</t>
  </si>
  <si>
    <t>223304431</t>
  </si>
  <si>
    <t>7.05 x 6.92 x 4.77</t>
  </si>
  <si>
    <t>******7386</t>
  </si>
  <si>
    <t>100752941400</t>
  </si>
  <si>
    <t>823211351</t>
  </si>
  <si>
    <t>7.89 x 6.67 x 4.47</t>
  </si>
  <si>
    <t>******7343</t>
  </si>
  <si>
    <t>100756635631</t>
  </si>
  <si>
    <t>Feather, Needle, Cloud</t>
  </si>
  <si>
    <t>523010807</t>
  </si>
  <si>
    <t>7.31 x 6.69 x 4.59</t>
  </si>
  <si>
    <t>******9472</t>
  </si>
  <si>
    <t>100756573712</t>
  </si>
  <si>
    <t>923303213</t>
  </si>
  <si>
    <t>6.89 x 6.83 x 4.71</t>
  </si>
  <si>
    <t>******0150</t>
  </si>
  <si>
    <t>100752830486</t>
  </si>
  <si>
    <t>622722092</t>
  </si>
  <si>
    <t>6.85 x 6.80 x 4.70</t>
  </si>
  <si>
    <t>******7901</t>
  </si>
  <si>
    <t>26-08-2022</t>
  </si>
  <si>
    <t>100752128019</t>
  </si>
  <si>
    <t>Crystal, Feather, Needle, Cloud, Pinpoint</t>
  </si>
  <si>
    <t>423405252</t>
  </si>
  <si>
    <t>7.19 x 6.52 x 4.53</t>
  </si>
  <si>
    <t>******2501</t>
  </si>
  <si>
    <t>100753431515</t>
  </si>
  <si>
    <t>622019546</t>
  </si>
  <si>
    <t>6.73 x 6.64 x 4.77</t>
  </si>
  <si>
    <t>******8402</t>
  </si>
  <si>
    <t>100748350906</t>
  </si>
  <si>
    <t>223304460</t>
  </si>
  <si>
    <t>6.91 x 6.90 x 4.78</t>
  </si>
  <si>
    <t>******4400</t>
  </si>
  <si>
    <t>100752872052</t>
  </si>
  <si>
    <t>822324491</t>
  </si>
  <si>
    <t>7.36 x 6.64 x 4.51</t>
  </si>
  <si>
    <t>******9617</t>
  </si>
  <si>
    <t>100747878653</t>
  </si>
  <si>
    <t>222727991</t>
  </si>
  <si>
    <t>7.26 x 6.62 x 4.58</t>
  </si>
  <si>
    <t>******1172</t>
  </si>
  <si>
    <t>02-11-2022</t>
  </si>
  <si>
    <t>100751821972</t>
  </si>
  <si>
    <t>422736604</t>
  </si>
  <si>
    <t>7.34 x 6.57 x 4.56</t>
  </si>
  <si>
    <t>******9193</t>
  </si>
  <si>
    <t>100752720327</t>
  </si>
  <si>
    <t>523000129</t>
  </si>
  <si>
    <t>6.86 x 6.82 x 4.76</t>
  </si>
  <si>
    <t>******0609</t>
  </si>
  <si>
    <t>100752497372</t>
  </si>
  <si>
    <t>623405589</t>
  </si>
  <si>
    <t>7.04 x 6.72 x 4.57</t>
  </si>
  <si>
    <t>******2515</t>
  </si>
  <si>
    <t>100753425983</t>
  </si>
  <si>
    <t>822320282</t>
  </si>
  <si>
    <t>7.33 x 6.68 x 4.58</t>
  </si>
  <si>
    <t>******3023</t>
  </si>
  <si>
    <t>15-08-2022</t>
  </si>
  <si>
    <t>100751994149</t>
  </si>
  <si>
    <t>Feather, Pinpoint, Needle, Cloud, Natural</t>
  </si>
  <si>
    <t>922119447</t>
  </si>
  <si>
    <t>7.23 x 6.72 x 4.67</t>
  </si>
  <si>
    <t>******3559</t>
  </si>
  <si>
    <t>100751981867</t>
  </si>
  <si>
    <t>Twinning Wisp, Crystal, Feather</t>
  </si>
  <si>
    <t>322719456</t>
  </si>
  <si>
    <t>7.51 x 6.62 x 4.53</t>
  </si>
  <si>
    <t>******0128</t>
  </si>
  <si>
    <t>100751873229</t>
  </si>
  <si>
    <t>Twinning Wisp, Feather, Crystal</t>
  </si>
  <si>
    <t>Additional twinning wisps are not shown. Pinpoints are not shown.</t>
  </si>
  <si>
    <t>923211493</t>
  </si>
  <si>
    <t>7.85 x 6.61 x 4.50</t>
  </si>
  <si>
    <t>******5060</t>
  </si>
  <si>
    <t>100756521711</t>
  </si>
  <si>
    <t>622504667</t>
  </si>
  <si>
    <t>6.85 x 6.59 x 4.71</t>
  </si>
  <si>
    <t>******8516</t>
  </si>
  <si>
    <t>28-03-2022</t>
  </si>
  <si>
    <t>100747728728</t>
  </si>
  <si>
    <t>922108733</t>
  </si>
  <si>
    <t>6.64 x 6.61 x 4.74</t>
  </si>
  <si>
    <t>******4232</t>
  </si>
  <si>
    <t>19-04-2022</t>
  </si>
  <si>
    <t>100748260839</t>
  </si>
  <si>
    <t>Cloud, Feather</t>
  </si>
  <si>
    <t>923211498</t>
  </si>
  <si>
    <t>7.44 x 6.67 x 4.62</t>
  </si>
  <si>
    <t>******8331</t>
  </si>
  <si>
    <t>100756595539</t>
  </si>
  <si>
    <t>822123577</t>
  </si>
  <si>
    <t>7.16 x 6.68 x 4.51</t>
  </si>
  <si>
    <t>******9518</t>
  </si>
  <si>
    <t>13-09-2022</t>
  </si>
  <si>
    <t>100752094067</t>
  </si>
  <si>
    <t>823211374</t>
  </si>
  <si>
    <t>7.05 x 6.88 x 4.72</t>
  </si>
  <si>
    <t>******6543</t>
  </si>
  <si>
    <t>100756583634</t>
  </si>
  <si>
    <t>623405600</t>
  </si>
  <si>
    <t>6.92 x 6.90 x 4.79</t>
  </si>
  <si>
    <t>******1433</t>
  </si>
  <si>
    <t>100753266112</t>
  </si>
  <si>
    <t>122418887</t>
  </si>
  <si>
    <t>6.88 x 6.69 x 4.64</t>
  </si>
  <si>
    <t>******2967</t>
  </si>
  <si>
    <t>100751839406</t>
  </si>
  <si>
    <t>622019463</t>
  </si>
  <si>
    <t>6.94 x 6.73 x 4.64</t>
  </si>
  <si>
    <t>******8677</t>
  </si>
  <si>
    <t>100751848535</t>
  </si>
  <si>
    <t>623405587</t>
  </si>
  <si>
    <t>7.11 x 6.65 x 4.53</t>
  </si>
  <si>
    <t>******1176</t>
  </si>
  <si>
    <t>100753267924</t>
  </si>
  <si>
    <t>922634017</t>
  </si>
  <si>
    <t>7.33 x 6.53 x 4.47</t>
  </si>
  <si>
    <t>******2260</t>
  </si>
  <si>
    <t>04-01-2023</t>
  </si>
  <si>
    <t>100748526800</t>
  </si>
  <si>
    <t>222224670</t>
  </si>
  <si>
    <t>6.88 x 6.85 x 4.65</t>
  </si>
  <si>
    <t>******2922</t>
  </si>
  <si>
    <t>15-09-2022</t>
  </si>
  <si>
    <t>100748054345</t>
  </si>
  <si>
    <t>822300268</t>
  </si>
  <si>
    <t>7.10 x 6.63 x 4.63</t>
  </si>
  <si>
    <t>******2167</t>
  </si>
  <si>
    <t>22-02-2022</t>
  </si>
  <si>
    <t>100747656372</t>
  </si>
  <si>
    <t>623608892</t>
  </si>
  <si>
    <t>7.74 x 6.56 x 4.40</t>
  </si>
  <si>
    <t>******4451</t>
  </si>
  <si>
    <t>100752168198</t>
  </si>
  <si>
    <t>Crystal, Cloud, Needle, Indented Natural</t>
  </si>
  <si>
    <t>822534785</t>
  </si>
  <si>
    <t>7.05 x 6.76 x 4.61</t>
  </si>
  <si>
    <t>******7487</t>
  </si>
  <si>
    <t>30-12-2022</t>
  </si>
  <si>
    <t>100751741239</t>
  </si>
  <si>
    <t>323405186</t>
  </si>
  <si>
    <t>7.46 x 6.73 x 4.60</t>
  </si>
  <si>
    <t>******2492</t>
  </si>
  <si>
    <t>100753450092</t>
  </si>
  <si>
    <t>822332931</t>
  </si>
  <si>
    <t>7.26 x 6.63 x 4.54</t>
  </si>
  <si>
    <t>******3090</t>
  </si>
  <si>
    <t>12-12-2022</t>
  </si>
  <si>
    <t>100753012167</t>
  </si>
  <si>
    <t>123010220</t>
  </si>
  <si>
    <t>7.11 x 6.71 x 4.64</t>
  </si>
  <si>
    <t>100756722755</t>
  </si>
  <si>
    <t>322220397</t>
  </si>
  <si>
    <t>6.76 x 6.73 x 4.65</t>
  </si>
  <si>
    <t>******0962</t>
  </si>
  <si>
    <t>100752463419</t>
  </si>
  <si>
    <t>323506284</t>
  </si>
  <si>
    <t>7.61 x 6.73 x 4.55</t>
  </si>
  <si>
    <t>******6750</t>
  </si>
  <si>
    <t>100752196636</t>
  </si>
  <si>
    <t>822618487</t>
  </si>
  <si>
    <t>7.49 x 6.79 x 4.70</t>
  </si>
  <si>
    <t>******0688</t>
  </si>
  <si>
    <t>100748380350</t>
  </si>
  <si>
    <t>322027221</t>
  </si>
  <si>
    <t>7.42 x 6.61 x 4.56</t>
  </si>
  <si>
    <t>******0752</t>
  </si>
  <si>
    <t>100751827877</t>
  </si>
  <si>
    <t>622324301</t>
  </si>
  <si>
    <t>7.35 x 6.54 x 4.68</t>
  </si>
  <si>
    <t>******9667</t>
  </si>
  <si>
    <t>100747862151</t>
  </si>
  <si>
    <t>Twinning Wisp, Crystal, Feather, Needle</t>
  </si>
  <si>
    <t>823211440</t>
  </si>
  <si>
    <t>8.29 x 6.77 x 4.62</t>
  </si>
  <si>
    <t>******7509</t>
  </si>
  <si>
    <t>19-05-2023</t>
  </si>
  <si>
    <t>100756522118</t>
  </si>
  <si>
    <t>Needle, Feather</t>
  </si>
  <si>
    <t>922534854</t>
  </si>
  <si>
    <t>7.64 x 7.00 x 4.85</t>
  </si>
  <si>
    <t>29-12-2022</t>
  </si>
  <si>
    <t>100748522981</t>
  </si>
  <si>
    <t>223212878</t>
  </si>
  <si>
    <t>7.84 x 6.91 x 4.78</t>
  </si>
  <si>
    <t>THK</t>
  </si>
  <si>
    <t>******3005</t>
  </si>
  <si>
    <t>18-05-2023</t>
  </si>
  <si>
    <t>100756540182</t>
  </si>
  <si>
    <t>Feather, Needle, Pinpoint</t>
  </si>
  <si>
    <t>923000512</t>
  </si>
  <si>
    <t>7.63 x 7.09 x 4.76</t>
  </si>
  <si>
    <t>A</t>
  </si>
  <si>
    <t>******0561</t>
  </si>
  <si>
    <t>100752118005</t>
  </si>
  <si>
    <t>723708037</t>
  </si>
  <si>
    <t>7.77 x 7.62 x 5.26</t>
  </si>
  <si>
    <t>******4198</t>
  </si>
  <si>
    <t>110212911841</t>
  </si>
  <si>
    <t>923110257</t>
  </si>
  <si>
    <t>7.73 x 7.33 x 5.04</t>
  </si>
  <si>
    <t>******8749</t>
  </si>
  <si>
    <t>100747730234</t>
  </si>
  <si>
    <t>223010403</t>
  </si>
  <si>
    <t>7.71 x 6.92 x 4.81</t>
  </si>
  <si>
    <t>******4836</t>
  </si>
  <si>
    <t>100756832711</t>
  </si>
  <si>
    <t>Crystal, Needle, Cloud</t>
  </si>
  <si>
    <t>522635510</t>
  </si>
  <si>
    <t>7.74 x 6.63 x 4.78</t>
  </si>
  <si>
    <t>5.20-5.20</t>
  </si>
  <si>
    <t>******6554</t>
  </si>
  <si>
    <t>24-01-2023</t>
  </si>
  <si>
    <t>100752756300</t>
  </si>
  <si>
    <t>923708238</t>
  </si>
  <si>
    <t>8.83 x 7.20 x 4.99</t>
  </si>
  <si>
    <t>******0258</t>
  </si>
  <si>
    <t>100752197894</t>
  </si>
  <si>
    <t>523010706</t>
  </si>
  <si>
    <t>7.71 x 7.35 x 5.08</t>
  </si>
  <si>
    <t>******1096</t>
  </si>
  <si>
    <t>100756508699</t>
  </si>
  <si>
    <t>423010639</t>
  </si>
  <si>
    <t>7.86 x 7.71 x 5.34</t>
  </si>
  <si>
    <t>******1083</t>
  </si>
  <si>
    <t>100756601119</t>
  </si>
  <si>
    <t>621000701</t>
  </si>
  <si>
    <t>7.89 x 7.89 x 5.24</t>
  </si>
  <si>
    <t>******4719</t>
  </si>
  <si>
    <t>26-05-2022</t>
  </si>
  <si>
    <t>100755575839</t>
  </si>
  <si>
    <t>923110258</t>
  </si>
  <si>
    <t>8.13 x 6.91 x 4.65</t>
  </si>
  <si>
    <t>******7473</t>
  </si>
  <si>
    <t>12-05-2023</t>
  </si>
  <si>
    <t>100747768179</t>
  </si>
  <si>
    <t>423010638</t>
  </si>
  <si>
    <t>8.02 x 6.85 x 4.75</t>
  </si>
  <si>
    <t>******7683</t>
  </si>
  <si>
    <t>100756466039</t>
  </si>
  <si>
    <t>522433479</t>
  </si>
  <si>
    <t>7.70 x 7.03 x 4.80</t>
  </si>
  <si>
    <t>******0186</t>
  </si>
  <si>
    <t>19-12-2022</t>
  </si>
  <si>
    <t>100752756353</t>
  </si>
  <si>
    <t>923009203</t>
  </si>
  <si>
    <t>7.45 x 7.34 x 4.99</t>
  </si>
  <si>
    <t>******2035</t>
  </si>
  <si>
    <t>100756946519</t>
  </si>
  <si>
    <t>623211151</t>
  </si>
  <si>
    <t>7.43 x 7.23 x 4.92</t>
  </si>
  <si>
    <t>******2368</t>
  </si>
  <si>
    <t>100756282360</t>
  </si>
  <si>
    <t>Clouds, additional pinpoints and surface graining are not shown.</t>
  </si>
  <si>
    <t>723413609</t>
  </si>
  <si>
    <t>7.54 x 7.20 x 4.96</t>
  </si>
  <si>
    <t>******4306</t>
  </si>
  <si>
    <t>100756613491</t>
  </si>
  <si>
    <t>Cloud, Crystal, Feather, Pinpoint</t>
  </si>
  <si>
    <t>123001717</t>
  </si>
  <si>
    <t>7.55 x 7.19 x 4.97</t>
  </si>
  <si>
    <t>******0702</t>
  </si>
  <si>
    <t>110212707260</t>
  </si>
  <si>
    <t>922108894</t>
  </si>
  <si>
    <t>7.24 x 6.99 x 5.00</t>
  </si>
  <si>
    <t>******1976</t>
  </si>
  <si>
    <t>09-05-2022</t>
  </si>
  <si>
    <t>100748141574</t>
  </si>
  <si>
    <t>922718096</t>
  </si>
  <si>
    <t>7.62 x 6.89 x 4.77</t>
  </si>
  <si>
    <t>******2546</t>
  </si>
  <si>
    <t>22-08-2022</t>
  </si>
  <si>
    <t>100751870068</t>
  </si>
  <si>
    <t>922119542</t>
  </si>
  <si>
    <t>7.38 x 7.19 x 4.92</t>
  </si>
  <si>
    <t>******3510</t>
  </si>
  <si>
    <t>100751896347</t>
  </si>
  <si>
    <t>922417381</t>
  </si>
  <si>
    <t>7.92 x 7.41 x 5.30</t>
  </si>
  <si>
    <t>100748318889</t>
  </si>
  <si>
    <t>423111667</t>
  </si>
  <si>
    <t>7.73 x 7.07 x 4.80</t>
  </si>
  <si>
    <t>******7315</t>
  </si>
  <si>
    <t>100747721979</t>
  </si>
  <si>
    <t>423010560</t>
  </si>
  <si>
    <t>7.82 x 7.75 x 5.31</t>
  </si>
  <si>
    <t>******5730</t>
  </si>
  <si>
    <t>100756586123</t>
  </si>
  <si>
    <t>923405764</t>
  </si>
  <si>
    <t>7.51 x 6.81 x 4.83</t>
  </si>
  <si>
    <t>4.70-4.70</t>
  </si>
  <si>
    <t>******3948</t>
  </si>
  <si>
    <t>100752074012</t>
  </si>
  <si>
    <t>Needle, Cloud, Feather, Indented Natural</t>
  </si>
  <si>
    <t>222027049</t>
  </si>
  <si>
    <t>8.20 x 6.94 x 4.65</t>
  </si>
  <si>
    <t>******9103</t>
  </si>
  <si>
    <t>18-10-2022</t>
  </si>
  <si>
    <t>100748524681</t>
  </si>
  <si>
    <t>222433149</t>
  </si>
  <si>
    <t>7.30 x 7.20 x 4.92</t>
  </si>
  <si>
    <t>******4818</t>
  </si>
  <si>
    <t>13-12-2022</t>
  </si>
  <si>
    <t>100753054784</t>
  </si>
  <si>
    <t>923312693</t>
  </si>
  <si>
    <t>8.35 x 6.99 x 4.69</t>
  </si>
  <si>
    <t>******8950</t>
  </si>
  <si>
    <t>100756514522</t>
  </si>
  <si>
    <t>523304630</t>
  </si>
  <si>
    <t>7.26 x 7.20 x 4.95</t>
  </si>
  <si>
    <t>******7578</t>
  </si>
  <si>
    <t>100752950609</t>
  </si>
  <si>
    <t>522736730</t>
  </si>
  <si>
    <t>7.78 x 7.15 x 4.88</t>
  </si>
  <si>
    <t>******2528</t>
  </si>
  <si>
    <t>20-01-2023</t>
  </si>
  <si>
    <t>100752759700</t>
  </si>
  <si>
    <t>Additional pinpoints are not shown. Clouds are not shown.</t>
  </si>
  <si>
    <t>822521915</t>
  </si>
  <si>
    <t>7.77 x 6.89 x 4.77</t>
  </si>
  <si>
    <t>******2429</t>
  </si>
  <si>
    <t>100728024756</t>
  </si>
  <si>
    <t>522023753</t>
  </si>
  <si>
    <t>7.63 x 7.09 x 4.83</t>
  </si>
  <si>
    <t>******1790</t>
  </si>
  <si>
    <t>06-09-2022</t>
  </si>
  <si>
    <t>100752427413</t>
  </si>
  <si>
    <t>622128578</t>
  </si>
  <si>
    <t>7.53 x 7.32 x 5.05</t>
  </si>
  <si>
    <t>******4795</t>
  </si>
  <si>
    <t>100751820155</t>
  </si>
  <si>
    <t>322217819</t>
  </si>
  <si>
    <t>7.86 x 7.15 x 4.96</t>
  </si>
  <si>
    <t>THN TO MED</t>
  </si>
  <si>
    <t>100751962001</t>
  </si>
  <si>
    <t>223001851</t>
  </si>
  <si>
    <t>7.37 x 7.11 x 4.88</t>
  </si>
  <si>
    <t>******0618</t>
  </si>
  <si>
    <t>100752645206</t>
  </si>
  <si>
    <t>323405136</t>
  </si>
  <si>
    <t>7.64 x 7.18 x 4.90</t>
  </si>
  <si>
    <t>******0156</t>
  </si>
  <si>
    <t>100753399069</t>
  </si>
  <si>
    <t>622317665</t>
  </si>
  <si>
    <t>7.29 x 7.27 x 5.00</t>
  </si>
  <si>
    <t>******9120</t>
  </si>
  <si>
    <t>100748403510</t>
  </si>
  <si>
    <t>222106940</t>
  </si>
  <si>
    <t>7.56 x 7.21 x 4.99</t>
  </si>
  <si>
    <t>******3736</t>
  </si>
  <si>
    <t>17-06-2022</t>
  </si>
  <si>
    <t>100748302460</t>
  </si>
  <si>
    <t>223001939</t>
  </si>
  <si>
    <t>8.04 x 6.98 x 4.81</t>
  </si>
  <si>
    <t>******0389</t>
  </si>
  <si>
    <t>100752757046</t>
  </si>
  <si>
    <t>723202314</t>
  </si>
  <si>
    <t>7.82 x 7.01 x 4.83</t>
  </si>
  <si>
    <t>******9488</t>
  </si>
  <si>
    <t>100752572109</t>
  </si>
  <si>
    <t>423304560</t>
  </si>
  <si>
    <t>SI2+</t>
  </si>
  <si>
    <t>7.83 x 7.08 x 4.88</t>
  </si>
  <si>
    <t>******4323</t>
  </si>
  <si>
    <t>100753114181</t>
  </si>
  <si>
    <t>322719423</t>
  </si>
  <si>
    <t>7.29 x 7.21 x 5.02</t>
  </si>
  <si>
    <t>******9531</t>
  </si>
  <si>
    <t>100751873409</t>
  </si>
  <si>
    <t>123111506</t>
  </si>
  <si>
    <t>7.29 x 6.95 x 4.89</t>
  </si>
  <si>
    <t>******5457</t>
  </si>
  <si>
    <t>100747720151</t>
  </si>
  <si>
    <t>123001761</t>
  </si>
  <si>
    <t>7.18 x 7.15 x 4.94</t>
  </si>
  <si>
    <t>******0626</t>
  </si>
  <si>
    <t>100752568167</t>
  </si>
  <si>
    <t>623211154</t>
  </si>
  <si>
    <t>7.92 x 7.78 x 5.36</t>
  </si>
  <si>
    <t>******1715</t>
  </si>
  <si>
    <t>100756558046</t>
  </si>
  <si>
    <t>123212736</t>
  </si>
  <si>
    <t>8.55 x 7.79 x 5.33</t>
  </si>
  <si>
    <t>******8332</t>
  </si>
  <si>
    <t>100756534748</t>
  </si>
  <si>
    <t>Pinpoints are not shown. Additional clouds are not shown.</t>
  </si>
  <si>
    <t>422635372</t>
  </si>
  <si>
    <t>7.42 x 7.08 x 4.90</t>
  </si>
  <si>
    <t>******1807</t>
  </si>
  <si>
    <t>03-01-2023</t>
  </si>
  <si>
    <t>100752020573</t>
  </si>
  <si>
    <t>523405336</t>
  </si>
  <si>
    <t>7.85 x 6.94 x 4.80</t>
  </si>
  <si>
    <t>******9747</t>
  </si>
  <si>
    <t>100753361282</t>
  </si>
  <si>
    <t>923312686</t>
  </si>
  <si>
    <t>7.38 x 7.28 x 4.98</t>
  </si>
  <si>
    <t>******8946</t>
  </si>
  <si>
    <t>100756616122</t>
  </si>
  <si>
    <t>Feather, Cloud, Needle, Pinpoint</t>
  </si>
  <si>
    <t>423304554</t>
  </si>
  <si>
    <t>8.21 x 6.97 x 4.67</t>
  </si>
  <si>
    <t>******4322</t>
  </si>
  <si>
    <t>100753013852</t>
  </si>
  <si>
    <t>423405313</t>
  </si>
  <si>
    <t>7.38 x 7.36 x 5.07</t>
  </si>
  <si>
    <t>******9724</t>
  </si>
  <si>
    <t>06-03-2023</t>
  </si>
  <si>
    <t>100753333758</t>
  </si>
  <si>
    <t>123111368</t>
  </si>
  <si>
    <t>8.50 x 7.04 x 4.70</t>
  </si>
  <si>
    <t>******8727</t>
  </si>
  <si>
    <t>100747698699</t>
  </si>
  <si>
    <t>623405583</t>
  </si>
  <si>
    <t>7.56 x 7.55 x 5.19</t>
  </si>
  <si>
    <t>******2159</t>
  </si>
  <si>
    <t>100753282839</t>
  </si>
  <si>
    <t>Additional pinpoints are not shown. Additional clouds are not shown.</t>
  </si>
  <si>
    <t>823312490</t>
  </si>
  <si>
    <t>7.58 x 6.97 x 4.87</t>
  </si>
  <si>
    <t>******4559</t>
  </si>
  <si>
    <t>100756607650</t>
  </si>
  <si>
    <t>223001850</t>
  </si>
  <si>
    <t>8.00 x 6.97 x 4.73</t>
  </si>
  <si>
    <t>******0658</t>
  </si>
  <si>
    <t>100752548095</t>
  </si>
  <si>
    <t>223413063</t>
  </si>
  <si>
    <t>7.93 x 7.84 x 5.41</t>
  </si>
  <si>
    <t>******2092</t>
  </si>
  <si>
    <t>100756640907</t>
  </si>
  <si>
    <t>923110161</t>
  </si>
  <si>
    <t>8.37 x 7.60 x 5.16</t>
  </si>
  <si>
    <t>******8725</t>
  </si>
  <si>
    <t>100747784485</t>
  </si>
  <si>
    <t>722320075</t>
  </si>
  <si>
    <t>7.20 x 7.16 x 4.96</t>
  </si>
  <si>
    <t>******3074</t>
  </si>
  <si>
    <t>100758706170</t>
  </si>
  <si>
    <t>222622672</t>
  </si>
  <si>
    <t>7.55 x 7.12 x 4.91</t>
  </si>
  <si>
    <t>******3397</t>
  </si>
  <si>
    <t>100752077401</t>
  </si>
  <si>
    <t>Internal graining is not shown. Surface graining is not shown.</t>
  </si>
  <si>
    <t>322534187</t>
  </si>
  <si>
    <t>7.19 x 7.13 x 4.94</t>
  </si>
  <si>
    <t>******5309</t>
  </si>
  <si>
    <t>100753036926</t>
  </si>
  <si>
    <t>822409046</t>
  </si>
  <si>
    <t>7.51 x 7.19 x 4.91</t>
  </si>
  <si>
    <t>******8640</t>
  </si>
  <si>
    <t>13-06-2022</t>
  </si>
  <si>
    <t>100748279565</t>
  </si>
  <si>
    <t>122421244</t>
  </si>
  <si>
    <t>7.24 x 7.15 x 4.98</t>
  </si>
  <si>
    <t>MN</t>
  </si>
  <si>
    <t>******8000</t>
  </si>
  <si>
    <t>100752006942</t>
  </si>
  <si>
    <t>123001797</t>
  </si>
  <si>
    <t>7.86 x 7.06 x 4.79</t>
  </si>
  <si>
    <t>******0648</t>
  </si>
  <si>
    <t>100752733790</t>
  </si>
  <si>
    <t>423203912</t>
  </si>
  <si>
    <t>8.09 x 6.90 x 4.66</t>
  </si>
  <si>
    <t>2.22-2.22</t>
  </si>
  <si>
    <t>******9206</t>
  </si>
  <si>
    <t>29-03-2023</t>
  </si>
  <si>
    <t>100762014954</t>
  </si>
  <si>
    <t>923110144</t>
  </si>
  <si>
    <t>7.81 x 6.91 x 4.90</t>
  </si>
  <si>
    <t>******8734</t>
  </si>
  <si>
    <t>100747789623</t>
  </si>
  <si>
    <t>322719418</t>
  </si>
  <si>
    <t>7.39 x 6.82 x 4.88</t>
  </si>
  <si>
    <t>******0060</t>
  </si>
  <si>
    <t>02-08-2022</t>
  </si>
  <si>
    <t>100748493863</t>
  </si>
  <si>
    <t>623608823</t>
  </si>
  <si>
    <t>7.84 x 7.25 x 4.97</t>
  </si>
  <si>
    <t>******4216</t>
  </si>
  <si>
    <t>100752434939</t>
  </si>
  <si>
    <t>822521860</t>
  </si>
  <si>
    <t>7.56 x 7.49 x 5.20</t>
  </si>
  <si>
    <t>******2497</t>
  </si>
  <si>
    <t>100752262881</t>
  </si>
  <si>
    <t>123212599</t>
  </si>
  <si>
    <t>7.59 x 7.10 x 4.83</t>
  </si>
  <si>
    <t>******2991</t>
  </si>
  <si>
    <t>100756525806</t>
  </si>
  <si>
    <t>923405964</t>
  </si>
  <si>
    <t>8.93 x 8.03 x 5.54</t>
  </si>
  <si>
    <t>******3751</t>
  </si>
  <si>
    <t>20-03-2023</t>
  </si>
  <si>
    <t>100752136845</t>
  </si>
  <si>
    <t>222217520</t>
  </si>
  <si>
    <t>9.02 x 7.98 x 5.41</t>
  </si>
  <si>
    <t>******3274</t>
  </si>
  <si>
    <t>100762739114</t>
  </si>
  <si>
    <t>723202404</t>
  </si>
  <si>
    <t>9.28 x 8.12 x 5.44</t>
  </si>
  <si>
    <t>******6370</t>
  </si>
  <si>
    <t>100752836775</t>
  </si>
  <si>
    <t>323812489</t>
  </si>
  <si>
    <t>8.17 x 8.04 x 5.51</t>
  </si>
  <si>
    <t>4.45-4.45</t>
  </si>
  <si>
    <t>******7144</t>
  </si>
  <si>
    <t>100748642711</t>
  </si>
  <si>
    <t>922331174</t>
  </si>
  <si>
    <t>8.63 x 8.29 x 5.63</t>
  </si>
  <si>
    <t>******8525</t>
  </si>
  <si>
    <t>100752942096</t>
  </si>
  <si>
    <t>423312165</t>
  </si>
  <si>
    <t>8.45 x 8.22 x 5.65</t>
  </si>
  <si>
    <t>******2939</t>
  </si>
  <si>
    <t>100756656886</t>
  </si>
  <si>
    <t>323312036</t>
  </si>
  <si>
    <t>8.51 x 8.28 x 5.73</t>
  </si>
  <si>
    <t>******2941</t>
  </si>
  <si>
    <t>100756525604</t>
  </si>
  <si>
    <t>722618142</t>
  </si>
  <si>
    <t>8.59 x 7.94 x 5.54</t>
  </si>
  <si>
    <t>******2513</t>
  </si>
  <si>
    <t>100758488932</t>
  </si>
  <si>
    <t>122534077</t>
  </si>
  <si>
    <t>8.67 x 8.32 x 5.66</t>
  </si>
  <si>
    <t>******5329</t>
  </si>
  <si>
    <t>100752552654</t>
  </si>
  <si>
    <t>323709544</t>
  </si>
  <si>
    <t>8.65 x 7.90 x 5.47</t>
  </si>
  <si>
    <t>******8116</t>
  </si>
  <si>
    <t>100752105971</t>
  </si>
  <si>
    <t>323405215</t>
  </si>
  <si>
    <t>8.92 x 7.79 x 5.52</t>
  </si>
  <si>
    <t>******2440</t>
  </si>
  <si>
    <t>100753205245</t>
  </si>
  <si>
    <t>823211457</t>
  </si>
  <si>
    <t>8.81 x 8.06 x 5.48</t>
  </si>
  <si>
    <t>******7514</t>
  </si>
  <si>
    <t>100756544670</t>
  </si>
  <si>
    <t>323608702</t>
  </si>
  <si>
    <t>8.97 x 8.12 x 5.54</t>
  </si>
  <si>
    <t>******7707</t>
  </si>
  <si>
    <t>06-04-2023</t>
  </si>
  <si>
    <t>100752028788</t>
  </si>
  <si>
    <t>Feather, Cloud, Crystal</t>
  </si>
  <si>
    <t>222719413</t>
  </si>
  <si>
    <t>8.24 x 8.23 x 5.52</t>
  </si>
  <si>
    <t>******0288</t>
  </si>
  <si>
    <t>100748505665</t>
  </si>
  <si>
    <t>422016346</t>
  </si>
  <si>
    <t>8.41 x 8.20 x 5.67</t>
  </si>
  <si>
    <t>******7058</t>
  </si>
  <si>
    <t>100747500757</t>
  </si>
  <si>
    <t>922718113</t>
  </si>
  <si>
    <t>8.16 x 8.11 x 5.71</t>
  </si>
  <si>
    <t>******0326</t>
  </si>
  <si>
    <t>100751837069</t>
  </si>
  <si>
    <t>Feather, Twinning Wisp, Crystal</t>
  </si>
  <si>
    <t>723304762</t>
  </si>
  <si>
    <t>8.40 x 8.35 x 5.70</t>
  </si>
  <si>
    <t>******1695</t>
  </si>
  <si>
    <t>100752967773</t>
  </si>
  <si>
    <t>223010385</t>
  </si>
  <si>
    <t>9.00 x 8.27 x 5.59</t>
  </si>
  <si>
    <t>******4850</t>
  </si>
  <si>
    <t>100757022683</t>
  </si>
  <si>
    <t>122622493</t>
  </si>
  <si>
    <t>8.75 x 8.13 x 5.62</t>
  </si>
  <si>
    <t>******2669</t>
  </si>
  <si>
    <t>31-08-2022</t>
  </si>
  <si>
    <t>100752044115</t>
  </si>
  <si>
    <t>223700810</t>
  </si>
  <si>
    <t>9.17 x 8.45 x 5.75</t>
  </si>
  <si>
    <t>******7005</t>
  </si>
  <si>
    <t>17-04-2023</t>
  </si>
  <si>
    <t>100762150838</t>
  </si>
  <si>
    <t>123212609</t>
  </si>
  <si>
    <t>Twice A Week</t>
  </si>
  <si>
    <t>23-06-2023</t>
  </si>
  <si>
    <t>8.86 x 8.77 x 6.04</t>
  </si>
  <si>
    <t>******2945</t>
  </si>
  <si>
    <t>100756584017</t>
  </si>
  <si>
    <t>Cloud, Crystal</t>
  </si>
  <si>
    <t>622317692</t>
  </si>
  <si>
    <t>8.66 x 8.43 x 5.79</t>
  </si>
  <si>
    <t>******9614</t>
  </si>
  <si>
    <t>100748443219</t>
  </si>
  <si>
    <t>623413484</t>
  </si>
  <si>
    <t>9.10 x 7.92 x 5.49</t>
  </si>
  <si>
    <t>******4376</t>
  </si>
  <si>
    <t>100756544522</t>
  </si>
  <si>
    <t>622521391</t>
  </si>
  <si>
    <t>8.44 x 8.23 x 5.54</t>
  </si>
  <si>
    <t>******7729</t>
  </si>
  <si>
    <t>100751941511</t>
  </si>
  <si>
    <t>923312676</t>
  </si>
  <si>
    <t>8.53 x 8.17 x 5.64</t>
  </si>
  <si>
    <t>******9676</t>
  </si>
  <si>
    <t>100756540479</t>
  </si>
  <si>
    <t>223212748</t>
  </si>
  <si>
    <t>8.69 x 7.86 x 5.54</t>
  </si>
  <si>
    <t>******2948</t>
  </si>
  <si>
    <t>100756612980</t>
  </si>
  <si>
    <t>223304463</t>
  </si>
  <si>
    <t>9.55 x 7.66 x 5.30</t>
  </si>
  <si>
    <t>T4</t>
  </si>
  <si>
    <t>******8244</t>
  </si>
  <si>
    <t>100753017542</t>
  </si>
  <si>
    <t>223304462</t>
  </si>
  <si>
    <t>9.42 x 9.24 x 6.38</t>
  </si>
  <si>
    <t>******7614</t>
  </si>
  <si>
    <t>30-03-2023</t>
  </si>
  <si>
    <t>110112568448</t>
  </si>
  <si>
    <t>323413146</t>
  </si>
  <si>
    <t>9.55 x 8.94 x 6.10</t>
  </si>
  <si>
    <t>******3303</t>
  </si>
  <si>
    <t>26-05-2023</t>
  </si>
  <si>
    <t>100756499149</t>
  </si>
  <si>
    <t>622722241</t>
  </si>
  <si>
    <t>9.60 x 9.55 x 6.87</t>
  </si>
  <si>
    <t>******7208</t>
  </si>
  <si>
    <t>07-09-2022</t>
  </si>
  <si>
    <t>100752135941</t>
  </si>
  <si>
    <t>523709775</t>
  </si>
  <si>
    <t>10.42 x 9.68 x 6.55</t>
  </si>
  <si>
    <t>******6510</t>
  </si>
  <si>
    <t>100752320380</t>
  </si>
  <si>
    <t>623211065</t>
  </si>
  <si>
    <t>7.16 x 5.96 x 4.27</t>
  </si>
  <si>
    <t>******4414</t>
  </si>
  <si>
    <t>100756597294</t>
  </si>
  <si>
    <t>122711150</t>
  </si>
  <si>
    <t>6.63 x 6.27 x 4.43</t>
  </si>
  <si>
    <t>******7161</t>
  </si>
  <si>
    <t>100747875983</t>
  </si>
  <si>
    <t>Twinning Wisp, Feather, Crystal, Needle, Natural</t>
  </si>
  <si>
    <t>Additional twinning wisps, pinpoints and surface graining are not shown.</t>
  </si>
  <si>
    <t>822123822</t>
  </si>
  <si>
    <t>6.40 x 6.36 x 4.48</t>
  </si>
  <si>
    <t>******2928</t>
  </si>
  <si>
    <t>100752365700</t>
  </si>
  <si>
    <t>522622945</t>
  </si>
  <si>
    <t>6.62 x 6.16 x 4.41</t>
  </si>
  <si>
    <t>******8248</t>
  </si>
  <si>
    <t>05-09-2022</t>
  </si>
  <si>
    <t>100752294499</t>
  </si>
  <si>
    <t>123111402</t>
  </si>
  <si>
    <t>6.28 x 6.28 x 4.49</t>
  </si>
  <si>
    <t>******1268</t>
  </si>
  <si>
    <t>12-06-2023</t>
  </si>
  <si>
    <t>100762892345</t>
  </si>
  <si>
    <t>Crystal, Cloud, Feather, Natural</t>
  </si>
  <si>
    <t>623312336</t>
  </si>
  <si>
    <t>6.77 x 6.24 x 4.45</t>
  </si>
  <si>
    <t>******7228</t>
  </si>
  <si>
    <t>100756588915</t>
  </si>
  <si>
    <t>823009028</t>
  </si>
  <si>
    <t>6.38 x 6.35 x 4.50</t>
  </si>
  <si>
    <t>******1168</t>
  </si>
  <si>
    <t>100752256048</t>
  </si>
  <si>
    <t>222401343</t>
  </si>
  <si>
    <t>6.89 x 6.30 x 4.31</t>
  </si>
  <si>
    <t>******2293</t>
  </si>
  <si>
    <t>25-02-2022</t>
  </si>
  <si>
    <t>100747127277</t>
  </si>
  <si>
    <t>922735129</t>
  </si>
  <si>
    <t>6.77 x 6.36 x 4.39</t>
  </si>
  <si>
    <t>******5236</t>
  </si>
  <si>
    <t>100752489728</t>
  </si>
  <si>
    <t>223212759</t>
  </si>
  <si>
    <t>6.28 x 6.24 x 4.46</t>
  </si>
  <si>
    <t>******9375</t>
  </si>
  <si>
    <t>100756623996</t>
  </si>
  <si>
    <t>522635504</t>
  </si>
  <si>
    <t>6.70 x 6.19 x 4.37</t>
  </si>
  <si>
    <t>******9165</t>
  </si>
  <si>
    <t>100752714164</t>
  </si>
  <si>
    <t>Feather, Crystal, Cloud, Needle, Pinpoint</t>
  </si>
  <si>
    <t>522011202</t>
  </si>
  <si>
    <t>6.34 x 6.31 x 4.50</t>
  </si>
  <si>
    <t>******7926</t>
  </si>
  <si>
    <t>01-07-2022</t>
  </si>
  <si>
    <t>SIERRA LEONE*</t>
  </si>
  <si>
    <t>100755821252</t>
  </si>
  <si>
    <t>822116597</t>
  </si>
  <si>
    <t>6.26 x 6.11 x 4.38</t>
  </si>
  <si>
    <t>******5503</t>
  </si>
  <si>
    <t>100758488888</t>
  </si>
  <si>
    <t>622521256</t>
  </si>
  <si>
    <t>6.97 x 6.10 x 4.23</t>
  </si>
  <si>
    <t>******1544</t>
  </si>
  <si>
    <t>100752406328</t>
  </si>
  <si>
    <t>322534314</t>
  </si>
  <si>
    <t>6.29 x 6.27 x 4.46</t>
  </si>
  <si>
    <t>******5338</t>
  </si>
  <si>
    <t>26-12-2022</t>
  </si>
  <si>
    <t>100753063970</t>
  </si>
  <si>
    <t>423111725</t>
  </si>
  <si>
    <t>6.48 x 6.25 x 4.42</t>
  </si>
  <si>
    <t>******1178</t>
  </si>
  <si>
    <t>100756823281</t>
  </si>
  <si>
    <t>622332587</t>
  </si>
  <si>
    <t>6.65 x 6.12 x 4.37</t>
  </si>
  <si>
    <t>******7562</t>
  </si>
  <si>
    <t>100752836435</t>
  </si>
  <si>
    <t>722521683</t>
  </si>
  <si>
    <t>6.61 x 6.27 x 4.42</t>
  </si>
  <si>
    <t>******2888</t>
  </si>
  <si>
    <t>100751999376</t>
  </si>
  <si>
    <t>722615779</t>
  </si>
  <si>
    <t>6.45 x 6.23 x 4.44</t>
  </si>
  <si>
    <t>******2064</t>
  </si>
  <si>
    <t>21-06-2022</t>
  </si>
  <si>
    <t>100747413395</t>
  </si>
  <si>
    <t>922303984</t>
  </si>
  <si>
    <t>6.95 x 5.99 x 4.30</t>
  </si>
  <si>
    <t>******1817</t>
  </si>
  <si>
    <t>100747734070</t>
  </si>
  <si>
    <t>622722224</t>
  </si>
  <si>
    <t>7.02 x 6.65 x 4.53</t>
  </si>
  <si>
    <t>******5696</t>
  </si>
  <si>
    <t>100752323958</t>
  </si>
  <si>
    <t>222224614</t>
  </si>
  <si>
    <t>6.89 x 6.57 x 4.62</t>
  </si>
  <si>
    <t>******2917</t>
  </si>
  <si>
    <t>100752359285</t>
  </si>
  <si>
    <t>Crystal, Feather, Pinpoint, Needle</t>
  </si>
  <si>
    <t>123102679</t>
  </si>
  <si>
    <t>7.26 x 6.62 x 4.50</t>
  </si>
  <si>
    <t>100752702380</t>
  </si>
  <si>
    <t>Pinpoints, additional clouds and surface graining are not shown.</t>
  </si>
  <si>
    <t>323506302</t>
  </si>
  <si>
    <t>7.06 x 6.47 x 4.47</t>
  </si>
  <si>
    <t>******3305</t>
  </si>
  <si>
    <t>100752038320</t>
  </si>
  <si>
    <t>223010395</t>
  </si>
  <si>
    <t>6.76 x 6.71 x 4.60</t>
  </si>
  <si>
    <t>******2863</t>
  </si>
  <si>
    <t>100756922210</t>
  </si>
  <si>
    <t>Crystal, Pinpoint, Cloud</t>
  </si>
  <si>
    <t>323709509</t>
  </si>
  <si>
    <t>6.77 x 6.56 x 4.66</t>
  </si>
  <si>
    <t>******1600</t>
  </si>
  <si>
    <t>05-06-2023</t>
  </si>
  <si>
    <t>100753353403</t>
  </si>
  <si>
    <t>122421315</t>
  </si>
  <si>
    <t>7.29 x 6.25 x 4.42</t>
  </si>
  <si>
    <t>******7957</t>
  </si>
  <si>
    <t>100751869271</t>
  </si>
  <si>
    <t>223507847</t>
  </si>
  <si>
    <t>6.71 x 6.65 x 4.61</t>
  </si>
  <si>
    <t>******1105</t>
  </si>
  <si>
    <t>100753359003</t>
  </si>
  <si>
    <t>722521552</t>
  </si>
  <si>
    <t>6.58 x 6.55 x 4.69</t>
  </si>
  <si>
    <t>******2302</t>
  </si>
  <si>
    <t>100752403380</t>
  </si>
  <si>
    <t>122711112</t>
  </si>
  <si>
    <t>6.76 x 6.50 x 4.56</t>
  </si>
  <si>
    <t>******7119</t>
  </si>
  <si>
    <t>100747851946</t>
  </si>
  <si>
    <t>522019073</t>
  </si>
  <si>
    <t>6.55 x 6.55 x 4.65</t>
  </si>
  <si>
    <t>******0091</t>
  </si>
  <si>
    <t>100751835065</t>
  </si>
  <si>
    <t>923312811</t>
  </si>
  <si>
    <t>7.94 x 6.74 x 4.69</t>
  </si>
  <si>
    <t>******9752</t>
  </si>
  <si>
    <t>100756511757</t>
  </si>
  <si>
    <t>323405185</t>
  </si>
  <si>
    <t>7.45 x 7.02 x 4.83</t>
  </si>
  <si>
    <t>******6764</t>
  </si>
  <si>
    <t>100752529701</t>
  </si>
  <si>
    <t>623405481</t>
  </si>
  <si>
    <t>7.06 x 6.98 x 4.99</t>
  </si>
  <si>
    <t>******1423</t>
  </si>
  <si>
    <t>100753408347</t>
  </si>
  <si>
    <t>523000131</t>
  </si>
  <si>
    <t>7.38 x 6.89 x 4.76</t>
  </si>
  <si>
    <t>******2846</t>
  </si>
  <si>
    <t>100752566027</t>
  </si>
  <si>
    <t>523111949</t>
  </si>
  <si>
    <t>7.20 x 6.90 x 4.84</t>
  </si>
  <si>
    <t>******2366</t>
  </si>
  <si>
    <t>100757008266</t>
  </si>
  <si>
    <t>523607083</t>
  </si>
  <si>
    <t>7.15 x 6.92 x 4.95</t>
  </si>
  <si>
    <t>******7272</t>
  </si>
  <si>
    <t>100753108312</t>
  </si>
  <si>
    <t>Crystal, Feather, Needle, Pinpoint, Cloud</t>
  </si>
  <si>
    <t>922433776</t>
  </si>
  <si>
    <t>7.51 x 6.75 x 4.80</t>
  </si>
  <si>
    <t>******5305</t>
  </si>
  <si>
    <t>100752765108</t>
  </si>
  <si>
    <t>Feather, Crystal, Cloud, Pinpoint</t>
  </si>
  <si>
    <t>423102915</t>
  </si>
  <si>
    <t>7.52 x 6.85 x 4.75</t>
  </si>
  <si>
    <t>******2567</t>
  </si>
  <si>
    <t>100752736058</t>
  </si>
  <si>
    <t>Crystal, Feather, Needle, Indented Natural</t>
  </si>
  <si>
    <t>423312106</t>
  </si>
  <si>
    <t>8.12 x 7.92 x 5.64</t>
  </si>
  <si>
    <t>******2943</t>
  </si>
  <si>
    <t>100756563053</t>
  </si>
  <si>
    <t>Feather, Needle</t>
  </si>
  <si>
    <t>Clouds are not shown. Surface graining is not shown.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</si>
</sst>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8"/>
      <name val="Tahoma"/>
    </font>
    <font>
      <u/>
      <sz val="11"/>
      <color rgb="FF0000FF" tint="0"/>
      <name val="Calibri"/>
    </font>
    <font>
      <sz val="8"/>
      <color rgb="FFFF0101" tint="0"/>
      <name val="Tahoma"/>
    </font>
    <font>
      <sz val="8"/>
      <color rgb="FF009646" tint="0"/>
      <name val="Tahoma"/>
    </font>
    <font>
      <b/>
      <sz val="11"/>
      <color rgb="FFFFFF00" tint="0"/>
      <name val="Calibri"/>
    </font>
    <font>
      <b/>
      <sz val="8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5A5A5A" tint="0"/>
      </patternFill>
    </fill>
    <fill>
      <patternFill patternType="solid">
        <fgColor rgb="FF00CC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/>
    <xf numFmtId="0" applyNumberFormat="1" fontId="2" applyFont="1" borderId="1" applyBorder="1" xfId="0" applyProtection="1"/>
    <xf numFmtId="0" applyNumberFormat="1" fontId="3" applyFont="1" borderId="1" applyBorder="1" xfId="0" applyProtection="1"/>
    <xf numFmtId="0" applyNumberFormat="1" fontId="4" applyFont="1" borderId="1" applyBorder="1" xfId="0" applyProtection="1"/>
    <xf numFmtId="0" applyNumberFormat="1" fontId="5" applyFont="1" fillId="2" applyFill="1" xfId="0" applyProtection="1"/>
    <xf numFmtId="0" applyNumberFormat="1" fontId="0" applyFont="1" xfId="0" applyProtection="1"/>
    <xf numFmtId="0" applyNumberFormat="1" fontId="6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E365"/>
  <sheetViews>
    <sheetView workbookViewId="0">
      <pane ySplit="2" topLeftCell="A3" state="frozen" activePane="bottomLeft"/>
      <selection pane="bottomLeft" activeCell="A1" sqref="A1"/>
    </sheetView>
  </sheetViews>
  <sheetFormatPr defaultRowHeight="18" customHeight="1" defaultColWidth="20"/>
  <cols>
    <col min="1" max="1" width="7.32490049089704" customWidth="1"/>
    <col min="2" max="2" width="10.2058519635882" customWidth="1"/>
    <col min="3" max="3" width="8.58754893711635" customWidth="1"/>
    <col min="4" max="4" width="10.3308519635882" customWidth="1"/>
    <col min="5" max="5" width="6.52132906232561" customWidth="1"/>
    <col min="6" max="6" width="6.94469206673758" customWidth="1"/>
    <col min="7" max="7" width="8.12028666904994" customWidth="1"/>
    <col min="8" max="8" width="8.93650708879743" customWidth="1"/>
    <col min="9" max="9" width="8.33010809762137" customWidth="1"/>
    <col min="10" max="10" width="7.73263822283064" customWidth="1"/>
    <col min="11" max="11" width="9.78620910644531" customWidth="1"/>
    <col min="12" max="12" width="10.7698402404785" customWidth="1"/>
    <col min="13" max="13" width="12.7847202845982" customWidth="1"/>
    <col min="14" max="14" width="13.3360595703125" customWidth="1"/>
    <col min="15" max="15" width="8.523560660226" customWidth="1"/>
    <col min="16" max="16" width="12.4551075526646" customWidth="1"/>
    <col min="17" max="17" width="10.9833809988839" customWidth="1"/>
    <col min="18" max="18" width="9.80406624930245" customWidth="1"/>
    <col min="19" max="19" width="10.9015366690499" customWidth="1"/>
    <col min="20" max="20" width="12.8144825526646" customWidth="1"/>
    <col min="21" max="21" width="7.61210250854492" customWidth="1"/>
    <col min="22" max="22" width="5.51388849530901" customWidth="1"/>
    <col min="23" max="23" width="8.64409637451172" customWidth="1"/>
    <col min="24" max="24" width="6.17683492388044" customWidth="1"/>
    <col min="25" max="25" width="8.23263822283064" customWidth="1"/>
    <col min="26" max="26" width="8.36359024047852" customWidth="1"/>
    <col min="27" max="27" width="4.85838276999337" customWidth="1"/>
    <col min="28" max="28" width="5.4320433480399" customWidth="1"/>
    <col min="29" max="29" width="19.4126957484654" customWidth="1"/>
    <col min="30" max="30" width="7.50421578543527" customWidth="1"/>
    <col min="31" max="31" width="8.24677494594029" customWidth="1"/>
    <col min="32" max="32" width="9.53769738333566" customWidth="1"/>
    <col min="33" max="33" width="8.19245965140206" customWidth="1"/>
    <col min="34" max="34" width="10.9112091064453" customWidth="1"/>
    <col min="35" max="35" width="5.74603135245187" customWidth="1"/>
    <col min="36" max="36" width="7.64707292829241" customWidth="1"/>
    <col min="37" max="37" width="5.19246006011963" customWidth="1"/>
    <col min="38" max="38" width="6.30183492388044" customWidth="1"/>
    <col min="39" max="39" width="6.35540635245187" customWidth="1"/>
    <col min="40" max="40" width="6.4007933480399" customWidth="1"/>
    <col min="41" max="41" width="10.6701376778739" customWidth="1"/>
    <col min="42" max="42" width="8.44766780308315" customWidth="1"/>
    <col min="43" max="43" width="13.8204345703125" customWidth="1"/>
    <col min="44" max="44" width="15.4625473022461" customWidth="1"/>
    <col min="45" max="45" width="14.6850182669503" customWidth="1"/>
    <col min="46" max="46" width="5.67906706673758" customWidth="1"/>
    <col min="47" max="47" width="7.80183465140207" customWidth="1"/>
    <col min="48" max="48" width="7.89930507114955" customWidth="1"/>
    <col min="49" max="49" width="7.74751935686384" customWidth="1"/>
    <col min="50" max="50" width="7.53769792829241" customWidth="1"/>
    <col min="51" max="51" width="7.4402277810233" customWidth="1"/>
    <col min="52" max="52" width="12.1388876778739" customWidth="1"/>
    <col min="53" max="53" width="12.2363575526646" customWidth="1"/>
    <col min="54" max="54" width="13.5473687308175" customWidth="1"/>
    <col min="55" max="55" width="12.897815159389" customWidth="1"/>
    <col min="56" max="56" width="12.9952861240932" customWidth="1"/>
    <col min="57" max="57" width="14.3062973022461" customWidth="1"/>
    <col min="58" max="58" width="10.2073402404785" customWidth="1"/>
    <col min="59" max="59" width="16.1850171770368" customWidth="1"/>
    <col min="60" max="60" width="11.9461795261928" customWidth="1"/>
    <col min="61" max="61" width="16.2423095703125" customWidth="1"/>
    <col min="62" max="62" width="5.6894839150565" customWidth="1"/>
    <col min="63" max="63" width="12.2185004098075" customWidth="1"/>
    <col min="64" max="64" width="11.5607626778739" customWidth="1"/>
    <col min="65" max="65" width="11.5190963745117" customWidth="1"/>
    <col min="66" max="66" width="9.79364994594029" customWidth="1"/>
    <col min="67" max="67" width="10.9878463745117" customWidth="1"/>
    <col min="68" max="68" width="12.2906733921596" customWidth="1"/>
    <col min="69" max="69" width="8.25570351736886" customWidth="1"/>
    <col min="70" max="70" width="5.78620992388044" customWidth="1"/>
    <col min="71" max="71" width="11.4052570887974" customWidth="1"/>
    <col min="72" max="72" width="12.6671611240932" customWidth="1"/>
    <col min="73" max="73" width="11.8613580976214" customWidth="1"/>
    <col min="74" max="74" width="5.72817420959473" customWidth="1"/>
    <col min="75" max="75" width="6.43427549089704" customWidth="1"/>
    <col min="76" max="76" width="25.0726645333426" customWidth="1"/>
    <col min="77" max="77" width="9.79364994594029" customWidth="1"/>
    <col min="78" max="78" width="14.2765361240932" customWidth="1"/>
    <col min="79" max="79" width="35.4476645333426" customWidth="1"/>
    <col min="80" max="80" width="64.2296534946987" customWidth="1"/>
    <col min="81" max="81" width="13.2423095703125" customWidth="1"/>
    <col min="82" max="82" width="15.6679044451032" customWidth="1"/>
    <col min="83" max="83" width="11.4246019635882" customWidth="1"/>
  </cols>
  <sheetData>
    <row r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</row>
    <row r="3">
      <c r="A3" s="1">
        <v>1</v>
      </c>
      <c r="B3" s="1" t="s">
        <v>84</v>
      </c>
      <c r="C3" s="2">
        <f>=HYPERLINK("https://i.stonehdfile.com/stoneimage?s=bb537739-f782-41bc-a749-f5053c02b2c3","Image")</f>
      </c>
      <c r="D3" s="2">
        <f>=HYPERLINK("https://dna.stonehdfile.com/hd/viewhd.html?d=c52938fe-0991-4220-8b00-edc64d04a3a2","View360")</f>
      </c>
      <c r="E3" s="2">
        <f>=HYPERLINK("https://i.stonehdfile.com/Certificate?s=bb537739-f782-41bc-a749-f5053c02b2c3","GIA")</f>
      </c>
      <c r="F3" s="2">
        <f>=HYPERLINK("https://i.stonehdfile.com/DNAReport?s=bb537739-f782-41bc-a749-f5053c02b2c3","DNA")</f>
      </c>
      <c r="G3" s="2">
        <f>=HYPERLINK("https://www.gia.edu/report-check?reportno=******6872","Verify")</f>
      </c>
      <c r="H3" s="1" t="s">
        <v>85</v>
      </c>
      <c r="I3" s="1" t="s">
        <v>46</v>
      </c>
      <c r="J3" s="1">
        <v>1.54</v>
      </c>
      <c r="K3" s="1">
        <v>0</v>
      </c>
      <c r="L3" s="1">
        <v>12700</v>
      </c>
      <c r="M3" s="1">
        <v>5633</v>
      </c>
      <c r="N3" s="1">
        <v>8674.82</v>
      </c>
      <c r="O3" s="1">
        <v>-55.65</v>
      </c>
      <c r="P3" s="1">
        <v>0</v>
      </c>
      <c r="Q3" s="1" t="s">
        <v>86</v>
      </c>
      <c r="R3" s="1">
        <v>0</v>
      </c>
      <c r="S3" s="1" t="s">
        <v>86</v>
      </c>
      <c r="T3" s="1" t="s">
        <v>86</v>
      </c>
      <c r="U3" s="1" t="s">
        <v>87</v>
      </c>
      <c r="V3" s="1" t="s">
        <v>86</v>
      </c>
      <c r="W3" s="1" t="s">
        <v>88</v>
      </c>
      <c r="X3" s="1" t="s">
        <v>86</v>
      </c>
      <c r="Y3" s="1" t="s">
        <v>89</v>
      </c>
      <c r="Z3" s="1" t="s">
        <v>89</v>
      </c>
      <c r="AA3" s="1" t="s">
        <v>87</v>
      </c>
      <c r="AB3" s="1" t="s">
        <v>86</v>
      </c>
      <c r="AC3" s="1" t="s">
        <v>90</v>
      </c>
      <c r="AD3" s="1">
        <v>69</v>
      </c>
      <c r="AE3" s="1">
        <v>61</v>
      </c>
      <c r="AF3" s="1" t="s">
        <v>91</v>
      </c>
      <c r="AG3" s="1">
        <v>0</v>
      </c>
      <c r="AH3" s="1">
        <v>35.7</v>
      </c>
      <c r="AI3" s="1" t="s">
        <v>86</v>
      </c>
      <c r="AJ3" s="1">
        <v>1.09</v>
      </c>
      <c r="AK3" s="1" t="s">
        <v>92</v>
      </c>
      <c r="AL3" s="1" t="s">
        <v>93</v>
      </c>
      <c r="AM3" s="1" t="s">
        <v>93</v>
      </c>
      <c r="AN3" s="1" t="s">
        <v>86</v>
      </c>
      <c r="AO3" s="1" t="s">
        <v>94</v>
      </c>
      <c r="AP3" s="1" t="s">
        <v>95</v>
      </c>
      <c r="AQ3" s="1">
        <v>13.5</v>
      </c>
      <c r="AR3" s="1">
        <v>51.3</v>
      </c>
      <c r="AS3" s="1">
        <v>39.2</v>
      </c>
      <c r="AT3" s="1" t="s">
        <v>96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86</v>
      </c>
      <c r="BG3" s="1" t="s">
        <v>86</v>
      </c>
      <c r="BH3" s="1" t="s">
        <v>97</v>
      </c>
      <c r="BI3" s="1" t="s">
        <v>98</v>
      </c>
      <c r="BJ3" s="1" t="s">
        <v>87</v>
      </c>
      <c r="BK3" s="1">
        <v>0</v>
      </c>
      <c r="BL3" s="1">
        <v>0</v>
      </c>
      <c r="BM3" s="1" t="s">
        <v>86</v>
      </c>
      <c r="BN3" s="1" t="s">
        <v>99</v>
      </c>
      <c r="BO3" s="1" t="s">
        <v>100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101</v>
      </c>
      <c r="BX3" s="1" t="s">
        <v>86</v>
      </c>
      <c r="BY3" s="1" t="s">
        <v>86</v>
      </c>
      <c r="BZ3" s="1" t="s">
        <v>102</v>
      </c>
      <c r="CA3" s="1" t="s">
        <v>103</v>
      </c>
      <c r="CB3" s="1" t="s">
        <v>104</v>
      </c>
      <c r="CC3" s="1" t="s">
        <v>86</v>
      </c>
      <c r="CD3" s="1" t="s">
        <v>86</v>
      </c>
      <c r="CE3" s="1" t="s">
        <v>86</v>
      </c>
    </row>
    <row r="4">
      <c r="A4" s="1">
        <v>2</v>
      </c>
      <c r="B4" s="1" t="s">
        <v>84</v>
      </c>
      <c r="C4" s="2">
        <f>=HYPERLINK("https://i.stonehdfile.com/stoneimage?s=22f25245-2ceb-4e0c-9266-34c759097795","Image")</f>
      </c>
      <c r="D4" s="2">
        <f>=HYPERLINK("https://dna.stonehdfile.com/hd/viewhd.html?d=14d99cc3-3a15-4349-b98c-a391cbc362df","View360")</f>
      </c>
      <c r="E4" s="2">
        <f>=HYPERLINK("https://i.stonehdfile.com/Certificate?s=22f25245-2ceb-4e0c-9266-34c759097795","GIA")</f>
      </c>
      <c r="F4" s="2">
        <f>=HYPERLINK("https://i.stonehdfile.com/DNAReport?s=22f25245-2ceb-4e0c-9266-34c759097795","DNA")</f>
      </c>
      <c r="G4" s="2">
        <f>=HYPERLINK("https://www.gia.edu/report-check?reportno=******7659","Verify")</f>
      </c>
      <c r="H4" s="1" t="s">
        <v>105</v>
      </c>
      <c r="I4" s="1" t="s">
        <v>46</v>
      </c>
      <c r="J4" s="1">
        <v>1.5</v>
      </c>
      <c r="K4" s="1">
        <v>0</v>
      </c>
      <c r="L4" s="1">
        <v>11200</v>
      </c>
      <c r="M4" s="1">
        <v>4201</v>
      </c>
      <c r="N4" s="1">
        <v>6301.5</v>
      </c>
      <c r="O4" s="1">
        <v>-62.49</v>
      </c>
      <c r="P4" s="1">
        <v>0</v>
      </c>
      <c r="Q4" s="1" t="s">
        <v>86</v>
      </c>
      <c r="R4" s="1">
        <v>0</v>
      </c>
      <c r="S4" s="1" t="s">
        <v>86</v>
      </c>
      <c r="T4" s="1" t="s">
        <v>86</v>
      </c>
      <c r="U4" s="1" t="s">
        <v>106</v>
      </c>
      <c r="V4" s="1" t="s">
        <v>86</v>
      </c>
      <c r="W4" s="1" t="s">
        <v>107</v>
      </c>
      <c r="X4" s="1" t="s">
        <v>86</v>
      </c>
      <c r="Y4" s="1" t="s">
        <v>89</v>
      </c>
      <c r="Z4" s="1" t="s">
        <v>89</v>
      </c>
      <c r="AA4" s="1" t="s">
        <v>108</v>
      </c>
      <c r="AB4" s="1" t="s">
        <v>109</v>
      </c>
      <c r="AC4" s="1" t="s">
        <v>110</v>
      </c>
      <c r="AD4" s="1">
        <v>71.9</v>
      </c>
      <c r="AE4" s="1">
        <v>61</v>
      </c>
      <c r="AF4" s="1" t="s">
        <v>91</v>
      </c>
      <c r="AG4" s="1">
        <v>0</v>
      </c>
      <c r="AH4" s="1">
        <v>0</v>
      </c>
      <c r="AI4" s="1" t="s">
        <v>86</v>
      </c>
      <c r="AJ4" s="1">
        <v>1.08</v>
      </c>
      <c r="AK4" s="1" t="s">
        <v>111</v>
      </c>
      <c r="AL4" s="1" t="s">
        <v>93</v>
      </c>
      <c r="AM4" s="1" t="s">
        <v>93</v>
      </c>
      <c r="AN4" s="1" t="s">
        <v>86</v>
      </c>
      <c r="AO4" s="1" t="s">
        <v>94</v>
      </c>
      <c r="AP4" s="1" t="s">
        <v>95</v>
      </c>
      <c r="AQ4" s="1">
        <v>0</v>
      </c>
      <c r="AR4" s="1">
        <v>0</v>
      </c>
      <c r="AS4" s="1">
        <v>0</v>
      </c>
      <c r="AT4" s="1" t="s">
        <v>96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s">
        <v>112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86</v>
      </c>
      <c r="BG4" s="1" t="s">
        <v>86</v>
      </c>
      <c r="BH4" s="1" t="s">
        <v>97</v>
      </c>
      <c r="BI4" s="1" t="s">
        <v>98</v>
      </c>
      <c r="BJ4" s="1" t="s">
        <v>87</v>
      </c>
      <c r="BK4" s="1">
        <v>0</v>
      </c>
      <c r="BL4" s="1">
        <v>0</v>
      </c>
      <c r="BM4" s="1" t="s">
        <v>86</v>
      </c>
      <c r="BN4" s="1" t="s">
        <v>113</v>
      </c>
      <c r="BO4" s="1" t="s">
        <v>114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101</v>
      </c>
      <c r="BX4" s="1" t="s">
        <v>86</v>
      </c>
      <c r="BY4" s="1" t="s">
        <v>86</v>
      </c>
      <c r="BZ4" s="1" t="s">
        <v>115</v>
      </c>
      <c r="CA4" s="1" t="s">
        <v>116</v>
      </c>
      <c r="CB4" s="1" t="s">
        <v>86</v>
      </c>
      <c r="CC4" s="1" t="s">
        <v>86</v>
      </c>
      <c r="CD4" s="1" t="s">
        <v>86</v>
      </c>
      <c r="CE4" s="1" t="s">
        <v>86</v>
      </c>
    </row>
    <row r="5">
      <c r="A5" s="1">
        <v>3</v>
      </c>
      <c r="B5" s="1" t="s">
        <v>84</v>
      </c>
      <c r="C5" s="2">
        <f>=HYPERLINK("https://i.stonehdfile.com/stoneimage?s=833d8651-c601-4c63-b451-687dc88b20c5","Image")</f>
      </c>
      <c r="D5" s="2">
        <f>=HYPERLINK("https://dna.stonehdfile.com/hd/viewhd.html?d=35c22358-b0ed-4dc4-a679-c3baf7cca457","View360")</f>
      </c>
      <c r="E5" s="2">
        <f>=HYPERLINK("https://i.stonehdfile.com/Certificate?s=833d8651-c601-4c63-b451-687dc88b20c5","GIA")</f>
      </c>
      <c r="F5" s="2">
        <f>=HYPERLINK("https://i.stonehdfile.com/DNAReport?s=833d8651-c601-4c63-b451-687dc88b20c5","DNA")</f>
      </c>
      <c r="G5" s="2">
        <f>=HYPERLINK("https://www.gia.edu/report-check?reportno=******9899","Verify")</f>
      </c>
      <c r="H5" s="1" t="s">
        <v>117</v>
      </c>
      <c r="I5" s="1" t="s">
        <v>46</v>
      </c>
      <c r="J5" s="1">
        <v>2.01</v>
      </c>
      <c r="K5" s="1">
        <v>0</v>
      </c>
      <c r="L5" s="1">
        <v>10700</v>
      </c>
      <c r="M5" s="1">
        <v>5619</v>
      </c>
      <c r="N5" s="1">
        <v>11294.19</v>
      </c>
      <c r="O5" s="1">
        <v>-47.49</v>
      </c>
      <c r="P5" s="1">
        <v>0</v>
      </c>
      <c r="Q5" s="1" t="s">
        <v>86</v>
      </c>
      <c r="R5" s="1">
        <v>0</v>
      </c>
      <c r="S5" s="1" t="s">
        <v>86</v>
      </c>
      <c r="T5" s="1" t="s">
        <v>86</v>
      </c>
      <c r="U5" s="1" t="s">
        <v>118</v>
      </c>
      <c r="V5" s="1" t="s">
        <v>86</v>
      </c>
      <c r="W5" s="1" t="s">
        <v>88</v>
      </c>
      <c r="X5" s="1" t="s">
        <v>86</v>
      </c>
      <c r="Y5" s="1" t="s">
        <v>89</v>
      </c>
      <c r="Z5" s="1" t="s">
        <v>89</v>
      </c>
      <c r="AA5" s="1" t="s">
        <v>119</v>
      </c>
      <c r="AB5" s="1" t="s">
        <v>86</v>
      </c>
      <c r="AC5" s="1" t="s">
        <v>120</v>
      </c>
      <c r="AD5" s="1">
        <v>72</v>
      </c>
      <c r="AE5" s="1">
        <v>59</v>
      </c>
      <c r="AF5" s="1" t="s">
        <v>91</v>
      </c>
      <c r="AG5" s="1">
        <v>0</v>
      </c>
      <c r="AH5" s="1">
        <v>0</v>
      </c>
      <c r="AI5" s="1" t="s">
        <v>86</v>
      </c>
      <c r="AJ5" s="1">
        <v>1</v>
      </c>
      <c r="AK5" s="1" t="s">
        <v>92</v>
      </c>
      <c r="AL5" s="1" t="s">
        <v>93</v>
      </c>
      <c r="AM5" s="1" t="s">
        <v>93</v>
      </c>
      <c r="AN5" s="1" t="s">
        <v>86</v>
      </c>
      <c r="AO5" s="1" t="s">
        <v>94</v>
      </c>
      <c r="AP5" s="1" t="s">
        <v>95</v>
      </c>
      <c r="AQ5" s="1">
        <v>0</v>
      </c>
      <c r="AR5" s="1">
        <v>0</v>
      </c>
      <c r="AS5" s="1">
        <v>0</v>
      </c>
      <c r="AT5" s="1" t="s">
        <v>96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86</v>
      </c>
      <c r="AZ5" s="1" t="s">
        <v>86</v>
      </c>
      <c r="BA5" s="1" t="s">
        <v>86</v>
      </c>
      <c r="BB5" s="1" t="s">
        <v>86</v>
      </c>
      <c r="BC5" s="1" t="s">
        <v>86</v>
      </c>
      <c r="BD5" s="1" t="s">
        <v>86</v>
      </c>
      <c r="BE5" s="1" t="s">
        <v>86</v>
      </c>
      <c r="BF5" s="1" t="s">
        <v>86</v>
      </c>
      <c r="BG5" s="1" t="s">
        <v>86</v>
      </c>
      <c r="BH5" s="1" t="s">
        <v>121</v>
      </c>
      <c r="BI5" s="1" t="s">
        <v>98</v>
      </c>
      <c r="BJ5" s="1" t="s">
        <v>87</v>
      </c>
      <c r="BK5" s="1">
        <v>0</v>
      </c>
      <c r="BL5" s="1">
        <v>0</v>
      </c>
      <c r="BM5" s="1" t="s">
        <v>86</v>
      </c>
      <c r="BN5" s="1" t="s">
        <v>122</v>
      </c>
      <c r="BO5" s="1" t="s">
        <v>123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86</v>
      </c>
      <c r="BU5" s="1" t="s">
        <v>86</v>
      </c>
      <c r="BV5" s="1" t="s">
        <v>86</v>
      </c>
      <c r="BW5" s="1" t="s">
        <v>101</v>
      </c>
      <c r="BX5" s="1" t="s">
        <v>86</v>
      </c>
      <c r="BY5" s="1" t="s">
        <v>86</v>
      </c>
      <c r="BZ5" s="1" t="s">
        <v>124</v>
      </c>
      <c r="CA5" s="1" t="s">
        <v>125</v>
      </c>
      <c r="CB5" s="1" t="s">
        <v>86</v>
      </c>
      <c r="CC5" s="1" t="s">
        <v>86</v>
      </c>
      <c r="CD5" s="1" t="s">
        <v>86</v>
      </c>
      <c r="CE5" s="1" t="s">
        <v>86</v>
      </c>
    </row>
    <row r="6">
      <c r="A6" s="1">
        <v>4</v>
      </c>
      <c r="B6" s="1" t="s">
        <v>84</v>
      </c>
      <c r="C6" s="2">
        <f>=HYPERLINK("https://i.stonehdfile.com/stoneimage?s=cf24882c-721d-443f-b8da-39d5cb73aeaf","Image")</f>
      </c>
      <c r="D6" s="2">
        <f>=HYPERLINK("https://dna.stonehdfile.com/hd/viewhd.html?d=4a52c377-9fe4-4e44-bff8-989c83d7d700","View360")</f>
      </c>
      <c r="E6" s="2">
        <f>=HYPERLINK("https://i.stonehdfile.com/Certificate?s=cf24882c-721d-443f-b8da-39d5cb73aeaf","GIA")</f>
      </c>
      <c r="F6" s="2">
        <f>=HYPERLINK("https://i.stonehdfile.com/DNAReport?s=cf24882c-721d-443f-b8da-39d5cb73aeaf","DNA")</f>
      </c>
      <c r="G6" s="2">
        <f>=HYPERLINK("https://www.gia.edu/report-check?reportno=******5313","Verify")</f>
      </c>
      <c r="H6" s="1" t="s">
        <v>126</v>
      </c>
      <c r="I6" s="1" t="s">
        <v>46</v>
      </c>
      <c r="J6" s="1">
        <v>2.01</v>
      </c>
      <c r="K6" s="1">
        <v>0</v>
      </c>
      <c r="L6" s="1">
        <v>10700</v>
      </c>
      <c r="M6" s="1">
        <v>5218</v>
      </c>
      <c r="N6" s="1">
        <v>10488.18</v>
      </c>
      <c r="O6" s="1">
        <v>-51.23</v>
      </c>
      <c r="P6" s="1">
        <v>0</v>
      </c>
      <c r="Q6" s="1" t="s">
        <v>86</v>
      </c>
      <c r="R6" s="1">
        <v>0</v>
      </c>
      <c r="S6" s="1" t="s">
        <v>86</v>
      </c>
      <c r="T6" s="1" t="s">
        <v>86</v>
      </c>
      <c r="U6" s="1" t="s">
        <v>118</v>
      </c>
      <c r="V6" s="1" t="s">
        <v>86</v>
      </c>
      <c r="W6" s="1" t="s">
        <v>88</v>
      </c>
      <c r="X6" s="1" t="s">
        <v>86</v>
      </c>
      <c r="Y6" s="1" t="s">
        <v>89</v>
      </c>
      <c r="Z6" s="1" t="s">
        <v>89</v>
      </c>
      <c r="AA6" s="1" t="s">
        <v>119</v>
      </c>
      <c r="AB6" s="1" t="s">
        <v>86</v>
      </c>
      <c r="AC6" s="1" t="s">
        <v>127</v>
      </c>
      <c r="AD6" s="1">
        <v>72</v>
      </c>
      <c r="AE6" s="1">
        <v>58</v>
      </c>
      <c r="AF6" s="1" t="s">
        <v>91</v>
      </c>
      <c r="AG6" s="1">
        <v>0</v>
      </c>
      <c r="AH6" s="1">
        <v>0</v>
      </c>
      <c r="AI6" s="1" t="s">
        <v>86</v>
      </c>
      <c r="AJ6" s="1">
        <v>1.03</v>
      </c>
      <c r="AK6" s="1" t="s">
        <v>111</v>
      </c>
      <c r="AL6" s="1" t="s">
        <v>93</v>
      </c>
      <c r="AM6" s="1" t="s">
        <v>128</v>
      </c>
      <c r="AN6" s="1" t="s">
        <v>86</v>
      </c>
      <c r="AO6" s="1" t="s">
        <v>94</v>
      </c>
      <c r="AP6" s="1" t="s">
        <v>95</v>
      </c>
      <c r="AQ6" s="1">
        <v>0</v>
      </c>
      <c r="AR6" s="1">
        <v>0</v>
      </c>
      <c r="AS6" s="1">
        <v>0</v>
      </c>
      <c r="AT6" s="1" t="s">
        <v>96</v>
      </c>
      <c r="AU6" s="1" t="s">
        <v>86</v>
      </c>
      <c r="AV6" s="1" t="s">
        <v>86</v>
      </c>
      <c r="AW6" s="1" t="s">
        <v>86</v>
      </c>
      <c r="AX6" s="1" t="s">
        <v>86</v>
      </c>
      <c r="AY6" s="1" t="s">
        <v>86</v>
      </c>
      <c r="AZ6" s="1" t="s">
        <v>86</v>
      </c>
      <c r="BA6" s="1" t="s">
        <v>86</v>
      </c>
      <c r="BB6" s="1" t="s">
        <v>86</v>
      </c>
      <c r="BC6" s="1" t="s">
        <v>86</v>
      </c>
      <c r="BD6" s="1" t="s">
        <v>86</v>
      </c>
      <c r="BE6" s="1" t="s">
        <v>86</v>
      </c>
      <c r="BF6" s="1" t="s">
        <v>86</v>
      </c>
      <c r="BG6" s="1" t="s">
        <v>86</v>
      </c>
      <c r="BH6" s="1" t="s">
        <v>129</v>
      </c>
      <c r="BI6" s="1" t="s">
        <v>98</v>
      </c>
      <c r="BJ6" s="1" t="s">
        <v>87</v>
      </c>
      <c r="BK6" s="1">
        <v>0</v>
      </c>
      <c r="BL6" s="1">
        <v>0</v>
      </c>
      <c r="BM6" s="1" t="s">
        <v>86</v>
      </c>
      <c r="BN6" s="1" t="s">
        <v>130</v>
      </c>
      <c r="BO6" s="1" t="s">
        <v>131</v>
      </c>
      <c r="BP6" s="1" t="s">
        <v>86</v>
      </c>
      <c r="BQ6" s="1" t="s">
        <v>86</v>
      </c>
      <c r="BR6" s="1" t="s">
        <v>86</v>
      </c>
      <c r="BS6" s="1" t="s">
        <v>86</v>
      </c>
      <c r="BT6" s="1" t="s">
        <v>86</v>
      </c>
      <c r="BU6" s="1" t="s">
        <v>86</v>
      </c>
      <c r="BV6" s="1" t="s">
        <v>86</v>
      </c>
      <c r="BW6" s="1" t="s">
        <v>101</v>
      </c>
      <c r="BX6" s="1" t="s">
        <v>86</v>
      </c>
      <c r="BY6" s="1" t="s">
        <v>86</v>
      </c>
      <c r="BZ6" s="1" t="s">
        <v>132</v>
      </c>
      <c r="CA6" s="1" t="s">
        <v>133</v>
      </c>
      <c r="CB6" s="1" t="s">
        <v>86</v>
      </c>
      <c r="CC6" s="1" t="s">
        <v>86</v>
      </c>
      <c r="CD6" s="1" t="s">
        <v>86</v>
      </c>
      <c r="CE6" s="1" t="s">
        <v>86</v>
      </c>
    </row>
    <row r="7">
      <c r="A7" s="1">
        <v>5</v>
      </c>
      <c r="B7" s="1" t="s">
        <v>84</v>
      </c>
      <c r="C7" s="2">
        <f>=HYPERLINK("https://i.stonehdfile.com/stoneimage?s=7327917b-f1bf-4f53-a0bc-42f029e00561","Image")</f>
      </c>
      <c r="D7" s="2">
        <f>=HYPERLINK("https://dna.stonehdfile.com/hd/viewhd.html?d=7b979d1b-d164-4e92-a09f-6c94241b73d4","View360")</f>
      </c>
      <c r="E7" s="2">
        <f>=HYPERLINK("https://i.stonehdfile.com/Certificate?s=7327917b-f1bf-4f53-a0bc-42f029e00561","GIA")</f>
      </c>
      <c r="F7" s="2">
        <f>=HYPERLINK("https://i.stonehdfile.com/DNAReport?s=7327917b-f1bf-4f53-a0bc-42f029e00561","DNA")</f>
      </c>
      <c r="G7" s="2">
        <f>=HYPERLINK("https://www.gia.edu/report-check?reportno=******7453","Verify")</f>
      </c>
      <c r="H7" s="1" t="s">
        <v>134</v>
      </c>
      <c r="I7" s="1" t="s">
        <v>135</v>
      </c>
      <c r="J7" s="1">
        <v>2.02</v>
      </c>
      <c r="K7" s="1">
        <v>0</v>
      </c>
      <c r="L7" s="1">
        <v>13500</v>
      </c>
      <c r="M7" s="1">
        <v>5080</v>
      </c>
      <c r="N7" s="1">
        <v>10261.6</v>
      </c>
      <c r="O7" s="1">
        <v>-62.37</v>
      </c>
      <c r="P7" s="1">
        <v>0</v>
      </c>
      <c r="Q7" s="1" t="s">
        <v>86</v>
      </c>
      <c r="R7" s="1">
        <v>0</v>
      </c>
      <c r="S7" s="1" t="s">
        <v>86</v>
      </c>
      <c r="T7" s="1" t="s">
        <v>86</v>
      </c>
      <c r="U7" s="1" t="s">
        <v>136</v>
      </c>
      <c r="V7" s="1" t="s">
        <v>86</v>
      </c>
      <c r="W7" s="1" t="s">
        <v>137</v>
      </c>
      <c r="X7" s="1" t="s">
        <v>86</v>
      </c>
      <c r="Y7" s="1" t="s">
        <v>89</v>
      </c>
      <c r="Z7" s="1" t="s">
        <v>138</v>
      </c>
      <c r="AA7" s="1" t="s">
        <v>108</v>
      </c>
      <c r="AB7" s="1" t="s">
        <v>109</v>
      </c>
      <c r="AC7" s="1" t="s">
        <v>139</v>
      </c>
      <c r="AD7" s="1">
        <v>71.6</v>
      </c>
      <c r="AE7" s="1">
        <v>59</v>
      </c>
      <c r="AF7" s="1" t="s">
        <v>91</v>
      </c>
      <c r="AG7" s="1">
        <v>0</v>
      </c>
      <c r="AH7" s="1">
        <v>0</v>
      </c>
      <c r="AI7" s="1" t="s">
        <v>86</v>
      </c>
      <c r="AJ7" s="1">
        <v>1</v>
      </c>
      <c r="AK7" s="1" t="s">
        <v>111</v>
      </c>
      <c r="AL7" s="1" t="s">
        <v>140</v>
      </c>
      <c r="AM7" s="1" t="s">
        <v>140</v>
      </c>
      <c r="AN7" s="1" t="s">
        <v>86</v>
      </c>
      <c r="AO7" s="1" t="s">
        <v>94</v>
      </c>
      <c r="AP7" s="1" t="s">
        <v>95</v>
      </c>
      <c r="AQ7" s="1">
        <v>0</v>
      </c>
      <c r="AR7" s="1">
        <v>0</v>
      </c>
      <c r="AS7" s="1">
        <v>0</v>
      </c>
      <c r="AT7" s="1" t="s">
        <v>96</v>
      </c>
      <c r="AU7" s="1" t="s">
        <v>141</v>
      </c>
      <c r="AV7" s="1" t="s">
        <v>86</v>
      </c>
      <c r="AW7" s="1" t="s">
        <v>86</v>
      </c>
      <c r="AX7" s="1" t="s">
        <v>86</v>
      </c>
      <c r="AY7" s="1" t="s">
        <v>86</v>
      </c>
      <c r="AZ7" s="1" t="s">
        <v>86</v>
      </c>
      <c r="BA7" s="1" t="s">
        <v>86</v>
      </c>
      <c r="BB7" s="1" t="s">
        <v>86</v>
      </c>
      <c r="BC7" s="1" t="s">
        <v>86</v>
      </c>
      <c r="BD7" s="1" t="s">
        <v>86</v>
      </c>
      <c r="BE7" s="1" t="s">
        <v>86</v>
      </c>
      <c r="BF7" s="1" t="s">
        <v>86</v>
      </c>
      <c r="BG7" s="1" t="s">
        <v>86</v>
      </c>
      <c r="BH7" s="1" t="s">
        <v>142</v>
      </c>
      <c r="BI7" s="1" t="s">
        <v>98</v>
      </c>
      <c r="BJ7" s="1" t="s">
        <v>87</v>
      </c>
      <c r="BK7" s="1">
        <v>0</v>
      </c>
      <c r="BL7" s="1">
        <v>0</v>
      </c>
      <c r="BM7" s="1" t="s">
        <v>86</v>
      </c>
      <c r="BN7" s="1" t="s">
        <v>143</v>
      </c>
      <c r="BO7" s="1" t="s">
        <v>144</v>
      </c>
      <c r="BP7" s="1" t="s">
        <v>86</v>
      </c>
      <c r="BQ7" s="1" t="s">
        <v>86</v>
      </c>
      <c r="BR7" s="1" t="s">
        <v>86</v>
      </c>
      <c r="BS7" s="1" t="s">
        <v>86</v>
      </c>
      <c r="BT7" s="1" t="s">
        <v>86</v>
      </c>
      <c r="BU7" s="1" t="s">
        <v>86</v>
      </c>
      <c r="BV7" s="1" t="s">
        <v>86</v>
      </c>
      <c r="BW7" s="1" t="s">
        <v>101</v>
      </c>
      <c r="BX7" s="1" t="s">
        <v>86</v>
      </c>
      <c r="BY7" s="1" t="s">
        <v>86</v>
      </c>
      <c r="BZ7" s="1" t="s">
        <v>145</v>
      </c>
      <c r="CA7" s="1" t="s">
        <v>146</v>
      </c>
      <c r="CB7" s="1" t="s">
        <v>86</v>
      </c>
      <c r="CC7" s="1" t="s">
        <v>86</v>
      </c>
      <c r="CD7" s="1" t="s">
        <v>86</v>
      </c>
      <c r="CE7" s="1" t="s">
        <v>86</v>
      </c>
    </row>
    <row r="8">
      <c r="A8" s="1">
        <v>6</v>
      </c>
      <c r="B8" s="1" t="s">
        <v>147</v>
      </c>
      <c r="C8" s="2">
        <f>=HYPERLINK("https://i.stonehdfile.com/stoneimage?s=519aa07a-344a-4360-bdb7-7985ff53c1e6","Image")</f>
      </c>
      <c r="D8" s="2">
        <f>=HYPERLINK("https://dna.stonehdfile.com/hd/viewhd.html?d=c9707b74-1108-40d8-90e0-a25d0a8863a8","View360")</f>
      </c>
      <c r="E8" s="2">
        <f>=HYPERLINK("https://i.stonehdfile.com/Certificate?s=519aa07a-344a-4360-bdb7-7985ff53c1e6","GIA")</f>
      </c>
      <c r="F8" s="2">
        <f>=HYPERLINK("https://i.stonehdfile.com/DNAReport?s=519aa07a-344a-4360-bdb7-7985ff53c1e6","DNA")</f>
      </c>
      <c r="G8" s="2">
        <f>=HYPERLINK("https://www.gia.edu/report-check?reportno=******0063","Verify")</f>
      </c>
      <c r="H8" s="1" t="s">
        <v>148</v>
      </c>
      <c r="I8" s="1" t="s">
        <v>46</v>
      </c>
      <c r="J8" s="1">
        <v>2.01</v>
      </c>
      <c r="K8" s="1">
        <v>0</v>
      </c>
      <c r="L8" s="1">
        <v>15500</v>
      </c>
      <c r="M8" s="1">
        <v>6223</v>
      </c>
      <c r="N8" s="1">
        <v>12508.23</v>
      </c>
      <c r="O8" s="1">
        <v>-59.85</v>
      </c>
      <c r="P8" s="1">
        <v>0</v>
      </c>
      <c r="Q8" s="1" t="s">
        <v>86</v>
      </c>
      <c r="R8" s="1">
        <v>0</v>
      </c>
      <c r="S8" s="1" t="s">
        <v>86</v>
      </c>
      <c r="T8" s="1" t="s">
        <v>86</v>
      </c>
      <c r="U8" s="1" t="s">
        <v>106</v>
      </c>
      <c r="V8" s="1" t="s">
        <v>86</v>
      </c>
      <c r="W8" s="1" t="s">
        <v>149</v>
      </c>
      <c r="X8" s="1" t="s">
        <v>86</v>
      </c>
      <c r="Y8" s="1" t="s">
        <v>89</v>
      </c>
      <c r="Z8" s="1" t="s">
        <v>89</v>
      </c>
      <c r="AA8" s="1" t="s">
        <v>108</v>
      </c>
      <c r="AB8" s="1" t="s">
        <v>109</v>
      </c>
      <c r="AC8" s="1" t="s">
        <v>150</v>
      </c>
      <c r="AD8" s="1">
        <v>71.6</v>
      </c>
      <c r="AE8" s="1">
        <v>65</v>
      </c>
      <c r="AF8" s="1" t="s">
        <v>91</v>
      </c>
      <c r="AG8" s="1">
        <v>3.3</v>
      </c>
      <c r="AH8" s="1">
        <v>33.9</v>
      </c>
      <c r="AI8" s="1" t="s">
        <v>86</v>
      </c>
      <c r="AJ8" s="1">
        <v>1.08</v>
      </c>
      <c r="AK8" s="1" t="s">
        <v>111</v>
      </c>
      <c r="AL8" s="1" t="s">
        <v>93</v>
      </c>
      <c r="AM8" s="1" t="s">
        <v>151</v>
      </c>
      <c r="AN8" s="1" t="s">
        <v>86</v>
      </c>
      <c r="AO8" s="1" t="s">
        <v>94</v>
      </c>
      <c r="AP8" s="1" t="s">
        <v>95</v>
      </c>
      <c r="AQ8" s="1">
        <v>11.8</v>
      </c>
      <c r="AR8" s="1">
        <v>56.3</v>
      </c>
      <c r="AS8" s="1">
        <v>40.2</v>
      </c>
      <c r="AT8" s="1" t="s">
        <v>96</v>
      </c>
      <c r="AU8" s="1" t="s">
        <v>86</v>
      </c>
      <c r="AV8" s="1" t="s">
        <v>86</v>
      </c>
      <c r="AW8" s="1" t="s">
        <v>86</v>
      </c>
      <c r="AX8" s="1" t="s">
        <v>86</v>
      </c>
      <c r="AY8" s="1" t="s">
        <v>86</v>
      </c>
      <c r="AZ8" s="1" t="s">
        <v>86</v>
      </c>
      <c r="BA8" s="1" t="s">
        <v>86</v>
      </c>
      <c r="BB8" s="1" t="s">
        <v>86</v>
      </c>
      <c r="BC8" s="1" t="s">
        <v>86</v>
      </c>
      <c r="BD8" s="1" t="s">
        <v>86</v>
      </c>
      <c r="BE8" s="1" t="s">
        <v>86</v>
      </c>
      <c r="BF8" s="1" t="s">
        <v>86</v>
      </c>
      <c r="BG8" s="1" t="s">
        <v>86</v>
      </c>
      <c r="BH8" s="1" t="s">
        <v>97</v>
      </c>
      <c r="BI8" s="1" t="s">
        <v>98</v>
      </c>
      <c r="BJ8" s="1" t="s">
        <v>87</v>
      </c>
      <c r="BK8" s="1">
        <v>0</v>
      </c>
      <c r="BL8" s="1">
        <v>0</v>
      </c>
      <c r="BM8" s="1" t="s">
        <v>86</v>
      </c>
      <c r="BN8" s="1" t="s">
        <v>152</v>
      </c>
      <c r="BO8" s="1" t="s">
        <v>153</v>
      </c>
      <c r="BP8" s="1" t="s">
        <v>86</v>
      </c>
      <c r="BQ8" s="1" t="s">
        <v>86</v>
      </c>
      <c r="BR8" s="1" t="s">
        <v>86</v>
      </c>
      <c r="BS8" s="1" t="s">
        <v>86</v>
      </c>
      <c r="BT8" s="1" t="s">
        <v>86</v>
      </c>
      <c r="BU8" s="1" t="s">
        <v>86</v>
      </c>
      <c r="BV8" s="1" t="s">
        <v>86</v>
      </c>
      <c r="BW8" s="1" t="s">
        <v>101</v>
      </c>
      <c r="BX8" s="1" t="s">
        <v>86</v>
      </c>
      <c r="BY8" s="1" t="s">
        <v>86</v>
      </c>
      <c r="BZ8" s="1" t="s">
        <v>154</v>
      </c>
      <c r="CA8" s="1" t="s">
        <v>155</v>
      </c>
      <c r="CB8" s="1" t="s">
        <v>156</v>
      </c>
      <c r="CC8" s="1" t="s">
        <v>86</v>
      </c>
      <c r="CD8" s="1" t="s">
        <v>86</v>
      </c>
      <c r="CE8" s="1" t="s">
        <v>86</v>
      </c>
    </row>
    <row r="9">
      <c r="A9" s="1">
        <v>7</v>
      </c>
      <c r="B9" s="1" t="s">
        <v>157</v>
      </c>
      <c r="C9" s="2">
        <f>=HYPERLINK("https://i.stonehdfile.com/stoneimage?s=1a1aae1f-d64e-403a-8d21-9dcfe9268745","Image")</f>
      </c>
      <c r="D9" s="2">
        <f>=HYPERLINK("https://dna.stonehdfile.com/hd/viewhd.html?d=ae6583ba-8b12-4219-9735-42754ce3d6c0","View360")</f>
      </c>
      <c r="E9" s="2">
        <f>=HYPERLINK("https://i.stonehdfile.com/Certificate?s=1a1aae1f-d64e-403a-8d21-9dcfe9268745","GIA")</f>
      </c>
      <c r="F9" s="2">
        <f>=HYPERLINK("https://i.stonehdfile.com/DNAReport?s=1a1aae1f-d64e-403a-8d21-9dcfe9268745","DNA")</f>
      </c>
      <c r="G9" s="2">
        <f>=HYPERLINK("https://www.gia.edu/report-check?reportno=******2077","Verify")</f>
      </c>
      <c r="H9" s="1" t="s">
        <v>158</v>
      </c>
      <c r="I9" s="1" t="s">
        <v>46</v>
      </c>
      <c r="J9" s="1">
        <v>1.5</v>
      </c>
      <c r="K9" s="1">
        <v>0</v>
      </c>
      <c r="L9" s="1">
        <v>8200</v>
      </c>
      <c r="M9" s="1">
        <v>4377</v>
      </c>
      <c r="N9" s="1">
        <v>6565.5</v>
      </c>
      <c r="O9" s="1">
        <v>-46.62</v>
      </c>
      <c r="P9" s="1">
        <v>0</v>
      </c>
      <c r="Q9" s="1" t="s">
        <v>86</v>
      </c>
      <c r="R9" s="1">
        <v>0</v>
      </c>
      <c r="S9" s="1" t="s">
        <v>86</v>
      </c>
      <c r="T9" s="1" t="s">
        <v>86</v>
      </c>
      <c r="U9" s="1" t="s">
        <v>159</v>
      </c>
      <c r="V9" s="1" t="s">
        <v>86</v>
      </c>
      <c r="W9" s="1" t="s">
        <v>88</v>
      </c>
      <c r="X9" s="1" t="s">
        <v>86</v>
      </c>
      <c r="Y9" s="1" t="s">
        <v>89</v>
      </c>
      <c r="Z9" s="1" t="s">
        <v>138</v>
      </c>
      <c r="AA9" s="1" t="s">
        <v>119</v>
      </c>
      <c r="AB9" s="1" t="s">
        <v>86</v>
      </c>
      <c r="AC9" s="1" t="s">
        <v>160</v>
      </c>
      <c r="AD9" s="1">
        <v>71.4</v>
      </c>
      <c r="AE9" s="1">
        <v>61</v>
      </c>
      <c r="AF9" s="1" t="s">
        <v>91</v>
      </c>
      <c r="AG9" s="1">
        <v>0</v>
      </c>
      <c r="AH9" s="1">
        <v>36.2</v>
      </c>
      <c r="AI9" s="1" t="s">
        <v>86</v>
      </c>
      <c r="AJ9" s="1">
        <v>1.08</v>
      </c>
      <c r="AK9" s="1" t="s">
        <v>92</v>
      </c>
      <c r="AL9" s="1" t="s">
        <v>140</v>
      </c>
      <c r="AM9" s="1" t="s">
        <v>93</v>
      </c>
      <c r="AN9" s="1" t="s">
        <v>86</v>
      </c>
      <c r="AO9" s="1" t="s">
        <v>94</v>
      </c>
      <c r="AP9" s="1" t="s">
        <v>95</v>
      </c>
      <c r="AQ9" s="1">
        <v>14.4</v>
      </c>
      <c r="AR9" s="1">
        <v>52.8</v>
      </c>
      <c r="AS9" s="1">
        <v>39.3</v>
      </c>
      <c r="AT9" s="1" t="s">
        <v>96</v>
      </c>
      <c r="AU9" s="1" t="s">
        <v>86</v>
      </c>
      <c r="AV9" s="1" t="s">
        <v>86</v>
      </c>
      <c r="AW9" s="1" t="s">
        <v>86</v>
      </c>
      <c r="AX9" s="1" t="s">
        <v>86</v>
      </c>
      <c r="AY9" s="1" t="s">
        <v>86</v>
      </c>
      <c r="AZ9" s="1" t="s">
        <v>86</v>
      </c>
      <c r="BA9" s="1" t="s">
        <v>86</v>
      </c>
      <c r="BB9" s="1" t="s">
        <v>86</v>
      </c>
      <c r="BC9" s="1" t="s">
        <v>86</v>
      </c>
      <c r="BD9" s="1" t="s">
        <v>86</v>
      </c>
      <c r="BE9" s="1" t="s">
        <v>86</v>
      </c>
      <c r="BF9" s="1" t="s">
        <v>86</v>
      </c>
      <c r="BG9" s="1" t="s">
        <v>86</v>
      </c>
      <c r="BH9" s="1" t="s">
        <v>86</v>
      </c>
      <c r="BI9" s="1" t="s">
        <v>98</v>
      </c>
      <c r="BJ9" s="1" t="s">
        <v>86</v>
      </c>
      <c r="BK9" s="1">
        <v>0</v>
      </c>
      <c r="BL9" s="1">
        <v>0</v>
      </c>
      <c r="BM9" s="1" t="s">
        <v>86</v>
      </c>
      <c r="BN9" s="1" t="s">
        <v>161</v>
      </c>
      <c r="BO9" s="1" t="s">
        <v>162</v>
      </c>
      <c r="BP9" s="1" t="s">
        <v>86</v>
      </c>
      <c r="BQ9" s="1" t="s">
        <v>86</v>
      </c>
      <c r="BR9" s="1" t="s">
        <v>86</v>
      </c>
      <c r="BS9" s="1" t="s">
        <v>86</v>
      </c>
      <c r="BT9" s="1" t="s">
        <v>86</v>
      </c>
      <c r="BU9" s="1" t="s">
        <v>163</v>
      </c>
      <c r="BV9" s="1" t="s">
        <v>86</v>
      </c>
      <c r="BW9" s="1" t="s">
        <v>101</v>
      </c>
      <c r="BX9" s="1" t="s">
        <v>86</v>
      </c>
      <c r="BY9" s="1" t="s">
        <v>86</v>
      </c>
      <c r="BZ9" s="1" t="s">
        <v>164</v>
      </c>
      <c r="CA9" s="1" t="s">
        <v>165</v>
      </c>
      <c r="CB9" s="1" t="s">
        <v>166</v>
      </c>
      <c r="CC9" s="1" t="s">
        <v>86</v>
      </c>
      <c r="CD9" s="1" t="s">
        <v>86</v>
      </c>
      <c r="CE9" s="1" t="s">
        <v>86</v>
      </c>
    </row>
    <row r="10">
      <c r="A10" s="1">
        <v>8</v>
      </c>
      <c r="B10" s="1" t="s">
        <v>157</v>
      </c>
      <c r="C10" s="2">
        <f>=HYPERLINK("https://i.stonehdfile.com/stoneimage?s=64c7a8e7-3c87-4b26-8753-49258b06e25f","Image")</f>
      </c>
      <c r="D10" s="2">
        <f>=HYPERLINK("https://dna.stonehdfile.com/hd/viewhd.html?d=36f63650-9a72-4c37-a179-e8d37b7a6888","View360")</f>
      </c>
      <c r="E10" s="2">
        <f>=HYPERLINK("https://i.stonehdfile.com/Certificate?s=64c7a8e7-3c87-4b26-8753-49258b06e25f","GIA")</f>
      </c>
      <c r="F10" s="2">
        <f>=HYPERLINK("https://i.stonehdfile.com/DNAReport?s=64c7a8e7-3c87-4b26-8753-49258b06e25f","DNA")</f>
      </c>
      <c r="G10" s="2">
        <f>=HYPERLINK("https://www.gia.edu/report-check?reportno=******6703","Verify")</f>
      </c>
      <c r="H10" s="1" t="s">
        <v>167</v>
      </c>
      <c r="I10" s="1" t="s">
        <v>46</v>
      </c>
      <c r="J10" s="1">
        <v>2.02</v>
      </c>
      <c r="K10" s="1">
        <v>0</v>
      </c>
      <c r="L10" s="1">
        <v>14500</v>
      </c>
      <c r="M10" s="1">
        <v>6084</v>
      </c>
      <c r="N10" s="1">
        <v>12289.68</v>
      </c>
      <c r="O10" s="1">
        <v>-58.04</v>
      </c>
      <c r="P10" s="1">
        <v>0</v>
      </c>
      <c r="Q10" s="1" t="s">
        <v>86</v>
      </c>
      <c r="R10" s="1">
        <v>0</v>
      </c>
      <c r="S10" s="1" t="s">
        <v>86</v>
      </c>
      <c r="T10" s="1" t="s">
        <v>86</v>
      </c>
      <c r="U10" s="1" t="s">
        <v>168</v>
      </c>
      <c r="V10" s="1" t="s">
        <v>86</v>
      </c>
      <c r="W10" s="1" t="s">
        <v>169</v>
      </c>
      <c r="X10" s="1" t="s">
        <v>86</v>
      </c>
      <c r="Y10" s="1" t="s">
        <v>138</v>
      </c>
      <c r="Z10" s="1" t="s">
        <v>138</v>
      </c>
      <c r="AA10" s="1" t="s">
        <v>87</v>
      </c>
      <c r="AB10" s="1" t="s">
        <v>86</v>
      </c>
      <c r="AC10" s="1" t="s">
        <v>170</v>
      </c>
      <c r="AD10" s="1">
        <v>71.5</v>
      </c>
      <c r="AE10" s="1">
        <v>62</v>
      </c>
      <c r="AF10" s="1" t="s">
        <v>91</v>
      </c>
      <c r="AG10" s="1">
        <v>3.1</v>
      </c>
      <c r="AH10" s="1">
        <v>37.3</v>
      </c>
      <c r="AI10" s="1" t="s">
        <v>86</v>
      </c>
      <c r="AJ10" s="1">
        <v>1.09</v>
      </c>
      <c r="AK10" s="1" t="s">
        <v>111</v>
      </c>
      <c r="AL10" s="1" t="s">
        <v>140</v>
      </c>
      <c r="AM10" s="1" t="s">
        <v>151</v>
      </c>
      <c r="AN10" s="1" t="s">
        <v>171</v>
      </c>
      <c r="AO10" s="1" t="s">
        <v>94</v>
      </c>
      <c r="AP10" s="1" t="s">
        <v>95</v>
      </c>
      <c r="AQ10" s="1">
        <v>14.5</v>
      </c>
      <c r="AR10" s="1">
        <v>53.6</v>
      </c>
      <c r="AS10" s="1">
        <v>39.6</v>
      </c>
      <c r="AT10" s="1" t="s">
        <v>96</v>
      </c>
      <c r="AU10" s="1" t="s">
        <v>86</v>
      </c>
      <c r="AV10" s="1" t="s">
        <v>86</v>
      </c>
      <c r="AW10" s="1" t="s">
        <v>86</v>
      </c>
      <c r="AX10" s="1" t="s">
        <v>86</v>
      </c>
      <c r="AY10" s="1" t="s">
        <v>86</v>
      </c>
      <c r="AZ10" s="1" t="s">
        <v>86</v>
      </c>
      <c r="BA10" s="1" t="s">
        <v>86</v>
      </c>
      <c r="BB10" s="1" t="s">
        <v>86</v>
      </c>
      <c r="BC10" s="1" t="s">
        <v>86</v>
      </c>
      <c r="BD10" s="1" t="s">
        <v>86</v>
      </c>
      <c r="BE10" s="1" t="s">
        <v>86</v>
      </c>
      <c r="BF10" s="1" t="s">
        <v>86</v>
      </c>
      <c r="BG10" s="1" t="s">
        <v>172</v>
      </c>
      <c r="BH10" s="1" t="s">
        <v>173</v>
      </c>
      <c r="BI10" s="1" t="s">
        <v>174</v>
      </c>
      <c r="BJ10" s="1" t="s">
        <v>87</v>
      </c>
      <c r="BK10" s="1">
        <v>0</v>
      </c>
      <c r="BL10" s="1">
        <v>0</v>
      </c>
      <c r="BM10" s="1" t="s">
        <v>86</v>
      </c>
      <c r="BN10" s="1" t="s">
        <v>175</v>
      </c>
      <c r="BO10" s="1" t="s">
        <v>176</v>
      </c>
      <c r="BP10" s="1" t="s">
        <v>86</v>
      </c>
      <c r="BQ10" s="1" t="s">
        <v>86</v>
      </c>
      <c r="BR10" s="1" t="s">
        <v>86</v>
      </c>
      <c r="BS10" s="1" t="s">
        <v>86</v>
      </c>
      <c r="BT10" s="1" t="s">
        <v>86</v>
      </c>
      <c r="BU10" s="1" t="s">
        <v>86</v>
      </c>
      <c r="BV10" s="1" t="s">
        <v>86</v>
      </c>
      <c r="BW10" s="1" t="s">
        <v>101</v>
      </c>
      <c r="BX10" s="1" t="s">
        <v>86</v>
      </c>
      <c r="BY10" s="1" t="s">
        <v>86</v>
      </c>
      <c r="BZ10" s="1" t="s">
        <v>177</v>
      </c>
      <c r="CA10" s="1" t="s">
        <v>178</v>
      </c>
      <c r="CB10" s="1" t="s">
        <v>179</v>
      </c>
      <c r="CC10" s="1" t="s">
        <v>86</v>
      </c>
      <c r="CD10" s="1" t="s">
        <v>86</v>
      </c>
      <c r="CE10" s="1" t="s">
        <v>86</v>
      </c>
    </row>
    <row r="11">
      <c r="A11" s="1">
        <v>9</v>
      </c>
      <c r="B11" s="1" t="s">
        <v>157</v>
      </c>
      <c r="C11" s="2">
        <f>=HYPERLINK("https://i.stonehdfile.com/stoneimage?s=7c1588fb-9667-40f2-bfa8-ad8008c88201","Image")</f>
      </c>
      <c r="D11" s="2">
        <f>=HYPERLINK("https://dna.stonehdfile.com/hd/viewhd.html?d=b8f1180f-465a-4b66-82e0-25d7651dec11","View360")</f>
      </c>
      <c r="E11" s="2">
        <f>=HYPERLINK("https://i.stonehdfile.com/Certificate?s=7c1588fb-9667-40f2-bfa8-ad8008c88201","GIA")</f>
      </c>
      <c r="F11" s="2">
        <f>=HYPERLINK("https://i.stonehdfile.com/DNAReport?s=7c1588fb-9667-40f2-bfa8-ad8008c88201","DNA")</f>
      </c>
      <c r="G11" s="2">
        <f>=HYPERLINK("https://www.gia.edu/report-check?reportno=******9019","Verify")</f>
      </c>
      <c r="H11" s="1" t="s">
        <v>180</v>
      </c>
      <c r="I11" s="1" t="s">
        <v>46</v>
      </c>
      <c r="J11" s="1">
        <v>2.01</v>
      </c>
      <c r="K11" s="1">
        <v>0</v>
      </c>
      <c r="L11" s="1">
        <v>14500</v>
      </c>
      <c r="M11" s="1">
        <v>8093</v>
      </c>
      <c r="N11" s="1">
        <v>16266.93</v>
      </c>
      <c r="O11" s="1">
        <v>-44.19</v>
      </c>
      <c r="P11" s="1">
        <v>0</v>
      </c>
      <c r="Q11" s="1" t="s">
        <v>86</v>
      </c>
      <c r="R11" s="1">
        <v>0</v>
      </c>
      <c r="S11" s="1" t="s">
        <v>86</v>
      </c>
      <c r="T11" s="1" t="s">
        <v>86</v>
      </c>
      <c r="U11" s="1" t="s">
        <v>168</v>
      </c>
      <c r="V11" s="1" t="s">
        <v>86</v>
      </c>
      <c r="W11" s="1" t="s">
        <v>137</v>
      </c>
      <c r="X11" s="1" t="s">
        <v>86</v>
      </c>
      <c r="Y11" s="1" t="s">
        <v>89</v>
      </c>
      <c r="Z11" s="1" t="s">
        <v>89</v>
      </c>
      <c r="AA11" s="1" t="s">
        <v>119</v>
      </c>
      <c r="AB11" s="1" t="s">
        <v>86</v>
      </c>
      <c r="AC11" s="1" t="s">
        <v>181</v>
      </c>
      <c r="AD11" s="1">
        <v>67.6</v>
      </c>
      <c r="AE11" s="1">
        <v>61</v>
      </c>
      <c r="AF11" s="1" t="s">
        <v>91</v>
      </c>
      <c r="AG11" s="1">
        <v>3.5</v>
      </c>
      <c r="AH11" s="1">
        <v>36.4</v>
      </c>
      <c r="AI11" s="1" t="s">
        <v>86</v>
      </c>
      <c r="AJ11" s="1">
        <v>1.1</v>
      </c>
      <c r="AK11" s="1" t="s">
        <v>111</v>
      </c>
      <c r="AL11" s="1" t="s">
        <v>93</v>
      </c>
      <c r="AM11" s="1" t="s">
        <v>128</v>
      </c>
      <c r="AN11" s="1" t="s">
        <v>171</v>
      </c>
      <c r="AO11" s="1" t="s">
        <v>94</v>
      </c>
      <c r="AP11" s="1" t="s">
        <v>95</v>
      </c>
      <c r="AQ11" s="1">
        <v>14.3</v>
      </c>
      <c r="AR11" s="1">
        <v>49.6</v>
      </c>
      <c r="AS11" s="1">
        <v>38.1</v>
      </c>
      <c r="AT11" s="1" t="s">
        <v>96</v>
      </c>
      <c r="AU11" s="1" t="s">
        <v>86</v>
      </c>
      <c r="AV11" s="1" t="s">
        <v>86</v>
      </c>
      <c r="AW11" s="1" t="s">
        <v>86</v>
      </c>
      <c r="AX11" s="1" t="s">
        <v>86</v>
      </c>
      <c r="AY11" s="1" t="s">
        <v>86</v>
      </c>
      <c r="AZ11" s="1" t="s">
        <v>86</v>
      </c>
      <c r="BA11" s="1" t="s">
        <v>86</v>
      </c>
      <c r="BB11" s="1" t="s">
        <v>86</v>
      </c>
      <c r="BC11" s="1" t="s">
        <v>86</v>
      </c>
      <c r="BD11" s="1" t="s">
        <v>86</v>
      </c>
      <c r="BE11" s="1" t="s">
        <v>86</v>
      </c>
      <c r="BF11" s="1" t="s">
        <v>86</v>
      </c>
      <c r="BG11" s="1" t="s">
        <v>86</v>
      </c>
      <c r="BH11" s="1" t="s">
        <v>182</v>
      </c>
      <c r="BI11" s="1" t="s">
        <v>183</v>
      </c>
      <c r="BJ11" s="1" t="s">
        <v>87</v>
      </c>
      <c r="BK11" s="1">
        <v>0</v>
      </c>
      <c r="BL11" s="1">
        <v>0</v>
      </c>
      <c r="BM11" s="1" t="s">
        <v>86</v>
      </c>
      <c r="BN11" s="1" t="s">
        <v>184</v>
      </c>
      <c r="BO11" s="1" t="s">
        <v>185</v>
      </c>
      <c r="BP11" s="1" t="s">
        <v>86</v>
      </c>
      <c r="BQ11" s="1" t="s">
        <v>86</v>
      </c>
      <c r="BR11" s="1" t="s">
        <v>86</v>
      </c>
      <c r="BS11" s="1" t="s">
        <v>86</v>
      </c>
      <c r="BT11" s="1" t="s">
        <v>86</v>
      </c>
      <c r="BU11" s="1" t="s">
        <v>86</v>
      </c>
      <c r="BV11" s="1" t="s">
        <v>86</v>
      </c>
      <c r="BW11" s="1" t="s">
        <v>101</v>
      </c>
      <c r="BX11" s="1" t="s">
        <v>86</v>
      </c>
      <c r="BY11" s="1" t="s">
        <v>86</v>
      </c>
      <c r="BZ11" s="1" t="s">
        <v>186</v>
      </c>
      <c r="CA11" s="1" t="s">
        <v>187</v>
      </c>
      <c r="CB11" s="1" t="s">
        <v>166</v>
      </c>
      <c r="CC11" s="1" t="s">
        <v>86</v>
      </c>
      <c r="CD11" s="1" t="s">
        <v>86</v>
      </c>
      <c r="CE11" s="1" t="s">
        <v>86</v>
      </c>
    </row>
    <row r="12">
      <c r="A12" s="1">
        <v>10</v>
      </c>
      <c r="B12" s="1" t="s">
        <v>157</v>
      </c>
      <c r="C12" s="2">
        <f>=HYPERLINK("https://i.stonehdfile.com/stoneimage?s=13d73638-d521-45d4-b7e4-3674daf69472","Image")</f>
      </c>
      <c r="D12" s="2">
        <f>=HYPERLINK("https://dna.stonehdfile.com/hd/viewhd.html?d=456ba490-bb2d-46da-b9b4-c818969a2e8a","View360")</f>
      </c>
      <c r="E12" s="2">
        <f>=HYPERLINK("https://i.stonehdfile.com/Certificate?s=13d73638-d521-45d4-b7e4-3674daf69472","GIA")</f>
      </c>
      <c r="F12" s="2">
        <f>=HYPERLINK("https://i.stonehdfile.com/DNAReport?s=13d73638-d521-45d4-b7e4-3674daf69472","DNA")</f>
      </c>
      <c r="G12" s="2">
        <f>=HYPERLINK("https://www.gia.edu/report-check?reportno=******4793","Verify")</f>
      </c>
      <c r="H12" s="1" t="s">
        <v>188</v>
      </c>
      <c r="I12" s="1" t="s">
        <v>46</v>
      </c>
      <c r="J12" s="1">
        <v>2.02</v>
      </c>
      <c r="K12" s="1">
        <v>0</v>
      </c>
      <c r="L12" s="1">
        <v>13500</v>
      </c>
      <c r="M12" s="1">
        <v>7618</v>
      </c>
      <c r="N12" s="1">
        <v>15388.36</v>
      </c>
      <c r="O12" s="1">
        <v>-43.57</v>
      </c>
      <c r="P12" s="1">
        <v>0</v>
      </c>
      <c r="Q12" s="1" t="s">
        <v>86</v>
      </c>
      <c r="R12" s="1">
        <v>0</v>
      </c>
      <c r="S12" s="1" t="s">
        <v>86</v>
      </c>
      <c r="T12" s="1" t="s">
        <v>86</v>
      </c>
      <c r="U12" s="1" t="s">
        <v>136</v>
      </c>
      <c r="V12" s="1" t="s">
        <v>86</v>
      </c>
      <c r="W12" s="1" t="s">
        <v>169</v>
      </c>
      <c r="X12" s="1" t="s">
        <v>86</v>
      </c>
      <c r="Y12" s="1" t="s">
        <v>89</v>
      </c>
      <c r="Z12" s="1" t="s">
        <v>89</v>
      </c>
      <c r="AA12" s="1" t="s">
        <v>119</v>
      </c>
      <c r="AB12" s="1" t="s">
        <v>86</v>
      </c>
      <c r="AC12" s="1" t="s">
        <v>189</v>
      </c>
      <c r="AD12" s="1">
        <v>68.1</v>
      </c>
      <c r="AE12" s="1">
        <v>61</v>
      </c>
      <c r="AF12" s="1" t="s">
        <v>91</v>
      </c>
      <c r="AG12" s="1">
        <v>3.4</v>
      </c>
      <c r="AH12" s="1">
        <v>33.4</v>
      </c>
      <c r="AI12" s="1" t="s">
        <v>86</v>
      </c>
      <c r="AJ12" s="1">
        <v>1</v>
      </c>
      <c r="AK12" s="1" t="s">
        <v>190</v>
      </c>
      <c r="AL12" s="1" t="s">
        <v>128</v>
      </c>
      <c r="AM12" s="1" t="s">
        <v>140</v>
      </c>
      <c r="AN12" s="1" t="s">
        <v>171</v>
      </c>
      <c r="AO12" s="1" t="s">
        <v>94</v>
      </c>
      <c r="AP12" s="1" t="s">
        <v>95</v>
      </c>
      <c r="AQ12" s="1">
        <v>12.8</v>
      </c>
      <c r="AR12" s="1">
        <v>51.8</v>
      </c>
      <c r="AS12" s="1">
        <v>39.4</v>
      </c>
      <c r="AT12" s="1" t="s">
        <v>96</v>
      </c>
      <c r="AU12" s="1" t="s">
        <v>86</v>
      </c>
      <c r="AV12" s="1" t="s">
        <v>86</v>
      </c>
      <c r="AW12" s="1" t="s">
        <v>86</v>
      </c>
      <c r="AX12" s="1" t="s">
        <v>86</v>
      </c>
      <c r="AY12" s="1" t="s">
        <v>86</v>
      </c>
      <c r="AZ12" s="1" t="s">
        <v>86</v>
      </c>
      <c r="BA12" s="1" t="s">
        <v>86</v>
      </c>
      <c r="BB12" s="1" t="s">
        <v>86</v>
      </c>
      <c r="BC12" s="1" t="s">
        <v>86</v>
      </c>
      <c r="BD12" s="1" t="s">
        <v>86</v>
      </c>
      <c r="BE12" s="1" t="s">
        <v>86</v>
      </c>
      <c r="BF12" s="1" t="s">
        <v>86</v>
      </c>
      <c r="BG12" s="1" t="s">
        <v>86</v>
      </c>
      <c r="BH12" s="1" t="s">
        <v>97</v>
      </c>
      <c r="BI12" s="1" t="s">
        <v>191</v>
      </c>
      <c r="BJ12" s="1" t="s">
        <v>87</v>
      </c>
      <c r="BK12" s="1">
        <v>0</v>
      </c>
      <c r="BL12" s="1">
        <v>0</v>
      </c>
      <c r="BM12" s="1" t="s">
        <v>86</v>
      </c>
      <c r="BN12" s="1" t="s">
        <v>192</v>
      </c>
      <c r="BO12" s="1" t="s">
        <v>193</v>
      </c>
      <c r="BP12" s="1" t="s">
        <v>86</v>
      </c>
      <c r="BQ12" s="1" t="s">
        <v>86</v>
      </c>
      <c r="BR12" s="1" t="s">
        <v>86</v>
      </c>
      <c r="BS12" s="1" t="s">
        <v>86</v>
      </c>
      <c r="BT12" s="1" t="s">
        <v>86</v>
      </c>
      <c r="BU12" s="1" t="s">
        <v>86</v>
      </c>
      <c r="BV12" s="1" t="s">
        <v>86</v>
      </c>
      <c r="BW12" s="1" t="s">
        <v>101</v>
      </c>
      <c r="BX12" s="1" t="s">
        <v>86</v>
      </c>
      <c r="BY12" s="1" t="s">
        <v>86</v>
      </c>
      <c r="BZ12" s="1" t="s">
        <v>194</v>
      </c>
      <c r="CA12" s="1" t="s">
        <v>195</v>
      </c>
      <c r="CB12" s="1" t="s">
        <v>166</v>
      </c>
      <c r="CC12" s="1" t="s">
        <v>86</v>
      </c>
      <c r="CD12" s="1" t="s">
        <v>86</v>
      </c>
      <c r="CE12" s="1" t="s">
        <v>86</v>
      </c>
    </row>
    <row r="13">
      <c r="A13" s="1">
        <v>11</v>
      </c>
      <c r="B13" s="1" t="s">
        <v>157</v>
      </c>
      <c r="C13" s="2">
        <f>=HYPERLINK("https://i.stonehdfile.com/stoneimage?s=b30c8431-1fee-44ea-b445-609f9648f10e","Image")</f>
      </c>
      <c r="D13" s="2">
        <f>=HYPERLINK("https://dna.stonehdfile.com/hd/viewhd.html?d=ba17f5de-16e8-4767-87ee-08eb81e6cbce","View360")</f>
      </c>
      <c r="E13" s="2">
        <f>=HYPERLINK("https://i.stonehdfile.com/Certificate?s=b30c8431-1fee-44ea-b445-609f9648f10e","GIA")</f>
      </c>
      <c r="F13" s="2">
        <f>=HYPERLINK("https://i.stonehdfile.com/DNAReport?s=b30c8431-1fee-44ea-b445-609f9648f10e","DNA")</f>
      </c>
      <c r="G13" s="2">
        <f>=HYPERLINK("https://www.gia.edu/report-check?reportno=******8199","Verify")</f>
      </c>
      <c r="H13" s="1" t="s">
        <v>196</v>
      </c>
      <c r="I13" s="1" t="s">
        <v>46</v>
      </c>
      <c r="J13" s="1">
        <v>2.21</v>
      </c>
      <c r="K13" s="1">
        <v>0</v>
      </c>
      <c r="L13" s="1">
        <v>13500</v>
      </c>
      <c r="M13" s="1">
        <v>5961</v>
      </c>
      <c r="N13" s="1">
        <v>13173.81</v>
      </c>
      <c r="O13" s="1">
        <v>-55.84</v>
      </c>
      <c r="P13" s="1">
        <v>0</v>
      </c>
      <c r="Q13" s="1" t="s">
        <v>86</v>
      </c>
      <c r="R13" s="1">
        <v>0</v>
      </c>
      <c r="S13" s="1" t="s">
        <v>86</v>
      </c>
      <c r="T13" s="1" t="s">
        <v>86</v>
      </c>
      <c r="U13" s="1" t="s">
        <v>136</v>
      </c>
      <c r="V13" s="1" t="s">
        <v>86</v>
      </c>
      <c r="W13" s="1" t="s">
        <v>137</v>
      </c>
      <c r="X13" s="1" t="s">
        <v>86</v>
      </c>
      <c r="Y13" s="1" t="s">
        <v>89</v>
      </c>
      <c r="Z13" s="1" t="s">
        <v>89</v>
      </c>
      <c r="AA13" s="1" t="s">
        <v>108</v>
      </c>
      <c r="AB13" s="1" t="s">
        <v>109</v>
      </c>
      <c r="AC13" s="1" t="s">
        <v>197</v>
      </c>
      <c r="AD13" s="1">
        <v>70.4</v>
      </c>
      <c r="AE13" s="1">
        <v>62</v>
      </c>
      <c r="AF13" s="1" t="s">
        <v>91</v>
      </c>
      <c r="AG13" s="1">
        <v>3.2</v>
      </c>
      <c r="AH13" s="1">
        <v>36.9</v>
      </c>
      <c r="AI13" s="1" t="s">
        <v>86</v>
      </c>
      <c r="AJ13" s="1">
        <v>1</v>
      </c>
      <c r="AK13" s="1" t="s">
        <v>198</v>
      </c>
      <c r="AL13" s="1" t="s">
        <v>93</v>
      </c>
      <c r="AM13" s="1" t="s">
        <v>93</v>
      </c>
      <c r="AN13" s="1" t="s">
        <v>168</v>
      </c>
      <c r="AO13" s="1" t="s">
        <v>94</v>
      </c>
      <c r="AP13" s="1" t="s">
        <v>95</v>
      </c>
      <c r="AQ13" s="1">
        <v>14.2</v>
      </c>
      <c r="AR13" s="1">
        <v>52.5</v>
      </c>
      <c r="AS13" s="1">
        <v>39.6</v>
      </c>
      <c r="AT13" s="1" t="s">
        <v>96</v>
      </c>
      <c r="AU13" s="1" t="s">
        <v>86</v>
      </c>
      <c r="AV13" s="1" t="s">
        <v>86</v>
      </c>
      <c r="AW13" s="1" t="s">
        <v>86</v>
      </c>
      <c r="AX13" s="1" t="s">
        <v>86</v>
      </c>
      <c r="AY13" s="1" t="s">
        <v>86</v>
      </c>
      <c r="AZ13" s="1" t="s">
        <v>86</v>
      </c>
      <c r="BA13" s="1" t="s">
        <v>86</v>
      </c>
      <c r="BB13" s="1" t="s">
        <v>86</v>
      </c>
      <c r="BC13" s="1" t="s">
        <v>86</v>
      </c>
      <c r="BD13" s="1" t="s">
        <v>86</v>
      </c>
      <c r="BE13" s="1" t="s">
        <v>86</v>
      </c>
      <c r="BF13" s="1" t="s">
        <v>86</v>
      </c>
      <c r="BG13" s="1" t="s">
        <v>172</v>
      </c>
      <c r="BH13" s="1" t="s">
        <v>97</v>
      </c>
      <c r="BI13" s="1" t="s">
        <v>199</v>
      </c>
      <c r="BJ13" s="1" t="s">
        <v>87</v>
      </c>
      <c r="BK13" s="1">
        <v>0</v>
      </c>
      <c r="BL13" s="1">
        <v>0</v>
      </c>
      <c r="BM13" s="1" t="s">
        <v>86</v>
      </c>
      <c r="BN13" s="1" t="s">
        <v>200</v>
      </c>
      <c r="BO13" s="1" t="s">
        <v>201</v>
      </c>
      <c r="BP13" s="1" t="s">
        <v>86</v>
      </c>
      <c r="BQ13" s="1" t="s">
        <v>86</v>
      </c>
      <c r="BR13" s="1" t="s">
        <v>86</v>
      </c>
      <c r="BS13" s="1" t="s">
        <v>86</v>
      </c>
      <c r="BT13" s="1" t="s">
        <v>86</v>
      </c>
      <c r="BU13" s="1" t="s">
        <v>86</v>
      </c>
      <c r="BV13" s="1" t="s">
        <v>86</v>
      </c>
      <c r="BW13" s="1" t="s">
        <v>101</v>
      </c>
      <c r="BX13" s="1" t="s">
        <v>86</v>
      </c>
      <c r="BY13" s="1" t="s">
        <v>86</v>
      </c>
      <c r="BZ13" s="1" t="s">
        <v>202</v>
      </c>
      <c r="CA13" s="1" t="s">
        <v>203</v>
      </c>
      <c r="CB13" s="1" t="s">
        <v>204</v>
      </c>
      <c r="CC13" s="1" t="s">
        <v>86</v>
      </c>
      <c r="CD13" s="1" t="s">
        <v>86</v>
      </c>
      <c r="CE13" s="1" t="s">
        <v>86</v>
      </c>
    </row>
    <row r="14">
      <c r="A14" s="1">
        <v>12</v>
      </c>
      <c r="B14" s="1" t="s">
        <v>157</v>
      </c>
      <c r="C14" s="2">
        <f>=HYPERLINK("https://i.stonehdfile.com/stoneimage?s=df89bbca-aae7-4e5b-855e-ddae35ba7c56","Image")</f>
      </c>
      <c r="D14" s="2">
        <f>=HYPERLINK("https://dna.stonehdfile.com/hd/viewhd.html?d=a535dc8e-2156-4288-bc8d-cdc91ecf20a0","View360")</f>
      </c>
      <c r="E14" s="2">
        <f>=HYPERLINK("https://i.stonehdfile.com/Certificate?s=df89bbca-aae7-4e5b-855e-ddae35ba7c56","GIA")</f>
      </c>
      <c r="F14" s="2">
        <f>=HYPERLINK("https://i.stonehdfile.com/DNAReport?s=df89bbca-aae7-4e5b-855e-ddae35ba7c56","DNA")</f>
      </c>
      <c r="G14" s="2">
        <f>=HYPERLINK("https://www.gia.edu/report-check?reportno=******8399","Verify")</f>
      </c>
      <c r="H14" s="1" t="s">
        <v>205</v>
      </c>
      <c r="I14" s="1" t="s">
        <v>46</v>
      </c>
      <c r="J14" s="1">
        <v>2.31</v>
      </c>
      <c r="K14" s="1">
        <v>0</v>
      </c>
      <c r="L14" s="1">
        <v>13500</v>
      </c>
      <c r="M14" s="1">
        <v>6436</v>
      </c>
      <c r="N14" s="1">
        <v>14867.16</v>
      </c>
      <c r="O14" s="1">
        <v>-52.33</v>
      </c>
      <c r="P14" s="1">
        <v>0</v>
      </c>
      <c r="Q14" s="1" t="s">
        <v>86</v>
      </c>
      <c r="R14" s="1">
        <v>0</v>
      </c>
      <c r="S14" s="1" t="s">
        <v>86</v>
      </c>
      <c r="T14" s="1" t="s">
        <v>86</v>
      </c>
      <c r="U14" s="1" t="s">
        <v>136</v>
      </c>
      <c r="V14" s="1" t="s">
        <v>86</v>
      </c>
      <c r="W14" s="1" t="s">
        <v>206</v>
      </c>
      <c r="X14" s="1" t="s">
        <v>86</v>
      </c>
      <c r="Y14" s="1" t="s">
        <v>89</v>
      </c>
      <c r="Z14" s="1" t="s">
        <v>89</v>
      </c>
      <c r="AA14" s="1" t="s">
        <v>119</v>
      </c>
      <c r="AB14" s="1" t="s">
        <v>86</v>
      </c>
      <c r="AC14" s="1" t="s">
        <v>207</v>
      </c>
      <c r="AD14" s="1">
        <v>68.9</v>
      </c>
      <c r="AE14" s="1">
        <v>61</v>
      </c>
      <c r="AF14" s="1" t="s">
        <v>91</v>
      </c>
      <c r="AG14" s="1">
        <v>3.2</v>
      </c>
      <c r="AH14" s="1">
        <v>35.7</v>
      </c>
      <c r="AI14" s="1" t="s">
        <v>86</v>
      </c>
      <c r="AJ14" s="1">
        <v>1.1</v>
      </c>
      <c r="AK14" s="1" t="s">
        <v>111</v>
      </c>
      <c r="AL14" s="1" t="s">
        <v>151</v>
      </c>
      <c r="AM14" s="1" t="s">
        <v>151</v>
      </c>
      <c r="AN14" s="1" t="s">
        <v>168</v>
      </c>
      <c r="AO14" s="1" t="s">
        <v>208</v>
      </c>
      <c r="AP14" s="1" t="s">
        <v>95</v>
      </c>
      <c r="AQ14" s="1">
        <v>14.1</v>
      </c>
      <c r="AR14" s="1">
        <v>51.2</v>
      </c>
      <c r="AS14" s="1">
        <v>38.3</v>
      </c>
      <c r="AT14" s="1" t="s">
        <v>96</v>
      </c>
      <c r="AU14" s="1" t="s">
        <v>86</v>
      </c>
      <c r="AV14" s="1" t="s">
        <v>86</v>
      </c>
      <c r="AW14" s="1" t="s">
        <v>86</v>
      </c>
      <c r="AX14" s="1" t="s">
        <v>86</v>
      </c>
      <c r="AY14" s="1" t="s">
        <v>86</v>
      </c>
      <c r="AZ14" s="1" t="s">
        <v>86</v>
      </c>
      <c r="BA14" s="1" t="s">
        <v>86</v>
      </c>
      <c r="BB14" s="1" t="s">
        <v>86</v>
      </c>
      <c r="BC14" s="1" t="s">
        <v>86</v>
      </c>
      <c r="BD14" s="1" t="s">
        <v>86</v>
      </c>
      <c r="BE14" s="1" t="s">
        <v>86</v>
      </c>
      <c r="BF14" s="1" t="s">
        <v>86</v>
      </c>
      <c r="BG14" s="1" t="s">
        <v>86</v>
      </c>
      <c r="BH14" s="1" t="s">
        <v>182</v>
      </c>
      <c r="BI14" s="1" t="s">
        <v>199</v>
      </c>
      <c r="BJ14" s="1" t="s">
        <v>87</v>
      </c>
      <c r="BK14" s="1">
        <v>0</v>
      </c>
      <c r="BL14" s="1">
        <v>0</v>
      </c>
      <c r="BM14" s="1" t="s">
        <v>86</v>
      </c>
      <c r="BN14" s="1" t="s">
        <v>209</v>
      </c>
      <c r="BO14" s="1" t="s">
        <v>210</v>
      </c>
      <c r="BP14" s="1" t="s">
        <v>86</v>
      </c>
      <c r="BQ14" s="1" t="s">
        <v>86</v>
      </c>
      <c r="BR14" s="1" t="s">
        <v>86</v>
      </c>
      <c r="BS14" s="1" t="s">
        <v>86</v>
      </c>
      <c r="BT14" s="1" t="s">
        <v>86</v>
      </c>
      <c r="BU14" s="1" t="s">
        <v>86</v>
      </c>
      <c r="BV14" s="1" t="s">
        <v>86</v>
      </c>
      <c r="BW14" s="1" t="s">
        <v>101</v>
      </c>
      <c r="BX14" s="1" t="s">
        <v>86</v>
      </c>
      <c r="BY14" s="1" t="s">
        <v>86</v>
      </c>
      <c r="BZ14" s="1" t="s">
        <v>211</v>
      </c>
      <c r="CA14" s="1" t="s">
        <v>195</v>
      </c>
      <c r="CB14" s="1" t="s">
        <v>166</v>
      </c>
      <c r="CC14" s="1" t="s">
        <v>86</v>
      </c>
      <c r="CD14" s="1" t="s">
        <v>86</v>
      </c>
      <c r="CE14" s="1" t="s">
        <v>86</v>
      </c>
    </row>
    <row r="15">
      <c r="A15" s="1">
        <v>13</v>
      </c>
      <c r="B15" s="1" t="s">
        <v>157</v>
      </c>
      <c r="C15" s="2">
        <f>=HYPERLINK("https://i.stonehdfile.com/stoneimage?s=825229fd-b4ac-4605-9ac8-c150f23c9564","Image")</f>
      </c>
      <c r="D15" s="2">
        <f>=HYPERLINK("https://dna.stonehdfile.com/hd/viewhd.html?d=a7d0d614-0198-4ff0-886c-acb625c57508","View360")</f>
      </c>
      <c r="E15" s="2">
        <f>=HYPERLINK("https://i.stonehdfile.com/Certificate?s=825229fd-b4ac-4605-9ac8-c150f23c9564","GIA")</f>
      </c>
      <c r="F15" s="2">
        <f>=HYPERLINK("https://i.stonehdfile.com/DNAReport?s=825229fd-b4ac-4605-9ac8-c150f23c9564","DNA")</f>
      </c>
      <c r="G15" s="2">
        <f>=HYPERLINK("https://www.gia.edu/report-check?reportno=******5359","Verify")</f>
      </c>
      <c r="H15" s="1" t="s">
        <v>212</v>
      </c>
      <c r="I15" s="1" t="s">
        <v>46</v>
      </c>
      <c r="J15" s="1">
        <v>2</v>
      </c>
      <c r="K15" s="1">
        <v>0</v>
      </c>
      <c r="L15" s="1">
        <v>10900</v>
      </c>
      <c r="M15" s="1">
        <v>4600</v>
      </c>
      <c r="N15" s="1">
        <v>9200</v>
      </c>
      <c r="O15" s="1">
        <v>-57.8</v>
      </c>
      <c r="P15" s="1">
        <v>0</v>
      </c>
      <c r="Q15" s="1" t="s">
        <v>86</v>
      </c>
      <c r="R15" s="1">
        <v>0</v>
      </c>
      <c r="S15" s="1" t="s">
        <v>86</v>
      </c>
      <c r="T15" s="1" t="s">
        <v>86</v>
      </c>
      <c r="U15" s="1" t="s">
        <v>136</v>
      </c>
      <c r="V15" s="1" t="s">
        <v>86</v>
      </c>
      <c r="W15" s="1" t="s">
        <v>213</v>
      </c>
      <c r="X15" s="1" t="s">
        <v>86</v>
      </c>
      <c r="Y15" s="1" t="s">
        <v>89</v>
      </c>
      <c r="Z15" s="1" t="s">
        <v>89</v>
      </c>
      <c r="AA15" s="1" t="s">
        <v>87</v>
      </c>
      <c r="AB15" s="1" t="s">
        <v>86</v>
      </c>
      <c r="AC15" s="1" t="s">
        <v>214</v>
      </c>
      <c r="AD15" s="1">
        <v>65.8</v>
      </c>
      <c r="AE15" s="1">
        <v>63</v>
      </c>
      <c r="AF15" s="1" t="s">
        <v>91</v>
      </c>
      <c r="AG15" s="1">
        <v>3.8</v>
      </c>
      <c r="AH15" s="1">
        <v>35</v>
      </c>
      <c r="AI15" s="1" t="s">
        <v>86</v>
      </c>
      <c r="AJ15" s="1">
        <v>1.05</v>
      </c>
      <c r="AK15" s="1" t="s">
        <v>198</v>
      </c>
      <c r="AL15" s="1" t="s">
        <v>128</v>
      </c>
      <c r="AM15" s="1" t="s">
        <v>151</v>
      </c>
      <c r="AN15" s="1" t="s">
        <v>168</v>
      </c>
      <c r="AO15" s="1" t="s">
        <v>208</v>
      </c>
      <c r="AP15" s="1" t="s">
        <v>95</v>
      </c>
      <c r="AQ15" s="1">
        <v>13.1</v>
      </c>
      <c r="AR15" s="1">
        <v>48.7</v>
      </c>
      <c r="AS15" s="1">
        <v>37.6</v>
      </c>
      <c r="AT15" s="1" t="s">
        <v>96</v>
      </c>
      <c r="AU15" s="1" t="s">
        <v>141</v>
      </c>
      <c r="AV15" s="1" t="s">
        <v>86</v>
      </c>
      <c r="AW15" s="1" t="s">
        <v>141</v>
      </c>
      <c r="AX15" s="1" t="s">
        <v>86</v>
      </c>
      <c r="AY15" s="1" t="s">
        <v>86</v>
      </c>
      <c r="AZ15" s="1" t="s">
        <v>86</v>
      </c>
      <c r="BA15" s="1" t="s">
        <v>86</v>
      </c>
      <c r="BB15" s="1" t="s">
        <v>86</v>
      </c>
      <c r="BC15" s="1" t="s">
        <v>86</v>
      </c>
      <c r="BD15" s="1" t="s">
        <v>86</v>
      </c>
      <c r="BE15" s="1" t="s">
        <v>86</v>
      </c>
      <c r="BF15" s="1" t="s">
        <v>86</v>
      </c>
      <c r="BG15" s="1" t="s">
        <v>86</v>
      </c>
      <c r="BH15" s="1" t="s">
        <v>215</v>
      </c>
      <c r="BI15" s="1" t="s">
        <v>216</v>
      </c>
      <c r="BJ15" s="1" t="s">
        <v>87</v>
      </c>
      <c r="BK15" s="1">
        <v>0</v>
      </c>
      <c r="BL15" s="1">
        <v>0</v>
      </c>
      <c r="BM15" s="1" t="s">
        <v>86</v>
      </c>
      <c r="BN15" s="1" t="s">
        <v>217</v>
      </c>
      <c r="BO15" s="1" t="s">
        <v>218</v>
      </c>
      <c r="BP15" s="1" t="s">
        <v>86</v>
      </c>
      <c r="BQ15" s="1" t="s">
        <v>86</v>
      </c>
      <c r="BR15" s="1" t="s">
        <v>86</v>
      </c>
      <c r="BS15" s="1" t="s">
        <v>86</v>
      </c>
      <c r="BT15" s="1" t="s">
        <v>86</v>
      </c>
      <c r="BU15" s="1" t="s">
        <v>86</v>
      </c>
      <c r="BV15" s="1" t="s">
        <v>86</v>
      </c>
      <c r="BW15" s="1" t="s">
        <v>101</v>
      </c>
      <c r="BX15" s="1" t="s">
        <v>86</v>
      </c>
      <c r="BY15" s="1" t="s">
        <v>86</v>
      </c>
      <c r="BZ15" s="1" t="s">
        <v>219</v>
      </c>
      <c r="CA15" s="1" t="s">
        <v>220</v>
      </c>
      <c r="CB15" s="1" t="s">
        <v>221</v>
      </c>
      <c r="CC15" s="1" t="s">
        <v>86</v>
      </c>
      <c r="CD15" s="1" t="s">
        <v>86</v>
      </c>
      <c r="CE15" s="1" t="s">
        <v>86</v>
      </c>
    </row>
    <row r="16">
      <c r="A16" s="1">
        <v>14</v>
      </c>
      <c r="B16" s="1" t="s">
        <v>157</v>
      </c>
      <c r="C16" s="2">
        <f>=HYPERLINK("https://i.stonehdfile.com/stoneimage?s=a2d7ae64-9565-4604-a022-6fc83cf2f66c","Image")</f>
      </c>
      <c r="D16" s="2">
        <f>=HYPERLINK("https://dna.stonehdfile.com/hd/viewhd.html?d=526bd0ef-5372-4c9d-a000-7f049e62a6fd","View360")</f>
      </c>
      <c r="E16" s="2">
        <f>=HYPERLINK("https://i.stonehdfile.com/Certificate?s=a2d7ae64-9565-4604-a022-6fc83cf2f66c","GIA")</f>
      </c>
      <c r="F16" s="2">
        <f>=HYPERLINK("https://i.stonehdfile.com/DNAReport?s=a2d7ae64-9565-4604-a022-6fc83cf2f66c","DNA")</f>
      </c>
      <c r="G16" s="2">
        <f>=HYPERLINK("https://www.gia.edu/report-check?reportno=******7173","Verify")</f>
      </c>
      <c r="H16" s="1" t="s">
        <v>222</v>
      </c>
      <c r="I16" s="1" t="s">
        <v>46</v>
      </c>
      <c r="J16" s="1">
        <v>2.5</v>
      </c>
      <c r="K16" s="1">
        <v>0</v>
      </c>
      <c r="L16" s="1">
        <v>15500</v>
      </c>
      <c r="M16" s="1">
        <v>8347</v>
      </c>
      <c r="N16" s="1">
        <v>20867.5</v>
      </c>
      <c r="O16" s="1">
        <v>-46.15</v>
      </c>
      <c r="P16" s="1">
        <v>0</v>
      </c>
      <c r="Q16" s="1" t="s">
        <v>86</v>
      </c>
      <c r="R16" s="1">
        <v>0</v>
      </c>
      <c r="S16" s="1" t="s">
        <v>86</v>
      </c>
      <c r="T16" s="1" t="s">
        <v>86</v>
      </c>
      <c r="U16" s="1" t="s">
        <v>87</v>
      </c>
      <c r="V16" s="1" t="s">
        <v>86</v>
      </c>
      <c r="W16" s="1" t="s">
        <v>223</v>
      </c>
      <c r="X16" s="1" t="s">
        <v>86</v>
      </c>
      <c r="Y16" s="1" t="s">
        <v>89</v>
      </c>
      <c r="Z16" s="1" t="s">
        <v>89</v>
      </c>
      <c r="AA16" s="1" t="s">
        <v>119</v>
      </c>
      <c r="AB16" s="1" t="s">
        <v>86</v>
      </c>
      <c r="AC16" s="1" t="s">
        <v>224</v>
      </c>
      <c r="AD16" s="1">
        <v>70.2</v>
      </c>
      <c r="AE16" s="1">
        <v>64</v>
      </c>
      <c r="AF16" s="1" t="s">
        <v>91</v>
      </c>
      <c r="AG16" s="1">
        <v>4</v>
      </c>
      <c r="AH16" s="1">
        <v>37.2</v>
      </c>
      <c r="AI16" s="1" t="s">
        <v>86</v>
      </c>
      <c r="AJ16" s="1">
        <v>1</v>
      </c>
      <c r="AK16" s="1" t="s">
        <v>111</v>
      </c>
      <c r="AL16" s="1" t="s">
        <v>93</v>
      </c>
      <c r="AM16" s="1" t="s">
        <v>128</v>
      </c>
      <c r="AN16" s="1" t="s">
        <v>171</v>
      </c>
      <c r="AO16" s="1" t="s">
        <v>94</v>
      </c>
      <c r="AP16" s="1" t="s">
        <v>95</v>
      </c>
      <c r="AQ16" s="1">
        <v>13.6</v>
      </c>
      <c r="AR16" s="1">
        <v>52.3</v>
      </c>
      <c r="AS16" s="1">
        <v>39.2</v>
      </c>
      <c r="AT16" s="1" t="s">
        <v>96</v>
      </c>
      <c r="AU16" s="1" t="s">
        <v>86</v>
      </c>
      <c r="AV16" s="1" t="s">
        <v>86</v>
      </c>
      <c r="AW16" s="1" t="s">
        <v>86</v>
      </c>
      <c r="AX16" s="1" t="s">
        <v>86</v>
      </c>
      <c r="AY16" s="1" t="s">
        <v>86</v>
      </c>
      <c r="AZ16" s="1" t="s">
        <v>86</v>
      </c>
      <c r="BA16" s="1" t="s">
        <v>86</v>
      </c>
      <c r="BB16" s="1" t="s">
        <v>86</v>
      </c>
      <c r="BC16" s="1" t="s">
        <v>86</v>
      </c>
      <c r="BD16" s="1" t="s">
        <v>86</v>
      </c>
      <c r="BE16" s="1" t="s">
        <v>86</v>
      </c>
      <c r="BF16" s="1" t="s">
        <v>86</v>
      </c>
      <c r="BG16" s="1" t="s">
        <v>86</v>
      </c>
      <c r="BH16" s="1" t="s">
        <v>129</v>
      </c>
      <c r="BI16" s="1" t="s">
        <v>225</v>
      </c>
      <c r="BJ16" s="1" t="s">
        <v>87</v>
      </c>
      <c r="BK16" s="1">
        <v>0</v>
      </c>
      <c r="BL16" s="1">
        <v>0</v>
      </c>
      <c r="BM16" s="1" t="s">
        <v>86</v>
      </c>
      <c r="BN16" s="1" t="s">
        <v>226</v>
      </c>
      <c r="BO16" s="1" t="s">
        <v>227</v>
      </c>
      <c r="BP16" s="1" t="s">
        <v>86</v>
      </c>
      <c r="BQ16" s="1" t="s">
        <v>86</v>
      </c>
      <c r="BR16" s="1" t="s">
        <v>86</v>
      </c>
      <c r="BS16" s="1" t="s">
        <v>86</v>
      </c>
      <c r="BT16" s="1" t="s">
        <v>86</v>
      </c>
      <c r="BU16" s="1" t="s">
        <v>86</v>
      </c>
      <c r="BV16" s="1" t="s">
        <v>86</v>
      </c>
      <c r="BW16" s="1" t="s">
        <v>101</v>
      </c>
      <c r="BX16" s="1" t="s">
        <v>86</v>
      </c>
      <c r="BY16" s="1" t="s">
        <v>86</v>
      </c>
      <c r="BZ16" s="1" t="s">
        <v>228</v>
      </c>
      <c r="CA16" s="1" t="s">
        <v>229</v>
      </c>
      <c r="CB16" s="1" t="s">
        <v>166</v>
      </c>
      <c r="CC16" s="1" t="s">
        <v>86</v>
      </c>
      <c r="CD16" s="1" t="s">
        <v>86</v>
      </c>
      <c r="CE16" s="1" t="s">
        <v>86</v>
      </c>
    </row>
    <row r="17">
      <c r="A17" s="1">
        <v>15</v>
      </c>
      <c r="B17" s="1" t="s">
        <v>157</v>
      </c>
      <c r="C17" s="2">
        <f>=HYPERLINK("https://i.stonehdfile.com/stoneimage?s=36b99af4-0fe4-4709-85e2-83a8d4f067a2","Image")</f>
      </c>
      <c r="D17" s="2">
        <f>=HYPERLINK("https://dna.stonehdfile.com/hd/viewhd.html?d=b959196e-ed46-4517-be0a-9a34636471d5","View360")</f>
      </c>
      <c r="E17" s="2">
        <f>=HYPERLINK("https://i.stonehdfile.com/Certificate?s=36b99af4-0fe4-4709-85e2-83a8d4f067a2","GIA")</f>
      </c>
      <c r="F17" s="2">
        <f>=HYPERLINK("https://i.stonehdfile.com/DNAReport?s=36b99af4-0fe4-4709-85e2-83a8d4f067a2","DNA")</f>
      </c>
      <c r="G17" s="2">
        <f>=HYPERLINK("https://www.gia.edu/report-check?reportno=******0760","Verify")</f>
      </c>
      <c r="H17" s="1" t="s">
        <v>230</v>
      </c>
      <c r="I17" s="1" t="s">
        <v>46</v>
      </c>
      <c r="J17" s="1">
        <v>2.02</v>
      </c>
      <c r="K17" s="1">
        <v>0</v>
      </c>
      <c r="L17" s="1">
        <v>10400</v>
      </c>
      <c r="M17" s="1">
        <v>4804</v>
      </c>
      <c r="N17" s="1">
        <v>9704.08</v>
      </c>
      <c r="O17" s="1">
        <v>-53.81</v>
      </c>
      <c r="P17" s="1">
        <v>0</v>
      </c>
      <c r="Q17" s="1" t="s">
        <v>86</v>
      </c>
      <c r="R17" s="1">
        <v>0</v>
      </c>
      <c r="S17" s="1" t="s">
        <v>86</v>
      </c>
      <c r="T17" s="1" t="s">
        <v>86</v>
      </c>
      <c r="U17" s="1" t="s">
        <v>87</v>
      </c>
      <c r="V17" s="1" t="s">
        <v>86</v>
      </c>
      <c r="W17" s="1" t="s">
        <v>213</v>
      </c>
      <c r="X17" s="1" t="s">
        <v>86</v>
      </c>
      <c r="Y17" s="1" t="s">
        <v>89</v>
      </c>
      <c r="Z17" s="1" t="s">
        <v>89</v>
      </c>
      <c r="AA17" s="1" t="s">
        <v>119</v>
      </c>
      <c r="AB17" s="1" t="s">
        <v>86</v>
      </c>
      <c r="AC17" s="1" t="s">
        <v>231</v>
      </c>
      <c r="AD17" s="1">
        <v>68.4</v>
      </c>
      <c r="AE17" s="1">
        <v>61</v>
      </c>
      <c r="AF17" s="1" t="s">
        <v>91</v>
      </c>
      <c r="AG17" s="1">
        <v>3.3</v>
      </c>
      <c r="AH17" s="1">
        <v>35.9</v>
      </c>
      <c r="AI17" s="1" t="s">
        <v>86</v>
      </c>
      <c r="AJ17" s="1">
        <v>1.03</v>
      </c>
      <c r="AK17" s="1" t="s">
        <v>111</v>
      </c>
      <c r="AL17" s="1" t="s">
        <v>128</v>
      </c>
      <c r="AM17" s="1" t="s">
        <v>151</v>
      </c>
      <c r="AN17" s="1" t="s">
        <v>171</v>
      </c>
      <c r="AO17" s="1" t="s">
        <v>94</v>
      </c>
      <c r="AP17" s="1" t="s">
        <v>95</v>
      </c>
      <c r="AQ17" s="1">
        <v>14.3</v>
      </c>
      <c r="AR17" s="1">
        <v>50.4</v>
      </c>
      <c r="AS17" s="1">
        <v>39.1</v>
      </c>
      <c r="AT17" s="1" t="s">
        <v>96</v>
      </c>
      <c r="AU17" s="1" t="s">
        <v>86</v>
      </c>
      <c r="AV17" s="1" t="s">
        <v>86</v>
      </c>
      <c r="AW17" s="1" t="s">
        <v>86</v>
      </c>
      <c r="AX17" s="1" t="s">
        <v>86</v>
      </c>
      <c r="AY17" s="1" t="s">
        <v>86</v>
      </c>
      <c r="AZ17" s="1" t="s">
        <v>86</v>
      </c>
      <c r="BA17" s="1" t="s">
        <v>86</v>
      </c>
      <c r="BB17" s="1" t="s">
        <v>86</v>
      </c>
      <c r="BC17" s="1" t="s">
        <v>86</v>
      </c>
      <c r="BD17" s="1" t="s">
        <v>86</v>
      </c>
      <c r="BE17" s="1" t="s">
        <v>86</v>
      </c>
      <c r="BF17" s="1" t="s">
        <v>86</v>
      </c>
      <c r="BG17" s="1" t="s">
        <v>86</v>
      </c>
      <c r="BH17" s="1" t="s">
        <v>97</v>
      </c>
      <c r="BI17" s="1" t="s">
        <v>232</v>
      </c>
      <c r="BJ17" s="1" t="s">
        <v>87</v>
      </c>
      <c r="BK17" s="1">
        <v>0</v>
      </c>
      <c r="BL17" s="1">
        <v>0</v>
      </c>
      <c r="BM17" s="1" t="s">
        <v>86</v>
      </c>
      <c r="BN17" s="1" t="s">
        <v>233</v>
      </c>
      <c r="BO17" s="1" t="s">
        <v>201</v>
      </c>
      <c r="BP17" s="1" t="s">
        <v>86</v>
      </c>
      <c r="BQ17" s="1" t="s">
        <v>86</v>
      </c>
      <c r="BR17" s="1" t="s">
        <v>86</v>
      </c>
      <c r="BS17" s="1" t="s">
        <v>86</v>
      </c>
      <c r="BT17" s="1" t="s">
        <v>86</v>
      </c>
      <c r="BU17" s="1" t="s">
        <v>86</v>
      </c>
      <c r="BV17" s="1" t="s">
        <v>86</v>
      </c>
      <c r="BW17" s="1" t="s">
        <v>101</v>
      </c>
      <c r="BX17" s="1" t="s">
        <v>86</v>
      </c>
      <c r="BY17" s="1" t="s">
        <v>86</v>
      </c>
      <c r="BZ17" s="1" t="s">
        <v>234</v>
      </c>
      <c r="CA17" s="1" t="s">
        <v>220</v>
      </c>
      <c r="CB17" s="1" t="s">
        <v>221</v>
      </c>
      <c r="CC17" s="1" t="s">
        <v>86</v>
      </c>
      <c r="CD17" s="1" t="s">
        <v>86</v>
      </c>
      <c r="CE17" s="1" t="s">
        <v>86</v>
      </c>
    </row>
    <row r="18">
      <c r="A18" s="1">
        <v>16</v>
      </c>
      <c r="B18" s="1" t="s">
        <v>157</v>
      </c>
      <c r="C18" s="2">
        <f>=HYPERLINK("https://i.stonehdfile.com/stoneimage?s=8e71d086-ef6b-4634-86ec-94a35175f937","Image")</f>
      </c>
      <c r="D18" s="2">
        <f>=HYPERLINK("https://dna.stonehdfile.com/hd/viewhd.html?d=60679165-be5a-4f23-8186-5391939736ba","View360")</f>
      </c>
      <c r="E18" s="2">
        <f>=HYPERLINK("https://i.stonehdfile.com/Certificate?s=8e71d086-ef6b-4634-86ec-94a35175f937","GIA")</f>
      </c>
      <c r="F18" s="2">
        <f>=HYPERLINK("https://i.stonehdfile.com/DNAReport?s=8e71d086-ef6b-4634-86ec-94a35175f937","DNA")</f>
      </c>
      <c r="G18" s="2">
        <f>=HYPERLINK("https://www.gia.edu/report-check?reportno=******0824","Verify")</f>
      </c>
      <c r="H18" s="1" t="s">
        <v>235</v>
      </c>
      <c r="I18" s="1" t="s">
        <v>46</v>
      </c>
      <c r="J18" s="1">
        <v>2.01</v>
      </c>
      <c r="K18" s="1">
        <v>0</v>
      </c>
      <c r="L18" s="1">
        <v>16500</v>
      </c>
      <c r="M18" s="1">
        <v>8804</v>
      </c>
      <c r="N18" s="1">
        <v>17696.04</v>
      </c>
      <c r="O18" s="1">
        <v>-46.64</v>
      </c>
      <c r="P18" s="1">
        <v>0</v>
      </c>
      <c r="Q18" s="1" t="s">
        <v>86</v>
      </c>
      <c r="R18" s="1">
        <v>0</v>
      </c>
      <c r="S18" s="1" t="s">
        <v>86</v>
      </c>
      <c r="T18" s="1" t="s">
        <v>86</v>
      </c>
      <c r="U18" s="1" t="s">
        <v>106</v>
      </c>
      <c r="V18" s="1" t="s">
        <v>86</v>
      </c>
      <c r="W18" s="1" t="s">
        <v>88</v>
      </c>
      <c r="X18" s="1" t="s">
        <v>86</v>
      </c>
      <c r="Y18" s="1" t="s">
        <v>89</v>
      </c>
      <c r="Z18" s="1" t="s">
        <v>89</v>
      </c>
      <c r="AA18" s="1" t="s">
        <v>119</v>
      </c>
      <c r="AB18" s="1" t="s">
        <v>86</v>
      </c>
      <c r="AC18" s="1" t="s">
        <v>236</v>
      </c>
      <c r="AD18" s="1">
        <v>68.7</v>
      </c>
      <c r="AE18" s="1">
        <v>62</v>
      </c>
      <c r="AF18" s="1" t="s">
        <v>91</v>
      </c>
      <c r="AG18" s="1">
        <v>3.2</v>
      </c>
      <c r="AH18" s="1">
        <v>36.7</v>
      </c>
      <c r="AI18" s="1" t="s">
        <v>86</v>
      </c>
      <c r="AJ18" s="1">
        <v>1</v>
      </c>
      <c r="AK18" s="1" t="s">
        <v>190</v>
      </c>
      <c r="AL18" s="1" t="s">
        <v>93</v>
      </c>
      <c r="AM18" s="1" t="s">
        <v>93</v>
      </c>
      <c r="AN18" s="1" t="s">
        <v>86</v>
      </c>
      <c r="AO18" s="1" t="s">
        <v>94</v>
      </c>
      <c r="AP18" s="1" t="s">
        <v>95</v>
      </c>
      <c r="AQ18" s="1">
        <v>14.4</v>
      </c>
      <c r="AR18" s="1">
        <v>51.1</v>
      </c>
      <c r="AS18" s="1">
        <v>38.6</v>
      </c>
      <c r="AT18" s="1" t="s">
        <v>96</v>
      </c>
      <c r="AU18" s="1" t="s">
        <v>86</v>
      </c>
      <c r="AV18" s="1" t="s">
        <v>86</v>
      </c>
      <c r="AW18" s="1" t="s">
        <v>86</v>
      </c>
      <c r="AX18" s="1" t="s">
        <v>86</v>
      </c>
      <c r="AY18" s="1" t="s">
        <v>86</v>
      </c>
      <c r="AZ18" s="1" t="s">
        <v>86</v>
      </c>
      <c r="BA18" s="1" t="s">
        <v>86</v>
      </c>
      <c r="BB18" s="1" t="s">
        <v>86</v>
      </c>
      <c r="BC18" s="1" t="s">
        <v>86</v>
      </c>
      <c r="BD18" s="1" t="s">
        <v>86</v>
      </c>
      <c r="BE18" s="1" t="s">
        <v>86</v>
      </c>
      <c r="BF18" s="1" t="s">
        <v>86</v>
      </c>
      <c r="BG18" s="1" t="s">
        <v>86</v>
      </c>
      <c r="BH18" s="1" t="s">
        <v>97</v>
      </c>
      <c r="BI18" s="1" t="s">
        <v>199</v>
      </c>
      <c r="BJ18" s="1" t="s">
        <v>87</v>
      </c>
      <c r="BK18" s="1">
        <v>0</v>
      </c>
      <c r="BL18" s="1">
        <v>0</v>
      </c>
      <c r="BM18" s="1" t="s">
        <v>86</v>
      </c>
      <c r="BN18" s="1" t="s">
        <v>237</v>
      </c>
      <c r="BO18" s="1" t="s">
        <v>238</v>
      </c>
      <c r="BP18" s="1" t="s">
        <v>86</v>
      </c>
      <c r="BQ18" s="1" t="s">
        <v>86</v>
      </c>
      <c r="BR18" s="1" t="s">
        <v>86</v>
      </c>
      <c r="BS18" s="1" t="s">
        <v>86</v>
      </c>
      <c r="BT18" s="1" t="s">
        <v>86</v>
      </c>
      <c r="BU18" s="1" t="s">
        <v>86</v>
      </c>
      <c r="BV18" s="1" t="s">
        <v>86</v>
      </c>
      <c r="BW18" s="1" t="s">
        <v>101</v>
      </c>
      <c r="BX18" s="1" t="s">
        <v>86</v>
      </c>
      <c r="BY18" s="1" t="s">
        <v>86</v>
      </c>
      <c r="BZ18" s="1" t="s">
        <v>239</v>
      </c>
      <c r="CA18" s="1" t="s">
        <v>103</v>
      </c>
      <c r="CB18" s="1" t="s">
        <v>86</v>
      </c>
      <c r="CC18" s="1" t="s">
        <v>86</v>
      </c>
      <c r="CD18" s="1" t="s">
        <v>86</v>
      </c>
      <c r="CE18" s="1" t="s">
        <v>86</v>
      </c>
    </row>
    <row r="19">
      <c r="A19" s="1">
        <v>17</v>
      </c>
      <c r="B19" s="1" t="s">
        <v>157</v>
      </c>
      <c r="C19" s="2">
        <f>=HYPERLINK("https://i.stonehdfile.com/stoneimage?s=b7ff9736-d15c-4542-8d85-c3ddb7b249b6","Image")</f>
      </c>
      <c r="D19" s="2">
        <f>=HYPERLINK("https://dna.stonehdfile.com/hd/viewhd.html?d=63343679-e7b6-4993-bc0e-57de75e40882","View360")</f>
      </c>
      <c r="E19" s="2">
        <f>=HYPERLINK("https://i.stonehdfile.com/Certificate?s=b7ff9736-d15c-4542-8d85-c3ddb7b249b6","GIA")</f>
      </c>
      <c r="F19" s="2">
        <f>=HYPERLINK("https://i.stonehdfile.com/DNAReport?s=b7ff9736-d15c-4542-8d85-c3ddb7b249b6","DNA")</f>
      </c>
      <c r="G19" s="2">
        <f>=HYPERLINK("https://www.gia.edu/report-check?reportno=******7169","Verify")</f>
      </c>
      <c r="H19" s="1" t="s">
        <v>240</v>
      </c>
      <c r="I19" s="1" t="s">
        <v>46</v>
      </c>
      <c r="J19" s="1">
        <v>2.01</v>
      </c>
      <c r="K19" s="1">
        <v>0</v>
      </c>
      <c r="L19" s="1">
        <v>11700</v>
      </c>
      <c r="M19" s="1">
        <v>4469</v>
      </c>
      <c r="N19" s="1">
        <v>8982.69</v>
      </c>
      <c r="O19" s="1">
        <v>-61.8</v>
      </c>
      <c r="P19" s="1">
        <v>0</v>
      </c>
      <c r="Q19" s="1" t="s">
        <v>86</v>
      </c>
      <c r="R19" s="1">
        <v>0</v>
      </c>
      <c r="S19" s="1" t="s">
        <v>86</v>
      </c>
      <c r="T19" s="1" t="s">
        <v>86</v>
      </c>
      <c r="U19" s="1" t="s">
        <v>241</v>
      </c>
      <c r="V19" s="1" t="s">
        <v>86</v>
      </c>
      <c r="W19" s="1" t="s">
        <v>137</v>
      </c>
      <c r="X19" s="1" t="s">
        <v>86</v>
      </c>
      <c r="Y19" s="1" t="s">
        <v>89</v>
      </c>
      <c r="Z19" s="1" t="s">
        <v>89</v>
      </c>
      <c r="AA19" s="1" t="s">
        <v>108</v>
      </c>
      <c r="AB19" s="1" t="s">
        <v>109</v>
      </c>
      <c r="AC19" s="1" t="s">
        <v>242</v>
      </c>
      <c r="AD19" s="1">
        <v>71.1</v>
      </c>
      <c r="AE19" s="1">
        <v>58</v>
      </c>
      <c r="AF19" s="1" t="s">
        <v>91</v>
      </c>
      <c r="AG19" s="1">
        <v>4.9</v>
      </c>
      <c r="AH19" s="1">
        <v>37.1</v>
      </c>
      <c r="AI19" s="1" t="s">
        <v>86</v>
      </c>
      <c r="AJ19" s="1">
        <v>1</v>
      </c>
      <c r="AK19" s="1" t="s">
        <v>198</v>
      </c>
      <c r="AL19" s="1" t="s">
        <v>128</v>
      </c>
      <c r="AM19" s="1" t="s">
        <v>151</v>
      </c>
      <c r="AN19" s="1" t="s">
        <v>168</v>
      </c>
      <c r="AO19" s="1" t="s">
        <v>208</v>
      </c>
      <c r="AP19" s="1" t="s">
        <v>95</v>
      </c>
      <c r="AQ19" s="1">
        <v>16</v>
      </c>
      <c r="AR19" s="1">
        <v>49.9</v>
      </c>
      <c r="AS19" s="1">
        <v>38.8</v>
      </c>
      <c r="AT19" s="1" t="s">
        <v>96</v>
      </c>
      <c r="AU19" s="1" t="s">
        <v>86</v>
      </c>
      <c r="AV19" s="1" t="s">
        <v>86</v>
      </c>
      <c r="AW19" s="1" t="s">
        <v>86</v>
      </c>
      <c r="AX19" s="1" t="s">
        <v>86</v>
      </c>
      <c r="AY19" s="1" t="s">
        <v>86</v>
      </c>
      <c r="AZ19" s="1" t="s">
        <v>86</v>
      </c>
      <c r="BA19" s="1" t="s">
        <v>86</v>
      </c>
      <c r="BB19" s="1" t="s">
        <v>86</v>
      </c>
      <c r="BC19" s="1" t="s">
        <v>86</v>
      </c>
      <c r="BD19" s="1" t="s">
        <v>86</v>
      </c>
      <c r="BE19" s="1" t="s">
        <v>86</v>
      </c>
      <c r="BF19" s="1" t="s">
        <v>86</v>
      </c>
      <c r="BG19" s="1" t="s">
        <v>172</v>
      </c>
      <c r="BH19" s="1" t="s">
        <v>243</v>
      </c>
      <c r="BI19" s="1" t="s">
        <v>244</v>
      </c>
      <c r="BJ19" s="1" t="s">
        <v>87</v>
      </c>
      <c r="BK19" s="1">
        <v>0</v>
      </c>
      <c r="BL19" s="1">
        <v>0</v>
      </c>
      <c r="BM19" s="1" t="s">
        <v>86</v>
      </c>
      <c r="BN19" s="1" t="s">
        <v>245</v>
      </c>
      <c r="BO19" s="1" t="s">
        <v>246</v>
      </c>
      <c r="BP19" s="1" t="s">
        <v>86</v>
      </c>
      <c r="BQ19" s="1" t="s">
        <v>86</v>
      </c>
      <c r="BR19" s="1" t="s">
        <v>86</v>
      </c>
      <c r="BS19" s="1" t="s">
        <v>86</v>
      </c>
      <c r="BT19" s="1" t="s">
        <v>86</v>
      </c>
      <c r="BU19" s="1" t="s">
        <v>86</v>
      </c>
      <c r="BV19" s="1" t="s">
        <v>86</v>
      </c>
      <c r="BW19" s="1" t="s">
        <v>101</v>
      </c>
      <c r="BX19" s="1" t="s">
        <v>86</v>
      </c>
      <c r="BY19" s="1" t="s">
        <v>86</v>
      </c>
      <c r="BZ19" s="1" t="s">
        <v>247</v>
      </c>
      <c r="CA19" s="1" t="s">
        <v>248</v>
      </c>
      <c r="CB19" s="1" t="s">
        <v>179</v>
      </c>
      <c r="CC19" s="1" t="s">
        <v>86</v>
      </c>
      <c r="CD19" s="1" t="s">
        <v>86</v>
      </c>
      <c r="CE19" s="1" t="s">
        <v>86</v>
      </c>
    </row>
    <row r="20">
      <c r="A20" s="1">
        <v>18</v>
      </c>
      <c r="B20" s="1" t="s">
        <v>157</v>
      </c>
      <c r="C20" s="2">
        <f>=HYPERLINK("https://i.stonehdfile.com/stoneimage?s=553440a3-dea4-484c-b4c2-58d6cdbff658","Image")</f>
      </c>
      <c r="D20" s="2">
        <f>=HYPERLINK("https://dna.stonehdfile.com/hd/viewhd.html?d=705bbabc-07f8-4078-a645-118434d5fe3a","View360")</f>
      </c>
      <c r="E20" s="2">
        <f>=HYPERLINK("https://i.stonehdfile.com/Certificate?s=553440a3-dea4-484c-b4c2-58d6cdbff658","GIA")</f>
      </c>
      <c r="F20" s="2">
        <f>=HYPERLINK("https://i.stonehdfile.com/DNAReport?s=553440a3-dea4-484c-b4c2-58d6cdbff658","DNA")</f>
      </c>
      <c r="G20" s="2">
        <f>=HYPERLINK("https://www.gia.edu/report-check?reportno=******2563","Verify")</f>
      </c>
      <c r="H20" s="1" t="s">
        <v>249</v>
      </c>
      <c r="I20" s="1" t="s">
        <v>46</v>
      </c>
      <c r="J20" s="1">
        <v>2.02</v>
      </c>
      <c r="K20" s="1">
        <v>0</v>
      </c>
      <c r="L20" s="1">
        <v>11700</v>
      </c>
      <c r="M20" s="1">
        <v>5315</v>
      </c>
      <c r="N20" s="1">
        <v>10736.3</v>
      </c>
      <c r="O20" s="1">
        <v>-54.57</v>
      </c>
      <c r="P20" s="1">
        <v>0</v>
      </c>
      <c r="Q20" s="1" t="s">
        <v>86</v>
      </c>
      <c r="R20" s="1">
        <v>0</v>
      </c>
      <c r="S20" s="1" t="s">
        <v>86</v>
      </c>
      <c r="T20" s="1" t="s">
        <v>86</v>
      </c>
      <c r="U20" s="1" t="s">
        <v>106</v>
      </c>
      <c r="V20" s="1" t="s">
        <v>86</v>
      </c>
      <c r="W20" s="1" t="s">
        <v>137</v>
      </c>
      <c r="X20" s="1" t="s">
        <v>86</v>
      </c>
      <c r="Y20" s="1" t="s">
        <v>89</v>
      </c>
      <c r="Z20" s="1" t="s">
        <v>89</v>
      </c>
      <c r="AA20" s="1" t="s">
        <v>108</v>
      </c>
      <c r="AB20" s="1" t="s">
        <v>109</v>
      </c>
      <c r="AC20" s="1" t="s">
        <v>250</v>
      </c>
      <c r="AD20" s="1">
        <v>70.6</v>
      </c>
      <c r="AE20" s="1">
        <v>59</v>
      </c>
      <c r="AF20" s="1" t="s">
        <v>91</v>
      </c>
      <c r="AG20" s="1">
        <v>3.4</v>
      </c>
      <c r="AH20" s="1">
        <v>36.6</v>
      </c>
      <c r="AI20" s="1" t="s">
        <v>86</v>
      </c>
      <c r="AJ20" s="1">
        <v>1.01</v>
      </c>
      <c r="AK20" s="1" t="s">
        <v>111</v>
      </c>
      <c r="AL20" s="1" t="s">
        <v>93</v>
      </c>
      <c r="AM20" s="1" t="s">
        <v>93</v>
      </c>
      <c r="AN20" s="1" t="s">
        <v>168</v>
      </c>
      <c r="AO20" s="1" t="s">
        <v>94</v>
      </c>
      <c r="AP20" s="1" t="s">
        <v>95</v>
      </c>
      <c r="AQ20" s="1">
        <v>15.4</v>
      </c>
      <c r="AR20" s="1">
        <v>51.6</v>
      </c>
      <c r="AS20" s="1">
        <v>38.9</v>
      </c>
      <c r="AT20" s="1" t="s">
        <v>96</v>
      </c>
      <c r="AU20" s="1" t="s">
        <v>86</v>
      </c>
      <c r="AV20" s="1" t="s">
        <v>86</v>
      </c>
      <c r="AW20" s="1" t="s">
        <v>86</v>
      </c>
      <c r="AX20" s="1" t="s">
        <v>86</v>
      </c>
      <c r="AY20" s="1" t="s">
        <v>86</v>
      </c>
      <c r="AZ20" s="1" t="s">
        <v>86</v>
      </c>
      <c r="BA20" s="1" t="s">
        <v>86</v>
      </c>
      <c r="BB20" s="1" t="s">
        <v>86</v>
      </c>
      <c r="BC20" s="1" t="s">
        <v>86</v>
      </c>
      <c r="BD20" s="1" t="s">
        <v>86</v>
      </c>
      <c r="BE20" s="1" t="s">
        <v>86</v>
      </c>
      <c r="BF20" s="1" t="s">
        <v>86</v>
      </c>
      <c r="BG20" s="1" t="s">
        <v>86</v>
      </c>
      <c r="BH20" s="1" t="s">
        <v>97</v>
      </c>
      <c r="BI20" s="1" t="s">
        <v>191</v>
      </c>
      <c r="BJ20" s="1" t="s">
        <v>87</v>
      </c>
      <c r="BK20" s="1">
        <v>0</v>
      </c>
      <c r="BL20" s="1">
        <v>0</v>
      </c>
      <c r="BM20" s="1" t="s">
        <v>86</v>
      </c>
      <c r="BN20" s="1" t="s">
        <v>251</v>
      </c>
      <c r="BO20" s="1" t="s">
        <v>252</v>
      </c>
      <c r="BP20" s="1" t="s">
        <v>86</v>
      </c>
      <c r="BQ20" s="1" t="s">
        <v>86</v>
      </c>
      <c r="BR20" s="1" t="s">
        <v>86</v>
      </c>
      <c r="BS20" s="1" t="s">
        <v>86</v>
      </c>
      <c r="BT20" s="1" t="s">
        <v>86</v>
      </c>
      <c r="BU20" s="1" t="s">
        <v>86</v>
      </c>
      <c r="BV20" s="1" t="s">
        <v>86</v>
      </c>
      <c r="BW20" s="1" t="s">
        <v>101</v>
      </c>
      <c r="BX20" s="1" t="s">
        <v>86</v>
      </c>
      <c r="BY20" s="1" t="s">
        <v>86</v>
      </c>
      <c r="BZ20" s="1" t="s">
        <v>253</v>
      </c>
      <c r="CA20" s="1" t="s">
        <v>254</v>
      </c>
      <c r="CB20" s="1" t="s">
        <v>86</v>
      </c>
      <c r="CC20" s="1" t="s">
        <v>86</v>
      </c>
      <c r="CD20" s="1" t="s">
        <v>86</v>
      </c>
      <c r="CE20" s="1" t="s">
        <v>86</v>
      </c>
    </row>
    <row r="21">
      <c r="A21" s="1">
        <v>19</v>
      </c>
      <c r="B21" s="1" t="s">
        <v>157</v>
      </c>
      <c r="C21" s="2">
        <f>=HYPERLINK("https://i.stonehdfile.com/stoneimage?s=5c16265a-b0a1-4edd-971b-a554905634a6","Image")</f>
      </c>
      <c r="D21" s="2">
        <f>=HYPERLINK("https://dna.stonehdfile.com/hd/viewhd.html?d=0fb62df9-dfbf-4585-85e2-b4b37b97a3b9","View360")</f>
      </c>
      <c r="E21" s="2">
        <f>=HYPERLINK("https://i.stonehdfile.com/Certificate?s=5c16265a-b0a1-4edd-971b-a554905634a6","GIA")</f>
      </c>
      <c r="F21" s="2">
        <f>=HYPERLINK("https://i.stonehdfile.com/DNAReport?s=5c16265a-b0a1-4edd-971b-a554905634a6","DNA")</f>
      </c>
      <c r="G21" s="2">
        <f>=HYPERLINK("https://www.gia.edu/report-check?reportno=******5317","Verify")</f>
      </c>
      <c r="H21" s="1" t="s">
        <v>255</v>
      </c>
      <c r="I21" s="1" t="s">
        <v>46</v>
      </c>
      <c r="J21" s="1">
        <v>2.02</v>
      </c>
      <c r="K21" s="1">
        <v>0</v>
      </c>
      <c r="L21" s="1">
        <v>11700</v>
      </c>
      <c r="M21" s="1">
        <v>5582</v>
      </c>
      <c r="N21" s="1">
        <v>11275.64</v>
      </c>
      <c r="O21" s="1">
        <v>-52.29</v>
      </c>
      <c r="P21" s="1">
        <v>0</v>
      </c>
      <c r="Q21" s="1" t="s">
        <v>86</v>
      </c>
      <c r="R21" s="1">
        <v>0</v>
      </c>
      <c r="S21" s="1" t="s">
        <v>86</v>
      </c>
      <c r="T21" s="1" t="s">
        <v>86</v>
      </c>
      <c r="U21" s="1" t="s">
        <v>106</v>
      </c>
      <c r="V21" s="1" t="s">
        <v>86</v>
      </c>
      <c r="W21" s="1" t="s">
        <v>206</v>
      </c>
      <c r="X21" s="1" t="s">
        <v>86</v>
      </c>
      <c r="Y21" s="1" t="s">
        <v>89</v>
      </c>
      <c r="Z21" s="1" t="s">
        <v>89</v>
      </c>
      <c r="AA21" s="1" t="s">
        <v>87</v>
      </c>
      <c r="AB21" s="1" t="s">
        <v>86</v>
      </c>
      <c r="AC21" s="1" t="s">
        <v>256</v>
      </c>
      <c r="AD21" s="1">
        <v>69.8</v>
      </c>
      <c r="AE21" s="1">
        <v>64</v>
      </c>
      <c r="AF21" s="1" t="s">
        <v>91</v>
      </c>
      <c r="AG21" s="1">
        <v>4.2</v>
      </c>
      <c r="AH21" s="1">
        <v>37.1</v>
      </c>
      <c r="AI21" s="1" t="s">
        <v>86</v>
      </c>
      <c r="AJ21" s="1">
        <v>1.01</v>
      </c>
      <c r="AK21" s="1" t="s">
        <v>198</v>
      </c>
      <c r="AL21" s="1" t="s">
        <v>93</v>
      </c>
      <c r="AM21" s="1" t="s">
        <v>93</v>
      </c>
      <c r="AN21" s="1" t="s">
        <v>168</v>
      </c>
      <c r="AO21" s="1" t="s">
        <v>208</v>
      </c>
      <c r="AP21" s="1" t="s">
        <v>95</v>
      </c>
      <c r="AQ21" s="1">
        <v>13.6</v>
      </c>
      <c r="AR21" s="1">
        <v>51.7</v>
      </c>
      <c r="AS21" s="1">
        <v>39.1</v>
      </c>
      <c r="AT21" s="1" t="s">
        <v>96</v>
      </c>
      <c r="AU21" s="1" t="s">
        <v>86</v>
      </c>
      <c r="AV21" s="1" t="s">
        <v>86</v>
      </c>
      <c r="AW21" s="1" t="s">
        <v>86</v>
      </c>
      <c r="AX21" s="1" t="s">
        <v>86</v>
      </c>
      <c r="AY21" s="1" t="s">
        <v>86</v>
      </c>
      <c r="AZ21" s="1" t="s">
        <v>86</v>
      </c>
      <c r="BA21" s="1" t="s">
        <v>86</v>
      </c>
      <c r="BB21" s="1" t="s">
        <v>86</v>
      </c>
      <c r="BC21" s="1" t="s">
        <v>86</v>
      </c>
      <c r="BD21" s="1" t="s">
        <v>86</v>
      </c>
      <c r="BE21" s="1" t="s">
        <v>86</v>
      </c>
      <c r="BF21" s="1" t="s">
        <v>86</v>
      </c>
      <c r="BG21" s="1" t="s">
        <v>86</v>
      </c>
      <c r="BH21" s="1" t="s">
        <v>129</v>
      </c>
      <c r="BI21" s="1" t="s">
        <v>257</v>
      </c>
      <c r="BJ21" s="1" t="s">
        <v>87</v>
      </c>
      <c r="BK21" s="1">
        <v>0</v>
      </c>
      <c r="BL21" s="1">
        <v>0</v>
      </c>
      <c r="BM21" s="1" t="s">
        <v>86</v>
      </c>
      <c r="BN21" s="1" t="s">
        <v>258</v>
      </c>
      <c r="BO21" s="1" t="s">
        <v>259</v>
      </c>
      <c r="BP21" s="1" t="s">
        <v>86</v>
      </c>
      <c r="BQ21" s="1" t="s">
        <v>86</v>
      </c>
      <c r="BR21" s="1" t="s">
        <v>86</v>
      </c>
      <c r="BS21" s="1" t="s">
        <v>86</v>
      </c>
      <c r="BT21" s="1" t="s">
        <v>86</v>
      </c>
      <c r="BU21" s="1" t="s">
        <v>86</v>
      </c>
      <c r="BV21" s="1" t="s">
        <v>86</v>
      </c>
      <c r="BW21" s="1" t="s">
        <v>101</v>
      </c>
      <c r="BX21" s="1" t="s">
        <v>86</v>
      </c>
      <c r="BY21" s="1" t="s">
        <v>86</v>
      </c>
      <c r="BZ21" s="1" t="s">
        <v>260</v>
      </c>
      <c r="CA21" s="1" t="s">
        <v>261</v>
      </c>
      <c r="CB21" s="1" t="s">
        <v>156</v>
      </c>
      <c r="CC21" s="1" t="s">
        <v>86</v>
      </c>
      <c r="CD21" s="1" t="s">
        <v>86</v>
      </c>
      <c r="CE21" s="1" t="s">
        <v>86</v>
      </c>
    </row>
    <row r="22">
      <c r="A22" s="1">
        <v>20</v>
      </c>
      <c r="B22" s="1" t="s">
        <v>157</v>
      </c>
      <c r="C22" s="2">
        <f>=HYPERLINK("https://i.stonehdfile.com/stoneimage?s=5fffc7b9-e84d-4465-a1ce-c76d84fe0a4f","Image")</f>
      </c>
      <c r="D22" s="2">
        <f>=HYPERLINK("https://dna.stonehdfile.com/hd/viewhd.html?d=92fe5927-e097-4a02-9eda-a3a2fdb72dee","View360")</f>
      </c>
      <c r="E22" s="2">
        <f>=HYPERLINK("https://i.stonehdfile.com/Certificate?s=5fffc7b9-e84d-4465-a1ce-c76d84fe0a4f","GIA")</f>
      </c>
      <c r="F22" s="2">
        <f>=HYPERLINK("https://i.stonehdfile.com/DNAReport?s=5fffc7b9-e84d-4465-a1ce-c76d84fe0a4f","DNA")</f>
      </c>
      <c r="G22" s="2">
        <f>=HYPERLINK("https://www.gia.edu/report-check?reportno=******0718","Verify")</f>
      </c>
      <c r="H22" s="1" t="s">
        <v>262</v>
      </c>
      <c r="I22" s="1" t="s">
        <v>46</v>
      </c>
      <c r="J22" s="1">
        <v>2.21</v>
      </c>
      <c r="K22" s="1">
        <v>0</v>
      </c>
      <c r="L22" s="1">
        <v>9900</v>
      </c>
      <c r="M22" s="1">
        <v>4514</v>
      </c>
      <c r="N22" s="1">
        <v>9975.94</v>
      </c>
      <c r="O22" s="1">
        <v>-54.4</v>
      </c>
      <c r="P22" s="1">
        <v>0</v>
      </c>
      <c r="Q22" s="1" t="s">
        <v>86</v>
      </c>
      <c r="R22" s="1">
        <v>0</v>
      </c>
      <c r="S22" s="1" t="s">
        <v>86</v>
      </c>
      <c r="T22" s="1" t="s">
        <v>86</v>
      </c>
      <c r="U22" s="1" t="s">
        <v>241</v>
      </c>
      <c r="V22" s="1" t="s">
        <v>86</v>
      </c>
      <c r="W22" s="1" t="s">
        <v>213</v>
      </c>
      <c r="X22" s="1" t="s">
        <v>86</v>
      </c>
      <c r="Y22" s="1" t="s">
        <v>89</v>
      </c>
      <c r="Z22" s="1" t="s">
        <v>89</v>
      </c>
      <c r="AA22" s="1" t="s">
        <v>108</v>
      </c>
      <c r="AB22" s="1" t="s">
        <v>109</v>
      </c>
      <c r="AC22" s="1" t="s">
        <v>263</v>
      </c>
      <c r="AD22" s="1">
        <v>69.1</v>
      </c>
      <c r="AE22" s="1">
        <v>64</v>
      </c>
      <c r="AF22" s="1" t="s">
        <v>91</v>
      </c>
      <c r="AG22" s="1">
        <v>1.7</v>
      </c>
      <c r="AH22" s="1">
        <v>34.1</v>
      </c>
      <c r="AI22" s="1" t="s">
        <v>86</v>
      </c>
      <c r="AJ22" s="1">
        <v>1.07</v>
      </c>
      <c r="AK22" s="1" t="s">
        <v>111</v>
      </c>
      <c r="AL22" s="1" t="s">
        <v>128</v>
      </c>
      <c r="AM22" s="1" t="s">
        <v>151</v>
      </c>
      <c r="AN22" s="1" t="s">
        <v>168</v>
      </c>
      <c r="AO22" s="1" t="s">
        <v>94</v>
      </c>
      <c r="AP22" s="1" t="s">
        <v>95</v>
      </c>
      <c r="AQ22" s="1">
        <v>12.3</v>
      </c>
      <c r="AR22" s="1">
        <v>54.9</v>
      </c>
      <c r="AS22" s="1">
        <v>40.9</v>
      </c>
      <c r="AT22" s="1" t="s">
        <v>96</v>
      </c>
      <c r="AU22" s="1" t="s">
        <v>86</v>
      </c>
      <c r="AV22" s="1" t="s">
        <v>141</v>
      </c>
      <c r="AW22" s="1" t="s">
        <v>86</v>
      </c>
      <c r="AX22" s="1" t="s">
        <v>86</v>
      </c>
      <c r="AY22" s="1" t="s">
        <v>86</v>
      </c>
      <c r="AZ22" s="1" t="s">
        <v>86</v>
      </c>
      <c r="BA22" s="1" t="s">
        <v>86</v>
      </c>
      <c r="BB22" s="1" t="s">
        <v>86</v>
      </c>
      <c r="BC22" s="1" t="s">
        <v>86</v>
      </c>
      <c r="BD22" s="1" t="s">
        <v>86</v>
      </c>
      <c r="BE22" s="1" t="s">
        <v>86</v>
      </c>
      <c r="BF22" s="1" t="s">
        <v>86</v>
      </c>
      <c r="BG22" s="1" t="s">
        <v>86</v>
      </c>
      <c r="BH22" s="1" t="s">
        <v>264</v>
      </c>
      <c r="BI22" s="1" t="s">
        <v>265</v>
      </c>
      <c r="BJ22" s="1" t="s">
        <v>87</v>
      </c>
      <c r="BK22" s="1">
        <v>0</v>
      </c>
      <c r="BL22" s="1">
        <v>0</v>
      </c>
      <c r="BM22" s="1" t="s">
        <v>86</v>
      </c>
      <c r="BN22" s="1" t="s">
        <v>266</v>
      </c>
      <c r="BO22" s="1" t="s">
        <v>176</v>
      </c>
      <c r="BP22" s="1" t="s">
        <v>86</v>
      </c>
      <c r="BQ22" s="1" t="s">
        <v>86</v>
      </c>
      <c r="BR22" s="1" t="s">
        <v>86</v>
      </c>
      <c r="BS22" s="1" t="s">
        <v>86</v>
      </c>
      <c r="BT22" s="1" t="s">
        <v>86</v>
      </c>
      <c r="BU22" s="1" t="s">
        <v>86</v>
      </c>
      <c r="BV22" s="1" t="s">
        <v>86</v>
      </c>
      <c r="BW22" s="1" t="s">
        <v>101</v>
      </c>
      <c r="BX22" s="1" t="s">
        <v>86</v>
      </c>
      <c r="BY22" s="1" t="s">
        <v>86</v>
      </c>
      <c r="BZ22" s="1" t="s">
        <v>267</v>
      </c>
      <c r="CA22" s="1" t="s">
        <v>268</v>
      </c>
      <c r="CB22" s="1" t="s">
        <v>269</v>
      </c>
      <c r="CC22" s="1" t="s">
        <v>86</v>
      </c>
      <c r="CD22" s="1" t="s">
        <v>86</v>
      </c>
      <c r="CE22" s="1" t="s">
        <v>86</v>
      </c>
    </row>
    <row r="23">
      <c r="A23" s="1">
        <v>21</v>
      </c>
      <c r="B23" s="1" t="s">
        <v>157</v>
      </c>
      <c r="C23" s="2">
        <f>=HYPERLINK("https://i.stonehdfile.com/stoneimage?s=3e43bfe5-c019-422f-a881-80b5caadd90c","Image")</f>
      </c>
      <c r="D23" s="2">
        <f>=HYPERLINK("https://dna.stonehdfile.com/hd/viewhd.html?d=6804e56a-7348-41fd-be82-d068c2316ce3","View360")</f>
      </c>
      <c r="E23" s="2">
        <f>=HYPERLINK("https://i.stonehdfile.com/Certificate?s=3e43bfe5-c019-422f-a881-80b5caadd90c","GIA")</f>
      </c>
      <c r="F23" s="2">
        <f>=HYPERLINK("https://i.stonehdfile.com/DNAReport?s=3e43bfe5-c019-422f-a881-80b5caadd90c","DNA")</f>
      </c>
      <c r="G23" s="2">
        <f>=HYPERLINK("https://www.gia.edu/report-check?reportno=******1565","Verify")</f>
      </c>
      <c r="H23" s="1" t="s">
        <v>270</v>
      </c>
      <c r="I23" s="1" t="s">
        <v>46</v>
      </c>
      <c r="J23" s="1">
        <v>2.01</v>
      </c>
      <c r="K23" s="1">
        <v>0</v>
      </c>
      <c r="L23" s="1">
        <v>13000</v>
      </c>
      <c r="M23" s="1">
        <v>6812</v>
      </c>
      <c r="N23" s="1">
        <v>13692.12</v>
      </c>
      <c r="O23" s="1">
        <v>-47.6</v>
      </c>
      <c r="P23" s="1">
        <v>0</v>
      </c>
      <c r="Q23" s="1" t="s">
        <v>86</v>
      </c>
      <c r="R23" s="1">
        <v>0</v>
      </c>
      <c r="S23" s="1" t="s">
        <v>86</v>
      </c>
      <c r="T23" s="1" t="s">
        <v>86</v>
      </c>
      <c r="U23" s="1" t="s">
        <v>271</v>
      </c>
      <c r="V23" s="1" t="s">
        <v>86</v>
      </c>
      <c r="W23" s="1" t="s">
        <v>149</v>
      </c>
      <c r="X23" s="1" t="s">
        <v>86</v>
      </c>
      <c r="Y23" s="1" t="s">
        <v>89</v>
      </c>
      <c r="Z23" s="1" t="s">
        <v>89</v>
      </c>
      <c r="AA23" s="1" t="s">
        <v>119</v>
      </c>
      <c r="AB23" s="1" t="s">
        <v>86</v>
      </c>
      <c r="AC23" s="1" t="s">
        <v>272</v>
      </c>
      <c r="AD23" s="1">
        <v>68</v>
      </c>
      <c r="AE23" s="1">
        <v>64</v>
      </c>
      <c r="AF23" s="1" t="s">
        <v>91</v>
      </c>
      <c r="AG23" s="1">
        <v>1.4</v>
      </c>
      <c r="AH23" s="1">
        <v>34.4</v>
      </c>
      <c r="AI23" s="1" t="s">
        <v>86</v>
      </c>
      <c r="AJ23" s="1">
        <v>1.01</v>
      </c>
      <c r="AK23" s="1" t="s">
        <v>111</v>
      </c>
      <c r="AL23" s="1" t="s">
        <v>93</v>
      </c>
      <c r="AM23" s="1" t="s">
        <v>128</v>
      </c>
      <c r="AN23" s="1" t="s">
        <v>86</v>
      </c>
      <c r="AO23" s="1" t="s">
        <v>94</v>
      </c>
      <c r="AP23" s="1" t="s">
        <v>95</v>
      </c>
      <c r="AQ23" s="1">
        <v>12.4</v>
      </c>
      <c r="AR23" s="1">
        <v>53.5</v>
      </c>
      <c r="AS23" s="1">
        <v>40.3</v>
      </c>
      <c r="AT23" s="1" t="s">
        <v>96</v>
      </c>
      <c r="AU23" s="1" t="s">
        <v>86</v>
      </c>
      <c r="AV23" s="1" t="s">
        <v>86</v>
      </c>
      <c r="AW23" s="1" t="s">
        <v>86</v>
      </c>
      <c r="AX23" s="1" t="s">
        <v>86</v>
      </c>
      <c r="AY23" s="1" t="s">
        <v>86</v>
      </c>
      <c r="AZ23" s="1" t="s">
        <v>86</v>
      </c>
      <c r="BA23" s="1" t="s">
        <v>86</v>
      </c>
      <c r="BB23" s="1" t="s">
        <v>86</v>
      </c>
      <c r="BC23" s="1" t="s">
        <v>86</v>
      </c>
      <c r="BD23" s="1" t="s">
        <v>86</v>
      </c>
      <c r="BE23" s="1" t="s">
        <v>86</v>
      </c>
      <c r="BF23" s="1" t="s">
        <v>86</v>
      </c>
      <c r="BG23" s="1" t="s">
        <v>172</v>
      </c>
      <c r="BH23" s="1" t="s">
        <v>273</v>
      </c>
      <c r="BI23" s="1" t="s">
        <v>274</v>
      </c>
      <c r="BJ23" s="1" t="s">
        <v>87</v>
      </c>
      <c r="BK23" s="1">
        <v>0</v>
      </c>
      <c r="BL23" s="1">
        <v>0</v>
      </c>
      <c r="BM23" s="1" t="s">
        <v>86</v>
      </c>
      <c r="BN23" s="1" t="s">
        <v>275</v>
      </c>
      <c r="BO23" s="1" t="s">
        <v>276</v>
      </c>
      <c r="BP23" s="1" t="s">
        <v>86</v>
      </c>
      <c r="BQ23" s="1" t="s">
        <v>86</v>
      </c>
      <c r="BR23" s="1" t="s">
        <v>86</v>
      </c>
      <c r="BS23" s="1" t="s">
        <v>86</v>
      </c>
      <c r="BT23" s="1" t="s">
        <v>86</v>
      </c>
      <c r="BU23" s="1" t="s">
        <v>86</v>
      </c>
      <c r="BV23" s="1" t="s">
        <v>86</v>
      </c>
      <c r="BW23" s="1" t="s">
        <v>101</v>
      </c>
      <c r="BX23" s="1" t="s">
        <v>86</v>
      </c>
      <c r="BY23" s="1" t="s">
        <v>86</v>
      </c>
      <c r="BZ23" s="1" t="s">
        <v>277</v>
      </c>
      <c r="CA23" s="1" t="s">
        <v>278</v>
      </c>
      <c r="CB23" s="1" t="s">
        <v>279</v>
      </c>
      <c r="CC23" s="1" t="s">
        <v>86</v>
      </c>
      <c r="CD23" s="1" t="s">
        <v>86</v>
      </c>
      <c r="CE23" s="1" t="s">
        <v>86</v>
      </c>
    </row>
    <row r="24">
      <c r="A24" s="1">
        <v>22</v>
      </c>
      <c r="B24" s="1" t="s">
        <v>157</v>
      </c>
      <c r="C24" s="2">
        <f>=HYPERLINK("https://i.stonehdfile.com/stoneimage?s=faa8bb02-b05b-455c-b5af-fa86303a7d44","Image")</f>
      </c>
      <c r="D24" s="2">
        <f>=HYPERLINK("https://dna.stonehdfile.com/hd/viewhd.html?d=66e00a8e-4aca-4eb9-8c80-fe495e9c9957","View360")</f>
      </c>
      <c r="E24" s="2">
        <f>=HYPERLINK("https://i.stonehdfile.com/Certificate?s=faa8bb02-b05b-455c-b5af-fa86303a7d44","GIA")</f>
      </c>
      <c r="F24" s="2">
        <f>=HYPERLINK("https://i.stonehdfile.com/DNAReport?s=faa8bb02-b05b-455c-b5af-fa86303a7d44","DNA")</f>
      </c>
      <c r="G24" s="2">
        <f>=HYPERLINK("https://www.gia.edu/report-check?reportno=******4089","Verify")</f>
      </c>
      <c r="H24" s="1" t="s">
        <v>280</v>
      </c>
      <c r="I24" s="1" t="s">
        <v>46</v>
      </c>
      <c r="J24" s="1">
        <v>2.06</v>
      </c>
      <c r="K24" s="1">
        <v>0</v>
      </c>
      <c r="L24" s="1">
        <v>10700</v>
      </c>
      <c r="M24" s="1">
        <v>5722</v>
      </c>
      <c r="N24" s="1">
        <v>11787.32</v>
      </c>
      <c r="O24" s="1">
        <v>-46.52</v>
      </c>
      <c r="P24" s="1">
        <v>0</v>
      </c>
      <c r="Q24" s="1" t="s">
        <v>86</v>
      </c>
      <c r="R24" s="1">
        <v>0</v>
      </c>
      <c r="S24" s="1" t="s">
        <v>86</v>
      </c>
      <c r="T24" s="1" t="s">
        <v>86</v>
      </c>
      <c r="U24" s="1" t="s">
        <v>271</v>
      </c>
      <c r="V24" s="1" t="s">
        <v>86</v>
      </c>
      <c r="W24" s="1" t="s">
        <v>169</v>
      </c>
      <c r="X24" s="1" t="s">
        <v>86</v>
      </c>
      <c r="Y24" s="1" t="s">
        <v>89</v>
      </c>
      <c r="Z24" s="1" t="s">
        <v>89</v>
      </c>
      <c r="AA24" s="1" t="s">
        <v>119</v>
      </c>
      <c r="AB24" s="1" t="s">
        <v>86</v>
      </c>
      <c r="AC24" s="1" t="s">
        <v>281</v>
      </c>
      <c r="AD24" s="1">
        <v>68.8</v>
      </c>
      <c r="AE24" s="1">
        <v>64</v>
      </c>
      <c r="AF24" s="1" t="s">
        <v>91</v>
      </c>
      <c r="AG24" s="1">
        <v>3.1</v>
      </c>
      <c r="AH24" s="1">
        <v>34.9</v>
      </c>
      <c r="AI24" s="1" t="s">
        <v>86</v>
      </c>
      <c r="AJ24" s="1">
        <v>1.05</v>
      </c>
      <c r="AK24" s="1" t="s">
        <v>111</v>
      </c>
      <c r="AL24" s="1" t="s">
        <v>140</v>
      </c>
      <c r="AM24" s="1" t="s">
        <v>128</v>
      </c>
      <c r="AN24" s="1" t="s">
        <v>171</v>
      </c>
      <c r="AO24" s="1" t="s">
        <v>94</v>
      </c>
      <c r="AP24" s="1" t="s">
        <v>95</v>
      </c>
      <c r="AQ24" s="1">
        <v>12.8</v>
      </c>
      <c r="AR24" s="1">
        <v>52.7</v>
      </c>
      <c r="AS24" s="1">
        <v>39.9</v>
      </c>
      <c r="AT24" s="1" t="s">
        <v>96</v>
      </c>
      <c r="AU24" s="1" t="s">
        <v>86</v>
      </c>
      <c r="AV24" s="1" t="s">
        <v>86</v>
      </c>
      <c r="AW24" s="1" t="s">
        <v>86</v>
      </c>
      <c r="AX24" s="1" t="s">
        <v>86</v>
      </c>
      <c r="AY24" s="1" t="s">
        <v>86</v>
      </c>
      <c r="AZ24" s="1" t="s">
        <v>86</v>
      </c>
      <c r="BA24" s="1" t="s">
        <v>86</v>
      </c>
      <c r="BB24" s="1" t="s">
        <v>86</v>
      </c>
      <c r="BC24" s="1" t="s">
        <v>86</v>
      </c>
      <c r="BD24" s="1" t="s">
        <v>86</v>
      </c>
      <c r="BE24" s="1" t="s">
        <v>86</v>
      </c>
      <c r="BF24" s="1" t="s">
        <v>282</v>
      </c>
      <c r="BG24" s="1" t="s">
        <v>86</v>
      </c>
      <c r="BH24" s="1" t="s">
        <v>182</v>
      </c>
      <c r="BI24" s="1" t="s">
        <v>174</v>
      </c>
      <c r="BJ24" s="1" t="s">
        <v>87</v>
      </c>
      <c r="BK24" s="1">
        <v>0</v>
      </c>
      <c r="BL24" s="1">
        <v>0</v>
      </c>
      <c r="BM24" s="1" t="s">
        <v>86</v>
      </c>
      <c r="BN24" s="1" t="s">
        <v>283</v>
      </c>
      <c r="BO24" s="1" t="s">
        <v>284</v>
      </c>
      <c r="BP24" s="1" t="s">
        <v>86</v>
      </c>
      <c r="BQ24" s="1" t="s">
        <v>86</v>
      </c>
      <c r="BR24" s="1" t="s">
        <v>86</v>
      </c>
      <c r="BS24" s="1" t="s">
        <v>86</v>
      </c>
      <c r="BT24" s="1" t="s">
        <v>86</v>
      </c>
      <c r="BU24" s="1" t="s">
        <v>86</v>
      </c>
      <c r="BV24" s="1" t="s">
        <v>86</v>
      </c>
      <c r="BW24" s="1" t="s">
        <v>101</v>
      </c>
      <c r="BX24" s="1" t="s">
        <v>86</v>
      </c>
      <c r="BY24" s="1" t="s">
        <v>86</v>
      </c>
      <c r="BZ24" s="1" t="s">
        <v>285</v>
      </c>
      <c r="CA24" s="1" t="s">
        <v>178</v>
      </c>
      <c r="CB24" s="1" t="s">
        <v>286</v>
      </c>
      <c r="CC24" s="1" t="s">
        <v>86</v>
      </c>
      <c r="CD24" s="1" t="s">
        <v>86</v>
      </c>
      <c r="CE24" s="1" t="s">
        <v>86</v>
      </c>
    </row>
    <row r="25">
      <c r="A25" s="1">
        <v>23</v>
      </c>
      <c r="B25" s="1" t="s">
        <v>157</v>
      </c>
      <c r="C25" s="2">
        <f>=HYPERLINK("https://i.stonehdfile.com/stoneimage?s=c0b48a0e-cb4b-4924-914d-95f1aa34ca74","Image")</f>
      </c>
      <c r="D25" s="2">
        <f>=HYPERLINK("https://dna.stonehdfile.com/hd/viewhd.html?d=09aaf9c0-9d08-435c-ab4e-de4ee1b75a81","View360")</f>
      </c>
      <c r="E25" s="2">
        <f>=HYPERLINK("https://i.stonehdfile.com/Certificate?s=c0b48a0e-cb4b-4924-914d-95f1aa34ca74","GIA")</f>
      </c>
      <c r="F25" s="2">
        <f>=HYPERLINK("https://i.stonehdfile.com/DNAReport?s=c0b48a0e-cb4b-4924-914d-95f1aa34ca74","DNA")</f>
      </c>
      <c r="G25" s="2">
        <f>=HYPERLINK("https://www.gia.edu/report-check?reportno=******5745","Verify")</f>
      </c>
      <c r="H25" s="1" t="s">
        <v>287</v>
      </c>
      <c r="I25" s="1" t="s">
        <v>46</v>
      </c>
      <c r="J25" s="1">
        <v>2.01</v>
      </c>
      <c r="K25" s="1">
        <v>0</v>
      </c>
      <c r="L25" s="1">
        <v>10300</v>
      </c>
      <c r="M25" s="1">
        <v>5265</v>
      </c>
      <c r="N25" s="1">
        <v>10582.65</v>
      </c>
      <c r="O25" s="1">
        <v>-48.88</v>
      </c>
      <c r="P25" s="1">
        <v>0</v>
      </c>
      <c r="Q25" s="1" t="s">
        <v>86</v>
      </c>
      <c r="R25" s="1">
        <v>0</v>
      </c>
      <c r="S25" s="1" t="s">
        <v>86</v>
      </c>
      <c r="T25" s="1" t="s">
        <v>86</v>
      </c>
      <c r="U25" s="1" t="s">
        <v>159</v>
      </c>
      <c r="V25" s="1" t="s">
        <v>86</v>
      </c>
      <c r="W25" s="1" t="s">
        <v>107</v>
      </c>
      <c r="X25" s="1" t="s">
        <v>86</v>
      </c>
      <c r="Y25" s="1" t="s">
        <v>89</v>
      </c>
      <c r="Z25" s="1" t="s">
        <v>89</v>
      </c>
      <c r="AA25" s="1" t="s">
        <v>87</v>
      </c>
      <c r="AB25" s="1" t="s">
        <v>86</v>
      </c>
      <c r="AC25" s="1" t="s">
        <v>288</v>
      </c>
      <c r="AD25" s="1">
        <v>71.7</v>
      </c>
      <c r="AE25" s="1">
        <v>60</v>
      </c>
      <c r="AF25" s="1" t="s">
        <v>91</v>
      </c>
      <c r="AG25" s="1">
        <v>3.8</v>
      </c>
      <c r="AH25" s="1">
        <v>37</v>
      </c>
      <c r="AI25" s="1" t="s">
        <v>86</v>
      </c>
      <c r="AJ25" s="1">
        <v>1.13</v>
      </c>
      <c r="AK25" s="1" t="s">
        <v>111</v>
      </c>
      <c r="AL25" s="1" t="s">
        <v>93</v>
      </c>
      <c r="AM25" s="1" t="s">
        <v>93</v>
      </c>
      <c r="AN25" s="1" t="s">
        <v>86</v>
      </c>
      <c r="AO25" s="1" t="s">
        <v>94</v>
      </c>
      <c r="AP25" s="1" t="s">
        <v>95</v>
      </c>
      <c r="AQ25" s="1">
        <v>14.9</v>
      </c>
      <c r="AR25" s="1">
        <v>52.5</v>
      </c>
      <c r="AS25" s="1">
        <v>38.1</v>
      </c>
      <c r="AT25" s="1" t="s">
        <v>96</v>
      </c>
      <c r="AU25" s="1" t="s">
        <v>86</v>
      </c>
      <c r="AV25" s="1" t="s">
        <v>86</v>
      </c>
      <c r="AW25" s="1" t="s">
        <v>86</v>
      </c>
      <c r="AX25" s="1" t="s">
        <v>86</v>
      </c>
      <c r="AY25" s="1" t="s">
        <v>86</v>
      </c>
      <c r="AZ25" s="1" t="s">
        <v>86</v>
      </c>
      <c r="BA25" s="1" t="s">
        <v>86</v>
      </c>
      <c r="BB25" s="1" t="s">
        <v>86</v>
      </c>
      <c r="BC25" s="1" t="s">
        <v>86</v>
      </c>
      <c r="BD25" s="1" t="s">
        <v>86</v>
      </c>
      <c r="BE25" s="1" t="s">
        <v>86</v>
      </c>
      <c r="BF25" s="1" t="s">
        <v>86</v>
      </c>
      <c r="BG25" s="1" t="s">
        <v>86</v>
      </c>
      <c r="BH25" s="1" t="s">
        <v>215</v>
      </c>
      <c r="BI25" s="1" t="s">
        <v>216</v>
      </c>
      <c r="BJ25" s="1" t="s">
        <v>87</v>
      </c>
      <c r="BK25" s="1">
        <v>0</v>
      </c>
      <c r="BL25" s="1">
        <v>0</v>
      </c>
      <c r="BM25" s="1" t="s">
        <v>86</v>
      </c>
      <c r="BN25" s="1" t="s">
        <v>289</v>
      </c>
      <c r="BO25" s="1" t="s">
        <v>290</v>
      </c>
      <c r="BP25" s="1" t="s">
        <v>86</v>
      </c>
      <c r="BQ25" s="1" t="s">
        <v>86</v>
      </c>
      <c r="BR25" s="1" t="s">
        <v>86</v>
      </c>
      <c r="BS25" s="1" t="s">
        <v>86</v>
      </c>
      <c r="BT25" s="1" t="s">
        <v>86</v>
      </c>
      <c r="BU25" s="1" t="s">
        <v>86</v>
      </c>
      <c r="BV25" s="1" t="s">
        <v>86</v>
      </c>
      <c r="BW25" s="1" t="s">
        <v>101</v>
      </c>
      <c r="BX25" s="1" t="s">
        <v>86</v>
      </c>
      <c r="BY25" s="1" t="s">
        <v>86</v>
      </c>
      <c r="BZ25" s="1" t="s">
        <v>291</v>
      </c>
      <c r="CA25" s="1" t="s">
        <v>278</v>
      </c>
      <c r="CB25" s="1" t="s">
        <v>269</v>
      </c>
      <c r="CC25" s="1" t="s">
        <v>86</v>
      </c>
      <c r="CD25" s="1" t="s">
        <v>86</v>
      </c>
      <c r="CE25" s="1" t="s">
        <v>86</v>
      </c>
    </row>
    <row r="26">
      <c r="A26" s="1">
        <v>24</v>
      </c>
      <c r="B26" s="1" t="s">
        <v>157</v>
      </c>
      <c r="C26" s="2">
        <f>=HYPERLINK("https://i.stonehdfile.com/stoneimage?s=9086fa7f-bdff-45fd-bfa9-14a974548d09","Image")</f>
      </c>
      <c r="D26" s="2">
        <f>=HYPERLINK("https://dna.stonehdfile.com/hd/viewhd.html?d=8a748611-d15e-4088-9c25-057cf7f80c17","View360")</f>
      </c>
      <c r="E26" s="2">
        <f>=HYPERLINK("https://i.stonehdfile.com/Certificate?s=9086fa7f-bdff-45fd-bfa9-14a974548d09","GIA")</f>
      </c>
      <c r="F26" s="2">
        <f>=HYPERLINK("https://i.stonehdfile.com/DNAReport?s=9086fa7f-bdff-45fd-bfa9-14a974548d09","DNA")</f>
      </c>
      <c r="G26" s="2">
        <f>=HYPERLINK("https://www.gia.edu/report-check?reportno=******0074","Verify")</f>
      </c>
      <c r="H26" s="1" t="s">
        <v>292</v>
      </c>
      <c r="I26" s="1" t="s">
        <v>46</v>
      </c>
      <c r="J26" s="1">
        <v>2.01</v>
      </c>
      <c r="K26" s="1">
        <v>0</v>
      </c>
      <c r="L26" s="1">
        <v>10300</v>
      </c>
      <c r="M26" s="1">
        <v>5912</v>
      </c>
      <c r="N26" s="1">
        <v>11883.12</v>
      </c>
      <c r="O26" s="1">
        <v>-42.6</v>
      </c>
      <c r="P26" s="1">
        <v>0</v>
      </c>
      <c r="Q26" s="1" t="s">
        <v>86</v>
      </c>
      <c r="R26" s="1">
        <v>0</v>
      </c>
      <c r="S26" s="1" t="s">
        <v>86</v>
      </c>
      <c r="T26" s="1" t="s">
        <v>86</v>
      </c>
      <c r="U26" s="1" t="s">
        <v>118</v>
      </c>
      <c r="V26" s="1" t="s">
        <v>86</v>
      </c>
      <c r="W26" s="1" t="s">
        <v>149</v>
      </c>
      <c r="X26" s="1" t="s">
        <v>86</v>
      </c>
      <c r="Y26" s="1" t="s">
        <v>89</v>
      </c>
      <c r="Z26" s="1" t="s">
        <v>89</v>
      </c>
      <c r="AA26" s="1" t="s">
        <v>119</v>
      </c>
      <c r="AB26" s="1" t="s">
        <v>86</v>
      </c>
      <c r="AC26" s="1" t="s">
        <v>293</v>
      </c>
      <c r="AD26" s="1">
        <v>71.7</v>
      </c>
      <c r="AE26" s="1">
        <v>59</v>
      </c>
      <c r="AF26" s="1" t="s">
        <v>91</v>
      </c>
      <c r="AG26" s="1">
        <v>0</v>
      </c>
      <c r="AH26" s="1">
        <v>36.6</v>
      </c>
      <c r="AI26" s="1" t="s">
        <v>86</v>
      </c>
      <c r="AJ26" s="1">
        <v>1.03</v>
      </c>
      <c r="AK26" s="1" t="s">
        <v>111</v>
      </c>
      <c r="AL26" s="1" t="s">
        <v>140</v>
      </c>
      <c r="AM26" s="1" t="s">
        <v>93</v>
      </c>
      <c r="AN26" s="1" t="s">
        <v>86</v>
      </c>
      <c r="AO26" s="1" t="s">
        <v>94</v>
      </c>
      <c r="AP26" s="1" t="s">
        <v>95</v>
      </c>
      <c r="AQ26" s="1">
        <v>15.1</v>
      </c>
      <c r="AR26" s="1">
        <v>52.1</v>
      </c>
      <c r="AS26" s="1">
        <v>39.8</v>
      </c>
      <c r="AT26" s="1" t="s">
        <v>96</v>
      </c>
      <c r="AU26" s="1" t="s">
        <v>86</v>
      </c>
      <c r="AV26" s="1" t="s">
        <v>86</v>
      </c>
      <c r="AW26" s="1" t="s">
        <v>86</v>
      </c>
      <c r="AX26" s="1" t="s">
        <v>86</v>
      </c>
      <c r="AY26" s="1" t="s">
        <v>86</v>
      </c>
      <c r="AZ26" s="1" t="s">
        <v>86</v>
      </c>
      <c r="BA26" s="1" t="s">
        <v>86</v>
      </c>
      <c r="BB26" s="1" t="s">
        <v>86</v>
      </c>
      <c r="BC26" s="1" t="s">
        <v>86</v>
      </c>
      <c r="BD26" s="1" t="s">
        <v>86</v>
      </c>
      <c r="BE26" s="1" t="s">
        <v>86</v>
      </c>
      <c r="BF26" s="1" t="s">
        <v>86</v>
      </c>
      <c r="BG26" s="1" t="s">
        <v>86</v>
      </c>
      <c r="BH26" s="1" t="s">
        <v>86</v>
      </c>
      <c r="BI26" s="1" t="s">
        <v>98</v>
      </c>
      <c r="BJ26" s="1" t="s">
        <v>86</v>
      </c>
      <c r="BK26" s="1">
        <v>0</v>
      </c>
      <c r="BL26" s="1">
        <v>0</v>
      </c>
      <c r="BM26" s="1" t="s">
        <v>86</v>
      </c>
      <c r="BN26" s="1" t="s">
        <v>294</v>
      </c>
      <c r="BO26" s="1" t="s">
        <v>295</v>
      </c>
      <c r="BP26" s="1" t="s">
        <v>86</v>
      </c>
      <c r="BQ26" s="1" t="s">
        <v>86</v>
      </c>
      <c r="BR26" s="1" t="s">
        <v>86</v>
      </c>
      <c r="BS26" s="1" t="s">
        <v>86</v>
      </c>
      <c r="BT26" s="1" t="s">
        <v>86</v>
      </c>
      <c r="BU26" s="1" t="s">
        <v>163</v>
      </c>
      <c r="BV26" s="1" t="s">
        <v>86</v>
      </c>
      <c r="BW26" s="1" t="s">
        <v>101</v>
      </c>
      <c r="BX26" s="1" t="s">
        <v>86</v>
      </c>
      <c r="BY26" s="1" t="s">
        <v>86</v>
      </c>
      <c r="BZ26" s="1" t="s">
        <v>296</v>
      </c>
      <c r="CA26" s="1" t="s">
        <v>297</v>
      </c>
      <c r="CB26" s="1" t="s">
        <v>298</v>
      </c>
      <c r="CC26" s="1" t="s">
        <v>86</v>
      </c>
      <c r="CD26" s="1" t="s">
        <v>86</v>
      </c>
      <c r="CE26" s="1" t="s">
        <v>86</v>
      </c>
    </row>
    <row r="27">
      <c r="A27" s="1">
        <v>25</v>
      </c>
      <c r="B27" s="1" t="s">
        <v>157</v>
      </c>
      <c r="C27" s="2">
        <f>=HYPERLINK("https://i.stonehdfile.com/stoneimage?s=2fc26dce-2a39-4fd4-93b4-2f9eecb0fe4f","Image")</f>
      </c>
      <c r="D27" s="2">
        <f>=HYPERLINK("https://dna.stonehdfile.com/hd/viewhd.html?d=f6914ce0-bed5-469e-ba39-f508048a01db","View360")</f>
      </c>
      <c r="E27" s="2">
        <f>=HYPERLINK("https://i.stonehdfile.com/Certificate?s=2fc26dce-2a39-4fd4-93b4-2f9eecb0fe4f","GIA")</f>
      </c>
      <c r="F27" s="2">
        <f>=HYPERLINK("https://i.stonehdfile.com/DNAReport?s=2fc26dce-2a39-4fd4-93b4-2f9eecb0fe4f","DNA")</f>
      </c>
      <c r="G27" s="2">
        <f>=HYPERLINK("https://www.gia.edu/report-check?reportno=******0192","Verify")</f>
      </c>
      <c r="H27" s="1" t="s">
        <v>299</v>
      </c>
      <c r="I27" s="1" t="s">
        <v>46</v>
      </c>
      <c r="J27" s="1">
        <v>2.02</v>
      </c>
      <c r="K27" s="1">
        <v>0</v>
      </c>
      <c r="L27" s="1">
        <v>10300</v>
      </c>
      <c r="M27" s="1">
        <v>5307</v>
      </c>
      <c r="N27" s="1">
        <v>10720.14</v>
      </c>
      <c r="O27" s="1">
        <v>-48.48</v>
      </c>
      <c r="P27" s="1">
        <v>0</v>
      </c>
      <c r="Q27" s="1" t="s">
        <v>86</v>
      </c>
      <c r="R27" s="1">
        <v>0</v>
      </c>
      <c r="S27" s="1" t="s">
        <v>86</v>
      </c>
      <c r="T27" s="1" t="s">
        <v>86</v>
      </c>
      <c r="U27" s="1" t="s">
        <v>118</v>
      </c>
      <c r="V27" s="1" t="s">
        <v>86</v>
      </c>
      <c r="W27" s="1" t="s">
        <v>149</v>
      </c>
      <c r="X27" s="1" t="s">
        <v>86</v>
      </c>
      <c r="Y27" s="1" t="s">
        <v>89</v>
      </c>
      <c r="Z27" s="1" t="s">
        <v>89</v>
      </c>
      <c r="AA27" s="1" t="s">
        <v>108</v>
      </c>
      <c r="AB27" s="1" t="s">
        <v>109</v>
      </c>
      <c r="AC27" s="1" t="s">
        <v>300</v>
      </c>
      <c r="AD27" s="1">
        <v>68.1</v>
      </c>
      <c r="AE27" s="1">
        <v>61</v>
      </c>
      <c r="AF27" s="1" t="s">
        <v>91</v>
      </c>
      <c r="AG27" s="1">
        <v>3.2</v>
      </c>
      <c r="AH27" s="1">
        <v>35.9</v>
      </c>
      <c r="AI27" s="1" t="s">
        <v>86</v>
      </c>
      <c r="AJ27" s="1">
        <v>1.07</v>
      </c>
      <c r="AK27" s="1" t="s">
        <v>190</v>
      </c>
      <c r="AL27" s="1" t="s">
        <v>93</v>
      </c>
      <c r="AM27" s="1" t="s">
        <v>93</v>
      </c>
      <c r="AN27" s="1" t="s">
        <v>86</v>
      </c>
      <c r="AO27" s="1" t="s">
        <v>94</v>
      </c>
      <c r="AP27" s="1" t="s">
        <v>95</v>
      </c>
      <c r="AQ27" s="1">
        <v>14.2</v>
      </c>
      <c r="AR27" s="1">
        <v>50.4</v>
      </c>
      <c r="AS27" s="1">
        <v>38.7</v>
      </c>
      <c r="AT27" s="1" t="s">
        <v>96</v>
      </c>
      <c r="AU27" s="1" t="s">
        <v>86</v>
      </c>
      <c r="AV27" s="1" t="s">
        <v>86</v>
      </c>
      <c r="AW27" s="1" t="s">
        <v>86</v>
      </c>
      <c r="AX27" s="1" t="s">
        <v>86</v>
      </c>
      <c r="AY27" s="1" t="s">
        <v>86</v>
      </c>
      <c r="AZ27" s="1" t="s">
        <v>86</v>
      </c>
      <c r="BA27" s="1" t="s">
        <v>86</v>
      </c>
      <c r="BB27" s="1" t="s">
        <v>86</v>
      </c>
      <c r="BC27" s="1" t="s">
        <v>86</v>
      </c>
      <c r="BD27" s="1" t="s">
        <v>86</v>
      </c>
      <c r="BE27" s="1" t="s">
        <v>86</v>
      </c>
      <c r="BF27" s="1" t="s">
        <v>86</v>
      </c>
      <c r="BG27" s="1" t="s">
        <v>86</v>
      </c>
      <c r="BH27" s="1" t="s">
        <v>97</v>
      </c>
      <c r="BI27" s="1" t="s">
        <v>199</v>
      </c>
      <c r="BJ27" s="1" t="s">
        <v>87</v>
      </c>
      <c r="BK27" s="1">
        <v>0</v>
      </c>
      <c r="BL27" s="1">
        <v>0</v>
      </c>
      <c r="BM27" s="1" t="s">
        <v>86</v>
      </c>
      <c r="BN27" s="1" t="s">
        <v>301</v>
      </c>
      <c r="BO27" s="1" t="s">
        <v>302</v>
      </c>
      <c r="BP27" s="1" t="s">
        <v>86</v>
      </c>
      <c r="BQ27" s="1" t="s">
        <v>86</v>
      </c>
      <c r="BR27" s="1" t="s">
        <v>86</v>
      </c>
      <c r="BS27" s="1" t="s">
        <v>86</v>
      </c>
      <c r="BT27" s="1" t="s">
        <v>86</v>
      </c>
      <c r="BU27" s="1" t="s">
        <v>86</v>
      </c>
      <c r="BV27" s="1" t="s">
        <v>86</v>
      </c>
      <c r="BW27" s="1" t="s">
        <v>101</v>
      </c>
      <c r="BX27" s="1" t="s">
        <v>86</v>
      </c>
      <c r="BY27" s="1" t="s">
        <v>86</v>
      </c>
      <c r="BZ27" s="1" t="s">
        <v>303</v>
      </c>
      <c r="CA27" s="1" t="s">
        <v>304</v>
      </c>
      <c r="CB27" s="1" t="s">
        <v>156</v>
      </c>
      <c r="CC27" s="1" t="s">
        <v>86</v>
      </c>
      <c r="CD27" s="1" t="s">
        <v>86</v>
      </c>
      <c r="CE27" s="1" t="s">
        <v>86</v>
      </c>
    </row>
    <row r="28">
      <c r="A28" s="1">
        <v>26</v>
      </c>
      <c r="B28" s="1" t="s">
        <v>157</v>
      </c>
      <c r="C28" s="2">
        <f>=HYPERLINK("https://i.stonehdfile.com/stoneimage?s=a96d94c4-7c8f-4941-bc65-94dc3279a0c8","Image")</f>
      </c>
      <c r="D28" s="2">
        <f>=HYPERLINK("https://dna.stonehdfile.com/hd/viewhd.html?d=cf5f740a-33ef-4610-87ef-e1ff413f70be","View360")</f>
      </c>
      <c r="E28" s="2">
        <f>=HYPERLINK("https://i.stonehdfile.com/Certificate?s=a96d94c4-7c8f-4941-bc65-94dc3279a0c8","GIA")</f>
      </c>
      <c r="F28" s="2">
        <f>=HYPERLINK("https://i.stonehdfile.com/DNAReport?s=a96d94c4-7c8f-4941-bc65-94dc3279a0c8","DNA")</f>
      </c>
      <c r="G28" s="2">
        <f>=HYPERLINK("https://www.gia.edu/report-check?reportno=******8192","Verify")</f>
      </c>
      <c r="H28" s="1" t="s">
        <v>305</v>
      </c>
      <c r="I28" s="1" t="s">
        <v>46</v>
      </c>
      <c r="J28" s="1">
        <v>2.01</v>
      </c>
      <c r="K28" s="1">
        <v>0</v>
      </c>
      <c r="L28" s="1">
        <v>9700</v>
      </c>
      <c r="M28" s="1">
        <v>5166</v>
      </c>
      <c r="N28" s="1">
        <v>10383.66</v>
      </c>
      <c r="O28" s="1">
        <v>-46.74</v>
      </c>
      <c r="P28" s="1">
        <v>0</v>
      </c>
      <c r="Q28" s="1" t="s">
        <v>86</v>
      </c>
      <c r="R28" s="1">
        <v>0</v>
      </c>
      <c r="S28" s="1" t="s">
        <v>86</v>
      </c>
      <c r="T28" s="1" t="s">
        <v>86</v>
      </c>
      <c r="U28" s="1" t="s">
        <v>118</v>
      </c>
      <c r="V28" s="1" t="s">
        <v>86</v>
      </c>
      <c r="W28" s="1" t="s">
        <v>223</v>
      </c>
      <c r="X28" s="1" t="s">
        <v>86</v>
      </c>
      <c r="Y28" s="1" t="s">
        <v>89</v>
      </c>
      <c r="Z28" s="1" t="s">
        <v>89</v>
      </c>
      <c r="AA28" s="1" t="s">
        <v>119</v>
      </c>
      <c r="AB28" s="1" t="s">
        <v>86</v>
      </c>
      <c r="AC28" s="1" t="s">
        <v>306</v>
      </c>
      <c r="AD28" s="1">
        <v>71.9</v>
      </c>
      <c r="AE28" s="1">
        <v>61</v>
      </c>
      <c r="AF28" s="1" t="s">
        <v>91</v>
      </c>
      <c r="AG28" s="1">
        <v>4.6</v>
      </c>
      <c r="AH28" s="1">
        <v>36.9</v>
      </c>
      <c r="AI28" s="1" t="s">
        <v>86</v>
      </c>
      <c r="AJ28" s="1">
        <v>1.15</v>
      </c>
      <c r="AK28" s="1" t="s">
        <v>111</v>
      </c>
      <c r="AL28" s="1" t="s">
        <v>93</v>
      </c>
      <c r="AM28" s="1" t="s">
        <v>140</v>
      </c>
      <c r="AN28" s="1" t="s">
        <v>307</v>
      </c>
      <c r="AO28" s="1" t="s">
        <v>94</v>
      </c>
      <c r="AP28" s="1" t="s">
        <v>95</v>
      </c>
      <c r="AQ28" s="1">
        <v>14.5</v>
      </c>
      <c r="AR28" s="1">
        <v>52</v>
      </c>
      <c r="AS28" s="1">
        <v>37.5</v>
      </c>
      <c r="AT28" s="1" t="s">
        <v>96</v>
      </c>
      <c r="AU28" s="1" t="s">
        <v>86</v>
      </c>
      <c r="AV28" s="1" t="s">
        <v>86</v>
      </c>
      <c r="AW28" s="1" t="s">
        <v>86</v>
      </c>
      <c r="AX28" s="1" t="s">
        <v>86</v>
      </c>
      <c r="AY28" s="1" t="s">
        <v>86</v>
      </c>
      <c r="AZ28" s="1" t="s">
        <v>86</v>
      </c>
      <c r="BA28" s="1" t="s">
        <v>86</v>
      </c>
      <c r="BB28" s="1" t="s">
        <v>86</v>
      </c>
      <c r="BC28" s="1" t="s">
        <v>86</v>
      </c>
      <c r="BD28" s="1" t="s">
        <v>86</v>
      </c>
      <c r="BE28" s="1" t="s">
        <v>86</v>
      </c>
      <c r="BF28" s="1" t="s">
        <v>86</v>
      </c>
      <c r="BG28" s="1" t="s">
        <v>86</v>
      </c>
      <c r="BH28" s="1" t="s">
        <v>129</v>
      </c>
      <c r="BI28" s="1" t="s">
        <v>308</v>
      </c>
      <c r="BJ28" s="1" t="s">
        <v>87</v>
      </c>
      <c r="BK28" s="1">
        <v>0</v>
      </c>
      <c r="BL28" s="1">
        <v>0</v>
      </c>
      <c r="BM28" s="1" t="s">
        <v>86</v>
      </c>
      <c r="BN28" s="1" t="s">
        <v>309</v>
      </c>
      <c r="BO28" s="1" t="s">
        <v>310</v>
      </c>
      <c r="BP28" s="1" t="s">
        <v>86</v>
      </c>
      <c r="BQ28" s="1" t="s">
        <v>86</v>
      </c>
      <c r="BR28" s="1" t="s">
        <v>86</v>
      </c>
      <c r="BS28" s="1" t="s">
        <v>86</v>
      </c>
      <c r="BT28" s="1" t="s">
        <v>86</v>
      </c>
      <c r="BU28" s="1" t="s">
        <v>86</v>
      </c>
      <c r="BV28" s="1" t="s">
        <v>86</v>
      </c>
      <c r="BW28" s="1" t="s">
        <v>101</v>
      </c>
      <c r="BX28" s="1" t="s">
        <v>86</v>
      </c>
      <c r="BY28" s="1" t="s">
        <v>86</v>
      </c>
      <c r="BZ28" s="1" t="s">
        <v>311</v>
      </c>
      <c r="CA28" s="1" t="s">
        <v>312</v>
      </c>
      <c r="CB28" s="1" t="s">
        <v>166</v>
      </c>
      <c r="CC28" s="1" t="s">
        <v>86</v>
      </c>
      <c r="CD28" s="1" t="s">
        <v>86</v>
      </c>
      <c r="CE28" s="1" t="s">
        <v>86</v>
      </c>
    </row>
    <row r="29">
      <c r="A29" s="1">
        <v>27</v>
      </c>
      <c r="B29" s="1" t="s">
        <v>157</v>
      </c>
      <c r="C29" s="2">
        <f>=HYPERLINK("https://i.stonehdfile.com/stoneimage?s=ac90fa33-99d1-45b4-a760-1b0b39724402","Image")</f>
      </c>
      <c r="D29" s="2">
        <f>=HYPERLINK("https://dna.stonehdfile.com/hd/viewhd.html?d=ffc576a0-2e74-43b3-9a6e-38a32d825726","View360")</f>
      </c>
      <c r="E29" s="2">
        <f>=HYPERLINK("https://i.stonehdfile.com/Certificate?s=ac90fa33-99d1-45b4-a760-1b0b39724402","GIA")</f>
      </c>
      <c r="F29" s="2">
        <f>=HYPERLINK("https://i.stonehdfile.com/DNAReport?s=ac90fa33-99d1-45b4-a760-1b0b39724402","DNA")</f>
      </c>
      <c r="G29" s="2">
        <f>=HYPERLINK("https://www.gia.edu/report-check?reportno=******4068","Verify")</f>
      </c>
      <c r="H29" s="1" t="s">
        <v>313</v>
      </c>
      <c r="I29" s="1" t="s">
        <v>46</v>
      </c>
      <c r="J29" s="1">
        <v>3.05</v>
      </c>
      <c r="K29" s="1">
        <v>0</v>
      </c>
      <c r="L29" s="1">
        <v>25000</v>
      </c>
      <c r="M29" s="1">
        <v>11819</v>
      </c>
      <c r="N29" s="1">
        <v>36047.95</v>
      </c>
      <c r="O29" s="1">
        <v>-52.72</v>
      </c>
      <c r="P29" s="1">
        <v>0</v>
      </c>
      <c r="Q29" s="1" t="s">
        <v>86</v>
      </c>
      <c r="R29" s="1">
        <v>0</v>
      </c>
      <c r="S29" s="1" t="s">
        <v>86</v>
      </c>
      <c r="T29" s="1" t="s">
        <v>86</v>
      </c>
      <c r="U29" s="1" t="s">
        <v>106</v>
      </c>
      <c r="V29" s="1" t="s">
        <v>86</v>
      </c>
      <c r="W29" s="1" t="s">
        <v>88</v>
      </c>
      <c r="X29" s="1" t="s">
        <v>86</v>
      </c>
      <c r="Y29" s="1" t="s">
        <v>89</v>
      </c>
      <c r="Z29" s="1" t="s">
        <v>89</v>
      </c>
      <c r="AA29" s="1" t="s">
        <v>87</v>
      </c>
      <c r="AB29" s="1" t="s">
        <v>86</v>
      </c>
      <c r="AC29" s="1" t="s">
        <v>314</v>
      </c>
      <c r="AD29" s="1">
        <v>68.1</v>
      </c>
      <c r="AE29" s="1">
        <v>63</v>
      </c>
      <c r="AF29" s="1" t="s">
        <v>91</v>
      </c>
      <c r="AG29" s="1">
        <v>3</v>
      </c>
      <c r="AH29" s="1">
        <v>35.1</v>
      </c>
      <c r="AI29" s="1" t="s">
        <v>86</v>
      </c>
      <c r="AJ29" s="1">
        <v>1.08</v>
      </c>
      <c r="AK29" s="1" t="s">
        <v>190</v>
      </c>
      <c r="AL29" s="1" t="s">
        <v>93</v>
      </c>
      <c r="AM29" s="1" t="s">
        <v>140</v>
      </c>
      <c r="AN29" s="1" t="s">
        <v>86</v>
      </c>
      <c r="AO29" s="1" t="s">
        <v>94</v>
      </c>
      <c r="AP29" s="1" t="s">
        <v>95</v>
      </c>
      <c r="AQ29" s="1">
        <v>13.2</v>
      </c>
      <c r="AR29" s="1">
        <v>51.4</v>
      </c>
      <c r="AS29" s="1">
        <v>38.6</v>
      </c>
      <c r="AT29" s="1" t="s">
        <v>96</v>
      </c>
      <c r="AU29" s="1" t="s">
        <v>86</v>
      </c>
      <c r="AV29" s="1" t="s">
        <v>86</v>
      </c>
      <c r="AW29" s="1" t="s">
        <v>86</v>
      </c>
      <c r="AX29" s="1" t="s">
        <v>86</v>
      </c>
      <c r="AY29" s="1" t="s">
        <v>86</v>
      </c>
      <c r="AZ29" s="1" t="s">
        <v>86</v>
      </c>
      <c r="BA29" s="1" t="s">
        <v>86</v>
      </c>
      <c r="BB29" s="1" t="s">
        <v>86</v>
      </c>
      <c r="BC29" s="1" t="s">
        <v>86</v>
      </c>
      <c r="BD29" s="1" t="s">
        <v>86</v>
      </c>
      <c r="BE29" s="1" t="s">
        <v>86</v>
      </c>
      <c r="BF29" s="1" t="s">
        <v>86</v>
      </c>
      <c r="BG29" s="1" t="s">
        <v>86</v>
      </c>
      <c r="BH29" s="1" t="s">
        <v>97</v>
      </c>
      <c r="BI29" s="1" t="s">
        <v>315</v>
      </c>
      <c r="BJ29" s="1" t="s">
        <v>87</v>
      </c>
      <c r="BK29" s="1">
        <v>0</v>
      </c>
      <c r="BL29" s="1">
        <v>0</v>
      </c>
      <c r="BM29" s="1" t="s">
        <v>86</v>
      </c>
      <c r="BN29" s="1" t="s">
        <v>316</v>
      </c>
      <c r="BO29" s="1" t="s">
        <v>317</v>
      </c>
      <c r="BP29" s="1" t="s">
        <v>86</v>
      </c>
      <c r="BQ29" s="1" t="s">
        <v>86</v>
      </c>
      <c r="BR29" s="1" t="s">
        <v>86</v>
      </c>
      <c r="BS29" s="1" t="s">
        <v>86</v>
      </c>
      <c r="BT29" s="1" t="s">
        <v>86</v>
      </c>
      <c r="BU29" s="1" t="s">
        <v>86</v>
      </c>
      <c r="BV29" s="1" t="s">
        <v>86</v>
      </c>
      <c r="BW29" s="1" t="s">
        <v>101</v>
      </c>
      <c r="BX29" s="1" t="s">
        <v>86</v>
      </c>
      <c r="BY29" s="1" t="s">
        <v>86</v>
      </c>
      <c r="BZ29" s="1" t="s">
        <v>318</v>
      </c>
      <c r="CA29" s="1" t="s">
        <v>319</v>
      </c>
      <c r="CB29" s="1" t="s">
        <v>156</v>
      </c>
      <c r="CC29" s="1" t="s">
        <v>86</v>
      </c>
      <c r="CD29" s="1" t="s">
        <v>86</v>
      </c>
      <c r="CE29" s="1" t="s">
        <v>86</v>
      </c>
    </row>
    <row r="30">
      <c r="A30" s="1">
        <v>28</v>
      </c>
      <c r="B30" s="1" t="s">
        <v>157</v>
      </c>
      <c r="C30" s="2">
        <f>=HYPERLINK("https://i.stonehdfile.com/stoneimage?s=949f4e03-de28-4342-8b9e-e20c2d4613dd","Image")</f>
      </c>
      <c r="D30" s="2">
        <f>=HYPERLINK("https://dna.stonehdfile.com/hd/viewhd.html?d=7e1501a7-eb3d-4e5d-8976-7962c9d0d742","View360")</f>
      </c>
      <c r="E30" s="2">
        <f>=HYPERLINK("https://i.stonehdfile.com/Certificate?s=949f4e03-de28-4342-8b9e-e20c2d4613dd","GIA")</f>
      </c>
      <c r="F30" s="2">
        <f>=HYPERLINK("https://i.stonehdfile.com/DNAReport?s=949f4e03-de28-4342-8b9e-e20c2d4613dd","DNA")</f>
      </c>
      <c r="G30" s="2">
        <f>=HYPERLINK("https://www.gia.edu/report-check?reportno=******2658","Verify")</f>
      </c>
      <c r="H30" s="1" t="s">
        <v>320</v>
      </c>
      <c r="I30" s="1" t="s">
        <v>46</v>
      </c>
      <c r="J30" s="1">
        <v>3</v>
      </c>
      <c r="K30" s="1">
        <v>0</v>
      </c>
      <c r="L30" s="1">
        <v>20000</v>
      </c>
      <c r="M30" s="1">
        <v>9379</v>
      </c>
      <c r="N30" s="1">
        <v>28137</v>
      </c>
      <c r="O30" s="1">
        <v>-53.11</v>
      </c>
      <c r="P30" s="1">
        <v>0</v>
      </c>
      <c r="Q30" s="1" t="s">
        <v>86</v>
      </c>
      <c r="R30" s="1">
        <v>0</v>
      </c>
      <c r="S30" s="1" t="s">
        <v>86</v>
      </c>
      <c r="T30" s="1" t="s">
        <v>86</v>
      </c>
      <c r="U30" s="1" t="s">
        <v>271</v>
      </c>
      <c r="V30" s="1" t="s">
        <v>86</v>
      </c>
      <c r="W30" s="1" t="s">
        <v>149</v>
      </c>
      <c r="X30" s="1" t="s">
        <v>86</v>
      </c>
      <c r="Y30" s="1" t="s">
        <v>89</v>
      </c>
      <c r="Z30" s="1" t="s">
        <v>89</v>
      </c>
      <c r="AA30" s="1" t="s">
        <v>119</v>
      </c>
      <c r="AB30" s="1" t="s">
        <v>86</v>
      </c>
      <c r="AC30" s="1" t="s">
        <v>321</v>
      </c>
      <c r="AD30" s="1">
        <v>69.5</v>
      </c>
      <c r="AE30" s="1">
        <v>59</v>
      </c>
      <c r="AF30" s="1" t="s">
        <v>91</v>
      </c>
      <c r="AG30" s="1">
        <v>2.8</v>
      </c>
      <c r="AH30" s="1">
        <v>36.5</v>
      </c>
      <c r="AI30" s="1" t="s">
        <v>86</v>
      </c>
      <c r="AJ30" s="1">
        <v>1.06</v>
      </c>
      <c r="AK30" s="1" t="s">
        <v>111</v>
      </c>
      <c r="AL30" s="1" t="s">
        <v>93</v>
      </c>
      <c r="AM30" s="1" t="s">
        <v>128</v>
      </c>
      <c r="AN30" s="1" t="s">
        <v>86</v>
      </c>
      <c r="AO30" s="1" t="s">
        <v>94</v>
      </c>
      <c r="AP30" s="1" t="s">
        <v>95</v>
      </c>
      <c r="AQ30" s="1">
        <v>15.2</v>
      </c>
      <c r="AR30" s="1">
        <v>50.8</v>
      </c>
      <c r="AS30" s="1">
        <v>38.1</v>
      </c>
      <c r="AT30" s="1" t="s">
        <v>96</v>
      </c>
      <c r="AU30" s="1" t="s">
        <v>86</v>
      </c>
      <c r="AV30" s="1" t="s">
        <v>86</v>
      </c>
      <c r="AW30" s="1" t="s">
        <v>86</v>
      </c>
      <c r="AX30" s="1" t="s">
        <v>86</v>
      </c>
      <c r="AY30" s="1" t="s">
        <v>86</v>
      </c>
      <c r="AZ30" s="1" t="s">
        <v>86</v>
      </c>
      <c r="BA30" s="1" t="s">
        <v>86</v>
      </c>
      <c r="BB30" s="1" t="s">
        <v>86</v>
      </c>
      <c r="BC30" s="1" t="s">
        <v>86</v>
      </c>
      <c r="BD30" s="1" t="s">
        <v>86</v>
      </c>
      <c r="BE30" s="1" t="s">
        <v>86</v>
      </c>
      <c r="BF30" s="1" t="s">
        <v>86</v>
      </c>
      <c r="BG30" s="1" t="s">
        <v>86</v>
      </c>
      <c r="BH30" s="1" t="s">
        <v>142</v>
      </c>
      <c r="BI30" s="1" t="s">
        <v>322</v>
      </c>
      <c r="BJ30" s="1" t="s">
        <v>87</v>
      </c>
      <c r="BK30" s="1">
        <v>0</v>
      </c>
      <c r="BL30" s="1">
        <v>0</v>
      </c>
      <c r="BM30" s="1" t="s">
        <v>86</v>
      </c>
      <c r="BN30" s="1" t="s">
        <v>323</v>
      </c>
      <c r="BO30" s="1" t="s">
        <v>324</v>
      </c>
      <c r="BP30" s="1" t="s">
        <v>86</v>
      </c>
      <c r="BQ30" s="1" t="s">
        <v>86</v>
      </c>
      <c r="BR30" s="1" t="s">
        <v>86</v>
      </c>
      <c r="BS30" s="1" t="s">
        <v>86</v>
      </c>
      <c r="BT30" s="1" t="s">
        <v>86</v>
      </c>
      <c r="BU30" s="1" t="s">
        <v>86</v>
      </c>
      <c r="BV30" s="1" t="s">
        <v>86</v>
      </c>
      <c r="BW30" s="1" t="s">
        <v>101</v>
      </c>
      <c r="BX30" s="1" t="s">
        <v>86</v>
      </c>
      <c r="BY30" s="1" t="s">
        <v>86</v>
      </c>
      <c r="BZ30" s="1" t="s">
        <v>325</v>
      </c>
      <c r="CA30" s="1" t="s">
        <v>297</v>
      </c>
      <c r="CB30" s="1" t="s">
        <v>269</v>
      </c>
      <c r="CC30" s="1" t="s">
        <v>86</v>
      </c>
      <c r="CD30" s="1" t="s">
        <v>86</v>
      </c>
      <c r="CE30" s="1" t="s">
        <v>86</v>
      </c>
    </row>
    <row r="31">
      <c r="A31" s="1">
        <v>29</v>
      </c>
      <c r="B31" s="1" t="s">
        <v>157</v>
      </c>
      <c r="C31" s="2">
        <f>=HYPERLINK("https://i.stonehdfile.com/stoneimage?s=90b0a2c2-d3be-4b2e-8653-f9e38853a570","Image")</f>
      </c>
      <c r="D31" s="2">
        <f>=HYPERLINK("https://dna.stonehdfile.com/hd/viewhd.html?d=b8fd18f1-7645-46a9-ac8d-c08efc87bf08","View360")</f>
      </c>
      <c r="E31" s="2">
        <f>=HYPERLINK("https://i.stonehdfile.com/Certificate?s=90b0a2c2-d3be-4b2e-8653-f9e38853a570","GIA")</f>
      </c>
      <c r="F31" s="2">
        <f>=HYPERLINK("https://i.stonehdfile.com/DNAReport?s=90b0a2c2-d3be-4b2e-8653-f9e38853a570","DNA")</f>
      </c>
      <c r="G31" s="2">
        <f>=HYPERLINK("https://www.gia.edu/report-check?reportno=******9360","Verify")</f>
      </c>
      <c r="H31" s="1" t="s">
        <v>326</v>
      </c>
      <c r="I31" s="1" t="s">
        <v>46</v>
      </c>
      <c r="J31" s="1">
        <v>3.01</v>
      </c>
      <c r="K31" s="1">
        <v>0</v>
      </c>
      <c r="L31" s="1">
        <v>20000</v>
      </c>
      <c r="M31" s="1">
        <v>10940</v>
      </c>
      <c r="N31" s="1">
        <v>32929.4</v>
      </c>
      <c r="O31" s="1">
        <v>-45.3</v>
      </c>
      <c r="P31" s="1">
        <v>0</v>
      </c>
      <c r="Q31" s="1" t="s">
        <v>86</v>
      </c>
      <c r="R31" s="1">
        <v>0</v>
      </c>
      <c r="S31" s="1" t="s">
        <v>86</v>
      </c>
      <c r="T31" s="1" t="s">
        <v>86</v>
      </c>
      <c r="U31" s="1" t="s">
        <v>271</v>
      </c>
      <c r="V31" s="1" t="s">
        <v>86</v>
      </c>
      <c r="W31" s="1" t="s">
        <v>149</v>
      </c>
      <c r="X31" s="1" t="s">
        <v>86</v>
      </c>
      <c r="Y31" s="1" t="s">
        <v>89</v>
      </c>
      <c r="Z31" s="1" t="s">
        <v>89</v>
      </c>
      <c r="AA31" s="1" t="s">
        <v>119</v>
      </c>
      <c r="AB31" s="1" t="s">
        <v>86</v>
      </c>
      <c r="AC31" s="1" t="s">
        <v>327</v>
      </c>
      <c r="AD31" s="1">
        <v>68.5</v>
      </c>
      <c r="AE31" s="1">
        <v>64</v>
      </c>
      <c r="AF31" s="1" t="s">
        <v>91</v>
      </c>
      <c r="AG31" s="1">
        <v>2.5</v>
      </c>
      <c r="AH31" s="1">
        <v>34.4</v>
      </c>
      <c r="AI31" s="1" t="s">
        <v>86</v>
      </c>
      <c r="AJ31" s="1">
        <v>1.02</v>
      </c>
      <c r="AK31" s="1" t="s">
        <v>190</v>
      </c>
      <c r="AL31" s="1" t="s">
        <v>93</v>
      </c>
      <c r="AM31" s="1" t="s">
        <v>140</v>
      </c>
      <c r="AN31" s="1" t="s">
        <v>86</v>
      </c>
      <c r="AO31" s="1" t="s">
        <v>94</v>
      </c>
      <c r="AP31" s="1" t="s">
        <v>95</v>
      </c>
      <c r="AQ31" s="1">
        <v>12.2</v>
      </c>
      <c r="AR31" s="1">
        <v>53.4</v>
      </c>
      <c r="AS31" s="1">
        <v>40</v>
      </c>
      <c r="AT31" s="1" t="s">
        <v>96</v>
      </c>
      <c r="AU31" s="1" t="s">
        <v>86</v>
      </c>
      <c r="AV31" s="1" t="s">
        <v>86</v>
      </c>
      <c r="AW31" s="1" t="s">
        <v>86</v>
      </c>
      <c r="AX31" s="1" t="s">
        <v>86</v>
      </c>
      <c r="AY31" s="1" t="s">
        <v>86</v>
      </c>
      <c r="AZ31" s="1" t="s">
        <v>86</v>
      </c>
      <c r="BA31" s="1" t="s">
        <v>86</v>
      </c>
      <c r="BB31" s="1" t="s">
        <v>86</v>
      </c>
      <c r="BC31" s="1" t="s">
        <v>86</v>
      </c>
      <c r="BD31" s="1" t="s">
        <v>86</v>
      </c>
      <c r="BE31" s="1" t="s">
        <v>86</v>
      </c>
      <c r="BF31" s="1" t="s">
        <v>86</v>
      </c>
      <c r="BG31" s="1" t="s">
        <v>86</v>
      </c>
      <c r="BH31" s="1" t="s">
        <v>182</v>
      </c>
      <c r="BI31" s="1" t="s">
        <v>328</v>
      </c>
      <c r="BJ31" s="1" t="s">
        <v>87</v>
      </c>
      <c r="BK31" s="1">
        <v>0</v>
      </c>
      <c r="BL31" s="1">
        <v>0</v>
      </c>
      <c r="BM31" s="1" t="s">
        <v>86</v>
      </c>
      <c r="BN31" s="1" t="s">
        <v>329</v>
      </c>
      <c r="BO31" s="1" t="s">
        <v>330</v>
      </c>
      <c r="BP31" s="1" t="s">
        <v>86</v>
      </c>
      <c r="BQ31" s="1" t="s">
        <v>86</v>
      </c>
      <c r="BR31" s="1" t="s">
        <v>86</v>
      </c>
      <c r="BS31" s="1" t="s">
        <v>86</v>
      </c>
      <c r="BT31" s="1" t="s">
        <v>86</v>
      </c>
      <c r="BU31" s="1" t="s">
        <v>86</v>
      </c>
      <c r="BV31" s="1" t="s">
        <v>86</v>
      </c>
      <c r="BW31" s="1" t="s">
        <v>101</v>
      </c>
      <c r="BX31" s="1" t="s">
        <v>86</v>
      </c>
      <c r="BY31" s="1" t="s">
        <v>86</v>
      </c>
      <c r="BZ31" s="1" t="s">
        <v>331</v>
      </c>
      <c r="CA31" s="1" t="s">
        <v>332</v>
      </c>
      <c r="CB31" s="1" t="s">
        <v>156</v>
      </c>
      <c r="CC31" s="1" t="s">
        <v>86</v>
      </c>
      <c r="CD31" s="1" t="s">
        <v>86</v>
      </c>
      <c r="CE31" s="1" t="s">
        <v>86</v>
      </c>
    </row>
    <row r="32">
      <c r="A32" s="1">
        <v>30</v>
      </c>
      <c r="B32" s="1" t="s">
        <v>157</v>
      </c>
      <c r="C32" s="2">
        <f>=HYPERLINK("https://i.stonehdfile.com/stoneimage?s=f1fc6f98-948a-406d-bbd4-123e5ce81f97","Image")</f>
      </c>
      <c r="D32" s="2">
        <f>=HYPERLINK("https://dna.stonehdfile.com/hd/viewhd.html?d=cf819450-8d97-42fa-9338-5f39571a68c1","View360")</f>
      </c>
      <c r="E32" s="2">
        <f>=HYPERLINK("https://i.stonehdfile.com/Certificate?s=f1fc6f98-948a-406d-bbd4-123e5ce81f97","GIA")</f>
      </c>
      <c r="F32" s="2">
        <f>=HYPERLINK("https://i.stonehdfile.com/DNAReport?s=f1fc6f98-948a-406d-bbd4-123e5ce81f97","DNA")</f>
      </c>
      <c r="G32" s="2">
        <f>=HYPERLINK("https://www.gia.edu/report-check?reportno=******1211","Verify")</f>
      </c>
      <c r="H32" s="1" t="s">
        <v>333</v>
      </c>
      <c r="I32" s="1" t="s">
        <v>46</v>
      </c>
      <c r="J32" s="1">
        <v>3.25</v>
      </c>
      <c r="K32" s="1">
        <v>0</v>
      </c>
      <c r="L32" s="1">
        <v>18000</v>
      </c>
      <c r="M32" s="1">
        <v>9527</v>
      </c>
      <c r="N32" s="1">
        <v>30962.75</v>
      </c>
      <c r="O32" s="1">
        <v>-47.07</v>
      </c>
      <c r="P32" s="1">
        <v>0</v>
      </c>
      <c r="Q32" s="1" t="s">
        <v>86</v>
      </c>
      <c r="R32" s="1">
        <v>0</v>
      </c>
      <c r="S32" s="1" t="s">
        <v>86</v>
      </c>
      <c r="T32" s="1" t="s">
        <v>86</v>
      </c>
      <c r="U32" s="1" t="s">
        <v>271</v>
      </c>
      <c r="V32" s="1" t="s">
        <v>86</v>
      </c>
      <c r="W32" s="1" t="s">
        <v>223</v>
      </c>
      <c r="X32" s="1" t="s">
        <v>86</v>
      </c>
      <c r="Y32" s="1" t="s">
        <v>89</v>
      </c>
      <c r="Z32" s="1" t="s">
        <v>89</v>
      </c>
      <c r="AA32" s="1" t="s">
        <v>119</v>
      </c>
      <c r="AB32" s="1" t="s">
        <v>86</v>
      </c>
      <c r="AC32" s="1" t="s">
        <v>334</v>
      </c>
      <c r="AD32" s="1">
        <v>68.6</v>
      </c>
      <c r="AE32" s="1">
        <v>63</v>
      </c>
      <c r="AF32" s="1" t="s">
        <v>91</v>
      </c>
      <c r="AG32" s="1">
        <v>2.6</v>
      </c>
      <c r="AH32" s="1">
        <v>33.8</v>
      </c>
      <c r="AI32" s="1" t="s">
        <v>86</v>
      </c>
      <c r="AJ32" s="1">
        <v>1.01</v>
      </c>
      <c r="AK32" s="1" t="s">
        <v>111</v>
      </c>
      <c r="AL32" s="1" t="s">
        <v>140</v>
      </c>
      <c r="AM32" s="1" t="s">
        <v>128</v>
      </c>
      <c r="AN32" s="1" t="s">
        <v>171</v>
      </c>
      <c r="AO32" s="1" t="s">
        <v>94</v>
      </c>
      <c r="AP32" s="1" t="s">
        <v>95</v>
      </c>
      <c r="AQ32" s="1">
        <v>12.6</v>
      </c>
      <c r="AR32" s="1">
        <v>53.3</v>
      </c>
      <c r="AS32" s="1">
        <v>39.9</v>
      </c>
      <c r="AT32" s="1" t="s">
        <v>96</v>
      </c>
      <c r="AU32" s="1" t="s">
        <v>86</v>
      </c>
      <c r="AV32" s="1" t="s">
        <v>86</v>
      </c>
      <c r="AW32" s="1" t="s">
        <v>86</v>
      </c>
      <c r="AX32" s="1" t="s">
        <v>86</v>
      </c>
      <c r="AY32" s="1" t="s">
        <v>86</v>
      </c>
      <c r="AZ32" s="1" t="s">
        <v>86</v>
      </c>
      <c r="BA32" s="1" t="s">
        <v>86</v>
      </c>
      <c r="BB32" s="1" t="s">
        <v>86</v>
      </c>
      <c r="BC32" s="1" t="s">
        <v>86</v>
      </c>
      <c r="BD32" s="1" t="s">
        <v>86</v>
      </c>
      <c r="BE32" s="1" t="s">
        <v>86</v>
      </c>
      <c r="BF32" s="1" t="s">
        <v>86</v>
      </c>
      <c r="BG32" s="1" t="s">
        <v>86</v>
      </c>
      <c r="BH32" s="1" t="s">
        <v>97</v>
      </c>
      <c r="BI32" s="1" t="s">
        <v>335</v>
      </c>
      <c r="BJ32" s="1" t="s">
        <v>87</v>
      </c>
      <c r="BK32" s="1">
        <v>0</v>
      </c>
      <c r="BL32" s="1">
        <v>0</v>
      </c>
      <c r="BM32" s="1" t="s">
        <v>86</v>
      </c>
      <c r="BN32" s="1" t="s">
        <v>336</v>
      </c>
      <c r="BO32" s="1" t="s">
        <v>337</v>
      </c>
      <c r="BP32" s="1" t="s">
        <v>86</v>
      </c>
      <c r="BQ32" s="1" t="s">
        <v>86</v>
      </c>
      <c r="BR32" s="1" t="s">
        <v>86</v>
      </c>
      <c r="BS32" s="1" t="s">
        <v>86</v>
      </c>
      <c r="BT32" s="1" t="s">
        <v>86</v>
      </c>
      <c r="BU32" s="1" t="s">
        <v>86</v>
      </c>
      <c r="BV32" s="1" t="s">
        <v>86</v>
      </c>
      <c r="BW32" s="1" t="s">
        <v>101</v>
      </c>
      <c r="BX32" s="1" t="s">
        <v>86</v>
      </c>
      <c r="BY32" s="1" t="s">
        <v>86</v>
      </c>
      <c r="BZ32" s="1" t="s">
        <v>338</v>
      </c>
      <c r="CA32" s="1" t="s">
        <v>312</v>
      </c>
      <c r="CB32" s="1" t="s">
        <v>166</v>
      </c>
      <c r="CC32" s="1" t="s">
        <v>86</v>
      </c>
      <c r="CD32" s="1" t="s">
        <v>86</v>
      </c>
      <c r="CE32" s="1" t="s">
        <v>86</v>
      </c>
    </row>
    <row r="33">
      <c r="A33" s="1">
        <v>31</v>
      </c>
      <c r="B33" s="1" t="s">
        <v>157</v>
      </c>
      <c r="C33" s="2">
        <f>=HYPERLINK("https://i.stonehdfile.com/stoneimage?s=910ea6e9-8a6b-458f-a110-958ca6af3008","Image")</f>
      </c>
      <c r="D33" s="2">
        <f>=HYPERLINK("https://dna.stonehdfile.com/hd/viewhd.html?d=304604b7-0f95-4162-a0eb-397b7d82641b","View360")</f>
      </c>
      <c r="E33" s="2">
        <f>=HYPERLINK("https://i.stonehdfile.com/Certificate?s=910ea6e9-8a6b-458f-a110-958ca6af3008","GIA")</f>
      </c>
      <c r="F33" s="2">
        <f>=HYPERLINK("https://i.stonehdfile.com/DNAReport?s=910ea6e9-8a6b-458f-a110-958ca6af3008","DNA")</f>
      </c>
      <c r="G33" s="2">
        <f>=HYPERLINK("https://www.gia.edu/report-check?reportno=******8875","Verify")</f>
      </c>
      <c r="H33" s="1" t="s">
        <v>339</v>
      </c>
      <c r="I33" s="1" t="s">
        <v>46</v>
      </c>
      <c r="J33" s="1">
        <v>3.02</v>
      </c>
      <c r="K33" s="1">
        <v>0</v>
      </c>
      <c r="L33" s="1">
        <v>16000</v>
      </c>
      <c r="M33" s="1">
        <v>8551</v>
      </c>
      <c r="N33" s="1">
        <v>25824.02</v>
      </c>
      <c r="O33" s="1">
        <v>-46.56</v>
      </c>
      <c r="P33" s="1">
        <v>0</v>
      </c>
      <c r="Q33" s="1" t="s">
        <v>86</v>
      </c>
      <c r="R33" s="1">
        <v>0</v>
      </c>
      <c r="S33" s="1" t="s">
        <v>86</v>
      </c>
      <c r="T33" s="1" t="s">
        <v>86</v>
      </c>
      <c r="U33" s="1" t="s">
        <v>271</v>
      </c>
      <c r="V33" s="1" t="s">
        <v>86</v>
      </c>
      <c r="W33" s="1" t="s">
        <v>137</v>
      </c>
      <c r="X33" s="1" t="s">
        <v>86</v>
      </c>
      <c r="Y33" s="1" t="s">
        <v>89</v>
      </c>
      <c r="Z33" s="1" t="s">
        <v>89</v>
      </c>
      <c r="AA33" s="1" t="s">
        <v>119</v>
      </c>
      <c r="AB33" s="1" t="s">
        <v>86</v>
      </c>
      <c r="AC33" s="1" t="s">
        <v>340</v>
      </c>
      <c r="AD33" s="1">
        <v>68.9</v>
      </c>
      <c r="AE33" s="1">
        <v>63</v>
      </c>
      <c r="AF33" s="1" t="s">
        <v>91</v>
      </c>
      <c r="AG33" s="1">
        <v>4.1</v>
      </c>
      <c r="AH33" s="1">
        <v>36</v>
      </c>
      <c r="AI33" s="1" t="s">
        <v>86</v>
      </c>
      <c r="AJ33" s="1">
        <v>1</v>
      </c>
      <c r="AK33" s="1" t="s">
        <v>111</v>
      </c>
      <c r="AL33" s="1" t="s">
        <v>93</v>
      </c>
      <c r="AM33" s="1" t="s">
        <v>128</v>
      </c>
      <c r="AN33" s="1" t="s">
        <v>171</v>
      </c>
      <c r="AO33" s="1" t="s">
        <v>94</v>
      </c>
      <c r="AP33" s="1" t="s">
        <v>95</v>
      </c>
      <c r="AQ33" s="1">
        <v>13.4</v>
      </c>
      <c r="AR33" s="1">
        <v>51.1</v>
      </c>
      <c r="AS33" s="1">
        <v>39.4</v>
      </c>
      <c r="AT33" s="1" t="s">
        <v>96</v>
      </c>
      <c r="AU33" s="1" t="s">
        <v>86</v>
      </c>
      <c r="AV33" s="1" t="s">
        <v>86</v>
      </c>
      <c r="AW33" s="1" t="s">
        <v>86</v>
      </c>
      <c r="AX33" s="1" t="s">
        <v>86</v>
      </c>
      <c r="AY33" s="1" t="s">
        <v>86</v>
      </c>
      <c r="AZ33" s="1" t="s">
        <v>86</v>
      </c>
      <c r="BA33" s="1" t="s">
        <v>86</v>
      </c>
      <c r="BB33" s="1" t="s">
        <v>86</v>
      </c>
      <c r="BC33" s="1" t="s">
        <v>86</v>
      </c>
      <c r="BD33" s="1" t="s">
        <v>86</v>
      </c>
      <c r="BE33" s="1" t="s">
        <v>86</v>
      </c>
      <c r="BF33" s="1" t="s">
        <v>86</v>
      </c>
      <c r="BG33" s="1" t="s">
        <v>172</v>
      </c>
      <c r="BH33" s="1" t="s">
        <v>215</v>
      </c>
      <c r="BI33" s="1" t="s">
        <v>341</v>
      </c>
      <c r="BJ33" s="1" t="s">
        <v>87</v>
      </c>
      <c r="BK33" s="1">
        <v>0</v>
      </c>
      <c r="BL33" s="1">
        <v>0</v>
      </c>
      <c r="BM33" s="1" t="s">
        <v>86</v>
      </c>
      <c r="BN33" s="1" t="s">
        <v>342</v>
      </c>
      <c r="BO33" s="1" t="s">
        <v>290</v>
      </c>
      <c r="BP33" s="1" t="s">
        <v>86</v>
      </c>
      <c r="BQ33" s="1" t="s">
        <v>86</v>
      </c>
      <c r="BR33" s="1" t="s">
        <v>86</v>
      </c>
      <c r="BS33" s="1" t="s">
        <v>86</v>
      </c>
      <c r="BT33" s="1" t="s">
        <v>86</v>
      </c>
      <c r="BU33" s="1" t="s">
        <v>86</v>
      </c>
      <c r="BV33" s="1" t="s">
        <v>86</v>
      </c>
      <c r="BW33" s="1" t="s">
        <v>101</v>
      </c>
      <c r="BX33" s="1" t="s">
        <v>86</v>
      </c>
      <c r="BY33" s="1" t="s">
        <v>86</v>
      </c>
      <c r="BZ33" s="1" t="s">
        <v>343</v>
      </c>
      <c r="CA33" s="1" t="s">
        <v>195</v>
      </c>
      <c r="CB33" s="1" t="s">
        <v>179</v>
      </c>
      <c r="CC33" s="1" t="s">
        <v>86</v>
      </c>
      <c r="CD33" s="1" t="s">
        <v>86</v>
      </c>
      <c r="CE33" s="1" t="s">
        <v>86</v>
      </c>
    </row>
    <row r="34">
      <c r="A34" s="1">
        <v>32</v>
      </c>
      <c r="B34" s="1" t="s">
        <v>157</v>
      </c>
      <c r="C34" s="2">
        <f>=HYPERLINK("https://i.stonehdfile.com/stoneimage?s=82cd0f32-a8b1-4642-a725-f978777f90d5","Image")</f>
      </c>
      <c r="D34" s="2">
        <f>=HYPERLINK("https://dna.stonehdfile.com/hd/viewhd.html?d=3105fd20-e6c8-4cd3-acd5-eea2737b4ce4","View360")</f>
      </c>
      <c r="E34" s="2">
        <f>=HYPERLINK("https://i.stonehdfile.com/Certificate?s=82cd0f32-a8b1-4642-a725-f978777f90d5","GIA")</f>
      </c>
      <c r="F34" s="2">
        <f>=HYPERLINK("https://i.stonehdfile.com/DNAReport?s=82cd0f32-a8b1-4642-a725-f978777f90d5","DNA")</f>
      </c>
      <c r="G34" s="2">
        <f>=HYPERLINK("https://www.gia.edu/report-check?reportno=******5051","Verify")</f>
      </c>
      <c r="H34" s="1" t="s">
        <v>344</v>
      </c>
      <c r="I34" s="1" t="s">
        <v>46</v>
      </c>
      <c r="J34" s="1">
        <v>3.03</v>
      </c>
      <c r="K34" s="1">
        <v>0</v>
      </c>
      <c r="L34" s="1">
        <v>17000</v>
      </c>
      <c r="M34" s="1">
        <v>9051</v>
      </c>
      <c r="N34" s="1">
        <v>27424.53</v>
      </c>
      <c r="O34" s="1">
        <v>-46.76</v>
      </c>
      <c r="P34" s="1">
        <v>0</v>
      </c>
      <c r="Q34" s="1" t="s">
        <v>86</v>
      </c>
      <c r="R34" s="1">
        <v>0</v>
      </c>
      <c r="S34" s="1" t="s">
        <v>86</v>
      </c>
      <c r="T34" s="1" t="s">
        <v>86</v>
      </c>
      <c r="U34" s="1" t="s">
        <v>118</v>
      </c>
      <c r="V34" s="1" t="s">
        <v>86</v>
      </c>
      <c r="W34" s="1" t="s">
        <v>149</v>
      </c>
      <c r="X34" s="1" t="s">
        <v>86</v>
      </c>
      <c r="Y34" s="1" t="s">
        <v>89</v>
      </c>
      <c r="Z34" s="1" t="s">
        <v>89</v>
      </c>
      <c r="AA34" s="1" t="s">
        <v>119</v>
      </c>
      <c r="AB34" s="1" t="s">
        <v>86</v>
      </c>
      <c r="AC34" s="1" t="s">
        <v>345</v>
      </c>
      <c r="AD34" s="1">
        <v>67.9</v>
      </c>
      <c r="AE34" s="1">
        <v>64</v>
      </c>
      <c r="AF34" s="1" t="s">
        <v>91</v>
      </c>
      <c r="AG34" s="1">
        <v>1.6</v>
      </c>
      <c r="AH34" s="1">
        <v>33.9</v>
      </c>
      <c r="AI34" s="1" t="s">
        <v>86</v>
      </c>
      <c r="AJ34" s="1">
        <v>1.05</v>
      </c>
      <c r="AK34" s="1" t="s">
        <v>111</v>
      </c>
      <c r="AL34" s="1" t="s">
        <v>93</v>
      </c>
      <c r="AM34" s="1" t="s">
        <v>128</v>
      </c>
      <c r="AN34" s="1" t="s">
        <v>86</v>
      </c>
      <c r="AO34" s="1" t="s">
        <v>94</v>
      </c>
      <c r="AP34" s="1" t="s">
        <v>95</v>
      </c>
      <c r="AQ34" s="1">
        <v>12.3</v>
      </c>
      <c r="AR34" s="1">
        <v>53.6</v>
      </c>
      <c r="AS34" s="1">
        <v>42</v>
      </c>
      <c r="AT34" s="1" t="s">
        <v>96</v>
      </c>
      <c r="AU34" s="1" t="s">
        <v>86</v>
      </c>
      <c r="AV34" s="1" t="s">
        <v>86</v>
      </c>
      <c r="AW34" s="1" t="s">
        <v>86</v>
      </c>
      <c r="AX34" s="1" t="s">
        <v>86</v>
      </c>
      <c r="AY34" s="1" t="s">
        <v>86</v>
      </c>
      <c r="AZ34" s="1" t="s">
        <v>86</v>
      </c>
      <c r="BA34" s="1" t="s">
        <v>86</v>
      </c>
      <c r="BB34" s="1" t="s">
        <v>86</v>
      </c>
      <c r="BC34" s="1" t="s">
        <v>86</v>
      </c>
      <c r="BD34" s="1" t="s">
        <v>86</v>
      </c>
      <c r="BE34" s="1" t="s">
        <v>86</v>
      </c>
      <c r="BF34" s="1" t="s">
        <v>86</v>
      </c>
      <c r="BG34" s="1" t="s">
        <v>86</v>
      </c>
      <c r="BH34" s="1" t="s">
        <v>264</v>
      </c>
      <c r="BI34" s="1" t="s">
        <v>346</v>
      </c>
      <c r="BJ34" s="1" t="s">
        <v>87</v>
      </c>
      <c r="BK34" s="1">
        <v>0</v>
      </c>
      <c r="BL34" s="1">
        <v>0</v>
      </c>
      <c r="BM34" s="1" t="s">
        <v>86</v>
      </c>
      <c r="BN34" s="1" t="s">
        <v>347</v>
      </c>
      <c r="BO34" s="1" t="s">
        <v>348</v>
      </c>
      <c r="BP34" s="1" t="s">
        <v>86</v>
      </c>
      <c r="BQ34" s="1" t="s">
        <v>86</v>
      </c>
      <c r="BR34" s="1" t="s">
        <v>86</v>
      </c>
      <c r="BS34" s="1" t="s">
        <v>86</v>
      </c>
      <c r="BT34" s="1" t="s">
        <v>86</v>
      </c>
      <c r="BU34" s="1" t="s">
        <v>86</v>
      </c>
      <c r="BV34" s="1" t="s">
        <v>86</v>
      </c>
      <c r="BW34" s="1" t="s">
        <v>101</v>
      </c>
      <c r="BX34" s="1" t="s">
        <v>86</v>
      </c>
      <c r="BY34" s="1" t="s">
        <v>86</v>
      </c>
      <c r="BZ34" s="1" t="s">
        <v>349</v>
      </c>
      <c r="CA34" s="1" t="s">
        <v>350</v>
      </c>
      <c r="CB34" s="1" t="s">
        <v>166</v>
      </c>
      <c r="CC34" s="1" t="s">
        <v>86</v>
      </c>
      <c r="CD34" s="1" t="s">
        <v>86</v>
      </c>
      <c r="CE34" s="1" t="s">
        <v>86</v>
      </c>
    </row>
    <row r="35">
      <c r="A35" s="1">
        <v>33</v>
      </c>
      <c r="B35" s="1" t="s">
        <v>157</v>
      </c>
      <c r="C35" s="2">
        <f>=HYPERLINK("https://i.stonehdfile.com/stoneimage?s=9efee3da-9f6a-4f4f-85ac-49362fac64c6","Image")</f>
      </c>
      <c r="D35" s="2">
        <f>=HYPERLINK("https://dna.stonehdfile.com/hd/viewhd.html?d=a093df2e-16bb-4f54-a82f-cebcb0276c1c","View360")</f>
      </c>
      <c r="E35" s="2">
        <f>=HYPERLINK("https://i.stonehdfile.com/Certificate?s=9efee3da-9f6a-4f4f-85ac-49362fac64c6","GIA")</f>
      </c>
      <c r="F35" s="2">
        <f>=HYPERLINK("https://i.stonehdfile.com/DNAReport?s=9efee3da-9f6a-4f4f-85ac-49362fac64c6","DNA")</f>
      </c>
      <c r="G35" s="2">
        <f>=HYPERLINK("https://www.gia.edu/report-check?reportno=******9211","Verify")</f>
      </c>
      <c r="H35" s="1" t="s">
        <v>351</v>
      </c>
      <c r="I35" s="1" t="s">
        <v>46</v>
      </c>
      <c r="J35" s="1">
        <v>3.1</v>
      </c>
      <c r="K35" s="1">
        <v>0</v>
      </c>
      <c r="L35" s="1">
        <v>15500</v>
      </c>
      <c r="M35" s="1">
        <v>8010</v>
      </c>
      <c r="N35" s="1">
        <v>24831</v>
      </c>
      <c r="O35" s="1">
        <v>-48.32</v>
      </c>
      <c r="P35" s="1">
        <v>0</v>
      </c>
      <c r="Q35" s="1" t="s">
        <v>86</v>
      </c>
      <c r="R35" s="1">
        <v>0</v>
      </c>
      <c r="S35" s="1" t="s">
        <v>86</v>
      </c>
      <c r="T35" s="1" t="s">
        <v>86</v>
      </c>
      <c r="U35" s="1" t="s">
        <v>118</v>
      </c>
      <c r="V35" s="1" t="s">
        <v>86</v>
      </c>
      <c r="W35" s="1" t="s">
        <v>352</v>
      </c>
      <c r="X35" s="1" t="s">
        <v>86</v>
      </c>
      <c r="Y35" s="1" t="s">
        <v>89</v>
      </c>
      <c r="Z35" s="1" t="s">
        <v>89</v>
      </c>
      <c r="AA35" s="1" t="s">
        <v>119</v>
      </c>
      <c r="AB35" s="1" t="s">
        <v>86</v>
      </c>
      <c r="AC35" s="1" t="s">
        <v>353</v>
      </c>
      <c r="AD35" s="1">
        <v>69.1</v>
      </c>
      <c r="AE35" s="1">
        <v>63</v>
      </c>
      <c r="AF35" s="1" t="s">
        <v>91</v>
      </c>
      <c r="AG35" s="1">
        <v>2.4</v>
      </c>
      <c r="AH35" s="1">
        <v>33.9</v>
      </c>
      <c r="AI35" s="1" t="s">
        <v>86</v>
      </c>
      <c r="AJ35" s="1">
        <v>1.03</v>
      </c>
      <c r="AK35" s="1" t="s">
        <v>111</v>
      </c>
      <c r="AL35" s="1" t="s">
        <v>93</v>
      </c>
      <c r="AM35" s="1" t="s">
        <v>140</v>
      </c>
      <c r="AN35" s="1" t="s">
        <v>307</v>
      </c>
      <c r="AO35" s="1" t="s">
        <v>94</v>
      </c>
      <c r="AP35" s="1" t="s">
        <v>95</v>
      </c>
      <c r="AQ35" s="1">
        <v>12.6</v>
      </c>
      <c r="AR35" s="1">
        <v>53.3</v>
      </c>
      <c r="AS35" s="1">
        <v>39.3</v>
      </c>
      <c r="AT35" s="1" t="s">
        <v>96</v>
      </c>
      <c r="AU35" s="1" t="s">
        <v>86</v>
      </c>
      <c r="AV35" s="1" t="s">
        <v>86</v>
      </c>
      <c r="AW35" s="1" t="s">
        <v>86</v>
      </c>
      <c r="AX35" s="1" t="s">
        <v>86</v>
      </c>
      <c r="AY35" s="1" t="s">
        <v>86</v>
      </c>
      <c r="AZ35" s="1" t="s">
        <v>86</v>
      </c>
      <c r="BA35" s="1" t="s">
        <v>86</v>
      </c>
      <c r="BB35" s="1" t="s">
        <v>86</v>
      </c>
      <c r="BC35" s="1" t="s">
        <v>86</v>
      </c>
      <c r="BD35" s="1" t="s">
        <v>86</v>
      </c>
      <c r="BE35" s="1" t="s">
        <v>86</v>
      </c>
      <c r="BF35" s="1" t="s">
        <v>282</v>
      </c>
      <c r="BG35" s="1" t="s">
        <v>172</v>
      </c>
      <c r="BH35" s="1" t="s">
        <v>97</v>
      </c>
      <c r="BI35" s="1" t="s">
        <v>354</v>
      </c>
      <c r="BJ35" s="1" t="s">
        <v>87</v>
      </c>
      <c r="BK35" s="1">
        <v>0</v>
      </c>
      <c r="BL35" s="1">
        <v>0</v>
      </c>
      <c r="BM35" s="1" t="s">
        <v>86</v>
      </c>
      <c r="BN35" s="1" t="s">
        <v>355</v>
      </c>
      <c r="BO35" s="1" t="s">
        <v>356</v>
      </c>
      <c r="BP35" s="1" t="s">
        <v>86</v>
      </c>
      <c r="BQ35" s="1" t="s">
        <v>86</v>
      </c>
      <c r="BR35" s="1" t="s">
        <v>86</v>
      </c>
      <c r="BS35" s="1" t="s">
        <v>86</v>
      </c>
      <c r="BT35" s="1" t="s">
        <v>86</v>
      </c>
      <c r="BU35" s="1" t="s">
        <v>86</v>
      </c>
      <c r="BV35" s="1" t="s">
        <v>86</v>
      </c>
      <c r="BW35" s="1" t="s">
        <v>101</v>
      </c>
      <c r="BX35" s="1" t="s">
        <v>86</v>
      </c>
      <c r="BY35" s="1" t="s">
        <v>86</v>
      </c>
      <c r="BZ35" s="1" t="s">
        <v>357</v>
      </c>
      <c r="CA35" s="1" t="s">
        <v>229</v>
      </c>
      <c r="CB35" s="1" t="s">
        <v>358</v>
      </c>
      <c r="CC35" s="1" t="s">
        <v>86</v>
      </c>
      <c r="CD35" s="1" t="s">
        <v>86</v>
      </c>
      <c r="CE35" s="1" t="s">
        <v>86</v>
      </c>
    </row>
    <row r="36">
      <c r="A36" s="1">
        <v>34</v>
      </c>
      <c r="B36" s="1" t="s">
        <v>157</v>
      </c>
      <c r="C36" s="2">
        <f>=HYPERLINK("https://i.stonehdfile.com/stoneimage?s=524093f2-dc82-46db-81a2-d5069828cc1e","Image")</f>
      </c>
      <c r="D36" s="2">
        <f>=HYPERLINK("https://dna.stonehdfile.com/hd/viewhd.html?d=5fae0e43-f826-4094-a48b-e9cdf3986512","View360")</f>
      </c>
      <c r="E36" s="2">
        <f>=HYPERLINK("https://i.stonehdfile.com/Certificate?s=524093f2-dc82-46db-81a2-d5069828cc1e","GIA")</f>
      </c>
      <c r="F36" s="2">
        <f>=HYPERLINK("https://i.stonehdfile.com/DNAReport?s=524093f2-dc82-46db-81a2-d5069828cc1e","DNA")</f>
      </c>
      <c r="G36" s="2">
        <f>=HYPERLINK("https://www.gia.edu/report-check?reportno=******0282","Verify")</f>
      </c>
      <c r="H36" s="1" t="s">
        <v>359</v>
      </c>
      <c r="I36" s="1" t="s">
        <v>46</v>
      </c>
      <c r="J36" s="1">
        <v>3.5</v>
      </c>
      <c r="K36" s="1">
        <v>0</v>
      </c>
      <c r="L36" s="1">
        <v>15500</v>
      </c>
      <c r="M36" s="1">
        <v>7430</v>
      </c>
      <c r="N36" s="1">
        <v>26005</v>
      </c>
      <c r="O36" s="1">
        <v>-52.06</v>
      </c>
      <c r="P36" s="1">
        <v>0</v>
      </c>
      <c r="Q36" s="1" t="s">
        <v>86</v>
      </c>
      <c r="R36" s="1">
        <v>0</v>
      </c>
      <c r="S36" s="1" t="s">
        <v>86</v>
      </c>
      <c r="T36" s="1" t="s">
        <v>86</v>
      </c>
      <c r="U36" s="1" t="s">
        <v>159</v>
      </c>
      <c r="V36" s="1" t="s">
        <v>86</v>
      </c>
      <c r="W36" s="1" t="s">
        <v>223</v>
      </c>
      <c r="X36" s="1" t="s">
        <v>86</v>
      </c>
      <c r="Y36" s="1" t="s">
        <v>89</v>
      </c>
      <c r="Z36" s="1" t="s">
        <v>89</v>
      </c>
      <c r="AA36" s="1" t="s">
        <v>119</v>
      </c>
      <c r="AB36" s="1" t="s">
        <v>86</v>
      </c>
      <c r="AC36" s="1" t="s">
        <v>360</v>
      </c>
      <c r="AD36" s="1">
        <v>70.6</v>
      </c>
      <c r="AE36" s="1">
        <v>65</v>
      </c>
      <c r="AF36" s="1" t="s">
        <v>91</v>
      </c>
      <c r="AG36" s="1">
        <v>3.5</v>
      </c>
      <c r="AH36" s="1">
        <v>35.9</v>
      </c>
      <c r="AI36" s="1" t="s">
        <v>86</v>
      </c>
      <c r="AJ36" s="1">
        <v>1.1</v>
      </c>
      <c r="AK36" s="1" t="s">
        <v>111</v>
      </c>
      <c r="AL36" s="1" t="s">
        <v>93</v>
      </c>
      <c r="AM36" s="1" t="s">
        <v>151</v>
      </c>
      <c r="AN36" s="1" t="s">
        <v>168</v>
      </c>
      <c r="AO36" s="1" t="s">
        <v>94</v>
      </c>
      <c r="AP36" s="1" t="s">
        <v>95</v>
      </c>
      <c r="AQ36" s="1">
        <v>12.5</v>
      </c>
      <c r="AR36" s="1">
        <v>54.2</v>
      </c>
      <c r="AS36" s="1">
        <v>39.6</v>
      </c>
      <c r="AT36" s="1" t="s">
        <v>96</v>
      </c>
      <c r="AU36" s="1" t="s">
        <v>86</v>
      </c>
      <c r="AV36" s="1" t="s">
        <v>86</v>
      </c>
      <c r="AW36" s="1" t="s">
        <v>86</v>
      </c>
      <c r="AX36" s="1" t="s">
        <v>86</v>
      </c>
      <c r="AY36" s="1" t="s">
        <v>86</v>
      </c>
      <c r="AZ36" s="1" t="s">
        <v>86</v>
      </c>
      <c r="BA36" s="1" t="s">
        <v>86</v>
      </c>
      <c r="BB36" s="1" t="s">
        <v>86</v>
      </c>
      <c r="BC36" s="1" t="s">
        <v>86</v>
      </c>
      <c r="BD36" s="1" t="s">
        <v>86</v>
      </c>
      <c r="BE36" s="1" t="s">
        <v>86</v>
      </c>
      <c r="BF36" s="1" t="s">
        <v>86</v>
      </c>
      <c r="BG36" s="1" t="s">
        <v>86</v>
      </c>
      <c r="BH36" s="1" t="s">
        <v>215</v>
      </c>
      <c r="BI36" s="1" t="s">
        <v>183</v>
      </c>
      <c r="BJ36" s="1" t="s">
        <v>87</v>
      </c>
      <c r="BK36" s="1">
        <v>0</v>
      </c>
      <c r="BL36" s="1">
        <v>0</v>
      </c>
      <c r="BM36" s="1" t="s">
        <v>86</v>
      </c>
      <c r="BN36" s="1" t="s">
        <v>361</v>
      </c>
      <c r="BO36" s="1" t="s">
        <v>218</v>
      </c>
      <c r="BP36" s="1" t="s">
        <v>86</v>
      </c>
      <c r="BQ36" s="1" t="s">
        <v>86</v>
      </c>
      <c r="BR36" s="1" t="s">
        <v>86</v>
      </c>
      <c r="BS36" s="1" t="s">
        <v>86</v>
      </c>
      <c r="BT36" s="1" t="s">
        <v>86</v>
      </c>
      <c r="BU36" s="1" t="s">
        <v>86</v>
      </c>
      <c r="BV36" s="1" t="s">
        <v>86</v>
      </c>
      <c r="BW36" s="1" t="s">
        <v>101</v>
      </c>
      <c r="BX36" s="1" t="s">
        <v>86</v>
      </c>
      <c r="BY36" s="1" t="s">
        <v>86</v>
      </c>
      <c r="BZ36" s="1" t="s">
        <v>362</v>
      </c>
      <c r="CA36" s="1" t="s">
        <v>220</v>
      </c>
      <c r="CB36" s="1" t="s">
        <v>269</v>
      </c>
      <c r="CC36" s="1" t="s">
        <v>86</v>
      </c>
      <c r="CD36" s="1" t="s">
        <v>86</v>
      </c>
      <c r="CE36" s="1" t="s">
        <v>86</v>
      </c>
    </row>
    <row r="37">
      <c r="A37" s="1">
        <v>35</v>
      </c>
      <c r="B37" s="1" t="s">
        <v>157</v>
      </c>
      <c r="C37" s="2">
        <f>=HYPERLINK("https://i.stonehdfile.com/stoneimage?s=4c20e24d-0c17-4afc-ac3e-734683b9b0b3","Image")</f>
      </c>
      <c r="D37" s="2">
        <f>=HYPERLINK("https://dna.stonehdfile.com/hd/viewhd.html?d=f4f76bc3-e1cb-4c46-999a-70bd9d865968","View360")</f>
      </c>
      <c r="E37" s="2">
        <f>=HYPERLINK("https://i.stonehdfile.com/Certificate?s=4c20e24d-0c17-4afc-ac3e-734683b9b0b3","GIA")</f>
      </c>
      <c r="F37" s="2">
        <f>=HYPERLINK("https://i.stonehdfile.com/DNAReport?s=4c20e24d-0c17-4afc-ac3e-734683b9b0b3","DNA")</f>
      </c>
      <c r="G37" s="2">
        <f>=HYPERLINK("https://www.gia.edu/report-check?reportno=******6568","Verify")</f>
      </c>
      <c r="H37" s="1" t="s">
        <v>363</v>
      </c>
      <c r="I37" s="1" t="s">
        <v>135</v>
      </c>
      <c r="J37" s="1">
        <v>1.51</v>
      </c>
      <c r="K37" s="1">
        <v>0</v>
      </c>
      <c r="L37" s="1">
        <v>8200</v>
      </c>
      <c r="M37" s="1">
        <v>4046</v>
      </c>
      <c r="N37" s="1">
        <v>6109.46</v>
      </c>
      <c r="O37" s="1">
        <v>-50.66</v>
      </c>
      <c r="P37" s="1">
        <v>0</v>
      </c>
      <c r="Q37" s="1" t="s">
        <v>86</v>
      </c>
      <c r="R37" s="1">
        <v>0</v>
      </c>
      <c r="S37" s="1" t="s">
        <v>86</v>
      </c>
      <c r="T37" s="1" t="s">
        <v>86</v>
      </c>
      <c r="U37" s="1" t="s">
        <v>159</v>
      </c>
      <c r="V37" s="1" t="s">
        <v>86</v>
      </c>
      <c r="W37" s="1" t="s">
        <v>88</v>
      </c>
      <c r="X37" s="1" t="s">
        <v>86</v>
      </c>
      <c r="Y37" s="1" t="s">
        <v>89</v>
      </c>
      <c r="Z37" s="1" t="s">
        <v>89</v>
      </c>
      <c r="AA37" s="1" t="s">
        <v>119</v>
      </c>
      <c r="AB37" s="1" t="s">
        <v>86</v>
      </c>
      <c r="AC37" s="1" t="s">
        <v>364</v>
      </c>
      <c r="AD37" s="1">
        <v>71.3</v>
      </c>
      <c r="AE37" s="1">
        <v>62</v>
      </c>
      <c r="AF37" s="1" t="s">
        <v>91</v>
      </c>
      <c r="AG37" s="1">
        <v>0</v>
      </c>
      <c r="AH37" s="1">
        <v>37</v>
      </c>
      <c r="AI37" s="1" t="s">
        <v>86</v>
      </c>
      <c r="AJ37" s="1">
        <v>1</v>
      </c>
      <c r="AK37" s="1" t="s">
        <v>111</v>
      </c>
      <c r="AL37" s="1" t="s">
        <v>93</v>
      </c>
      <c r="AM37" s="1" t="s">
        <v>128</v>
      </c>
      <c r="AN37" s="1" t="s">
        <v>86</v>
      </c>
      <c r="AO37" s="1" t="s">
        <v>94</v>
      </c>
      <c r="AP37" s="1" t="s">
        <v>95</v>
      </c>
      <c r="AQ37" s="1">
        <v>14.3</v>
      </c>
      <c r="AR37" s="1">
        <v>51.9</v>
      </c>
      <c r="AS37" s="1">
        <v>35.6</v>
      </c>
      <c r="AT37" s="1" t="s">
        <v>96</v>
      </c>
      <c r="AU37" s="1" t="s">
        <v>86</v>
      </c>
      <c r="AV37" s="1" t="s">
        <v>86</v>
      </c>
      <c r="AW37" s="1" t="s">
        <v>86</v>
      </c>
      <c r="AX37" s="1" t="s">
        <v>86</v>
      </c>
      <c r="AY37" s="1" t="s">
        <v>86</v>
      </c>
      <c r="AZ37" s="1" t="s">
        <v>86</v>
      </c>
      <c r="BA37" s="1" t="s">
        <v>86</v>
      </c>
      <c r="BB37" s="1" t="s">
        <v>86</v>
      </c>
      <c r="BC37" s="1" t="s">
        <v>86</v>
      </c>
      <c r="BD37" s="1" t="s">
        <v>86</v>
      </c>
      <c r="BE37" s="1" t="s">
        <v>86</v>
      </c>
      <c r="BF37" s="1" t="s">
        <v>86</v>
      </c>
      <c r="BG37" s="1" t="s">
        <v>86</v>
      </c>
      <c r="BH37" s="1" t="s">
        <v>86</v>
      </c>
      <c r="BI37" s="1" t="s">
        <v>98</v>
      </c>
      <c r="BJ37" s="1" t="s">
        <v>86</v>
      </c>
      <c r="BK37" s="1">
        <v>0</v>
      </c>
      <c r="BL37" s="1">
        <v>0</v>
      </c>
      <c r="BM37" s="1" t="s">
        <v>86</v>
      </c>
      <c r="BN37" s="1" t="s">
        <v>365</v>
      </c>
      <c r="BO37" s="1" t="s">
        <v>366</v>
      </c>
      <c r="BP37" s="1" t="s">
        <v>86</v>
      </c>
      <c r="BQ37" s="1" t="s">
        <v>86</v>
      </c>
      <c r="BR37" s="1" t="s">
        <v>86</v>
      </c>
      <c r="BS37" s="1" t="s">
        <v>86</v>
      </c>
      <c r="BT37" s="1" t="s">
        <v>86</v>
      </c>
      <c r="BU37" s="1" t="s">
        <v>163</v>
      </c>
      <c r="BV37" s="1" t="s">
        <v>86</v>
      </c>
      <c r="BW37" s="1" t="s">
        <v>101</v>
      </c>
      <c r="BX37" s="1" t="s">
        <v>86</v>
      </c>
      <c r="BY37" s="1" t="s">
        <v>86</v>
      </c>
      <c r="BZ37" s="1" t="s">
        <v>367</v>
      </c>
      <c r="CA37" s="1" t="s">
        <v>368</v>
      </c>
      <c r="CB37" s="1" t="s">
        <v>86</v>
      </c>
      <c r="CC37" s="1" t="s">
        <v>86</v>
      </c>
      <c r="CD37" s="1" t="s">
        <v>86</v>
      </c>
      <c r="CE37" s="1" t="s">
        <v>86</v>
      </c>
    </row>
    <row r="38">
      <c r="A38" s="1">
        <v>36</v>
      </c>
      <c r="B38" s="1" t="s">
        <v>157</v>
      </c>
      <c r="C38" s="2">
        <f>=HYPERLINK("https://i.stonehdfile.com/stoneimage?s=59c23821-9d9e-4a75-b68e-b7b8ae6515ee","Image")</f>
      </c>
      <c r="D38" s="2">
        <f>=HYPERLINK("https://dna.stonehdfile.com/hd/viewhd.html?d=41fb6856-d060-4bae-b3ea-4541b8ce3c71","View360")</f>
      </c>
      <c r="E38" s="2">
        <f>=HYPERLINK("https://i.stonehdfile.com/Certificate?s=59c23821-9d9e-4a75-b68e-b7b8ae6515ee","GIA")</f>
      </c>
      <c r="F38" s="2">
        <f>=HYPERLINK("https://i.stonehdfile.com/DNAReport?s=59c23821-9d9e-4a75-b68e-b7b8ae6515ee","DNA")</f>
      </c>
      <c r="G38" s="2">
        <f>=HYPERLINK("https://www.gia.edu/report-check?reportno=******7422","Verify")</f>
      </c>
      <c r="H38" s="1" t="s">
        <v>369</v>
      </c>
      <c r="I38" s="1" t="s">
        <v>135</v>
      </c>
      <c r="J38" s="1">
        <v>2.01</v>
      </c>
      <c r="K38" s="1">
        <v>0</v>
      </c>
      <c r="L38" s="1">
        <v>11700</v>
      </c>
      <c r="M38" s="1">
        <v>5723</v>
      </c>
      <c r="N38" s="1">
        <v>11503.23</v>
      </c>
      <c r="O38" s="1">
        <v>-51.09</v>
      </c>
      <c r="P38" s="1">
        <v>0</v>
      </c>
      <c r="Q38" s="1" t="s">
        <v>86</v>
      </c>
      <c r="R38" s="1">
        <v>0</v>
      </c>
      <c r="S38" s="1" t="s">
        <v>86</v>
      </c>
      <c r="T38" s="1" t="s">
        <v>86</v>
      </c>
      <c r="U38" s="1" t="s">
        <v>241</v>
      </c>
      <c r="V38" s="1" t="s">
        <v>86</v>
      </c>
      <c r="W38" s="1" t="s">
        <v>169</v>
      </c>
      <c r="X38" s="1" t="s">
        <v>86</v>
      </c>
      <c r="Y38" s="1" t="s">
        <v>89</v>
      </c>
      <c r="Z38" s="1" t="s">
        <v>89</v>
      </c>
      <c r="AA38" s="1" t="s">
        <v>119</v>
      </c>
      <c r="AB38" s="1" t="s">
        <v>86</v>
      </c>
      <c r="AC38" s="1" t="s">
        <v>370</v>
      </c>
      <c r="AD38" s="1">
        <v>71.8</v>
      </c>
      <c r="AE38" s="1">
        <v>59</v>
      </c>
      <c r="AF38" s="1" t="s">
        <v>91</v>
      </c>
      <c r="AG38" s="1">
        <v>3.8</v>
      </c>
      <c r="AH38" s="1">
        <v>36.3</v>
      </c>
      <c r="AI38" s="1" t="s">
        <v>86</v>
      </c>
      <c r="AJ38" s="1">
        <v>1.03</v>
      </c>
      <c r="AK38" s="1" t="s">
        <v>111</v>
      </c>
      <c r="AL38" s="1" t="s">
        <v>93</v>
      </c>
      <c r="AM38" s="1" t="s">
        <v>93</v>
      </c>
      <c r="AN38" s="1" t="s">
        <v>171</v>
      </c>
      <c r="AO38" s="1" t="s">
        <v>94</v>
      </c>
      <c r="AP38" s="1" t="s">
        <v>95</v>
      </c>
      <c r="AQ38" s="1">
        <v>15</v>
      </c>
      <c r="AR38" s="1">
        <v>52</v>
      </c>
      <c r="AS38" s="1">
        <v>35.4</v>
      </c>
      <c r="AT38" s="1" t="s">
        <v>96</v>
      </c>
      <c r="AU38" s="1" t="s">
        <v>86</v>
      </c>
      <c r="AV38" s="1" t="s">
        <v>86</v>
      </c>
      <c r="AW38" s="1" t="s">
        <v>86</v>
      </c>
      <c r="AX38" s="1" t="s">
        <v>86</v>
      </c>
      <c r="AY38" s="1" t="s">
        <v>86</v>
      </c>
      <c r="AZ38" s="1" t="s">
        <v>86</v>
      </c>
      <c r="BA38" s="1" t="s">
        <v>86</v>
      </c>
      <c r="BB38" s="1" t="s">
        <v>86</v>
      </c>
      <c r="BC38" s="1" t="s">
        <v>86</v>
      </c>
      <c r="BD38" s="1" t="s">
        <v>86</v>
      </c>
      <c r="BE38" s="1" t="s">
        <v>86</v>
      </c>
      <c r="BF38" s="1" t="s">
        <v>86</v>
      </c>
      <c r="BG38" s="1" t="s">
        <v>86</v>
      </c>
      <c r="BH38" s="1" t="s">
        <v>215</v>
      </c>
      <c r="BI38" s="1" t="s">
        <v>216</v>
      </c>
      <c r="BJ38" s="1" t="s">
        <v>87</v>
      </c>
      <c r="BK38" s="1">
        <v>0</v>
      </c>
      <c r="BL38" s="1">
        <v>0</v>
      </c>
      <c r="BM38" s="1" t="s">
        <v>86</v>
      </c>
      <c r="BN38" s="1" t="s">
        <v>371</v>
      </c>
      <c r="BO38" s="1" t="s">
        <v>372</v>
      </c>
      <c r="BP38" s="1" t="s">
        <v>86</v>
      </c>
      <c r="BQ38" s="1" t="s">
        <v>86</v>
      </c>
      <c r="BR38" s="1" t="s">
        <v>86</v>
      </c>
      <c r="BS38" s="1" t="s">
        <v>86</v>
      </c>
      <c r="BT38" s="1" t="s">
        <v>86</v>
      </c>
      <c r="BU38" s="1" t="s">
        <v>86</v>
      </c>
      <c r="BV38" s="1" t="s">
        <v>86</v>
      </c>
      <c r="BW38" s="1" t="s">
        <v>101</v>
      </c>
      <c r="BX38" s="1" t="s">
        <v>86</v>
      </c>
      <c r="BY38" s="1" t="s">
        <v>86</v>
      </c>
      <c r="BZ38" s="1" t="s">
        <v>373</v>
      </c>
      <c r="CA38" s="1" t="s">
        <v>254</v>
      </c>
      <c r="CB38" s="1" t="s">
        <v>269</v>
      </c>
      <c r="CC38" s="1" t="s">
        <v>86</v>
      </c>
      <c r="CD38" s="1" t="s">
        <v>86</v>
      </c>
      <c r="CE38" s="1" t="s">
        <v>86</v>
      </c>
    </row>
    <row r="39">
      <c r="A39" s="1">
        <v>37</v>
      </c>
      <c r="B39" s="1" t="s">
        <v>157</v>
      </c>
      <c r="C39" s="2">
        <f>=HYPERLINK("https://i.stonehdfile.com/stoneimage?s=1bff7d5c-ff09-4326-b97b-c66c710f5f35","Image")</f>
      </c>
      <c r="D39" s="2">
        <f>=HYPERLINK("https://dna.stonehdfile.com/hd/viewhd.html?d=90802d1b-e170-4ae3-bc27-4b91e24ae562","View360")</f>
      </c>
      <c r="E39" s="2">
        <f>=HYPERLINK("https://i.stonehdfile.com/Certificate?s=1bff7d5c-ff09-4326-b97b-c66c710f5f35","GIA")</f>
      </c>
      <c r="F39" s="2">
        <f>=HYPERLINK("https://i.stonehdfile.com/DNAReport?s=1bff7d5c-ff09-4326-b97b-c66c710f5f35","DNA")</f>
      </c>
      <c r="G39" s="2">
        <f>=HYPERLINK("https://www.gia.edu/report-check?reportno=******8779","Verify")</f>
      </c>
      <c r="H39" s="1" t="s">
        <v>374</v>
      </c>
      <c r="I39" s="1" t="s">
        <v>135</v>
      </c>
      <c r="J39" s="1">
        <v>2.01</v>
      </c>
      <c r="K39" s="1">
        <v>0</v>
      </c>
      <c r="L39" s="1">
        <v>12000</v>
      </c>
      <c r="M39" s="1">
        <v>6284</v>
      </c>
      <c r="N39" s="1">
        <v>12630.84</v>
      </c>
      <c r="O39" s="1">
        <v>-47.63</v>
      </c>
      <c r="P39" s="1">
        <v>0</v>
      </c>
      <c r="Q39" s="1" t="s">
        <v>86</v>
      </c>
      <c r="R39" s="1">
        <v>0</v>
      </c>
      <c r="S39" s="1" t="s">
        <v>86</v>
      </c>
      <c r="T39" s="1" t="s">
        <v>86</v>
      </c>
      <c r="U39" s="1" t="s">
        <v>375</v>
      </c>
      <c r="V39" s="1" t="s">
        <v>86</v>
      </c>
      <c r="W39" s="1" t="s">
        <v>352</v>
      </c>
      <c r="X39" s="1" t="s">
        <v>86</v>
      </c>
      <c r="Y39" s="1" t="s">
        <v>89</v>
      </c>
      <c r="Z39" s="1" t="s">
        <v>89</v>
      </c>
      <c r="AA39" s="1" t="s">
        <v>119</v>
      </c>
      <c r="AB39" s="1" t="s">
        <v>86</v>
      </c>
      <c r="AC39" s="1" t="s">
        <v>376</v>
      </c>
      <c r="AD39" s="1">
        <v>71.7</v>
      </c>
      <c r="AE39" s="1">
        <v>57</v>
      </c>
      <c r="AF39" s="1" t="s">
        <v>91</v>
      </c>
      <c r="AG39" s="1">
        <v>0</v>
      </c>
      <c r="AH39" s="1">
        <v>37</v>
      </c>
      <c r="AI39" s="1" t="s">
        <v>86</v>
      </c>
      <c r="AJ39" s="1">
        <v>1.04</v>
      </c>
      <c r="AK39" s="1" t="s">
        <v>92</v>
      </c>
      <c r="AL39" s="1" t="s">
        <v>93</v>
      </c>
      <c r="AM39" s="1" t="s">
        <v>93</v>
      </c>
      <c r="AN39" s="1" t="s">
        <v>307</v>
      </c>
      <c r="AO39" s="1" t="s">
        <v>94</v>
      </c>
      <c r="AP39" s="1" t="s">
        <v>95</v>
      </c>
      <c r="AQ39" s="1">
        <v>16.4</v>
      </c>
      <c r="AR39" s="1">
        <v>50.2</v>
      </c>
      <c r="AS39" s="1">
        <v>35.3</v>
      </c>
      <c r="AT39" s="1" t="s">
        <v>96</v>
      </c>
      <c r="AU39" s="1" t="s">
        <v>86</v>
      </c>
      <c r="AV39" s="1" t="s">
        <v>86</v>
      </c>
      <c r="AW39" s="1" t="s">
        <v>86</v>
      </c>
      <c r="AX39" s="1" t="s">
        <v>86</v>
      </c>
      <c r="AY39" s="1" t="s">
        <v>86</v>
      </c>
      <c r="AZ39" s="1" t="s">
        <v>86</v>
      </c>
      <c r="BA39" s="1" t="s">
        <v>86</v>
      </c>
      <c r="BB39" s="1" t="s">
        <v>86</v>
      </c>
      <c r="BC39" s="1" t="s">
        <v>86</v>
      </c>
      <c r="BD39" s="1" t="s">
        <v>86</v>
      </c>
      <c r="BE39" s="1" t="s">
        <v>86</v>
      </c>
      <c r="BF39" s="1" t="s">
        <v>86</v>
      </c>
      <c r="BG39" s="1" t="s">
        <v>86</v>
      </c>
      <c r="BH39" s="1" t="s">
        <v>86</v>
      </c>
      <c r="BI39" s="1" t="s">
        <v>98</v>
      </c>
      <c r="BJ39" s="1" t="s">
        <v>86</v>
      </c>
      <c r="BK39" s="1">
        <v>0</v>
      </c>
      <c r="BL39" s="1">
        <v>0</v>
      </c>
      <c r="BM39" s="1" t="s">
        <v>86</v>
      </c>
      <c r="BN39" s="1" t="s">
        <v>377</v>
      </c>
      <c r="BO39" s="1" t="s">
        <v>378</v>
      </c>
      <c r="BP39" s="1" t="s">
        <v>86</v>
      </c>
      <c r="BQ39" s="1" t="s">
        <v>86</v>
      </c>
      <c r="BR39" s="1" t="s">
        <v>86</v>
      </c>
      <c r="BS39" s="1" t="s">
        <v>86</v>
      </c>
      <c r="BT39" s="1" t="s">
        <v>86</v>
      </c>
      <c r="BU39" s="1" t="s">
        <v>163</v>
      </c>
      <c r="BV39" s="1" t="s">
        <v>86</v>
      </c>
      <c r="BW39" s="1" t="s">
        <v>101</v>
      </c>
      <c r="BX39" s="1" t="s">
        <v>86</v>
      </c>
      <c r="BY39" s="1" t="s">
        <v>86</v>
      </c>
      <c r="BZ39" s="1" t="s">
        <v>379</v>
      </c>
      <c r="CA39" s="1" t="s">
        <v>332</v>
      </c>
      <c r="CB39" s="1" t="s">
        <v>86</v>
      </c>
      <c r="CC39" s="1" t="s">
        <v>86</v>
      </c>
      <c r="CD39" s="1" t="s">
        <v>86</v>
      </c>
      <c r="CE39" s="1" t="s">
        <v>86</v>
      </c>
    </row>
    <row r="40">
      <c r="A40" s="1">
        <v>38</v>
      </c>
      <c r="B40" s="1" t="s">
        <v>157</v>
      </c>
      <c r="C40" s="2">
        <f>=HYPERLINK("https://i.stonehdfile.com/stoneimage?s=edf1623f-9f37-43e6-8c29-94b8062b6b8f","Image")</f>
      </c>
      <c r="D40" s="2">
        <f>=HYPERLINK("https://dna.stonehdfile.com/hd/viewhd.html?d=8ced4b72-e24b-4b0a-85d2-5f92e8077238","View360")</f>
      </c>
      <c r="E40" s="2">
        <f>=HYPERLINK("https://i.stonehdfile.com/Certificate?s=edf1623f-9f37-43e6-8c29-94b8062b6b8f","GIA")</f>
      </c>
      <c r="F40" s="2">
        <f>=HYPERLINK("https://i.stonehdfile.com/DNAReport?s=edf1623f-9f37-43e6-8c29-94b8062b6b8f","DNA")</f>
      </c>
      <c r="G40" s="2">
        <f>=HYPERLINK("https://www.gia.edu/report-check?reportno=******6338","Verify")</f>
      </c>
      <c r="H40" s="1" t="s">
        <v>380</v>
      </c>
      <c r="I40" s="1" t="s">
        <v>135</v>
      </c>
      <c r="J40" s="1">
        <v>2.02</v>
      </c>
      <c r="K40" s="1">
        <v>0</v>
      </c>
      <c r="L40" s="1">
        <v>12000</v>
      </c>
      <c r="M40" s="1">
        <v>5680</v>
      </c>
      <c r="N40" s="1">
        <v>11473.6</v>
      </c>
      <c r="O40" s="1">
        <v>-52.67</v>
      </c>
      <c r="P40" s="1">
        <v>0</v>
      </c>
      <c r="Q40" s="1" t="s">
        <v>86</v>
      </c>
      <c r="R40" s="1">
        <v>0</v>
      </c>
      <c r="S40" s="1" t="s">
        <v>86</v>
      </c>
      <c r="T40" s="1" t="s">
        <v>86</v>
      </c>
      <c r="U40" s="1" t="s">
        <v>271</v>
      </c>
      <c r="V40" s="1" t="s">
        <v>86</v>
      </c>
      <c r="W40" s="1" t="s">
        <v>223</v>
      </c>
      <c r="X40" s="1" t="s">
        <v>86</v>
      </c>
      <c r="Y40" s="1" t="s">
        <v>89</v>
      </c>
      <c r="Z40" s="1" t="s">
        <v>138</v>
      </c>
      <c r="AA40" s="1" t="s">
        <v>119</v>
      </c>
      <c r="AB40" s="1" t="s">
        <v>86</v>
      </c>
      <c r="AC40" s="1" t="s">
        <v>381</v>
      </c>
      <c r="AD40" s="1">
        <v>71.3</v>
      </c>
      <c r="AE40" s="1">
        <v>66</v>
      </c>
      <c r="AF40" s="1" t="s">
        <v>91</v>
      </c>
      <c r="AG40" s="1">
        <v>0</v>
      </c>
      <c r="AH40" s="1">
        <v>36.8</v>
      </c>
      <c r="AI40" s="1" t="s">
        <v>86</v>
      </c>
      <c r="AJ40" s="1">
        <v>1.05</v>
      </c>
      <c r="AK40" s="1" t="s">
        <v>111</v>
      </c>
      <c r="AL40" s="1" t="s">
        <v>93</v>
      </c>
      <c r="AM40" s="1" t="s">
        <v>140</v>
      </c>
      <c r="AN40" s="1" t="s">
        <v>86</v>
      </c>
      <c r="AO40" s="1" t="s">
        <v>94</v>
      </c>
      <c r="AP40" s="1" t="s">
        <v>95</v>
      </c>
      <c r="AQ40" s="1">
        <v>12.9</v>
      </c>
      <c r="AR40" s="1">
        <v>53.1</v>
      </c>
      <c r="AS40" s="1">
        <v>35.1</v>
      </c>
      <c r="AT40" s="1" t="s">
        <v>96</v>
      </c>
      <c r="AU40" s="1" t="s">
        <v>86</v>
      </c>
      <c r="AV40" s="1" t="s">
        <v>86</v>
      </c>
      <c r="AW40" s="1" t="s">
        <v>86</v>
      </c>
      <c r="AX40" s="1" t="s">
        <v>86</v>
      </c>
      <c r="AY40" s="1" t="s">
        <v>86</v>
      </c>
      <c r="AZ40" s="1" t="s">
        <v>86</v>
      </c>
      <c r="BA40" s="1" t="s">
        <v>86</v>
      </c>
      <c r="BB40" s="1" t="s">
        <v>86</v>
      </c>
      <c r="BC40" s="1" t="s">
        <v>86</v>
      </c>
      <c r="BD40" s="1" t="s">
        <v>86</v>
      </c>
      <c r="BE40" s="1" t="s">
        <v>86</v>
      </c>
      <c r="BF40" s="1" t="s">
        <v>86</v>
      </c>
      <c r="BG40" s="1" t="s">
        <v>86</v>
      </c>
      <c r="BH40" s="1" t="s">
        <v>86</v>
      </c>
      <c r="BI40" s="1" t="s">
        <v>98</v>
      </c>
      <c r="BJ40" s="1" t="s">
        <v>86</v>
      </c>
      <c r="BK40" s="1">
        <v>0</v>
      </c>
      <c r="BL40" s="1">
        <v>0</v>
      </c>
      <c r="BM40" s="1" t="s">
        <v>86</v>
      </c>
      <c r="BN40" s="1" t="s">
        <v>382</v>
      </c>
      <c r="BO40" s="1" t="s">
        <v>383</v>
      </c>
      <c r="BP40" s="1" t="s">
        <v>86</v>
      </c>
      <c r="BQ40" s="1" t="s">
        <v>86</v>
      </c>
      <c r="BR40" s="1" t="s">
        <v>86</v>
      </c>
      <c r="BS40" s="1" t="s">
        <v>86</v>
      </c>
      <c r="BT40" s="1" t="s">
        <v>86</v>
      </c>
      <c r="BU40" s="1" t="s">
        <v>163</v>
      </c>
      <c r="BV40" s="1" t="s">
        <v>86</v>
      </c>
      <c r="BW40" s="1" t="s">
        <v>101</v>
      </c>
      <c r="BX40" s="1" t="s">
        <v>86</v>
      </c>
      <c r="BY40" s="1" t="s">
        <v>86</v>
      </c>
      <c r="BZ40" s="1" t="s">
        <v>384</v>
      </c>
      <c r="CA40" s="1" t="s">
        <v>220</v>
      </c>
      <c r="CB40" s="1" t="s">
        <v>269</v>
      </c>
      <c r="CC40" s="1" t="s">
        <v>86</v>
      </c>
      <c r="CD40" s="1" t="s">
        <v>86</v>
      </c>
      <c r="CE40" s="1" t="s">
        <v>86</v>
      </c>
    </row>
    <row r="41">
      <c r="A41" s="1">
        <v>39</v>
      </c>
      <c r="B41" s="1" t="s">
        <v>157</v>
      </c>
      <c r="C41" s="2">
        <f>=HYPERLINK("https://i.stonehdfile.com/stoneimage?s=4375dc94-95d0-4d38-9453-641f99c97315","Image")</f>
      </c>
      <c r="D41" s="2">
        <f>=HYPERLINK("https://dna.stonehdfile.com/hd/viewhd.html?d=1ed03181-8e87-425b-b5a2-4c51d43f5170","View360")</f>
      </c>
      <c r="E41" s="2">
        <f>=HYPERLINK("https://i.stonehdfile.com/Certificate?s=4375dc94-95d0-4d38-9453-641f99c97315","GIA")</f>
      </c>
      <c r="F41" s="2">
        <f>=HYPERLINK("https://i.stonehdfile.com/DNAReport?s=4375dc94-95d0-4d38-9453-641f99c97315","DNA")</f>
      </c>
      <c r="G41" s="2">
        <f>=HYPERLINK("https://www.gia.edu/report-check?reportno=******9552","Verify")</f>
      </c>
      <c r="H41" s="1" t="s">
        <v>385</v>
      </c>
      <c r="I41" s="1" t="s">
        <v>135</v>
      </c>
      <c r="J41" s="1">
        <v>2.01</v>
      </c>
      <c r="K41" s="1">
        <v>0</v>
      </c>
      <c r="L41" s="1">
        <v>10700</v>
      </c>
      <c r="M41" s="1">
        <v>5120</v>
      </c>
      <c r="N41" s="1">
        <v>10291.2</v>
      </c>
      <c r="O41" s="1">
        <v>-52.15</v>
      </c>
      <c r="P41" s="1">
        <v>0</v>
      </c>
      <c r="Q41" s="1" t="s">
        <v>86</v>
      </c>
      <c r="R41" s="1">
        <v>0</v>
      </c>
      <c r="S41" s="1" t="s">
        <v>86</v>
      </c>
      <c r="T41" s="1" t="s">
        <v>86</v>
      </c>
      <c r="U41" s="1" t="s">
        <v>271</v>
      </c>
      <c r="V41" s="1" t="s">
        <v>86</v>
      </c>
      <c r="W41" s="1" t="s">
        <v>137</v>
      </c>
      <c r="X41" s="1" t="s">
        <v>86</v>
      </c>
      <c r="Y41" s="1" t="s">
        <v>89</v>
      </c>
      <c r="Z41" s="1" t="s">
        <v>89</v>
      </c>
      <c r="AA41" s="1" t="s">
        <v>119</v>
      </c>
      <c r="AB41" s="1" t="s">
        <v>86</v>
      </c>
      <c r="AC41" s="1" t="s">
        <v>386</v>
      </c>
      <c r="AD41" s="1">
        <v>69.7</v>
      </c>
      <c r="AE41" s="1">
        <v>59</v>
      </c>
      <c r="AF41" s="1" t="s">
        <v>91</v>
      </c>
      <c r="AG41" s="1">
        <v>2.9</v>
      </c>
      <c r="AH41" s="1">
        <v>36.1</v>
      </c>
      <c r="AI41" s="1" t="s">
        <v>86</v>
      </c>
      <c r="AJ41" s="1">
        <v>1.01</v>
      </c>
      <c r="AK41" s="1" t="s">
        <v>198</v>
      </c>
      <c r="AL41" s="1" t="s">
        <v>93</v>
      </c>
      <c r="AM41" s="1" t="s">
        <v>151</v>
      </c>
      <c r="AN41" s="1" t="s">
        <v>168</v>
      </c>
      <c r="AO41" s="1" t="s">
        <v>94</v>
      </c>
      <c r="AP41" s="1" t="s">
        <v>95</v>
      </c>
      <c r="AQ41" s="1">
        <v>15.1</v>
      </c>
      <c r="AR41" s="1">
        <v>51.4</v>
      </c>
      <c r="AS41" s="1">
        <v>36.2</v>
      </c>
      <c r="AT41" s="1" t="s">
        <v>96</v>
      </c>
      <c r="AU41" s="1" t="s">
        <v>86</v>
      </c>
      <c r="AV41" s="1" t="s">
        <v>86</v>
      </c>
      <c r="AW41" s="1" t="s">
        <v>86</v>
      </c>
      <c r="AX41" s="1" t="s">
        <v>86</v>
      </c>
      <c r="AY41" s="1" t="s">
        <v>86</v>
      </c>
      <c r="AZ41" s="1" t="s">
        <v>86</v>
      </c>
      <c r="BA41" s="1" t="s">
        <v>86</v>
      </c>
      <c r="BB41" s="1" t="s">
        <v>86</v>
      </c>
      <c r="BC41" s="1" t="s">
        <v>86</v>
      </c>
      <c r="BD41" s="1" t="s">
        <v>86</v>
      </c>
      <c r="BE41" s="1" t="s">
        <v>86</v>
      </c>
      <c r="BF41" s="1" t="s">
        <v>282</v>
      </c>
      <c r="BG41" s="1" t="s">
        <v>172</v>
      </c>
      <c r="BH41" s="1" t="s">
        <v>97</v>
      </c>
      <c r="BI41" s="1" t="s">
        <v>387</v>
      </c>
      <c r="BJ41" s="1" t="s">
        <v>87</v>
      </c>
      <c r="BK41" s="1">
        <v>0</v>
      </c>
      <c r="BL41" s="1">
        <v>0</v>
      </c>
      <c r="BM41" s="1" t="s">
        <v>86</v>
      </c>
      <c r="BN41" s="1" t="s">
        <v>388</v>
      </c>
      <c r="BO41" s="1" t="s">
        <v>389</v>
      </c>
      <c r="BP41" s="1" t="s">
        <v>86</v>
      </c>
      <c r="BQ41" s="1" t="s">
        <v>86</v>
      </c>
      <c r="BR41" s="1" t="s">
        <v>86</v>
      </c>
      <c r="BS41" s="1" t="s">
        <v>86</v>
      </c>
      <c r="BT41" s="1" t="s">
        <v>86</v>
      </c>
      <c r="BU41" s="1" t="s">
        <v>86</v>
      </c>
      <c r="BV41" s="1" t="s">
        <v>86</v>
      </c>
      <c r="BW41" s="1" t="s">
        <v>101</v>
      </c>
      <c r="BX41" s="1" t="s">
        <v>86</v>
      </c>
      <c r="BY41" s="1" t="s">
        <v>86</v>
      </c>
      <c r="BZ41" s="1" t="s">
        <v>390</v>
      </c>
      <c r="CA41" s="1" t="s">
        <v>297</v>
      </c>
      <c r="CB41" s="1" t="s">
        <v>358</v>
      </c>
      <c r="CC41" s="1" t="s">
        <v>86</v>
      </c>
      <c r="CD41" s="1" t="s">
        <v>86</v>
      </c>
      <c r="CE41" s="1" t="s">
        <v>86</v>
      </c>
    </row>
    <row r="42">
      <c r="A42" s="1">
        <v>40</v>
      </c>
      <c r="B42" s="1" t="s">
        <v>157</v>
      </c>
      <c r="C42" s="2">
        <f>=HYPERLINK("https://i.stonehdfile.com/stoneimage?s=bffe7b1f-8b8a-4012-a403-c826966091d4","Image")</f>
      </c>
      <c r="D42" s="2">
        <f>=HYPERLINK("https://dna.stonehdfile.com/hd/viewhd.html?d=a5a67539-4632-4887-a2e6-712a48533f68","View360")</f>
      </c>
      <c r="E42" s="2">
        <f>=HYPERLINK("https://i.stonehdfile.com/Certificate?s=bffe7b1f-8b8a-4012-a403-c826966091d4","GIA")</f>
      </c>
      <c r="F42" s="2">
        <f>=HYPERLINK("https://i.stonehdfile.com/DNAReport?s=bffe7b1f-8b8a-4012-a403-c826966091d4","DNA")</f>
      </c>
      <c r="G42" s="2">
        <f>=HYPERLINK("https://www.gia.edu/report-check?reportno=******5302","Verify")</f>
      </c>
      <c r="H42" s="1" t="s">
        <v>391</v>
      </c>
      <c r="I42" s="1" t="s">
        <v>135</v>
      </c>
      <c r="J42" s="1">
        <v>2.01</v>
      </c>
      <c r="K42" s="1">
        <v>0</v>
      </c>
      <c r="L42" s="1">
        <v>9300</v>
      </c>
      <c r="M42" s="1">
        <v>4743</v>
      </c>
      <c r="N42" s="1">
        <v>9533.43</v>
      </c>
      <c r="O42" s="1">
        <v>-49</v>
      </c>
      <c r="P42" s="1">
        <v>0</v>
      </c>
      <c r="Q42" s="1" t="s">
        <v>86</v>
      </c>
      <c r="R42" s="1">
        <v>0</v>
      </c>
      <c r="S42" s="1" t="s">
        <v>86</v>
      </c>
      <c r="T42" s="1" t="s">
        <v>86</v>
      </c>
      <c r="U42" s="1" t="s">
        <v>118</v>
      </c>
      <c r="V42" s="1" t="s">
        <v>86</v>
      </c>
      <c r="W42" s="1" t="s">
        <v>137</v>
      </c>
      <c r="X42" s="1" t="s">
        <v>86</v>
      </c>
      <c r="Y42" s="1" t="s">
        <v>89</v>
      </c>
      <c r="Z42" s="1" t="s">
        <v>89</v>
      </c>
      <c r="AA42" s="1" t="s">
        <v>119</v>
      </c>
      <c r="AB42" s="1" t="s">
        <v>86</v>
      </c>
      <c r="AC42" s="1" t="s">
        <v>392</v>
      </c>
      <c r="AD42" s="1">
        <v>66.6</v>
      </c>
      <c r="AE42" s="1">
        <v>67</v>
      </c>
      <c r="AF42" s="1" t="s">
        <v>91</v>
      </c>
      <c r="AG42" s="1">
        <v>2.6</v>
      </c>
      <c r="AH42" s="1">
        <v>35.2</v>
      </c>
      <c r="AI42" s="1" t="s">
        <v>86</v>
      </c>
      <c r="AJ42" s="1">
        <v>1</v>
      </c>
      <c r="AK42" s="1" t="s">
        <v>111</v>
      </c>
      <c r="AL42" s="1" t="s">
        <v>93</v>
      </c>
      <c r="AM42" s="1" t="s">
        <v>140</v>
      </c>
      <c r="AN42" s="1" t="s">
        <v>171</v>
      </c>
      <c r="AO42" s="1" t="s">
        <v>208</v>
      </c>
      <c r="AP42" s="1" t="s">
        <v>95</v>
      </c>
      <c r="AQ42" s="1">
        <v>11.9</v>
      </c>
      <c r="AR42" s="1">
        <v>51.5</v>
      </c>
      <c r="AS42" s="1">
        <v>35.9</v>
      </c>
      <c r="AT42" s="1" t="s">
        <v>96</v>
      </c>
      <c r="AU42" s="1" t="s">
        <v>86</v>
      </c>
      <c r="AV42" s="1" t="s">
        <v>86</v>
      </c>
      <c r="AW42" s="1" t="s">
        <v>141</v>
      </c>
      <c r="AX42" s="1" t="s">
        <v>86</v>
      </c>
      <c r="AY42" s="1" t="s">
        <v>86</v>
      </c>
      <c r="AZ42" s="1" t="s">
        <v>86</v>
      </c>
      <c r="BA42" s="1" t="s">
        <v>86</v>
      </c>
      <c r="BB42" s="1" t="s">
        <v>86</v>
      </c>
      <c r="BC42" s="1" t="s">
        <v>86</v>
      </c>
      <c r="BD42" s="1" t="s">
        <v>86</v>
      </c>
      <c r="BE42" s="1" t="s">
        <v>86</v>
      </c>
      <c r="BF42" s="1" t="s">
        <v>86</v>
      </c>
      <c r="BG42" s="1" t="s">
        <v>86</v>
      </c>
      <c r="BH42" s="1" t="s">
        <v>97</v>
      </c>
      <c r="BI42" s="1" t="s">
        <v>335</v>
      </c>
      <c r="BJ42" s="1" t="s">
        <v>87</v>
      </c>
      <c r="BK42" s="1">
        <v>0</v>
      </c>
      <c r="BL42" s="1">
        <v>0</v>
      </c>
      <c r="BM42" s="1" t="s">
        <v>86</v>
      </c>
      <c r="BN42" s="1" t="s">
        <v>393</v>
      </c>
      <c r="BO42" s="1" t="s">
        <v>259</v>
      </c>
      <c r="BP42" s="1" t="s">
        <v>86</v>
      </c>
      <c r="BQ42" s="1" t="s">
        <v>86</v>
      </c>
      <c r="BR42" s="1" t="s">
        <v>86</v>
      </c>
      <c r="BS42" s="1" t="s">
        <v>86</v>
      </c>
      <c r="BT42" s="1" t="s">
        <v>86</v>
      </c>
      <c r="BU42" s="1" t="s">
        <v>86</v>
      </c>
      <c r="BV42" s="1" t="s">
        <v>86</v>
      </c>
      <c r="BW42" s="1" t="s">
        <v>101</v>
      </c>
      <c r="BX42" s="1" t="s">
        <v>86</v>
      </c>
      <c r="BY42" s="1" t="s">
        <v>86</v>
      </c>
      <c r="BZ42" s="1" t="s">
        <v>394</v>
      </c>
      <c r="CA42" s="1" t="s">
        <v>229</v>
      </c>
      <c r="CB42" s="1" t="s">
        <v>166</v>
      </c>
      <c r="CC42" s="1" t="s">
        <v>86</v>
      </c>
      <c r="CD42" s="1" t="s">
        <v>86</v>
      </c>
      <c r="CE42" s="1" t="s">
        <v>86</v>
      </c>
    </row>
    <row r="43">
      <c r="A43" s="1">
        <v>41</v>
      </c>
      <c r="B43" s="1" t="s">
        <v>395</v>
      </c>
      <c r="C43" s="2">
        <f>=HYPERLINK("https://i.stonehdfile.com/stoneimage?s=4e7fa30d-22db-42ae-a913-d42d838a1eb1","Image")</f>
      </c>
      <c r="D43" s="2">
        <f>=HYPERLINK("https://dna.stonehdfile.com/hd/viewhd.html?d=0b82d260-de3e-485e-8970-7b3d04d2cecf","View360")</f>
      </c>
      <c r="E43" s="2">
        <f>=HYPERLINK("https://i.stonehdfile.com/Certificate?s=4e7fa30d-22db-42ae-a913-d42d838a1eb1","GIA")</f>
      </c>
      <c r="F43" s="2">
        <f>=HYPERLINK("https://i.stonehdfile.com/DNAReport?s=4e7fa30d-22db-42ae-a913-d42d838a1eb1","DNA")</f>
      </c>
      <c r="G43" s="2">
        <f>=HYPERLINK("https://www.gia.edu/report-check?reportno=******1304","Verify")</f>
      </c>
      <c r="H43" s="1" t="s">
        <v>396</v>
      </c>
      <c r="I43" s="1" t="s">
        <v>46</v>
      </c>
      <c r="J43" s="1">
        <v>1.5</v>
      </c>
      <c r="K43" s="1">
        <v>6</v>
      </c>
      <c r="L43" s="1">
        <v>15000</v>
      </c>
      <c r="M43" s="1">
        <v>8802</v>
      </c>
      <c r="N43" s="1">
        <v>13203</v>
      </c>
      <c r="O43" s="1">
        <v>-41.32</v>
      </c>
      <c r="P43" s="1">
        <v>0</v>
      </c>
      <c r="Q43" s="1" t="s">
        <v>86</v>
      </c>
      <c r="R43" s="1">
        <v>0</v>
      </c>
      <c r="S43" s="1" t="s">
        <v>86</v>
      </c>
      <c r="T43" s="1" t="s">
        <v>86</v>
      </c>
      <c r="U43" s="1" t="s">
        <v>168</v>
      </c>
      <c r="V43" s="1" t="s">
        <v>86</v>
      </c>
      <c r="W43" s="1" t="s">
        <v>88</v>
      </c>
      <c r="X43" s="1" t="s">
        <v>86</v>
      </c>
      <c r="Y43" s="1" t="s">
        <v>89</v>
      </c>
      <c r="Z43" s="1" t="s">
        <v>138</v>
      </c>
      <c r="AA43" s="1" t="s">
        <v>119</v>
      </c>
      <c r="AB43" s="1" t="s">
        <v>86</v>
      </c>
      <c r="AC43" s="1" t="s">
        <v>397</v>
      </c>
      <c r="AD43" s="1">
        <v>67.2</v>
      </c>
      <c r="AE43" s="1">
        <v>64</v>
      </c>
      <c r="AF43" s="1" t="s">
        <v>91</v>
      </c>
      <c r="AG43" s="1">
        <v>1.6</v>
      </c>
      <c r="AH43" s="1">
        <v>34.1</v>
      </c>
      <c r="AI43" s="1" t="s">
        <v>86</v>
      </c>
      <c r="AJ43" s="1">
        <v>1.18</v>
      </c>
      <c r="AK43" s="1" t="s">
        <v>111</v>
      </c>
      <c r="AL43" s="1" t="s">
        <v>140</v>
      </c>
      <c r="AM43" s="1" t="s">
        <v>93</v>
      </c>
      <c r="AN43" s="1" t="s">
        <v>86</v>
      </c>
      <c r="AO43" s="1" t="s">
        <v>94</v>
      </c>
      <c r="AP43" s="1" t="s">
        <v>95</v>
      </c>
      <c r="AQ43" s="1">
        <v>12.5</v>
      </c>
      <c r="AR43" s="1">
        <v>52.8</v>
      </c>
      <c r="AS43" s="1">
        <v>39</v>
      </c>
      <c r="AT43" s="1" t="s">
        <v>96</v>
      </c>
      <c r="AU43" s="1" t="s">
        <v>86</v>
      </c>
      <c r="AV43" s="1" t="s">
        <v>86</v>
      </c>
      <c r="AW43" s="1" t="s">
        <v>86</v>
      </c>
      <c r="AX43" s="1" t="s">
        <v>86</v>
      </c>
      <c r="AY43" s="1" t="s">
        <v>86</v>
      </c>
      <c r="AZ43" s="1" t="s">
        <v>86</v>
      </c>
      <c r="BA43" s="1" t="s">
        <v>86</v>
      </c>
      <c r="BB43" s="1" t="s">
        <v>86</v>
      </c>
      <c r="BC43" s="1" t="s">
        <v>86</v>
      </c>
      <c r="BD43" s="1" t="s">
        <v>86</v>
      </c>
      <c r="BE43" s="1" t="s">
        <v>86</v>
      </c>
      <c r="BF43" s="1" t="s">
        <v>86</v>
      </c>
      <c r="BG43" s="1" t="s">
        <v>86</v>
      </c>
      <c r="BH43" s="1" t="s">
        <v>142</v>
      </c>
      <c r="BI43" s="1" t="s">
        <v>346</v>
      </c>
      <c r="BJ43" s="1" t="s">
        <v>87</v>
      </c>
      <c r="BK43" s="1">
        <v>0</v>
      </c>
      <c r="BL43" s="1">
        <v>0</v>
      </c>
      <c r="BM43" s="1" t="s">
        <v>398</v>
      </c>
      <c r="BN43" s="1" t="s">
        <v>399</v>
      </c>
      <c r="BO43" s="1" t="s">
        <v>400</v>
      </c>
      <c r="BP43" s="1" t="s">
        <v>86</v>
      </c>
      <c r="BQ43" s="1" t="s">
        <v>86</v>
      </c>
      <c r="BR43" s="1" t="s">
        <v>86</v>
      </c>
      <c r="BS43" s="1" t="s">
        <v>86</v>
      </c>
      <c r="BT43" s="1" t="s">
        <v>86</v>
      </c>
      <c r="BU43" s="1" t="s">
        <v>163</v>
      </c>
      <c r="BV43" s="1" t="s">
        <v>86</v>
      </c>
      <c r="BW43" s="1" t="s">
        <v>101</v>
      </c>
      <c r="BX43" s="1" t="s">
        <v>401</v>
      </c>
      <c r="BY43" s="1" t="s">
        <v>86</v>
      </c>
      <c r="BZ43" s="1" t="s">
        <v>402</v>
      </c>
      <c r="CA43" s="1" t="s">
        <v>403</v>
      </c>
      <c r="CB43" s="1" t="s">
        <v>86</v>
      </c>
      <c r="CC43" s="1" t="s">
        <v>86</v>
      </c>
      <c r="CD43" s="1" t="s">
        <v>86</v>
      </c>
      <c r="CE43" s="1" t="s">
        <v>86</v>
      </c>
    </row>
    <row r="44">
      <c r="A44" s="1">
        <v>42</v>
      </c>
      <c r="B44" s="1" t="s">
        <v>395</v>
      </c>
      <c r="C44" s="2">
        <f>=HYPERLINK("https://i.stonehdfile.com/stoneimage?s=4feff27b-9edb-458e-9056-46c4781dc9bb","Image")</f>
      </c>
      <c r="D44" s="2">
        <f>=HYPERLINK("https://dna.stonehdfile.com/hd/viewhd.html?d=e8f2d887-8b60-4bdf-a927-7d39dc16d250","View360")</f>
      </c>
      <c r="E44" s="2">
        <f>=HYPERLINK("https://i.stonehdfile.com/Certificate?s=4feff27b-9edb-458e-9056-46c4781dc9bb","GIA")</f>
      </c>
      <c r="F44" s="2">
        <f>=HYPERLINK("https://i.stonehdfile.com/DNAReport?s=4feff27b-9edb-458e-9056-46c4781dc9bb","DNA")</f>
      </c>
      <c r="G44" s="2">
        <f>=HYPERLINK("https://www.gia.edu/report-check?reportno=******2910","Verify")</f>
      </c>
      <c r="H44" s="1" t="s">
        <v>404</v>
      </c>
      <c r="I44" s="1" t="s">
        <v>46</v>
      </c>
      <c r="J44" s="1">
        <v>1.65</v>
      </c>
      <c r="K44" s="1">
        <v>6</v>
      </c>
      <c r="L44" s="1">
        <v>13600</v>
      </c>
      <c r="M44" s="1">
        <v>7480</v>
      </c>
      <c r="N44" s="1">
        <v>12342</v>
      </c>
      <c r="O44" s="1">
        <v>-45</v>
      </c>
      <c r="P44" s="1">
        <v>0</v>
      </c>
      <c r="Q44" s="1" t="s">
        <v>86</v>
      </c>
      <c r="R44" s="1">
        <v>0</v>
      </c>
      <c r="S44" s="1" t="s">
        <v>86</v>
      </c>
      <c r="T44" s="1" t="s">
        <v>86</v>
      </c>
      <c r="U44" s="1" t="s">
        <v>168</v>
      </c>
      <c r="V44" s="1" t="s">
        <v>86</v>
      </c>
      <c r="W44" s="1" t="s">
        <v>149</v>
      </c>
      <c r="X44" s="1" t="s">
        <v>86</v>
      </c>
      <c r="Y44" s="1" t="s">
        <v>89</v>
      </c>
      <c r="Z44" s="1" t="s">
        <v>89</v>
      </c>
      <c r="AA44" s="1" t="s">
        <v>119</v>
      </c>
      <c r="AB44" s="1" t="s">
        <v>86</v>
      </c>
      <c r="AC44" s="1" t="s">
        <v>405</v>
      </c>
      <c r="AD44" s="1">
        <v>68.9</v>
      </c>
      <c r="AE44" s="1">
        <v>61</v>
      </c>
      <c r="AF44" s="1" t="s">
        <v>91</v>
      </c>
      <c r="AG44" s="1">
        <v>3.8</v>
      </c>
      <c r="AH44" s="1">
        <v>36.7</v>
      </c>
      <c r="AI44" s="1" t="s">
        <v>86</v>
      </c>
      <c r="AJ44" s="1">
        <v>1.13</v>
      </c>
      <c r="AK44" s="1" t="s">
        <v>111</v>
      </c>
      <c r="AL44" s="1" t="s">
        <v>93</v>
      </c>
      <c r="AM44" s="1" t="s">
        <v>93</v>
      </c>
      <c r="AN44" s="1" t="s">
        <v>86</v>
      </c>
      <c r="AO44" s="1" t="s">
        <v>94</v>
      </c>
      <c r="AP44" s="1" t="s">
        <v>95</v>
      </c>
      <c r="AQ44" s="1">
        <v>14.6</v>
      </c>
      <c r="AR44" s="1">
        <v>50.1</v>
      </c>
      <c r="AS44" s="1">
        <v>37.9</v>
      </c>
      <c r="AT44" s="1" t="s">
        <v>96</v>
      </c>
      <c r="AU44" s="1" t="s">
        <v>86</v>
      </c>
      <c r="AV44" s="1" t="s">
        <v>86</v>
      </c>
      <c r="AW44" s="1" t="s">
        <v>86</v>
      </c>
      <c r="AX44" s="1" t="s">
        <v>86</v>
      </c>
      <c r="AY44" s="1" t="s">
        <v>86</v>
      </c>
      <c r="AZ44" s="1" t="s">
        <v>86</v>
      </c>
      <c r="BA44" s="1" t="s">
        <v>86</v>
      </c>
      <c r="BB44" s="1" t="s">
        <v>86</v>
      </c>
      <c r="BC44" s="1" t="s">
        <v>86</v>
      </c>
      <c r="BD44" s="1" t="s">
        <v>86</v>
      </c>
      <c r="BE44" s="1" t="s">
        <v>86</v>
      </c>
      <c r="BF44" s="1" t="s">
        <v>282</v>
      </c>
      <c r="BG44" s="1" t="s">
        <v>86</v>
      </c>
      <c r="BH44" s="1" t="s">
        <v>215</v>
      </c>
      <c r="BI44" s="1" t="s">
        <v>216</v>
      </c>
      <c r="BJ44" s="1" t="s">
        <v>87</v>
      </c>
      <c r="BK44" s="1">
        <v>0</v>
      </c>
      <c r="BL44" s="1">
        <v>0</v>
      </c>
      <c r="BM44" s="1" t="s">
        <v>398</v>
      </c>
      <c r="BN44" s="1" t="s">
        <v>406</v>
      </c>
      <c r="BO44" s="1" t="s">
        <v>407</v>
      </c>
      <c r="BP44" s="1" t="s">
        <v>86</v>
      </c>
      <c r="BQ44" s="1" t="s">
        <v>86</v>
      </c>
      <c r="BR44" s="1" t="s">
        <v>86</v>
      </c>
      <c r="BS44" s="1" t="s">
        <v>86</v>
      </c>
      <c r="BT44" s="1" t="s">
        <v>86</v>
      </c>
      <c r="BU44" s="1" t="s">
        <v>163</v>
      </c>
      <c r="BV44" s="1" t="s">
        <v>86</v>
      </c>
      <c r="BW44" s="1" t="s">
        <v>101</v>
      </c>
      <c r="BX44" s="1" t="s">
        <v>401</v>
      </c>
      <c r="BY44" s="1" t="s">
        <v>86</v>
      </c>
      <c r="BZ44" s="1" t="s">
        <v>408</v>
      </c>
      <c r="CA44" s="1" t="s">
        <v>254</v>
      </c>
      <c r="CB44" s="1" t="s">
        <v>409</v>
      </c>
      <c r="CC44" s="1" t="s">
        <v>86</v>
      </c>
      <c r="CD44" s="1" t="s">
        <v>86</v>
      </c>
      <c r="CE44" s="1" t="s">
        <v>86</v>
      </c>
    </row>
    <row r="45">
      <c r="A45" s="1">
        <v>43</v>
      </c>
      <c r="B45" s="1" t="s">
        <v>395</v>
      </c>
      <c r="C45" s="2">
        <f>=HYPERLINK("https://i.stonehdfile.com/stoneimage?s=9657b63b-d91b-4443-8bd1-959d6ab68b78","Image")</f>
      </c>
      <c r="D45" s="2">
        <f>=HYPERLINK("https://dna.stonehdfile.com/hd/viewhd.html?d=853931e0-ca07-4223-b93c-e1db3c3995f3","View360")</f>
      </c>
      <c r="E45" s="2">
        <f>=HYPERLINK("https://i.stonehdfile.com/Certificate?s=9657b63b-d91b-4443-8bd1-959d6ab68b78","GIA")</f>
      </c>
      <c r="F45" s="2">
        <f>=HYPERLINK("https://i.stonehdfile.com/DNAReport?s=9657b63b-d91b-4443-8bd1-959d6ab68b78","DNA")</f>
      </c>
      <c r="G45" s="2">
        <f>=HYPERLINK("https://www.gia.edu/report-check?reportno=******2191","Verify")</f>
      </c>
      <c r="H45" s="1" t="s">
        <v>410</v>
      </c>
      <c r="I45" s="1" t="s">
        <v>46</v>
      </c>
      <c r="J45" s="1">
        <v>1.5</v>
      </c>
      <c r="K45" s="1">
        <v>6</v>
      </c>
      <c r="L45" s="1">
        <v>12000</v>
      </c>
      <c r="M45" s="1">
        <v>4851</v>
      </c>
      <c r="N45" s="1">
        <v>7276.5</v>
      </c>
      <c r="O45" s="1">
        <v>-59.58</v>
      </c>
      <c r="P45" s="1">
        <v>0</v>
      </c>
      <c r="Q45" s="1" t="s">
        <v>86</v>
      </c>
      <c r="R45" s="1">
        <v>0</v>
      </c>
      <c r="S45" s="1" t="s">
        <v>86</v>
      </c>
      <c r="T45" s="1" t="s">
        <v>86</v>
      </c>
      <c r="U45" s="1" t="s">
        <v>168</v>
      </c>
      <c r="V45" s="1" t="s">
        <v>86</v>
      </c>
      <c r="W45" s="1" t="s">
        <v>352</v>
      </c>
      <c r="X45" s="1" t="s">
        <v>86</v>
      </c>
      <c r="Y45" s="1" t="s">
        <v>89</v>
      </c>
      <c r="Z45" s="1" t="s">
        <v>89</v>
      </c>
      <c r="AA45" s="1" t="s">
        <v>108</v>
      </c>
      <c r="AB45" s="1" t="s">
        <v>109</v>
      </c>
      <c r="AC45" s="1" t="s">
        <v>411</v>
      </c>
      <c r="AD45" s="1">
        <v>68.7</v>
      </c>
      <c r="AE45" s="1">
        <v>61</v>
      </c>
      <c r="AF45" s="1" t="s">
        <v>91</v>
      </c>
      <c r="AG45" s="1">
        <v>3.3</v>
      </c>
      <c r="AH45" s="1">
        <v>36.4</v>
      </c>
      <c r="AI45" s="1" t="s">
        <v>86</v>
      </c>
      <c r="AJ45" s="1">
        <v>1.06</v>
      </c>
      <c r="AK45" s="1" t="s">
        <v>111</v>
      </c>
      <c r="AL45" s="1" t="s">
        <v>140</v>
      </c>
      <c r="AM45" s="1" t="s">
        <v>140</v>
      </c>
      <c r="AN45" s="1" t="s">
        <v>307</v>
      </c>
      <c r="AO45" s="1" t="s">
        <v>94</v>
      </c>
      <c r="AP45" s="1" t="s">
        <v>95</v>
      </c>
      <c r="AQ45" s="1">
        <v>14.4</v>
      </c>
      <c r="AR45" s="1">
        <v>51</v>
      </c>
      <c r="AS45" s="1">
        <v>39.2</v>
      </c>
      <c r="AT45" s="1" t="s">
        <v>96</v>
      </c>
      <c r="AU45" s="1" t="s">
        <v>86</v>
      </c>
      <c r="AV45" s="1" t="s">
        <v>141</v>
      </c>
      <c r="AW45" s="1" t="s">
        <v>86</v>
      </c>
      <c r="AX45" s="1" t="s">
        <v>86</v>
      </c>
      <c r="AY45" s="1" t="s">
        <v>86</v>
      </c>
      <c r="AZ45" s="1" t="s">
        <v>86</v>
      </c>
      <c r="BA45" s="1" t="s">
        <v>86</v>
      </c>
      <c r="BB45" s="1" t="s">
        <v>86</v>
      </c>
      <c r="BC45" s="1" t="s">
        <v>86</v>
      </c>
      <c r="BD45" s="1" t="s">
        <v>86</v>
      </c>
      <c r="BE45" s="1" t="s">
        <v>86</v>
      </c>
      <c r="BF45" s="1" t="s">
        <v>86</v>
      </c>
      <c r="BG45" s="1" t="s">
        <v>172</v>
      </c>
      <c r="BH45" s="1" t="s">
        <v>97</v>
      </c>
      <c r="BI45" s="1" t="s">
        <v>232</v>
      </c>
      <c r="BJ45" s="1" t="s">
        <v>87</v>
      </c>
      <c r="BK45" s="1">
        <v>0</v>
      </c>
      <c r="BL45" s="1">
        <v>0</v>
      </c>
      <c r="BM45" s="1" t="s">
        <v>398</v>
      </c>
      <c r="BN45" s="1" t="s">
        <v>412</v>
      </c>
      <c r="BO45" s="1" t="s">
        <v>413</v>
      </c>
      <c r="BP45" s="1" t="s">
        <v>86</v>
      </c>
      <c r="BQ45" s="1" t="s">
        <v>86</v>
      </c>
      <c r="BR45" s="1" t="s">
        <v>86</v>
      </c>
      <c r="BS45" s="1" t="s">
        <v>86</v>
      </c>
      <c r="BT45" s="1" t="s">
        <v>86</v>
      </c>
      <c r="BU45" s="1" t="s">
        <v>163</v>
      </c>
      <c r="BV45" s="1" t="s">
        <v>86</v>
      </c>
      <c r="BW45" s="1" t="s">
        <v>101</v>
      </c>
      <c r="BX45" s="1" t="s">
        <v>414</v>
      </c>
      <c r="BY45" s="1" t="s">
        <v>86</v>
      </c>
      <c r="BZ45" s="1" t="s">
        <v>415</v>
      </c>
      <c r="CA45" s="1" t="s">
        <v>416</v>
      </c>
      <c r="CB45" s="1" t="s">
        <v>417</v>
      </c>
      <c r="CC45" s="1" t="s">
        <v>86</v>
      </c>
      <c r="CD45" s="1" t="s">
        <v>86</v>
      </c>
      <c r="CE45" s="1" t="s">
        <v>86</v>
      </c>
    </row>
    <row r="46">
      <c r="A46" s="1">
        <v>44</v>
      </c>
      <c r="B46" s="1" t="s">
        <v>395</v>
      </c>
      <c r="C46" s="2">
        <f>=HYPERLINK("https://i.stonehdfile.com/stoneimage?s=22705f7b-961b-41df-92d1-9233148ac9bb","Image")</f>
      </c>
      <c r="D46" s="2">
        <f>=HYPERLINK("https://dna.stonehdfile.com/hd/viewhd.html?d=d2e7fa26-6ff6-47b0-a0f5-7d369671847f","View360")</f>
      </c>
      <c r="E46" s="2">
        <f>=HYPERLINK("https://i.stonehdfile.com/Certificate?s=22705f7b-961b-41df-92d1-9233148ac9bb","GIA")</f>
      </c>
      <c r="F46" s="2">
        <f>=HYPERLINK("https://i.stonehdfile.com/DNAReport?s=22705f7b-961b-41df-92d1-9233148ac9bb","DNA")</f>
      </c>
      <c r="G46" s="2">
        <f>=HYPERLINK("https://www.gia.edu/report-check?reportno=******3352","Verify")</f>
      </c>
      <c r="H46" s="1" t="s">
        <v>418</v>
      </c>
      <c r="I46" s="1" t="s">
        <v>46</v>
      </c>
      <c r="J46" s="1">
        <v>1.5</v>
      </c>
      <c r="K46" s="1">
        <v>5</v>
      </c>
      <c r="L46" s="1">
        <v>12000</v>
      </c>
      <c r="M46" s="1">
        <v>6563</v>
      </c>
      <c r="N46" s="1">
        <v>9844.5</v>
      </c>
      <c r="O46" s="1">
        <v>-45.31</v>
      </c>
      <c r="P46" s="1">
        <v>0</v>
      </c>
      <c r="Q46" s="1" t="s">
        <v>86</v>
      </c>
      <c r="R46" s="1">
        <v>0</v>
      </c>
      <c r="S46" s="1" t="s">
        <v>86</v>
      </c>
      <c r="T46" s="1" t="s">
        <v>86</v>
      </c>
      <c r="U46" s="1" t="s">
        <v>168</v>
      </c>
      <c r="V46" s="1" t="s">
        <v>86</v>
      </c>
      <c r="W46" s="1" t="s">
        <v>352</v>
      </c>
      <c r="X46" s="1" t="s">
        <v>86</v>
      </c>
      <c r="Y46" s="1" t="s">
        <v>89</v>
      </c>
      <c r="Z46" s="1" t="s">
        <v>138</v>
      </c>
      <c r="AA46" s="1" t="s">
        <v>119</v>
      </c>
      <c r="AB46" s="1" t="s">
        <v>86</v>
      </c>
      <c r="AC46" s="1" t="s">
        <v>419</v>
      </c>
      <c r="AD46" s="1">
        <v>68.6</v>
      </c>
      <c r="AE46" s="1">
        <v>61</v>
      </c>
      <c r="AF46" s="1" t="s">
        <v>91</v>
      </c>
      <c r="AG46" s="1">
        <v>2.2</v>
      </c>
      <c r="AH46" s="1">
        <v>36.2</v>
      </c>
      <c r="AI46" s="1" t="s">
        <v>86</v>
      </c>
      <c r="AJ46" s="1">
        <v>1.13</v>
      </c>
      <c r="AK46" s="1" t="s">
        <v>190</v>
      </c>
      <c r="AL46" s="1" t="s">
        <v>128</v>
      </c>
      <c r="AM46" s="1" t="s">
        <v>140</v>
      </c>
      <c r="AN46" s="1" t="s">
        <v>171</v>
      </c>
      <c r="AO46" s="1" t="s">
        <v>94</v>
      </c>
      <c r="AP46" s="1" t="s">
        <v>95</v>
      </c>
      <c r="AQ46" s="1">
        <v>14.8</v>
      </c>
      <c r="AR46" s="1">
        <v>51.7</v>
      </c>
      <c r="AS46" s="1">
        <v>39.1</v>
      </c>
      <c r="AT46" s="1" t="s">
        <v>96</v>
      </c>
      <c r="AU46" s="1" t="s">
        <v>86</v>
      </c>
      <c r="AV46" s="1" t="s">
        <v>86</v>
      </c>
      <c r="AW46" s="1" t="s">
        <v>86</v>
      </c>
      <c r="AX46" s="1" t="s">
        <v>86</v>
      </c>
      <c r="AY46" s="1" t="s">
        <v>86</v>
      </c>
      <c r="AZ46" s="1" t="s">
        <v>86</v>
      </c>
      <c r="BA46" s="1" t="s">
        <v>86</v>
      </c>
      <c r="BB46" s="1" t="s">
        <v>86</v>
      </c>
      <c r="BC46" s="1" t="s">
        <v>86</v>
      </c>
      <c r="BD46" s="1" t="s">
        <v>86</v>
      </c>
      <c r="BE46" s="1" t="s">
        <v>86</v>
      </c>
      <c r="BF46" s="1" t="s">
        <v>86</v>
      </c>
      <c r="BG46" s="1" t="s">
        <v>172</v>
      </c>
      <c r="BH46" s="1" t="s">
        <v>142</v>
      </c>
      <c r="BI46" s="1" t="s">
        <v>420</v>
      </c>
      <c r="BJ46" s="1" t="s">
        <v>87</v>
      </c>
      <c r="BK46" s="1">
        <v>0</v>
      </c>
      <c r="BL46" s="1">
        <v>0</v>
      </c>
      <c r="BM46" s="1" t="s">
        <v>398</v>
      </c>
      <c r="BN46" s="1" t="s">
        <v>421</v>
      </c>
      <c r="BO46" s="1" t="s">
        <v>422</v>
      </c>
      <c r="BP46" s="1" t="s">
        <v>86</v>
      </c>
      <c r="BQ46" s="1" t="s">
        <v>86</v>
      </c>
      <c r="BR46" s="1" t="s">
        <v>86</v>
      </c>
      <c r="BS46" s="1" t="s">
        <v>86</v>
      </c>
      <c r="BT46" s="1" t="s">
        <v>86</v>
      </c>
      <c r="BU46" s="1" t="s">
        <v>163</v>
      </c>
      <c r="BV46" s="1" t="s">
        <v>86</v>
      </c>
      <c r="BW46" s="1" t="s">
        <v>101</v>
      </c>
      <c r="BX46" s="1" t="s">
        <v>423</v>
      </c>
      <c r="BY46" s="1" t="s">
        <v>86</v>
      </c>
      <c r="BZ46" s="1" t="s">
        <v>424</v>
      </c>
      <c r="CA46" s="1" t="s">
        <v>416</v>
      </c>
      <c r="CB46" s="1" t="s">
        <v>425</v>
      </c>
      <c r="CC46" s="1" t="s">
        <v>86</v>
      </c>
      <c r="CD46" s="1" t="s">
        <v>86</v>
      </c>
      <c r="CE46" s="1" t="s">
        <v>86</v>
      </c>
    </row>
    <row r="47">
      <c r="A47" s="1">
        <v>45</v>
      </c>
      <c r="B47" s="1" t="s">
        <v>395</v>
      </c>
      <c r="C47" s="2">
        <f>=HYPERLINK("https://i.stonehdfile.com/stoneimage?s=e4d1b569-97a7-44bd-b3e3-1862b356c2c6","Image")</f>
      </c>
      <c r="D47" s="2">
        <f>=HYPERLINK("https://dna.stonehdfile.com/hd/viewhd.html?d=7d144a08-75be-4240-b3d3-4f79bf1ea9ea","View360")</f>
      </c>
      <c r="E47" s="2">
        <f>=HYPERLINK("https://i.stonehdfile.com/Certificate?s=e4d1b569-97a7-44bd-b3e3-1862b356c2c6","GIA")</f>
      </c>
      <c r="F47" s="2">
        <f>=HYPERLINK("https://i.stonehdfile.com/DNAReport?s=e4d1b569-97a7-44bd-b3e3-1862b356c2c6","DNA")</f>
      </c>
      <c r="G47" s="2">
        <f>=HYPERLINK("https://www.gia.edu/report-check?reportno=******4838","Verify")</f>
      </c>
      <c r="H47" s="1" t="s">
        <v>426</v>
      </c>
      <c r="I47" s="1" t="s">
        <v>46</v>
      </c>
      <c r="J47" s="1">
        <v>1.5</v>
      </c>
      <c r="K47" s="1">
        <v>1</v>
      </c>
      <c r="L47" s="1">
        <v>12800</v>
      </c>
      <c r="M47" s="1">
        <v>6785</v>
      </c>
      <c r="N47" s="1">
        <v>10177.5</v>
      </c>
      <c r="O47" s="1">
        <v>-46.99</v>
      </c>
      <c r="P47" s="1">
        <v>0</v>
      </c>
      <c r="Q47" s="1" t="s">
        <v>86</v>
      </c>
      <c r="R47" s="1">
        <v>0</v>
      </c>
      <c r="S47" s="1" t="s">
        <v>86</v>
      </c>
      <c r="T47" s="1" t="s">
        <v>86</v>
      </c>
      <c r="U47" s="1" t="s">
        <v>427</v>
      </c>
      <c r="V47" s="1" t="s">
        <v>86</v>
      </c>
      <c r="W47" s="1" t="s">
        <v>149</v>
      </c>
      <c r="X47" s="1" t="s">
        <v>86</v>
      </c>
      <c r="Y47" s="1" t="s">
        <v>89</v>
      </c>
      <c r="Z47" s="1" t="s">
        <v>89</v>
      </c>
      <c r="AA47" s="1" t="s">
        <v>119</v>
      </c>
      <c r="AB47" s="1" t="s">
        <v>86</v>
      </c>
      <c r="AC47" s="1" t="s">
        <v>428</v>
      </c>
      <c r="AD47" s="1">
        <v>67.7</v>
      </c>
      <c r="AE47" s="1">
        <v>61</v>
      </c>
      <c r="AF47" s="1" t="s">
        <v>91</v>
      </c>
      <c r="AG47" s="1">
        <v>2.7</v>
      </c>
      <c r="AH47" s="1">
        <v>36.2</v>
      </c>
      <c r="AI47" s="1" t="s">
        <v>86</v>
      </c>
      <c r="AJ47" s="1">
        <v>1.07</v>
      </c>
      <c r="AK47" s="1" t="s">
        <v>111</v>
      </c>
      <c r="AL47" s="1" t="s">
        <v>140</v>
      </c>
      <c r="AM47" s="1" t="s">
        <v>128</v>
      </c>
      <c r="AN47" s="1" t="s">
        <v>86</v>
      </c>
      <c r="AO47" s="1" t="s">
        <v>94</v>
      </c>
      <c r="AP47" s="1" t="s">
        <v>95</v>
      </c>
      <c r="AQ47" s="1">
        <v>14.4</v>
      </c>
      <c r="AR47" s="1">
        <v>50.1</v>
      </c>
      <c r="AS47" s="1">
        <v>39</v>
      </c>
      <c r="AT47" s="1" t="s">
        <v>96</v>
      </c>
      <c r="AU47" s="1" t="s">
        <v>86</v>
      </c>
      <c r="AV47" s="1" t="s">
        <v>86</v>
      </c>
      <c r="AW47" s="1" t="s">
        <v>86</v>
      </c>
      <c r="AX47" s="1" t="s">
        <v>86</v>
      </c>
      <c r="AY47" s="1" t="s">
        <v>86</v>
      </c>
      <c r="AZ47" s="1" t="s">
        <v>86</v>
      </c>
      <c r="BA47" s="1" t="s">
        <v>86</v>
      </c>
      <c r="BB47" s="1" t="s">
        <v>86</v>
      </c>
      <c r="BC47" s="1" t="s">
        <v>86</v>
      </c>
      <c r="BD47" s="1" t="s">
        <v>86</v>
      </c>
      <c r="BE47" s="1" t="s">
        <v>86</v>
      </c>
      <c r="BF47" s="1" t="s">
        <v>86</v>
      </c>
      <c r="BG47" s="1" t="s">
        <v>86</v>
      </c>
      <c r="BH47" s="1" t="s">
        <v>429</v>
      </c>
      <c r="BI47" s="1" t="s">
        <v>430</v>
      </c>
      <c r="BJ47" s="1" t="s">
        <v>87</v>
      </c>
      <c r="BK47" s="1">
        <v>0</v>
      </c>
      <c r="BL47" s="1">
        <v>0</v>
      </c>
      <c r="BM47" s="1" t="s">
        <v>398</v>
      </c>
      <c r="BN47" s="1" t="s">
        <v>431</v>
      </c>
      <c r="BO47" s="1" t="s">
        <v>432</v>
      </c>
      <c r="BP47" s="1" t="s">
        <v>86</v>
      </c>
      <c r="BQ47" s="1" t="s">
        <v>86</v>
      </c>
      <c r="BR47" s="1" t="s">
        <v>86</v>
      </c>
      <c r="BS47" s="1" t="s">
        <v>86</v>
      </c>
      <c r="BT47" s="1" t="s">
        <v>86</v>
      </c>
      <c r="BU47" s="1" t="s">
        <v>163</v>
      </c>
      <c r="BV47" s="1" t="s">
        <v>86</v>
      </c>
      <c r="BW47" s="1" t="s">
        <v>101</v>
      </c>
      <c r="BX47" s="1" t="s">
        <v>423</v>
      </c>
      <c r="BY47" s="1" t="s">
        <v>86</v>
      </c>
      <c r="BZ47" s="1" t="s">
        <v>433</v>
      </c>
      <c r="CA47" s="1" t="s">
        <v>220</v>
      </c>
      <c r="CB47" s="1" t="s">
        <v>221</v>
      </c>
      <c r="CC47" s="1" t="s">
        <v>86</v>
      </c>
      <c r="CD47" s="1" t="s">
        <v>86</v>
      </c>
      <c r="CE47" s="1" t="s">
        <v>86</v>
      </c>
    </row>
    <row r="48">
      <c r="A48" s="1">
        <v>46</v>
      </c>
      <c r="B48" s="1" t="s">
        <v>395</v>
      </c>
      <c r="C48" s="2">
        <f>=HYPERLINK("https://i.stonehdfile.com/stoneimage?s=5eccf7a3-880f-4806-80f6-47a434793dac","Image")</f>
      </c>
      <c r="D48" s="2">
        <f>=HYPERLINK("https://dna.stonehdfile.com/hd/viewhd.html?d=f80a3352-31e7-4ab1-bb7f-26fe1c266966","View360")</f>
      </c>
      <c r="E48" s="2">
        <f>=HYPERLINK("https://i.stonehdfile.com/Certificate?s=5eccf7a3-880f-4806-80f6-47a434793dac","GIA")</f>
      </c>
      <c r="F48" s="2">
        <f>=HYPERLINK("https://i.stonehdfile.com/DNAReport?s=5eccf7a3-880f-4806-80f6-47a434793dac","DNA")</f>
      </c>
      <c r="G48" s="2">
        <f>=HYPERLINK("https://www.gia.edu/report-check?reportno=******1754","Verify")</f>
      </c>
      <c r="H48" s="1" t="s">
        <v>434</v>
      </c>
      <c r="I48" s="1" t="s">
        <v>46</v>
      </c>
      <c r="J48" s="1">
        <v>1.5</v>
      </c>
      <c r="K48" s="1">
        <v>6</v>
      </c>
      <c r="L48" s="1">
        <v>12800</v>
      </c>
      <c r="M48" s="1">
        <v>6585</v>
      </c>
      <c r="N48" s="1">
        <v>9877.5</v>
      </c>
      <c r="O48" s="1">
        <v>-48.55</v>
      </c>
      <c r="P48" s="1">
        <v>0</v>
      </c>
      <c r="Q48" s="1" t="s">
        <v>86</v>
      </c>
      <c r="R48" s="1">
        <v>0</v>
      </c>
      <c r="S48" s="1" t="s">
        <v>86</v>
      </c>
      <c r="T48" s="1" t="s">
        <v>86</v>
      </c>
      <c r="U48" s="1" t="s">
        <v>136</v>
      </c>
      <c r="V48" s="1" t="s">
        <v>86</v>
      </c>
      <c r="W48" s="1" t="s">
        <v>149</v>
      </c>
      <c r="X48" s="1" t="s">
        <v>86</v>
      </c>
      <c r="Y48" s="1" t="s">
        <v>89</v>
      </c>
      <c r="Z48" s="1" t="s">
        <v>89</v>
      </c>
      <c r="AA48" s="1" t="s">
        <v>119</v>
      </c>
      <c r="AB48" s="1" t="s">
        <v>86</v>
      </c>
      <c r="AC48" s="1" t="s">
        <v>435</v>
      </c>
      <c r="AD48" s="1">
        <v>67.5</v>
      </c>
      <c r="AE48" s="1">
        <v>63</v>
      </c>
      <c r="AF48" s="1" t="s">
        <v>91</v>
      </c>
      <c r="AG48" s="1">
        <v>2.6</v>
      </c>
      <c r="AH48" s="1">
        <v>35.6</v>
      </c>
      <c r="AI48" s="1" t="s">
        <v>86</v>
      </c>
      <c r="AJ48" s="1">
        <v>1.21</v>
      </c>
      <c r="AK48" s="1" t="s">
        <v>111</v>
      </c>
      <c r="AL48" s="1" t="s">
        <v>93</v>
      </c>
      <c r="AM48" s="1" t="s">
        <v>128</v>
      </c>
      <c r="AN48" s="1" t="s">
        <v>86</v>
      </c>
      <c r="AO48" s="1" t="s">
        <v>94</v>
      </c>
      <c r="AP48" s="1" t="s">
        <v>95</v>
      </c>
      <c r="AQ48" s="1">
        <v>13.5</v>
      </c>
      <c r="AR48" s="1">
        <v>51.3</v>
      </c>
      <c r="AS48" s="1">
        <v>38.1</v>
      </c>
      <c r="AT48" s="1" t="s">
        <v>96</v>
      </c>
      <c r="AU48" s="1" t="s">
        <v>86</v>
      </c>
      <c r="AV48" s="1" t="s">
        <v>86</v>
      </c>
      <c r="AW48" s="1" t="s">
        <v>86</v>
      </c>
      <c r="AX48" s="1" t="s">
        <v>86</v>
      </c>
      <c r="AY48" s="1" t="s">
        <v>86</v>
      </c>
      <c r="AZ48" s="1" t="s">
        <v>86</v>
      </c>
      <c r="BA48" s="1" t="s">
        <v>86</v>
      </c>
      <c r="BB48" s="1" t="s">
        <v>86</v>
      </c>
      <c r="BC48" s="1" t="s">
        <v>86</v>
      </c>
      <c r="BD48" s="1" t="s">
        <v>86</v>
      </c>
      <c r="BE48" s="1" t="s">
        <v>86</v>
      </c>
      <c r="BF48" s="1" t="s">
        <v>86</v>
      </c>
      <c r="BG48" s="1" t="s">
        <v>86</v>
      </c>
      <c r="BH48" s="1" t="s">
        <v>142</v>
      </c>
      <c r="BI48" s="1" t="s">
        <v>335</v>
      </c>
      <c r="BJ48" s="1" t="s">
        <v>87</v>
      </c>
      <c r="BK48" s="1">
        <v>0</v>
      </c>
      <c r="BL48" s="1">
        <v>0</v>
      </c>
      <c r="BM48" s="1" t="s">
        <v>398</v>
      </c>
      <c r="BN48" s="1" t="s">
        <v>436</v>
      </c>
      <c r="BO48" s="1" t="s">
        <v>437</v>
      </c>
      <c r="BP48" s="1" t="s">
        <v>86</v>
      </c>
      <c r="BQ48" s="1" t="s">
        <v>86</v>
      </c>
      <c r="BR48" s="1" t="s">
        <v>86</v>
      </c>
      <c r="BS48" s="1" t="s">
        <v>438</v>
      </c>
      <c r="BT48" s="1" t="s">
        <v>86</v>
      </c>
      <c r="BU48" s="1" t="s">
        <v>163</v>
      </c>
      <c r="BV48" s="1" t="s">
        <v>86</v>
      </c>
      <c r="BW48" s="1" t="s">
        <v>101</v>
      </c>
      <c r="BX48" s="1" t="s">
        <v>439</v>
      </c>
      <c r="BY48" s="1" t="s">
        <v>86</v>
      </c>
      <c r="BZ48" s="1" t="s">
        <v>440</v>
      </c>
      <c r="CA48" s="1" t="s">
        <v>155</v>
      </c>
      <c r="CB48" s="1" t="s">
        <v>156</v>
      </c>
      <c r="CC48" s="1" t="s">
        <v>86</v>
      </c>
      <c r="CD48" s="1" t="s">
        <v>86</v>
      </c>
      <c r="CE48" s="1" t="s">
        <v>86</v>
      </c>
    </row>
    <row r="49">
      <c r="A49" s="1">
        <v>47</v>
      </c>
      <c r="B49" s="1" t="s">
        <v>395</v>
      </c>
      <c r="C49" s="2">
        <f>=HYPERLINK("https://i.stonehdfile.com/stoneimage?s=47cfeab0-8176-43cb-980d-ef618b1dd50b","Image")</f>
      </c>
      <c r="D49" s="2">
        <f>=HYPERLINK("https://dna.stonehdfile.com/hd/viewhd.html?d=65ba200b-ba91-47c7-9ba5-23e2f3d8c7ef","View360")</f>
      </c>
      <c r="E49" s="2">
        <f>=HYPERLINK("https://i.stonehdfile.com/Certificate?s=47cfeab0-8176-43cb-980d-ef618b1dd50b","GIA")</f>
      </c>
      <c r="F49" s="2">
        <f>=HYPERLINK("https://i.stonehdfile.com/DNAReport?s=47cfeab0-8176-43cb-980d-ef618b1dd50b","DNA")</f>
      </c>
      <c r="G49" s="2">
        <f>=HYPERLINK("https://www.gia.edu/report-check?reportno=******2708","Verify")</f>
      </c>
      <c r="H49" s="1" t="s">
        <v>441</v>
      </c>
      <c r="I49" s="1" t="s">
        <v>46</v>
      </c>
      <c r="J49" s="1">
        <v>1.5</v>
      </c>
      <c r="K49" s="1">
        <v>6</v>
      </c>
      <c r="L49" s="1">
        <v>12800</v>
      </c>
      <c r="M49" s="1">
        <v>5902</v>
      </c>
      <c r="N49" s="1">
        <v>8853</v>
      </c>
      <c r="O49" s="1">
        <v>-53.89</v>
      </c>
      <c r="P49" s="1">
        <v>0</v>
      </c>
      <c r="Q49" s="1" t="s">
        <v>86</v>
      </c>
      <c r="R49" s="1">
        <v>0</v>
      </c>
      <c r="S49" s="1" t="s">
        <v>86</v>
      </c>
      <c r="T49" s="1" t="s">
        <v>86</v>
      </c>
      <c r="U49" s="1" t="s">
        <v>427</v>
      </c>
      <c r="V49" s="1" t="s">
        <v>86</v>
      </c>
      <c r="W49" s="1" t="s">
        <v>149</v>
      </c>
      <c r="X49" s="1" t="s">
        <v>86</v>
      </c>
      <c r="Y49" s="1" t="s">
        <v>89</v>
      </c>
      <c r="Z49" s="1" t="s">
        <v>138</v>
      </c>
      <c r="AA49" s="1" t="s">
        <v>119</v>
      </c>
      <c r="AB49" s="1" t="s">
        <v>86</v>
      </c>
      <c r="AC49" s="1" t="s">
        <v>442</v>
      </c>
      <c r="AD49" s="1">
        <v>70.5</v>
      </c>
      <c r="AE49" s="1">
        <v>60</v>
      </c>
      <c r="AF49" s="1" t="s">
        <v>91</v>
      </c>
      <c r="AG49" s="1">
        <v>2.7</v>
      </c>
      <c r="AH49" s="1">
        <v>36.4</v>
      </c>
      <c r="AI49" s="1" t="s">
        <v>86</v>
      </c>
      <c r="AJ49" s="1">
        <v>1.02</v>
      </c>
      <c r="AK49" s="1" t="s">
        <v>111</v>
      </c>
      <c r="AL49" s="1" t="s">
        <v>93</v>
      </c>
      <c r="AM49" s="1" t="s">
        <v>140</v>
      </c>
      <c r="AN49" s="1" t="s">
        <v>86</v>
      </c>
      <c r="AO49" s="1" t="s">
        <v>94</v>
      </c>
      <c r="AP49" s="1" t="s">
        <v>95</v>
      </c>
      <c r="AQ49" s="1">
        <v>15</v>
      </c>
      <c r="AR49" s="1">
        <v>52.3</v>
      </c>
      <c r="AS49" s="1">
        <v>39.2</v>
      </c>
      <c r="AT49" s="1" t="s">
        <v>96</v>
      </c>
      <c r="AU49" s="1" t="s">
        <v>86</v>
      </c>
      <c r="AV49" s="1" t="s">
        <v>86</v>
      </c>
      <c r="AW49" s="1" t="s">
        <v>86</v>
      </c>
      <c r="AX49" s="1" t="s">
        <v>86</v>
      </c>
      <c r="AY49" s="1" t="s">
        <v>86</v>
      </c>
      <c r="AZ49" s="1" t="s">
        <v>86</v>
      </c>
      <c r="BA49" s="1" t="s">
        <v>86</v>
      </c>
      <c r="BB49" s="1" t="s">
        <v>86</v>
      </c>
      <c r="BC49" s="1" t="s">
        <v>86</v>
      </c>
      <c r="BD49" s="1" t="s">
        <v>86</v>
      </c>
      <c r="BE49" s="1" t="s">
        <v>86</v>
      </c>
      <c r="BF49" s="1" t="s">
        <v>86</v>
      </c>
      <c r="BG49" s="1" t="s">
        <v>172</v>
      </c>
      <c r="BH49" s="1" t="s">
        <v>429</v>
      </c>
      <c r="BI49" s="1" t="s">
        <v>430</v>
      </c>
      <c r="BJ49" s="1" t="s">
        <v>87</v>
      </c>
      <c r="BK49" s="1">
        <v>0</v>
      </c>
      <c r="BL49" s="1">
        <v>0</v>
      </c>
      <c r="BM49" s="1" t="s">
        <v>398</v>
      </c>
      <c r="BN49" s="1" t="s">
        <v>443</v>
      </c>
      <c r="BO49" s="1" t="s">
        <v>444</v>
      </c>
      <c r="BP49" s="1" t="s">
        <v>86</v>
      </c>
      <c r="BQ49" s="1" t="s">
        <v>86</v>
      </c>
      <c r="BR49" s="1" t="s">
        <v>86</v>
      </c>
      <c r="BS49" s="1" t="s">
        <v>86</v>
      </c>
      <c r="BT49" s="1" t="s">
        <v>86</v>
      </c>
      <c r="BU49" s="1" t="s">
        <v>163</v>
      </c>
      <c r="BV49" s="1" t="s">
        <v>86</v>
      </c>
      <c r="BW49" s="1" t="s">
        <v>101</v>
      </c>
      <c r="BX49" s="1" t="s">
        <v>423</v>
      </c>
      <c r="BY49" s="1" t="s">
        <v>86</v>
      </c>
      <c r="BZ49" s="1" t="s">
        <v>445</v>
      </c>
      <c r="CA49" s="1" t="s">
        <v>220</v>
      </c>
      <c r="CB49" s="1" t="s">
        <v>417</v>
      </c>
      <c r="CC49" s="1" t="s">
        <v>86</v>
      </c>
      <c r="CD49" s="1" t="s">
        <v>86</v>
      </c>
      <c r="CE49" s="1" t="s">
        <v>86</v>
      </c>
    </row>
    <row r="50">
      <c r="A50" s="1">
        <v>48</v>
      </c>
      <c r="B50" s="1" t="s">
        <v>395</v>
      </c>
      <c r="C50" s="2">
        <f>=HYPERLINK("https://i.stonehdfile.com/stoneimage?s=036130de-e17d-46b2-a3b2-5c0c1714bf79","Image")</f>
      </c>
      <c r="D50" s="2">
        <f>=HYPERLINK("https://dna.stonehdfile.com/hd/viewhd.html?d=a86e8593-2638-4190-9307-dd93a00d9e8b","View360")</f>
      </c>
      <c r="E50" s="2">
        <f>=HYPERLINK("https://i.stonehdfile.com/Certificate?s=036130de-e17d-46b2-a3b2-5c0c1714bf79","GIA")</f>
      </c>
      <c r="F50" s="2">
        <f>=HYPERLINK("https://i.stonehdfile.com/DNAReport?s=036130de-e17d-46b2-a3b2-5c0c1714bf79","DNA")</f>
      </c>
      <c r="G50" s="2">
        <f>=HYPERLINK("https://www.gia.edu/report-check?reportno=******4581","Verify")</f>
      </c>
      <c r="H50" s="1" t="s">
        <v>446</v>
      </c>
      <c r="I50" s="1" t="s">
        <v>46</v>
      </c>
      <c r="J50" s="1">
        <v>1.5</v>
      </c>
      <c r="K50" s="1">
        <v>2</v>
      </c>
      <c r="L50" s="1">
        <v>11400</v>
      </c>
      <c r="M50" s="1">
        <v>4060</v>
      </c>
      <c r="N50" s="1">
        <v>6090</v>
      </c>
      <c r="O50" s="1">
        <v>-64.39</v>
      </c>
      <c r="P50" s="1">
        <v>0</v>
      </c>
      <c r="Q50" s="1" t="s">
        <v>86</v>
      </c>
      <c r="R50" s="1">
        <v>0</v>
      </c>
      <c r="S50" s="1" t="s">
        <v>86</v>
      </c>
      <c r="T50" s="1" t="s">
        <v>86</v>
      </c>
      <c r="U50" s="1" t="s">
        <v>136</v>
      </c>
      <c r="V50" s="1" t="s">
        <v>86</v>
      </c>
      <c r="W50" s="1" t="s">
        <v>352</v>
      </c>
      <c r="X50" s="1" t="s">
        <v>86</v>
      </c>
      <c r="Y50" s="1" t="s">
        <v>89</v>
      </c>
      <c r="Z50" s="1" t="s">
        <v>138</v>
      </c>
      <c r="AA50" s="1" t="s">
        <v>87</v>
      </c>
      <c r="AB50" s="1" t="s">
        <v>86</v>
      </c>
      <c r="AC50" s="1" t="s">
        <v>447</v>
      </c>
      <c r="AD50" s="1">
        <v>71.6</v>
      </c>
      <c r="AE50" s="1">
        <v>58</v>
      </c>
      <c r="AF50" s="1" t="s">
        <v>91</v>
      </c>
      <c r="AG50" s="1">
        <v>2.9</v>
      </c>
      <c r="AH50" s="1">
        <v>37.1</v>
      </c>
      <c r="AI50" s="1" t="s">
        <v>86</v>
      </c>
      <c r="AJ50" s="1">
        <v>1.12</v>
      </c>
      <c r="AK50" s="1" t="s">
        <v>111</v>
      </c>
      <c r="AL50" s="1" t="s">
        <v>93</v>
      </c>
      <c r="AM50" s="1" t="s">
        <v>128</v>
      </c>
      <c r="AN50" s="1" t="s">
        <v>307</v>
      </c>
      <c r="AO50" s="1" t="s">
        <v>94</v>
      </c>
      <c r="AP50" s="1" t="s">
        <v>95</v>
      </c>
      <c r="AQ50" s="1">
        <v>16</v>
      </c>
      <c r="AR50" s="1">
        <v>52.1</v>
      </c>
      <c r="AS50" s="1">
        <v>37.7</v>
      </c>
      <c r="AT50" s="1" t="s">
        <v>96</v>
      </c>
      <c r="AU50" s="1" t="s">
        <v>86</v>
      </c>
      <c r="AV50" s="1" t="s">
        <v>86</v>
      </c>
      <c r="AW50" s="1" t="s">
        <v>86</v>
      </c>
      <c r="AX50" s="1" t="s">
        <v>86</v>
      </c>
      <c r="AY50" s="1" t="s">
        <v>86</v>
      </c>
      <c r="AZ50" s="1" t="s">
        <v>86</v>
      </c>
      <c r="BA50" s="1" t="s">
        <v>86</v>
      </c>
      <c r="BB50" s="1" t="s">
        <v>86</v>
      </c>
      <c r="BC50" s="1" t="s">
        <v>86</v>
      </c>
      <c r="BD50" s="1" t="s">
        <v>86</v>
      </c>
      <c r="BE50" s="1" t="s">
        <v>86</v>
      </c>
      <c r="BF50" s="1" t="s">
        <v>86</v>
      </c>
      <c r="BG50" s="1" t="s">
        <v>86</v>
      </c>
      <c r="BH50" s="1" t="s">
        <v>448</v>
      </c>
      <c r="BI50" s="1" t="s">
        <v>387</v>
      </c>
      <c r="BJ50" s="1" t="s">
        <v>87</v>
      </c>
      <c r="BK50" s="1">
        <v>0</v>
      </c>
      <c r="BL50" s="1">
        <v>0</v>
      </c>
      <c r="BM50" s="1" t="s">
        <v>398</v>
      </c>
      <c r="BN50" s="1" t="s">
        <v>449</v>
      </c>
      <c r="BO50" s="1" t="s">
        <v>450</v>
      </c>
      <c r="BP50" s="1" t="s">
        <v>86</v>
      </c>
      <c r="BQ50" s="1" t="s">
        <v>86</v>
      </c>
      <c r="BR50" s="1" t="s">
        <v>86</v>
      </c>
      <c r="BS50" s="1" t="s">
        <v>86</v>
      </c>
      <c r="BT50" s="1" t="s">
        <v>86</v>
      </c>
      <c r="BU50" s="1" t="s">
        <v>163</v>
      </c>
      <c r="BV50" s="1" t="s">
        <v>86</v>
      </c>
      <c r="BW50" s="1" t="s">
        <v>101</v>
      </c>
      <c r="BX50" s="1" t="s">
        <v>439</v>
      </c>
      <c r="BY50" s="1" t="s">
        <v>86</v>
      </c>
      <c r="BZ50" s="1" t="s">
        <v>451</v>
      </c>
      <c r="CA50" s="1" t="s">
        <v>278</v>
      </c>
      <c r="CB50" s="1" t="s">
        <v>221</v>
      </c>
      <c r="CC50" s="1" t="s">
        <v>86</v>
      </c>
      <c r="CD50" s="1" t="s">
        <v>86</v>
      </c>
      <c r="CE50" s="1" t="s">
        <v>86</v>
      </c>
    </row>
    <row r="51">
      <c r="A51" s="1">
        <v>49</v>
      </c>
      <c r="B51" s="1" t="s">
        <v>395</v>
      </c>
      <c r="C51" s="2">
        <f>=HYPERLINK("https://i.stonehdfile.com/stoneimage?s=d709ed13-1059-405d-9613-f393d18dad87","Image")</f>
      </c>
      <c r="D51" s="2">
        <f>=HYPERLINK("https://dna.stonehdfile.com/hd/viewhd.html?d=21df16e3-ed3f-4f15-b869-c9e9d90c032b","View360")</f>
      </c>
      <c r="E51" s="2">
        <f>=HYPERLINK("https://i.stonehdfile.com/Certificate?s=d709ed13-1059-405d-9613-f393d18dad87","GIA")</f>
      </c>
      <c r="F51" s="2">
        <f>=HYPERLINK("https://i.stonehdfile.com/DNAReport?s=d709ed13-1059-405d-9613-f393d18dad87","DNA")</f>
      </c>
      <c r="G51" s="2">
        <f>=HYPERLINK("https://www.gia.edu/report-check?reportno=******4597","Verify")</f>
      </c>
      <c r="H51" s="1" t="s">
        <v>452</v>
      </c>
      <c r="I51" s="1" t="s">
        <v>46</v>
      </c>
      <c r="J51" s="1">
        <v>1.5</v>
      </c>
      <c r="K51" s="1">
        <v>3</v>
      </c>
      <c r="L51" s="1">
        <v>11400</v>
      </c>
      <c r="M51" s="1">
        <v>4315</v>
      </c>
      <c r="N51" s="1">
        <v>6472.5</v>
      </c>
      <c r="O51" s="1">
        <v>-62.15</v>
      </c>
      <c r="P51" s="1">
        <v>0</v>
      </c>
      <c r="Q51" s="1" t="s">
        <v>86</v>
      </c>
      <c r="R51" s="1">
        <v>0</v>
      </c>
      <c r="S51" s="1" t="s">
        <v>86</v>
      </c>
      <c r="T51" s="1" t="s">
        <v>86</v>
      </c>
      <c r="U51" s="1" t="s">
        <v>136</v>
      </c>
      <c r="V51" s="1" t="s">
        <v>86</v>
      </c>
      <c r="W51" s="1" t="s">
        <v>223</v>
      </c>
      <c r="X51" s="1" t="s">
        <v>86</v>
      </c>
      <c r="Y51" s="1" t="s">
        <v>89</v>
      </c>
      <c r="Z51" s="1" t="s">
        <v>89</v>
      </c>
      <c r="AA51" s="1" t="s">
        <v>108</v>
      </c>
      <c r="AB51" s="1" t="s">
        <v>109</v>
      </c>
      <c r="AC51" s="1" t="s">
        <v>453</v>
      </c>
      <c r="AD51" s="1">
        <v>71.7</v>
      </c>
      <c r="AE51" s="1">
        <v>58</v>
      </c>
      <c r="AF51" s="1" t="s">
        <v>91</v>
      </c>
      <c r="AG51" s="1">
        <v>3.1</v>
      </c>
      <c r="AH51" s="1">
        <v>36</v>
      </c>
      <c r="AI51" s="1" t="s">
        <v>86</v>
      </c>
      <c r="AJ51" s="1">
        <v>1.01</v>
      </c>
      <c r="AK51" s="1" t="s">
        <v>111</v>
      </c>
      <c r="AL51" s="1" t="s">
        <v>93</v>
      </c>
      <c r="AM51" s="1" t="s">
        <v>93</v>
      </c>
      <c r="AN51" s="1" t="s">
        <v>171</v>
      </c>
      <c r="AO51" s="1" t="s">
        <v>94</v>
      </c>
      <c r="AP51" s="1" t="s">
        <v>95</v>
      </c>
      <c r="AQ51" s="1">
        <v>15.5</v>
      </c>
      <c r="AR51" s="1">
        <v>52.8</v>
      </c>
      <c r="AS51" s="1">
        <v>39.3</v>
      </c>
      <c r="AT51" s="1" t="s">
        <v>96</v>
      </c>
      <c r="AU51" s="1" t="s">
        <v>86</v>
      </c>
      <c r="AV51" s="1" t="s">
        <v>86</v>
      </c>
      <c r="AW51" s="1" t="s">
        <v>86</v>
      </c>
      <c r="AX51" s="1" t="s">
        <v>86</v>
      </c>
      <c r="AY51" s="1" t="s">
        <v>86</v>
      </c>
      <c r="AZ51" s="1" t="s">
        <v>86</v>
      </c>
      <c r="BA51" s="1" t="s">
        <v>86</v>
      </c>
      <c r="BB51" s="1" t="s">
        <v>86</v>
      </c>
      <c r="BC51" s="1" t="s">
        <v>86</v>
      </c>
      <c r="BD51" s="1" t="s">
        <v>86</v>
      </c>
      <c r="BE51" s="1" t="s">
        <v>86</v>
      </c>
      <c r="BF51" s="1" t="s">
        <v>86</v>
      </c>
      <c r="BG51" s="1" t="s">
        <v>172</v>
      </c>
      <c r="BH51" s="1" t="s">
        <v>97</v>
      </c>
      <c r="BI51" s="1" t="s">
        <v>174</v>
      </c>
      <c r="BJ51" s="1" t="s">
        <v>87</v>
      </c>
      <c r="BK51" s="1">
        <v>0</v>
      </c>
      <c r="BL51" s="1">
        <v>0</v>
      </c>
      <c r="BM51" s="1" t="s">
        <v>398</v>
      </c>
      <c r="BN51" s="1" t="s">
        <v>454</v>
      </c>
      <c r="BO51" s="1" t="s">
        <v>450</v>
      </c>
      <c r="BP51" s="1" t="s">
        <v>86</v>
      </c>
      <c r="BQ51" s="1" t="s">
        <v>86</v>
      </c>
      <c r="BR51" s="1" t="s">
        <v>86</v>
      </c>
      <c r="BS51" s="1" t="s">
        <v>86</v>
      </c>
      <c r="BT51" s="1" t="s">
        <v>86</v>
      </c>
      <c r="BU51" s="1" t="s">
        <v>163</v>
      </c>
      <c r="BV51" s="1" t="s">
        <v>86</v>
      </c>
      <c r="BW51" s="1" t="s">
        <v>101</v>
      </c>
      <c r="BX51" s="1" t="s">
        <v>439</v>
      </c>
      <c r="BY51" s="1" t="s">
        <v>86</v>
      </c>
      <c r="BZ51" s="1" t="s">
        <v>455</v>
      </c>
      <c r="CA51" s="1" t="s">
        <v>456</v>
      </c>
      <c r="CB51" s="1" t="s">
        <v>279</v>
      </c>
      <c r="CC51" s="1" t="s">
        <v>86</v>
      </c>
      <c r="CD51" s="1" t="s">
        <v>86</v>
      </c>
      <c r="CE51" s="1" t="s">
        <v>86</v>
      </c>
    </row>
    <row r="52">
      <c r="A52" s="1">
        <v>50</v>
      </c>
      <c r="B52" s="1" t="s">
        <v>395</v>
      </c>
      <c r="C52" s="2">
        <f>=HYPERLINK("https://i.stonehdfile.com/stoneimage?s=d5da7720-01a2-40f4-a3d7-0c0de7ef0509","Image")</f>
      </c>
      <c r="D52" s="2">
        <f>=HYPERLINK("https://dna.stonehdfile.com/hd/viewhd.html?d=62e0461d-ef2b-4c83-9b68-0f3787483e6a","View360")</f>
      </c>
      <c r="E52" s="2">
        <f>=HYPERLINK("https://i.stonehdfile.com/Certificate?s=d5da7720-01a2-40f4-a3d7-0c0de7ef0509","GIA")</f>
      </c>
      <c r="F52" s="2">
        <f>=HYPERLINK("https://i.stonehdfile.com/DNAReport?s=d5da7720-01a2-40f4-a3d7-0c0de7ef0509","DNA")</f>
      </c>
      <c r="G52" s="2">
        <f>=HYPERLINK("https://www.gia.edu/report-check?reportno=******7975","Verify")</f>
      </c>
      <c r="H52" s="1" t="s">
        <v>457</v>
      </c>
      <c r="I52" s="1" t="s">
        <v>46</v>
      </c>
      <c r="J52" s="1">
        <v>1.5</v>
      </c>
      <c r="K52" s="1">
        <v>3</v>
      </c>
      <c r="L52" s="1">
        <v>9800</v>
      </c>
      <c r="M52" s="1">
        <v>3632</v>
      </c>
      <c r="N52" s="1">
        <v>5448</v>
      </c>
      <c r="O52" s="1">
        <v>-62.94</v>
      </c>
      <c r="P52" s="1">
        <v>0</v>
      </c>
      <c r="Q52" s="1" t="s">
        <v>86</v>
      </c>
      <c r="R52" s="1">
        <v>0</v>
      </c>
      <c r="S52" s="1" t="s">
        <v>86</v>
      </c>
      <c r="T52" s="1" t="s">
        <v>86</v>
      </c>
      <c r="U52" s="1" t="s">
        <v>136</v>
      </c>
      <c r="V52" s="1" t="s">
        <v>86</v>
      </c>
      <c r="W52" s="1" t="s">
        <v>137</v>
      </c>
      <c r="X52" s="1" t="s">
        <v>86</v>
      </c>
      <c r="Y52" s="1" t="s">
        <v>89</v>
      </c>
      <c r="Z52" s="1" t="s">
        <v>89</v>
      </c>
      <c r="AA52" s="1" t="s">
        <v>119</v>
      </c>
      <c r="AB52" s="1" t="s">
        <v>86</v>
      </c>
      <c r="AC52" s="1" t="s">
        <v>458</v>
      </c>
      <c r="AD52" s="1">
        <v>70.5</v>
      </c>
      <c r="AE52" s="1">
        <v>57</v>
      </c>
      <c r="AF52" s="1" t="s">
        <v>91</v>
      </c>
      <c r="AG52" s="1">
        <v>3.7</v>
      </c>
      <c r="AH52" s="1">
        <v>36.8</v>
      </c>
      <c r="AI52" s="1" t="s">
        <v>86</v>
      </c>
      <c r="AJ52" s="1">
        <v>1.1</v>
      </c>
      <c r="AK52" s="1" t="s">
        <v>198</v>
      </c>
      <c r="AL52" s="1" t="s">
        <v>93</v>
      </c>
      <c r="AM52" s="1" t="s">
        <v>128</v>
      </c>
      <c r="AN52" s="1" t="s">
        <v>171</v>
      </c>
      <c r="AO52" s="1" t="s">
        <v>94</v>
      </c>
      <c r="AP52" s="1" t="s">
        <v>95</v>
      </c>
      <c r="AQ52" s="1">
        <v>16.1</v>
      </c>
      <c r="AR52" s="1">
        <v>50.7</v>
      </c>
      <c r="AS52" s="1">
        <v>37</v>
      </c>
      <c r="AT52" s="1" t="s">
        <v>96</v>
      </c>
      <c r="AU52" s="1" t="s">
        <v>86</v>
      </c>
      <c r="AV52" s="1" t="s">
        <v>86</v>
      </c>
      <c r="AW52" s="1" t="s">
        <v>86</v>
      </c>
      <c r="AX52" s="1" t="s">
        <v>86</v>
      </c>
      <c r="AY52" s="1" t="s">
        <v>86</v>
      </c>
      <c r="AZ52" s="1" t="s">
        <v>86</v>
      </c>
      <c r="BA52" s="1" t="s">
        <v>86</v>
      </c>
      <c r="BB52" s="1" t="s">
        <v>86</v>
      </c>
      <c r="BC52" s="1" t="s">
        <v>86</v>
      </c>
      <c r="BD52" s="1" t="s">
        <v>86</v>
      </c>
      <c r="BE52" s="1" t="s">
        <v>86</v>
      </c>
      <c r="BF52" s="1" t="s">
        <v>282</v>
      </c>
      <c r="BG52" s="1" t="s">
        <v>86</v>
      </c>
      <c r="BH52" s="1" t="s">
        <v>129</v>
      </c>
      <c r="BI52" s="1" t="s">
        <v>459</v>
      </c>
      <c r="BJ52" s="1" t="s">
        <v>87</v>
      </c>
      <c r="BK52" s="1">
        <v>0</v>
      </c>
      <c r="BL52" s="1">
        <v>0</v>
      </c>
      <c r="BM52" s="1" t="s">
        <v>86</v>
      </c>
      <c r="BN52" s="1" t="s">
        <v>460</v>
      </c>
      <c r="BO52" s="1" t="s">
        <v>330</v>
      </c>
      <c r="BP52" s="1" t="s">
        <v>86</v>
      </c>
      <c r="BQ52" s="1" t="s">
        <v>86</v>
      </c>
      <c r="BR52" s="1" t="s">
        <v>86</v>
      </c>
      <c r="BS52" s="1" t="s">
        <v>86</v>
      </c>
      <c r="BT52" s="1" t="s">
        <v>86</v>
      </c>
      <c r="BU52" s="1" t="s">
        <v>163</v>
      </c>
      <c r="BV52" s="1" t="s">
        <v>86</v>
      </c>
      <c r="BW52" s="1" t="s">
        <v>101</v>
      </c>
      <c r="BX52" s="1" t="s">
        <v>461</v>
      </c>
      <c r="BY52" s="1" t="s">
        <v>86</v>
      </c>
      <c r="BZ52" s="1" t="s">
        <v>462</v>
      </c>
      <c r="CA52" s="1" t="s">
        <v>463</v>
      </c>
      <c r="CB52" s="1" t="s">
        <v>464</v>
      </c>
      <c r="CC52" s="1" t="s">
        <v>86</v>
      </c>
      <c r="CD52" s="1" t="s">
        <v>86</v>
      </c>
      <c r="CE52" s="1" t="s">
        <v>86</v>
      </c>
    </row>
    <row r="53">
      <c r="A53" s="1">
        <v>51</v>
      </c>
      <c r="B53" s="1" t="s">
        <v>395</v>
      </c>
      <c r="C53" s="2">
        <f>=HYPERLINK("https://i.stonehdfile.com/stoneimage?s=25e858e6-00af-462e-a9c0-00a5efde02fd","Image")</f>
      </c>
      <c r="D53" s="2">
        <f>=HYPERLINK("https://dna.stonehdfile.com/hd/viewhd.html?d=53f92892-0dd4-4a77-8e7b-c29cca324fe9","View360")</f>
      </c>
      <c r="E53" s="2">
        <f>=HYPERLINK("https://i.stonehdfile.com/Certificate?s=25e858e6-00af-462e-a9c0-00a5efde02fd","GIA")</f>
      </c>
      <c r="F53" s="2">
        <f>=HYPERLINK("https://i.stonehdfile.com/DNAReport?s=25e858e6-00af-462e-a9c0-00a5efde02fd","DNA")</f>
      </c>
      <c r="G53" s="2">
        <f>=HYPERLINK("https://www.gia.edu/report-check?reportno=******7966","Verify")</f>
      </c>
      <c r="H53" s="1" t="s">
        <v>465</v>
      </c>
      <c r="I53" s="1" t="s">
        <v>46</v>
      </c>
      <c r="J53" s="1">
        <v>1.51</v>
      </c>
      <c r="K53" s="1">
        <v>3</v>
      </c>
      <c r="L53" s="1">
        <v>7700</v>
      </c>
      <c r="M53" s="1">
        <v>2655</v>
      </c>
      <c r="N53" s="1">
        <v>4009.05</v>
      </c>
      <c r="O53" s="1">
        <v>-65.52</v>
      </c>
      <c r="P53" s="1">
        <v>0</v>
      </c>
      <c r="Q53" s="1" t="s">
        <v>86</v>
      </c>
      <c r="R53" s="1">
        <v>0</v>
      </c>
      <c r="S53" s="1" t="s">
        <v>86</v>
      </c>
      <c r="T53" s="1" t="s">
        <v>86</v>
      </c>
      <c r="U53" s="1" t="s">
        <v>136</v>
      </c>
      <c r="V53" s="1" t="s">
        <v>86</v>
      </c>
      <c r="W53" s="1" t="s">
        <v>213</v>
      </c>
      <c r="X53" s="1" t="s">
        <v>86</v>
      </c>
      <c r="Y53" s="1" t="s">
        <v>89</v>
      </c>
      <c r="Z53" s="1" t="s">
        <v>89</v>
      </c>
      <c r="AA53" s="1" t="s">
        <v>119</v>
      </c>
      <c r="AB53" s="1" t="s">
        <v>86</v>
      </c>
      <c r="AC53" s="1" t="s">
        <v>466</v>
      </c>
      <c r="AD53" s="1">
        <v>71.6</v>
      </c>
      <c r="AE53" s="1">
        <v>59</v>
      </c>
      <c r="AF53" s="1" t="s">
        <v>91</v>
      </c>
      <c r="AG53" s="1">
        <v>4.6</v>
      </c>
      <c r="AH53" s="1">
        <v>36.8</v>
      </c>
      <c r="AI53" s="1" t="s">
        <v>86</v>
      </c>
      <c r="AJ53" s="1">
        <v>1.02</v>
      </c>
      <c r="AK53" s="1" t="s">
        <v>198</v>
      </c>
      <c r="AL53" s="1" t="s">
        <v>128</v>
      </c>
      <c r="AM53" s="1" t="s">
        <v>467</v>
      </c>
      <c r="AN53" s="1" t="s">
        <v>168</v>
      </c>
      <c r="AO53" s="1" t="s">
        <v>208</v>
      </c>
      <c r="AP53" s="1" t="s">
        <v>95</v>
      </c>
      <c r="AQ53" s="1">
        <v>15.4</v>
      </c>
      <c r="AR53" s="1">
        <v>51.1</v>
      </c>
      <c r="AS53" s="1">
        <v>38.5</v>
      </c>
      <c r="AT53" s="1" t="s">
        <v>96</v>
      </c>
      <c r="AU53" s="1" t="s">
        <v>86</v>
      </c>
      <c r="AV53" s="1" t="s">
        <v>86</v>
      </c>
      <c r="AW53" s="1" t="s">
        <v>86</v>
      </c>
      <c r="AX53" s="1" t="s">
        <v>86</v>
      </c>
      <c r="AY53" s="1" t="s">
        <v>86</v>
      </c>
      <c r="AZ53" s="1" t="s">
        <v>86</v>
      </c>
      <c r="BA53" s="1" t="s">
        <v>112</v>
      </c>
      <c r="BB53" s="1" t="s">
        <v>86</v>
      </c>
      <c r="BC53" s="1" t="s">
        <v>86</v>
      </c>
      <c r="BD53" s="1" t="s">
        <v>86</v>
      </c>
      <c r="BE53" s="1" t="s">
        <v>86</v>
      </c>
      <c r="BF53" s="1" t="s">
        <v>86</v>
      </c>
      <c r="BG53" s="1" t="s">
        <v>86</v>
      </c>
      <c r="BH53" s="1" t="s">
        <v>129</v>
      </c>
      <c r="BI53" s="1" t="s">
        <v>308</v>
      </c>
      <c r="BJ53" s="1" t="s">
        <v>87</v>
      </c>
      <c r="BK53" s="1">
        <v>0</v>
      </c>
      <c r="BL53" s="1">
        <v>0</v>
      </c>
      <c r="BM53" s="1" t="s">
        <v>86</v>
      </c>
      <c r="BN53" s="1" t="s">
        <v>468</v>
      </c>
      <c r="BO53" s="1" t="s">
        <v>469</v>
      </c>
      <c r="BP53" s="1" t="s">
        <v>86</v>
      </c>
      <c r="BQ53" s="1" t="s">
        <v>86</v>
      </c>
      <c r="BR53" s="1" t="s">
        <v>86</v>
      </c>
      <c r="BS53" s="1" t="s">
        <v>86</v>
      </c>
      <c r="BT53" s="1" t="s">
        <v>86</v>
      </c>
      <c r="BU53" s="1" t="s">
        <v>163</v>
      </c>
      <c r="BV53" s="1" t="s">
        <v>86</v>
      </c>
      <c r="BW53" s="1" t="s">
        <v>101</v>
      </c>
      <c r="BX53" s="1" t="s">
        <v>470</v>
      </c>
      <c r="BY53" s="1" t="s">
        <v>86</v>
      </c>
      <c r="BZ53" s="1" t="s">
        <v>471</v>
      </c>
      <c r="CA53" s="1" t="s">
        <v>472</v>
      </c>
      <c r="CB53" s="1" t="s">
        <v>221</v>
      </c>
      <c r="CC53" s="1" t="s">
        <v>86</v>
      </c>
      <c r="CD53" s="1" t="s">
        <v>86</v>
      </c>
      <c r="CE53" s="1" t="s">
        <v>86</v>
      </c>
    </row>
    <row r="54">
      <c r="A54" s="1">
        <v>52</v>
      </c>
      <c r="B54" s="1" t="s">
        <v>395</v>
      </c>
      <c r="C54" s="2">
        <f>=HYPERLINK("https://i.stonehdfile.com/stoneimage?s=86170eba-8549-4bb8-b408-ce256f9e931b","Image")</f>
      </c>
      <c r="D54" s="2">
        <f>=HYPERLINK("https://dna.stonehdfile.com/hd/viewhd.html?d=d4d576b2-b886-46de-8723-85967f44e16a","View360")</f>
      </c>
      <c r="E54" s="2">
        <f>=HYPERLINK("https://i.stonehdfile.com/Certificate?s=86170eba-8549-4bb8-b408-ce256f9e931b","GIA")</f>
      </c>
      <c r="F54" s="2">
        <f>=HYPERLINK("https://i.stonehdfile.com/DNAReport?s=86170eba-8549-4bb8-b408-ce256f9e931b","DNA")</f>
      </c>
      <c r="G54" s="2">
        <f>=HYPERLINK("https://www.gia.edu/report-check?reportno=******4342","Verify")</f>
      </c>
      <c r="H54" s="1" t="s">
        <v>473</v>
      </c>
      <c r="I54" s="1" t="s">
        <v>46</v>
      </c>
      <c r="J54" s="1">
        <v>1.51</v>
      </c>
      <c r="K54" s="1">
        <v>3</v>
      </c>
      <c r="L54" s="1">
        <v>12700</v>
      </c>
      <c r="M54" s="1">
        <v>6532</v>
      </c>
      <c r="N54" s="1">
        <v>9863.32</v>
      </c>
      <c r="O54" s="1">
        <v>-48.57</v>
      </c>
      <c r="P54" s="1">
        <v>0</v>
      </c>
      <c r="Q54" s="1" t="s">
        <v>86</v>
      </c>
      <c r="R54" s="1">
        <v>0</v>
      </c>
      <c r="S54" s="1" t="s">
        <v>86</v>
      </c>
      <c r="T54" s="1" t="s">
        <v>86</v>
      </c>
      <c r="U54" s="1" t="s">
        <v>87</v>
      </c>
      <c r="V54" s="1" t="s">
        <v>86</v>
      </c>
      <c r="W54" s="1" t="s">
        <v>474</v>
      </c>
      <c r="X54" s="1" t="s">
        <v>86</v>
      </c>
      <c r="Y54" s="1" t="s">
        <v>89</v>
      </c>
      <c r="Z54" s="1" t="s">
        <v>138</v>
      </c>
      <c r="AA54" s="1" t="s">
        <v>119</v>
      </c>
      <c r="AB54" s="1" t="s">
        <v>86</v>
      </c>
      <c r="AC54" s="1" t="s">
        <v>475</v>
      </c>
      <c r="AD54" s="1">
        <v>69</v>
      </c>
      <c r="AE54" s="1">
        <v>65</v>
      </c>
      <c r="AF54" s="1" t="s">
        <v>91</v>
      </c>
      <c r="AG54" s="1">
        <v>2.5</v>
      </c>
      <c r="AH54" s="1">
        <v>36.1</v>
      </c>
      <c r="AI54" s="1" t="s">
        <v>86</v>
      </c>
      <c r="AJ54" s="1">
        <v>1.09</v>
      </c>
      <c r="AK54" s="1" t="s">
        <v>190</v>
      </c>
      <c r="AL54" s="1" t="s">
        <v>93</v>
      </c>
      <c r="AM54" s="1" t="s">
        <v>93</v>
      </c>
      <c r="AN54" s="1" t="s">
        <v>86</v>
      </c>
      <c r="AO54" s="1" t="s">
        <v>94</v>
      </c>
      <c r="AP54" s="1" t="s">
        <v>95</v>
      </c>
      <c r="AQ54" s="1">
        <v>12.8</v>
      </c>
      <c r="AR54" s="1">
        <v>53.6</v>
      </c>
      <c r="AS54" s="1">
        <v>39.2</v>
      </c>
      <c r="AT54" s="1" t="s">
        <v>96</v>
      </c>
      <c r="AU54" s="1" t="s">
        <v>86</v>
      </c>
      <c r="AV54" s="1" t="s">
        <v>86</v>
      </c>
      <c r="AW54" s="1" t="s">
        <v>86</v>
      </c>
      <c r="AX54" s="1" t="s">
        <v>86</v>
      </c>
      <c r="AY54" s="1" t="s">
        <v>86</v>
      </c>
      <c r="AZ54" s="1" t="s">
        <v>86</v>
      </c>
      <c r="BA54" s="1" t="s">
        <v>86</v>
      </c>
      <c r="BB54" s="1" t="s">
        <v>86</v>
      </c>
      <c r="BC54" s="1" t="s">
        <v>86</v>
      </c>
      <c r="BD54" s="1" t="s">
        <v>86</v>
      </c>
      <c r="BE54" s="1" t="s">
        <v>86</v>
      </c>
      <c r="BF54" s="1" t="s">
        <v>86</v>
      </c>
      <c r="BG54" s="1" t="s">
        <v>86</v>
      </c>
      <c r="BH54" s="1" t="s">
        <v>142</v>
      </c>
      <c r="BI54" s="1" t="s">
        <v>328</v>
      </c>
      <c r="BJ54" s="1" t="s">
        <v>87</v>
      </c>
      <c r="BK54" s="1">
        <v>0</v>
      </c>
      <c r="BL54" s="1">
        <v>0</v>
      </c>
      <c r="BM54" s="1" t="s">
        <v>398</v>
      </c>
      <c r="BN54" s="1" t="s">
        <v>476</v>
      </c>
      <c r="BO54" s="1" t="s">
        <v>477</v>
      </c>
      <c r="BP54" s="1" t="s">
        <v>86</v>
      </c>
      <c r="BQ54" s="1" t="s">
        <v>86</v>
      </c>
      <c r="BR54" s="1" t="s">
        <v>86</v>
      </c>
      <c r="BS54" s="1" t="s">
        <v>86</v>
      </c>
      <c r="BT54" s="1" t="s">
        <v>86</v>
      </c>
      <c r="BU54" s="1" t="s">
        <v>163</v>
      </c>
      <c r="BV54" s="1" t="s">
        <v>86</v>
      </c>
      <c r="BW54" s="1" t="s">
        <v>101</v>
      </c>
      <c r="BX54" s="1" t="s">
        <v>478</v>
      </c>
      <c r="BY54" s="1" t="s">
        <v>86</v>
      </c>
      <c r="BZ54" s="1" t="s">
        <v>479</v>
      </c>
      <c r="CA54" s="1" t="s">
        <v>480</v>
      </c>
      <c r="CB54" s="1" t="s">
        <v>86</v>
      </c>
      <c r="CC54" s="1" t="s">
        <v>86</v>
      </c>
      <c r="CD54" s="1" t="s">
        <v>86</v>
      </c>
      <c r="CE54" s="1" t="s">
        <v>86</v>
      </c>
    </row>
    <row r="55">
      <c r="A55" s="1">
        <v>53</v>
      </c>
      <c r="B55" s="1" t="s">
        <v>395</v>
      </c>
      <c r="C55" s="2">
        <f>=HYPERLINK("https://i.stonehdfile.com/stoneimage?s=5086f403-b625-4beb-a8dd-8d610d3e7833","Image")</f>
      </c>
      <c r="D55" s="2">
        <f>=HYPERLINK("https://dna.stonehdfile.com/hd/viewhd.html?d=82900c49-cc9f-4cdc-bf57-d2899962f249","View360")</f>
      </c>
      <c r="E55" s="2">
        <f>=HYPERLINK("https://i.stonehdfile.com/Certificate?s=5086f403-b625-4beb-a8dd-8d610d3e7833","GIA")</f>
      </c>
      <c r="F55" s="2">
        <f>=HYPERLINK("https://i.stonehdfile.com/DNAReport?s=5086f403-b625-4beb-a8dd-8d610d3e7833","DNA")</f>
      </c>
      <c r="G55" s="2">
        <f>=HYPERLINK("https://www.gia.edu/report-check?reportno=******0973","Verify")</f>
      </c>
      <c r="H55" s="1" t="s">
        <v>481</v>
      </c>
      <c r="I55" s="1" t="s">
        <v>46</v>
      </c>
      <c r="J55" s="1">
        <v>1.5</v>
      </c>
      <c r="K55" s="1">
        <v>3</v>
      </c>
      <c r="L55" s="1">
        <v>12700</v>
      </c>
      <c r="M55" s="1">
        <v>6969</v>
      </c>
      <c r="N55" s="1">
        <v>10453.5</v>
      </c>
      <c r="O55" s="1">
        <v>-45.13</v>
      </c>
      <c r="P55" s="1">
        <v>0</v>
      </c>
      <c r="Q55" s="1" t="s">
        <v>86</v>
      </c>
      <c r="R55" s="1">
        <v>0</v>
      </c>
      <c r="S55" s="1" t="s">
        <v>86</v>
      </c>
      <c r="T55" s="1" t="s">
        <v>86</v>
      </c>
      <c r="U55" s="1" t="s">
        <v>482</v>
      </c>
      <c r="V55" s="1" t="s">
        <v>86</v>
      </c>
      <c r="W55" s="1" t="s">
        <v>88</v>
      </c>
      <c r="X55" s="1" t="s">
        <v>86</v>
      </c>
      <c r="Y55" s="1" t="s">
        <v>89</v>
      </c>
      <c r="Z55" s="1" t="s">
        <v>138</v>
      </c>
      <c r="AA55" s="1" t="s">
        <v>87</v>
      </c>
      <c r="AB55" s="1" t="s">
        <v>86</v>
      </c>
      <c r="AC55" s="1" t="s">
        <v>483</v>
      </c>
      <c r="AD55" s="1">
        <v>66.4</v>
      </c>
      <c r="AE55" s="1">
        <v>60</v>
      </c>
      <c r="AF55" s="1" t="s">
        <v>91</v>
      </c>
      <c r="AG55" s="1">
        <v>2.8</v>
      </c>
      <c r="AH55" s="1">
        <v>35.2</v>
      </c>
      <c r="AI55" s="1" t="s">
        <v>86</v>
      </c>
      <c r="AJ55" s="1">
        <v>1.22</v>
      </c>
      <c r="AK55" s="1" t="s">
        <v>190</v>
      </c>
      <c r="AL55" s="1" t="s">
        <v>93</v>
      </c>
      <c r="AM55" s="1" t="s">
        <v>93</v>
      </c>
      <c r="AN55" s="1" t="s">
        <v>86</v>
      </c>
      <c r="AO55" s="1" t="s">
        <v>94</v>
      </c>
      <c r="AP55" s="1" t="s">
        <v>95</v>
      </c>
      <c r="AQ55" s="1">
        <v>14.1</v>
      </c>
      <c r="AR55" s="1">
        <v>49.1</v>
      </c>
      <c r="AS55" s="1">
        <v>38</v>
      </c>
      <c r="AT55" s="1" t="s">
        <v>96</v>
      </c>
      <c r="AU55" s="1" t="s">
        <v>86</v>
      </c>
      <c r="AV55" s="1" t="s">
        <v>86</v>
      </c>
      <c r="AW55" s="1" t="s">
        <v>86</v>
      </c>
      <c r="AX55" s="1" t="s">
        <v>86</v>
      </c>
      <c r="AY55" s="1" t="s">
        <v>86</v>
      </c>
      <c r="AZ55" s="1" t="s">
        <v>86</v>
      </c>
      <c r="BA55" s="1" t="s">
        <v>86</v>
      </c>
      <c r="BB55" s="1" t="s">
        <v>86</v>
      </c>
      <c r="BC55" s="1" t="s">
        <v>86</v>
      </c>
      <c r="BD55" s="1" t="s">
        <v>86</v>
      </c>
      <c r="BE55" s="1" t="s">
        <v>86</v>
      </c>
      <c r="BF55" s="1" t="s">
        <v>86</v>
      </c>
      <c r="BG55" s="1" t="s">
        <v>86</v>
      </c>
      <c r="BH55" s="1" t="s">
        <v>182</v>
      </c>
      <c r="BI55" s="1" t="s">
        <v>322</v>
      </c>
      <c r="BJ55" s="1" t="s">
        <v>87</v>
      </c>
      <c r="BK55" s="1">
        <v>0</v>
      </c>
      <c r="BL55" s="1">
        <v>0</v>
      </c>
      <c r="BM55" s="1" t="s">
        <v>398</v>
      </c>
      <c r="BN55" s="1" t="s">
        <v>484</v>
      </c>
      <c r="BO55" s="1" t="s">
        <v>485</v>
      </c>
      <c r="BP55" s="1" t="s">
        <v>86</v>
      </c>
      <c r="BQ55" s="1" t="s">
        <v>86</v>
      </c>
      <c r="BR55" s="1" t="s">
        <v>86</v>
      </c>
      <c r="BS55" s="1" t="s">
        <v>86</v>
      </c>
      <c r="BT55" s="1" t="s">
        <v>86</v>
      </c>
      <c r="BU55" s="1" t="s">
        <v>163</v>
      </c>
      <c r="BV55" s="1" t="s">
        <v>86</v>
      </c>
      <c r="BW55" s="1" t="s">
        <v>101</v>
      </c>
      <c r="BX55" s="1" t="s">
        <v>401</v>
      </c>
      <c r="BY55" s="1" t="s">
        <v>86</v>
      </c>
      <c r="BZ55" s="1" t="s">
        <v>486</v>
      </c>
      <c r="CA55" s="1" t="s">
        <v>487</v>
      </c>
      <c r="CB55" s="1" t="s">
        <v>156</v>
      </c>
      <c r="CC55" s="1" t="s">
        <v>86</v>
      </c>
      <c r="CD55" s="1" t="s">
        <v>86</v>
      </c>
      <c r="CE55" s="1" t="s">
        <v>86</v>
      </c>
    </row>
    <row r="56">
      <c r="A56" s="3">
        <v>54</v>
      </c>
      <c r="B56" s="3" t="s">
        <v>395</v>
      </c>
      <c r="C56" s="2">
        <f>=HYPERLINK("https://i.stonehdfile.com/stoneimage?s=f6abbd4a-6c6e-4f56-aa26-4532ddacaefd","Image")</f>
      </c>
      <c r="D56" s="2">
        <f>=HYPERLINK("https://dna.stonehdfile.com/hd/viewhd.html?d=4daddbb4-1c8a-45fe-baf2-a5b12e00551e","View360")</f>
      </c>
      <c r="E56" s="2">
        <f>=HYPERLINK("https://i.stonehdfile.com/Certificate?s=f6abbd4a-6c6e-4f56-aa26-4532ddacaefd","GIA")</f>
      </c>
      <c r="F56" s="2">
        <f>=HYPERLINK("https://i.stonehdfile.com/DNAReport?s=f6abbd4a-6c6e-4f56-aa26-4532ddacaefd","DNA")</f>
      </c>
      <c r="G56" s="2">
        <f>=HYPERLINK("https://www.gia.edu/report-check?reportno=******9826","Verify")</f>
      </c>
      <c r="H56" s="3" t="s">
        <v>488</v>
      </c>
      <c r="I56" s="3" t="s">
        <v>46</v>
      </c>
      <c r="J56" s="3">
        <v>1.51</v>
      </c>
      <c r="K56" s="3">
        <v>5</v>
      </c>
      <c r="L56" s="3">
        <v>12700</v>
      </c>
      <c r="M56" s="3">
        <v>7840</v>
      </c>
      <c r="N56" s="3">
        <v>11838.4</v>
      </c>
      <c r="O56" s="3">
        <v>-38.27</v>
      </c>
      <c r="P56" s="3">
        <v>0</v>
      </c>
      <c r="Q56" s="3" t="s">
        <v>86</v>
      </c>
      <c r="R56" s="3">
        <v>0</v>
      </c>
      <c r="S56" s="3" t="s">
        <v>86</v>
      </c>
      <c r="T56" s="3" t="s">
        <v>86</v>
      </c>
      <c r="U56" s="3" t="s">
        <v>87</v>
      </c>
      <c r="V56" s="3" t="s">
        <v>86</v>
      </c>
      <c r="W56" s="3" t="s">
        <v>88</v>
      </c>
      <c r="X56" s="3" t="s">
        <v>86</v>
      </c>
      <c r="Y56" s="3" t="s">
        <v>89</v>
      </c>
      <c r="Z56" s="3" t="s">
        <v>89</v>
      </c>
      <c r="AA56" s="3" t="s">
        <v>119</v>
      </c>
      <c r="AB56" s="3" t="s">
        <v>86</v>
      </c>
      <c r="AC56" s="3" t="s">
        <v>489</v>
      </c>
      <c r="AD56" s="3">
        <v>67.1</v>
      </c>
      <c r="AE56" s="3">
        <v>64</v>
      </c>
      <c r="AF56" s="3" t="s">
        <v>91</v>
      </c>
      <c r="AG56" s="3">
        <v>2.8</v>
      </c>
      <c r="AH56" s="3">
        <v>34.3</v>
      </c>
      <c r="AI56" s="3" t="s">
        <v>86</v>
      </c>
      <c r="AJ56" s="3">
        <v>1.26</v>
      </c>
      <c r="AK56" s="3" t="s">
        <v>190</v>
      </c>
      <c r="AL56" s="3" t="s">
        <v>93</v>
      </c>
      <c r="AM56" s="3" t="s">
        <v>140</v>
      </c>
      <c r="AN56" s="3" t="s">
        <v>86</v>
      </c>
      <c r="AO56" s="3" t="s">
        <v>94</v>
      </c>
      <c r="AP56" s="3" t="s">
        <v>95</v>
      </c>
      <c r="AQ56" s="3">
        <v>12.5</v>
      </c>
      <c r="AR56" s="3">
        <v>51.6</v>
      </c>
      <c r="AS56" s="3">
        <v>38</v>
      </c>
      <c r="AT56" s="3" t="s">
        <v>96</v>
      </c>
      <c r="AU56" s="3" t="s">
        <v>86</v>
      </c>
      <c r="AV56" s="3" t="s">
        <v>86</v>
      </c>
      <c r="AW56" s="3" t="s">
        <v>86</v>
      </c>
      <c r="AX56" s="3" t="s">
        <v>86</v>
      </c>
      <c r="AY56" s="3" t="s">
        <v>86</v>
      </c>
      <c r="AZ56" s="3" t="s">
        <v>86</v>
      </c>
      <c r="BA56" s="3" t="s">
        <v>86</v>
      </c>
      <c r="BB56" s="3" t="s">
        <v>86</v>
      </c>
      <c r="BC56" s="3" t="s">
        <v>86</v>
      </c>
      <c r="BD56" s="3" t="s">
        <v>86</v>
      </c>
      <c r="BE56" s="3" t="s">
        <v>86</v>
      </c>
      <c r="BF56" s="3" t="s">
        <v>86</v>
      </c>
      <c r="BG56" s="3" t="s">
        <v>86</v>
      </c>
      <c r="BH56" s="3" t="s">
        <v>182</v>
      </c>
      <c r="BI56" s="3" t="s">
        <v>322</v>
      </c>
      <c r="BJ56" s="3" t="s">
        <v>87</v>
      </c>
      <c r="BK56" s="3">
        <v>0</v>
      </c>
      <c r="BL56" s="3">
        <v>0</v>
      </c>
      <c r="BM56" s="3" t="s">
        <v>398</v>
      </c>
      <c r="BN56" s="3" t="s">
        <v>490</v>
      </c>
      <c r="BO56" s="3" t="s">
        <v>491</v>
      </c>
      <c r="BP56" s="3" t="s">
        <v>86</v>
      </c>
      <c r="BQ56" s="3" t="s">
        <v>86</v>
      </c>
      <c r="BR56" s="3" t="s">
        <v>86</v>
      </c>
      <c r="BS56" s="3" t="s">
        <v>86</v>
      </c>
      <c r="BT56" s="3" t="s">
        <v>86</v>
      </c>
      <c r="BU56" s="3" t="s">
        <v>163</v>
      </c>
      <c r="BV56" s="3" t="s">
        <v>86</v>
      </c>
      <c r="BW56" s="3" t="s">
        <v>101</v>
      </c>
      <c r="BX56" s="3" t="s">
        <v>423</v>
      </c>
      <c r="BY56" s="3" t="s">
        <v>86</v>
      </c>
      <c r="BZ56" s="3" t="s">
        <v>492</v>
      </c>
      <c r="CA56" s="3" t="s">
        <v>103</v>
      </c>
      <c r="CB56" s="3" t="s">
        <v>86</v>
      </c>
      <c r="CC56" s="3" t="s">
        <v>86</v>
      </c>
      <c r="CD56" s="3" t="s">
        <v>86</v>
      </c>
      <c r="CE56" s="3" t="s">
        <v>86</v>
      </c>
    </row>
    <row r="57">
      <c r="A57" s="1">
        <v>55</v>
      </c>
      <c r="B57" s="1" t="s">
        <v>395</v>
      </c>
      <c r="C57" s="2">
        <f>=HYPERLINK("https://i.stonehdfile.com/stoneimage?s=2b361738-d8f0-4b41-ba51-26dbaba911fd","Image")</f>
      </c>
      <c r="D57" s="2">
        <f>=HYPERLINK("https://dna.stonehdfile.com/hd/viewhd.html?d=b813582c-e34e-48f0-9268-cb2988cc5f62","View360")</f>
      </c>
      <c r="E57" s="2">
        <f>=HYPERLINK("https://i.stonehdfile.com/Certificate?s=2b361738-d8f0-4b41-ba51-26dbaba911fd","GIA")</f>
      </c>
      <c r="F57" s="2">
        <f>=HYPERLINK("https://i.stonehdfile.com/DNAReport?s=2b361738-d8f0-4b41-ba51-26dbaba911fd","DNA")</f>
      </c>
      <c r="G57" s="2">
        <f>=HYPERLINK("https://www.gia.edu/report-check?reportno=******7681","Verify")</f>
      </c>
      <c r="H57" s="1" t="s">
        <v>493</v>
      </c>
      <c r="I57" s="1" t="s">
        <v>46</v>
      </c>
      <c r="J57" s="1">
        <v>1.51</v>
      </c>
      <c r="K57" s="1">
        <v>6</v>
      </c>
      <c r="L57" s="1">
        <v>12200</v>
      </c>
      <c r="M57" s="1">
        <v>7293</v>
      </c>
      <c r="N57" s="1">
        <v>11012.43</v>
      </c>
      <c r="O57" s="1">
        <v>-40.22</v>
      </c>
      <c r="P57" s="1">
        <v>0</v>
      </c>
      <c r="Q57" s="1" t="s">
        <v>86</v>
      </c>
      <c r="R57" s="1">
        <v>0</v>
      </c>
      <c r="S57" s="1" t="s">
        <v>86</v>
      </c>
      <c r="T57" s="1" t="s">
        <v>86</v>
      </c>
      <c r="U57" s="1" t="s">
        <v>87</v>
      </c>
      <c r="V57" s="1" t="s">
        <v>86</v>
      </c>
      <c r="W57" s="1" t="s">
        <v>107</v>
      </c>
      <c r="X57" s="1" t="s">
        <v>86</v>
      </c>
      <c r="Y57" s="1" t="s">
        <v>89</v>
      </c>
      <c r="Z57" s="1" t="s">
        <v>89</v>
      </c>
      <c r="AA57" s="1" t="s">
        <v>119</v>
      </c>
      <c r="AB57" s="1" t="s">
        <v>86</v>
      </c>
      <c r="AC57" s="1" t="s">
        <v>494</v>
      </c>
      <c r="AD57" s="1">
        <v>66.9</v>
      </c>
      <c r="AE57" s="1">
        <v>62</v>
      </c>
      <c r="AF57" s="1" t="s">
        <v>91</v>
      </c>
      <c r="AG57" s="1">
        <v>3</v>
      </c>
      <c r="AH57" s="1">
        <v>35.1</v>
      </c>
      <c r="AI57" s="1" t="s">
        <v>86</v>
      </c>
      <c r="AJ57" s="1">
        <v>1.18</v>
      </c>
      <c r="AK57" s="1" t="s">
        <v>190</v>
      </c>
      <c r="AL57" s="1" t="s">
        <v>140</v>
      </c>
      <c r="AM57" s="1" t="s">
        <v>93</v>
      </c>
      <c r="AN57" s="1" t="s">
        <v>86</v>
      </c>
      <c r="AO57" s="1" t="s">
        <v>94</v>
      </c>
      <c r="AP57" s="1" t="s">
        <v>95</v>
      </c>
      <c r="AQ57" s="1">
        <v>13.5</v>
      </c>
      <c r="AR57" s="1">
        <v>50.4</v>
      </c>
      <c r="AS57" s="1">
        <v>38</v>
      </c>
      <c r="AT57" s="1" t="s">
        <v>96</v>
      </c>
      <c r="AU57" s="1" t="s">
        <v>86</v>
      </c>
      <c r="AV57" s="1" t="s">
        <v>86</v>
      </c>
      <c r="AW57" s="1" t="s">
        <v>86</v>
      </c>
      <c r="AX57" s="1" t="s">
        <v>86</v>
      </c>
      <c r="AY57" s="1" t="s">
        <v>86</v>
      </c>
      <c r="AZ57" s="1" t="s">
        <v>86</v>
      </c>
      <c r="BA57" s="1" t="s">
        <v>86</v>
      </c>
      <c r="BB57" s="1" t="s">
        <v>86</v>
      </c>
      <c r="BC57" s="1" t="s">
        <v>86</v>
      </c>
      <c r="BD57" s="1" t="s">
        <v>86</v>
      </c>
      <c r="BE57" s="1" t="s">
        <v>86</v>
      </c>
      <c r="BF57" s="1" t="s">
        <v>86</v>
      </c>
      <c r="BG57" s="1" t="s">
        <v>86</v>
      </c>
      <c r="BH57" s="1" t="s">
        <v>182</v>
      </c>
      <c r="BI57" s="1" t="s">
        <v>315</v>
      </c>
      <c r="BJ57" s="1" t="s">
        <v>87</v>
      </c>
      <c r="BK57" s="1">
        <v>0</v>
      </c>
      <c r="BL57" s="1">
        <v>0</v>
      </c>
      <c r="BM57" s="1" t="s">
        <v>398</v>
      </c>
      <c r="BN57" s="1" t="s">
        <v>495</v>
      </c>
      <c r="BO57" s="1" t="s">
        <v>496</v>
      </c>
      <c r="BP57" s="1" t="s">
        <v>86</v>
      </c>
      <c r="BQ57" s="1" t="s">
        <v>86</v>
      </c>
      <c r="BR57" s="1" t="s">
        <v>86</v>
      </c>
      <c r="BS57" s="1" t="s">
        <v>86</v>
      </c>
      <c r="BT57" s="1" t="s">
        <v>86</v>
      </c>
      <c r="BU57" s="1" t="s">
        <v>163</v>
      </c>
      <c r="BV57" s="1" t="s">
        <v>86</v>
      </c>
      <c r="BW57" s="1" t="s">
        <v>101</v>
      </c>
      <c r="BX57" s="1" t="s">
        <v>414</v>
      </c>
      <c r="BY57" s="1" t="s">
        <v>86</v>
      </c>
      <c r="BZ57" s="1" t="s">
        <v>497</v>
      </c>
      <c r="CA57" s="1" t="s">
        <v>261</v>
      </c>
      <c r="CB57" s="1" t="s">
        <v>156</v>
      </c>
      <c r="CC57" s="1" t="s">
        <v>86</v>
      </c>
      <c r="CD57" s="1" t="s">
        <v>86</v>
      </c>
      <c r="CE57" s="1" t="s">
        <v>86</v>
      </c>
    </row>
    <row r="58">
      <c r="A58" s="1">
        <v>56</v>
      </c>
      <c r="B58" s="1" t="s">
        <v>395</v>
      </c>
      <c r="C58" s="2">
        <f>=HYPERLINK("https://i.stonehdfile.com/stoneimage?s=d9da3e91-6790-4cfa-83e6-431ce7e13bee","Image")</f>
      </c>
      <c r="D58" s="2">
        <f>=HYPERLINK("https://dna.stonehdfile.com/hd/viewhd.html?d=310d42df-bac0-4a38-a413-c60e8f84cbbe","View360")</f>
      </c>
      <c r="E58" s="2">
        <f>=HYPERLINK("https://i.stonehdfile.com/Certificate?s=d9da3e91-6790-4cfa-83e6-431ce7e13bee","GIA")</f>
      </c>
      <c r="F58" s="2">
        <f>=HYPERLINK("https://i.stonehdfile.com/DNAReport?s=d9da3e91-6790-4cfa-83e6-431ce7e13bee","DNA")</f>
      </c>
      <c r="G58" s="2">
        <f>=HYPERLINK("https://www.gia.edu/report-check?reportno=******2343","Verify")</f>
      </c>
      <c r="H58" s="1" t="s">
        <v>498</v>
      </c>
      <c r="I58" s="1" t="s">
        <v>46</v>
      </c>
      <c r="J58" s="1">
        <v>1.5</v>
      </c>
      <c r="K58" s="1">
        <v>3</v>
      </c>
      <c r="L58" s="1">
        <v>12200</v>
      </c>
      <c r="M58" s="1">
        <v>5875</v>
      </c>
      <c r="N58" s="1">
        <v>8812.5</v>
      </c>
      <c r="O58" s="1">
        <v>-51.84</v>
      </c>
      <c r="P58" s="1">
        <v>0</v>
      </c>
      <c r="Q58" s="1" t="s">
        <v>86</v>
      </c>
      <c r="R58" s="1">
        <v>0</v>
      </c>
      <c r="S58" s="1" t="s">
        <v>86</v>
      </c>
      <c r="T58" s="1" t="s">
        <v>86</v>
      </c>
      <c r="U58" s="1" t="s">
        <v>87</v>
      </c>
      <c r="V58" s="1" t="s">
        <v>86</v>
      </c>
      <c r="W58" s="1" t="s">
        <v>149</v>
      </c>
      <c r="X58" s="1" t="s">
        <v>86</v>
      </c>
      <c r="Y58" s="1" t="s">
        <v>89</v>
      </c>
      <c r="Z58" s="1" t="s">
        <v>89</v>
      </c>
      <c r="AA58" s="1" t="s">
        <v>119</v>
      </c>
      <c r="AB58" s="1" t="s">
        <v>86</v>
      </c>
      <c r="AC58" s="1" t="s">
        <v>499</v>
      </c>
      <c r="AD58" s="1">
        <v>69.9</v>
      </c>
      <c r="AE58" s="1">
        <v>63</v>
      </c>
      <c r="AF58" s="1" t="s">
        <v>91</v>
      </c>
      <c r="AG58" s="1">
        <v>3.5</v>
      </c>
      <c r="AH58" s="1">
        <v>36.6</v>
      </c>
      <c r="AI58" s="1" t="s">
        <v>86</v>
      </c>
      <c r="AJ58" s="1">
        <v>1</v>
      </c>
      <c r="AK58" s="1" t="s">
        <v>111</v>
      </c>
      <c r="AL58" s="1" t="s">
        <v>93</v>
      </c>
      <c r="AM58" s="1" t="s">
        <v>140</v>
      </c>
      <c r="AN58" s="1" t="s">
        <v>86</v>
      </c>
      <c r="AO58" s="1" t="s">
        <v>94</v>
      </c>
      <c r="AP58" s="1" t="s">
        <v>95</v>
      </c>
      <c r="AQ58" s="1">
        <v>13.7</v>
      </c>
      <c r="AR58" s="1">
        <v>52.4</v>
      </c>
      <c r="AS58" s="1">
        <v>40.3</v>
      </c>
      <c r="AT58" s="1" t="s">
        <v>96</v>
      </c>
      <c r="AU58" s="1" t="s">
        <v>86</v>
      </c>
      <c r="AV58" s="1" t="s">
        <v>86</v>
      </c>
      <c r="AW58" s="1" t="s">
        <v>86</v>
      </c>
      <c r="AX58" s="1" t="s">
        <v>86</v>
      </c>
      <c r="AY58" s="1" t="s">
        <v>86</v>
      </c>
      <c r="AZ58" s="1" t="s">
        <v>86</v>
      </c>
      <c r="BA58" s="1" t="s">
        <v>86</v>
      </c>
      <c r="BB58" s="1" t="s">
        <v>86</v>
      </c>
      <c r="BC58" s="1" t="s">
        <v>86</v>
      </c>
      <c r="BD58" s="1" t="s">
        <v>86</v>
      </c>
      <c r="BE58" s="1" t="s">
        <v>86</v>
      </c>
      <c r="BF58" s="1" t="s">
        <v>86</v>
      </c>
      <c r="BG58" s="1" t="s">
        <v>172</v>
      </c>
      <c r="BH58" s="1" t="s">
        <v>97</v>
      </c>
      <c r="BI58" s="1" t="s">
        <v>183</v>
      </c>
      <c r="BJ58" s="1" t="s">
        <v>87</v>
      </c>
      <c r="BK58" s="1">
        <v>0</v>
      </c>
      <c r="BL58" s="1">
        <v>0</v>
      </c>
      <c r="BM58" s="1" t="s">
        <v>398</v>
      </c>
      <c r="BN58" s="1" t="s">
        <v>500</v>
      </c>
      <c r="BO58" s="1" t="s">
        <v>501</v>
      </c>
      <c r="BP58" s="1" t="s">
        <v>86</v>
      </c>
      <c r="BQ58" s="1" t="s">
        <v>86</v>
      </c>
      <c r="BR58" s="1" t="s">
        <v>86</v>
      </c>
      <c r="BS58" s="1" t="s">
        <v>86</v>
      </c>
      <c r="BT58" s="1" t="s">
        <v>86</v>
      </c>
      <c r="BU58" s="1" t="s">
        <v>163</v>
      </c>
      <c r="BV58" s="1" t="s">
        <v>86</v>
      </c>
      <c r="BW58" s="1" t="s">
        <v>101</v>
      </c>
      <c r="BX58" s="1" t="s">
        <v>401</v>
      </c>
      <c r="BY58" s="1" t="s">
        <v>86</v>
      </c>
      <c r="BZ58" s="1" t="s">
        <v>502</v>
      </c>
      <c r="CA58" s="1" t="s">
        <v>297</v>
      </c>
      <c r="CB58" s="1" t="s">
        <v>179</v>
      </c>
      <c r="CC58" s="1" t="s">
        <v>86</v>
      </c>
      <c r="CD58" s="1" t="s">
        <v>86</v>
      </c>
      <c r="CE58" s="1" t="s">
        <v>86</v>
      </c>
    </row>
    <row r="59">
      <c r="A59" s="1">
        <v>57</v>
      </c>
      <c r="B59" s="1" t="s">
        <v>395</v>
      </c>
      <c r="C59" s="2">
        <f>=HYPERLINK("https://i.stonehdfile.com/stoneimage?s=6f78d890-a7ba-4c24-b8ef-77493f1a97b8","Image")</f>
      </c>
      <c r="D59" s="2">
        <f>=HYPERLINK("https://dna.stonehdfile.com/hd/viewhd.html?d=7d7571e7-8d56-4663-b377-24cf4c52e98c","View360")</f>
      </c>
      <c r="E59" s="2">
        <f>=HYPERLINK("https://i.stonehdfile.com/Certificate?s=6f78d890-a7ba-4c24-b8ef-77493f1a97b8","GIA")</f>
      </c>
      <c r="F59" s="2">
        <f>=HYPERLINK("https://i.stonehdfile.com/DNAReport?s=6f78d890-a7ba-4c24-b8ef-77493f1a97b8","DNA")</f>
      </c>
      <c r="G59" s="2">
        <f>=HYPERLINK("https://www.gia.edu/report-check?reportno=******7401","Verify")</f>
      </c>
      <c r="H59" s="1" t="s">
        <v>503</v>
      </c>
      <c r="I59" s="1" t="s">
        <v>46</v>
      </c>
      <c r="J59" s="1">
        <v>1.5</v>
      </c>
      <c r="K59" s="1">
        <v>2</v>
      </c>
      <c r="L59" s="1">
        <v>12200</v>
      </c>
      <c r="M59" s="1">
        <v>6074</v>
      </c>
      <c r="N59" s="1">
        <v>9111</v>
      </c>
      <c r="O59" s="1">
        <v>-50.21</v>
      </c>
      <c r="P59" s="1">
        <v>0</v>
      </c>
      <c r="Q59" s="1" t="s">
        <v>86</v>
      </c>
      <c r="R59" s="1">
        <v>0</v>
      </c>
      <c r="S59" s="1" t="s">
        <v>86</v>
      </c>
      <c r="T59" s="1" t="s">
        <v>86</v>
      </c>
      <c r="U59" s="1" t="s">
        <v>87</v>
      </c>
      <c r="V59" s="1" t="s">
        <v>86</v>
      </c>
      <c r="W59" s="1" t="s">
        <v>149</v>
      </c>
      <c r="X59" s="1" t="s">
        <v>86</v>
      </c>
      <c r="Y59" s="1" t="s">
        <v>89</v>
      </c>
      <c r="Z59" s="1" t="s">
        <v>89</v>
      </c>
      <c r="AA59" s="1" t="s">
        <v>119</v>
      </c>
      <c r="AB59" s="1" t="s">
        <v>86</v>
      </c>
      <c r="AC59" s="1" t="s">
        <v>504</v>
      </c>
      <c r="AD59" s="1">
        <v>69</v>
      </c>
      <c r="AE59" s="1">
        <v>61</v>
      </c>
      <c r="AF59" s="1" t="s">
        <v>91</v>
      </c>
      <c r="AG59" s="1">
        <v>3.3</v>
      </c>
      <c r="AH59" s="1">
        <v>35.6</v>
      </c>
      <c r="AI59" s="1" t="s">
        <v>86</v>
      </c>
      <c r="AJ59" s="1">
        <v>1.05</v>
      </c>
      <c r="AK59" s="1" t="s">
        <v>111</v>
      </c>
      <c r="AL59" s="1" t="s">
        <v>93</v>
      </c>
      <c r="AM59" s="1" t="s">
        <v>128</v>
      </c>
      <c r="AN59" s="1" t="s">
        <v>86</v>
      </c>
      <c r="AO59" s="1" t="s">
        <v>94</v>
      </c>
      <c r="AP59" s="1" t="s">
        <v>95</v>
      </c>
      <c r="AQ59" s="1">
        <v>14.2</v>
      </c>
      <c r="AR59" s="1">
        <v>51.4</v>
      </c>
      <c r="AS59" s="1">
        <v>38.4</v>
      </c>
      <c r="AT59" s="1" t="s">
        <v>96</v>
      </c>
      <c r="AU59" s="1" t="s">
        <v>86</v>
      </c>
      <c r="AV59" s="1" t="s">
        <v>86</v>
      </c>
      <c r="AW59" s="1" t="s">
        <v>86</v>
      </c>
      <c r="AX59" s="1" t="s">
        <v>86</v>
      </c>
      <c r="AY59" s="1" t="s">
        <v>86</v>
      </c>
      <c r="AZ59" s="1" t="s">
        <v>86</v>
      </c>
      <c r="BA59" s="1" t="s">
        <v>86</v>
      </c>
      <c r="BB59" s="1" t="s">
        <v>86</v>
      </c>
      <c r="BC59" s="1" t="s">
        <v>86</v>
      </c>
      <c r="BD59" s="1" t="s">
        <v>86</v>
      </c>
      <c r="BE59" s="1" t="s">
        <v>86</v>
      </c>
      <c r="BF59" s="1" t="s">
        <v>86</v>
      </c>
      <c r="BG59" s="1" t="s">
        <v>86</v>
      </c>
      <c r="BH59" s="1" t="s">
        <v>129</v>
      </c>
      <c r="BI59" s="1" t="s">
        <v>232</v>
      </c>
      <c r="BJ59" s="1" t="s">
        <v>87</v>
      </c>
      <c r="BK59" s="1">
        <v>0</v>
      </c>
      <c r="BL59" s="1">
        <v>0</v>
      </c>
      <c r="BM59" s="1" t="s">
        <v>398</v>
      </c>
      <c r="BN59" s="1" t="s">
        <v>505</v>
      </c>
      <c r="BO59" s="1" t="s">
        <v>506</v>
      </c>
      <c r="BP59" s="1" t="s">
        <v>86</v>
      </c>
      <c r="BQ59" s="1" t="s">
        <v>86</v>
      </c>
      <c r="BR59" s="1" t="s">
        <v>86</v>
      </c>
      <c r="BS59" s="1" t="s">
        <v>86</v>
      </c>
      <c r="BT59" s="1" t="s">
        <v>86</v>
      </c>
      <c r="BU59" s="1" t="s">
        <v>163</v>
      </c>
      <c r="BV59" s="1" t="s">
        <v>86</v>
      </c>
      <c r="BW59" s="1" t="s">
        <v>101</v>
      </c>
      <c r="BX59" s="1" t="s">
        <v>439</v>
      </c>
      <c r="BY59" s="1" t="s">
        <v>86</v>
      </c>
      <c r="BZ59" s="1" t="s">
        <v>507</v>
      </c>
      <c r="CA59" s="1" t="s">
        <v>165</v>
      </c>
      <c r="CB59" s="1" t="s">
        <v>269</v>
      </c>
      <c r="CC59" s="1" t="s">
        <v>86</v>
      </c>
      <c r="CD59" s="1" t="s">
        <v>86</v>
      </c>
      <c r="CE59" s="1" t="s">
        <v>86</v>
      </c>
    </row>
    <row r="60">
      <c r="A60" s="1">
        <v>58</v>
      </c>
      <c r="B60" s="1" t="s">
        <v>395</v>
      </c>
      <c r="C60" s="2">
        <f>=HYPERLINK("https://i.stonehdfile.com/stoneimage?s=1c28492a-985d-46c4-b842-9b25605dd51d","Image")</f>
      </c>
      <c r="D60" s="2">
        <f>=HYPERLINK("https://dna.stonehdfile.com/hd/viewhd.html?d=86e4a640-6f11-4068-a508-ce778a7a1989","View360")</f>
      </c>
      <c r="E60" s="2">
        <f>=HYPERLINK("https://i.stonehdfile.com/Certificate?s=1c28492a-985d-46c4-b842-9b25605dd51d","GIA")</f>
      </c>
      <c r="F60" s="2">
        <f>=HYPERLINK("https://i.stonehdfile.com/DNAReport?s=1c28492a-985d-46c4-b842-9b25605dd51d","DNA")</f>
      </c>
      <c r="G60" s="2">
        <f>=HYPERLINK("https://www.gia.edu/report-check?reportno=******2234","Verify")</f>
      </c>
      <c r="H60" s="1" t="s">
        <v>508</v>
      </c>
      <c r="I60" s="1" t="s">
        <v>46</v>
      </c>
      <c r="J60" s="1">
        <v>1.53</v>
      </c>
      <c r="K60" s="1">
        <v>2</v>
      </c>
      <c r="L60" s="1">
        <v>12200</v>
      </c>
      <c r="M60" s="1">
        <v>7193</v>
      </c>
      <c r="N60" s="1">
        <v>11005.29</v>
      </c>
      <c r="O60" s="1">
        <v>-41.04</v>
      </c>
      <c r="P60" s="1">
        <v>0</v>
      </c>
      <c r="Q60" s="1" t="s">
        <v>86</v>
      </c>
      <c r="R60" s="1">
        <v>0</v>
      </c>
      <c r="S60" s="1" t="s">
        <v>86</v>
      </c>
      <c r="T60" s="1" t="s">
        <v>86</v>
      </c>
      <c r="U60" s="1" t="s">
        <v>87</v>
      </c>
      <c r="V60" s="1" t="s">
        <v>86</v>
      </c>
      <c r="W60" s="1" t="s">
        <v>149</v>
      </c>
      <c r="X60" s="1" t="s">
        <v>86</v>
      </c>
      <c r="Y60" s="1" t="s">
        <v>89</v>
      </c>
      <c r="Z60" s="1" t="s">
        <v>89</v>
      </c>
      <c r="AA60" s="1" t="s">
        <v>119</v>
      </c>
      <c r="AB60" s="1" t="s">
        <v>86</v>
      </c>
      <c r="AC60" s="1" t="s">
        <v>509</v>
      </c>
      <c r="AD60" s="1">
        <v>67.2</v>
      </c>
      <c r="AE60" s="1">
        <v>63</v>
      </c>
      <c r="AF60" s="1" t="s">
        <v>91</v>
      </c>
      <c r="AG60" s="1">
        <v>2.5</v>
      </c>
      <c r="AH60" s="1">
        <v>35.1</v>
      </c>
      <c r="AI60" s="1" t="s">
        <v>86</v>
      </c>
      <c r="AJ60" s="1">
        <v>1.24</v>
      </c>
      <c r="AK60" s="1" t="s">
        <v>111</v>
      </c>
      <c r="AL60" s="1" t="s">
        <v>93</v>
      </c>
      <c r="AM60" s="1" t="s">
        <v>140</v>
      </c>
      <c r="AN60" s="1" t="s">
        <v>86</v>
      </c>
      <c r="AO60" s="1" t="s">
        <v>94</v>
      </c>
      <c r="AP60" s="1" t="s">
        <v>95</v>
      </c>
      <c r="AQ60" s="1">
        <v>12.9</v>
      </c>
      <c r="AR60" s="1">
        <v>51.5</v>
      </c>
      <c r="AS60" s="1">
        <v>38.2</v>
      </c>
      <c r="AT60" s="1" t="s">
        <v>96</v>
      </c>
      <c r="AU60" s="1" t="s">
        <v>86</v>
      </c>
      <c r="AV60" s="1" t="s">
        <v>86</v>
      </c>
      <c r="AW60" s="1" t="s">
        <v>86</v>
      </c>
      <c r="AX60" s="1" t="s">
        <v>86</v>
      </c>
      <c r="AY60" s="1" t="s">
        <v>86</v>
      </c>
      <c r="AZ60" s="1" t="s">
        <v>86</v>
      </c>
      <c r="BA60" s="1" t="s">
        <v>86</v>
      </c>
      <c r="BB60" s="1" t="s">
        <v>86</v>
      </c>
      <c r="BC60" s="1" t="s">
        <v>86</v>
      </c>
      <c r="BD60" s="1" t="s">
        <v>86</v>
      </c>
      <c r="BE60" s="1" t="s">
        <v>86</v>
      </c>
      <c r="BF60" s="1" t="s">
        <v>86</v>
      </c>
      <c r="BG60" s="1" t="s">
        <v>86</v>
      </c>
      <c r="BH60" s="1" t="s">
        <v>182</v>
      </c>
      <c r="BI60" s="1" t="s">
        <v>328</v>
      </c>
      <c r="BJ60" s="1" t="s">
        <v>87</v>
      </c>
      <c r="BK60" s="1">
        <v>0</v>
      </c>
      <c r="BL60" s="1">
        <v>0</v>
      </c>
      <c r="BM60" s="1" t="s">
        <v>398</v>
      </c>
      <c r="BN60" s="1" t="s">
        <v>510</v>
      </c>
      <c r="BO60" s="1" t="s">
        <v>511</v>
      </c>
      <c r="BP60" s="1" t="s">
        <v>86</v>
      </c>
      <c r="BQ60" s="1" t="s">
        <v>86</v>
      </c>
      <c r="BR60" s="1" t="s">
        <v>86</v>
      </c>
      <c r="BS60" s="1" t="s">
        <v>86</v>
      </c>
      <c r="BT60" s="1" t="s">
        <v>86</v>
      </c>
      <c r="BU60" s="1" t="s">
        <v>163</v>
      </c>
      <c r="BV60" s="1" t="s">
        <v>86</v>
      </c>
      <c r="BW60" s="1" t="s">
        <v>101</v>
      </c>
      <c r="BX60" s="1" t="s">
        <v>470</v>
      </c>
      <c r="BY60" s="1" t="s">
        <v>86</v>
      </c>
      <c r="BZ60" s="1" t="s">
        <v>512</v>
      </c>
      <c r="CA60" s="1" t="s">
        <v>513</v>
      </c>
      <c r="CB60" s="1" t="s">
        <v>269</v>
      </c>
      <c r="CC60" s="1" t="s">
        <v>86</v>
      </c>
      <c r="CD60" s="1" t="s">
        <v>86</v>
      </c>
      <c r="CE60" s="1" t="s">
        <v>86</v>
      </c>
    </row>
    <row r="61">
      <c r="A61" s="1">
        <v>59</v>
      </c>
      <c r="B61" s="1" t="s">
        <v>395</v>
      </c>
      <c r="C61" s="2">
        <f>=HYPERLINK("https://i.stonehdfile.com/stoneimage?s=1a0fc3f4-6e94-4564-88c3-3a9a431a33e6","Image")</f>
      </c>
      <c r="D61" s="2">
        <f>=HYPERLINK("https://dna.stonehdfile.com/hd/viewhd.html?d=6e5ac329-206e-4760-b9df-a08ffcf317ad","View360")</f>
      </c>
      <c r="E61" s="2">
        <f>=HYPERLINK("https://i.stonehdfile.com/Certificate?s=1a0fc3f4-6e94-4564-88c3-3a9a431a33e6","GIA")</f>
      </c>
      <c r="F61" s="2">
        <f>=HYPERLINK("https://i.stonehdfile.com/DNAReport?s=1a0fc3f4-6e94-4564-88c3-3a9a431a33e6","DNA")</f>
      </c>
      <c r="G61" s="2">
        <f>=HYPERLINK("https://www.gia.edu/report-check?reportno=******8582","Verify")</f>
      </c>
      <c r="H61" s="1" t="s">
        <v>514</v>
      </c>
      <c r="I61" s="1" t="s">
        <v>46</v>
      </c>
      <c r="J61" s="1">
        <v>1.61</v>
      </c>
      <c r="K61" s="1">
        <v>2</v>
      </c>
      <c r="L61" s="1">
        <v>12200</v>
      </c>
      <c r="M61" s="1">
        <v>6270</v>
      </c>
      <c r="N61" s="1">
        <v>10094.7</v>
      </c>
      <c r="O61" s="1">
        <v>-48.61</v>
      </c>
      <c r="P61" s="1">
        <v>0</v>
      </c>
      <c r="Q61" s="1" t="s">
        <v>86</v>
      </c>
      <c r="R61" s="1">
        <v>0</v>
      </c>
      <c r="S61" s="1" t="s">
        <v>86</v>
      </c>
      <c r="T61" s="1" t="s">
        <v>86</v>
      </c>
      <c r="U61" s="1" t="s">
        <v>87</v>
      </c>
      <c r="V61" s="1" t="s">
        <v>86</v>
      </c>
      <c r="W61" s="1" t="s">
        <v>149</v>
      </c>
      <c r="X61" s="1" t="s">
        <v>86</v>
      </c>
      <c r="Y61" s="1" t="s">
        <v>89</v>
      </c>
      <c r="Z61" s="1" t="s">
        <v>89</v>
      </c>
      <c r="AA61" s="1" t="s">
        <v>119</v>
      </c>
      <c r="AB61" s="1" t="s">
        <v>86</v>
      </c>
      <c r="AC61" s="1" t="s">
        <v>515</v>
      </c>
      <c r="AD61" s="1">
        <v>66.5</v>
      </c>
      <c r="AE61" s="1">
        <v>64</v>
      </c>
      <c r="AF61" s="1" t="s">
        <v>91</v>
      </c>
      <c r="AG61" s="1">
        <v>2.1</v>
      </c>
      <c r="AH61" s="1">
        <v>36.4</v>
      </c>
      <c r="AI61" s="1" t="s">
        <v>86</v>
      </c>
      <c r="AJ61" s="1">
        <v>1.07</v>
      </c>
      <c r="AK61" s="1" t="s">
        <v>111</v>
      </c>
      <c r="AL61" s="1" t="s">
        <v>140</v>
      </c>
      <c r="AM61" s="1" t="s">
        <v>140</v>
      </c>
      <c r="AN61" s="1" t="s">
        <v>86</v>
      </c>
      <c r="AO61" s="1" t="s">
        <v>94</v>
      </c>
      <c r="AP61" s="1" t="s">
        <v>95</v>
      </c>
      <c r="AQ61" s="1">
        <v>13.1</v>
      </c>
      <c r="AR61" s="1">
        <v>50.6</v>
      </c>
      <c r="AS61" s="1">
        <v>39.1</v>
      </c>
      <c r="AT61" s="1" t="s">
        <v>96</v>
      </c>
      <c r="AU61" s="1" t="s">
        <v>86</v>
      </c>
      <c r="AV61" s="1" t="s">
        <v>86</v>
      </c>
      <c r="AW61" s="1" t="s">
        <v>86</v>
      </c>
      <c r="AX61" s="1" t="s">
        <v>86</v>
      </c>
      <c r="AY61" s="1" t="s">
        <v>86</v>
      </c>
      <c r="AZ61" s="1" t="s">
        <v>86</v>
      </c>
      <c r="BA61" s="1" t="s">
        <v>86</v>
      </c>
      <c r="BB61" s="1" t="s">
        <v>86</v>
      </c>
      <c r="BC61" s="1" t="s">
        <v>86</v>
      </c>
      <c r="BD61" s="1" t="s">
        <v>86</v>
      </c>
      <c r="BE61" s="1" t="s">
        <v>86</v>
      </c>
      <c r="BF61" s="1" t="s">
        <v>86</v>
      </c>
      <c r="BG61" s="1" t="s">
        <v>86</v>
      </c>
      <c r="BH61" s="1" t="s">
        <v>142</v>
      </c>
      <c r="BI61" s="1" t="s">
        <v>516</v>
      </c>
      <c r="BJ61" s="1" t="s">
        <v>87</v>
      </c>
      <c r="BK61" s="1">
        <v>0</v>
      </c>
      <c r="BL61" s="1">
        <v>0</v>
      </c>
      <c r="BM61" s="1" t="s">
        <v>398</v>
      </c>
      <c r="BN61" s="1" t="s">
        <v>517</v>
      </c>
      <c r="BO61" s="1" t="s">
        <v>518</v>
      </c>
      <c r="BP61" s="1" t="s">
        <v>86</v>
      </c>
      <c r="BQ61" s="1" t="s">
        <v>86</v>
      </c>
      <c r="BR61" s="1" t="s">
        <v>86</v>
      </c>
      <c r="BS61" s="1" t="s">
        <v>86</v>
      </c>
      <c r="BT61" s="1" t="s">
        <v>86</v>
      </c>
      <c r="BU61" s="1" t="s">
        <v>163</v>
      </c>
      <c r="BV61" s="1" t="s">
        <v>86</v>
      </c>
      <c r="BW61" s="1" t="s">
        <v>101</v>
      </c>
      <c r="BX61" s="1" t="s">
        <v>414</v>
      </c>
      <c r="BY61" s="1" t="s">
        <v>86</v>
      </c>
      <c r="BZ61" s="1" t="s">
        <v>519</v>
      </c>
      <c r="CA61" s="1" t="s">
        <v>350</v>
      </c>
      <c r="CB61" s="1" t="s">
        <v>269</v>
      </c>
      <c r="CC61" s="1" t="s">
        <v>86</v>
      </c>
      <c r="CD61" s="1" t="s">
        <v>86</v>
      </c>
      <c r="CE61" s="1" t="s">
        <v>86</v>
      </c>
    </row>
    <row r="62">
      <c r="A62" s="1">
        <v>60</v>
      </c>
      <c r="B62" s="1" t="s">
        <v>395</v>
      </c>
      <c r="C62" s="2">
        <f>=HYPERLINK("https://i.stonehdfile.com/stoneimage?s=c178dc1d-9229-4e2c-b0ed-0372a661b66b","Image")</f>
      </c>
      <c r="D62" s="2">
        <f>=HYPERLINK("https://dna.stonehdfile.com/hd/viewhd.html?d=ee332b45-c632-413d-9337-c3e9ecd17bf9","View360")</f>
      </c>
      <c r="E62" s="2">
        <f>=HYPERLINK("https://i.stonehdfile.com/Certificate?s=c178dc1d-9229-4e2c-b0ed-0372a661b66b","GIA")</f>
      </c>
      <c r="F62" s="2">
        <f>=HYPERLINK("https://i.stonehdfile.com/DNAReport?s=c178dc1d-9229-4e2c-b0ed-0372a661b66b","DNA")</f>
      </c>
      <c r="G62" s="2">
        <f>=HYPERLINK("https://www.gia.edu/report-check?reportno=******8843","Verify")</f>
      </c>
      <c r="H62" s="1" t="s">
        <v>520</v>
      </c>
      <c r="I62" s="1" t="s">
        <v>46</v>
      </c>
      <c r="J62" s="1">
        <v>1.5</v>
      </c>
      <c r="K62" s="1">
        <v>2</v>
      </c>
      <c r="L62" s="1">
        <v>10900</v>
      </c>
      <c r="M62" s="1">
        <v>6145</v>
      </c>
      <c r="N62" s="1">
        <v>9217.5</v>
      </c>
      <c r="O62" s="1">
        <v>-43.62</v>
      </c>
      <c r="P62" s="1">
        <v>0</v>
      </c>
      <c r="Q62" s="1" t="s">
        <v>86</v>
      </c>
      <c r="R62" s="1">
        <v>0</v>
      </c>
      <c r="S62" s="1" t="s">
        <v>86</v>
      </c>
      <c r="T62" s="1" t="s">
        <v>86</v>
      </c>
      <c r="U62" s="1" t="s">
        <v>87</v>
      </c>
      <c r="V62" s="1" t="s">
        <v>86</v>
      </c>
      <c r="W62" s="1" t="s">
        <v>352</v>
      </c>
      <c r="X62" s="1" t="s">
        <v>86</v>
      </c>
      <c r="Y62" s="1" t="s">
        <v>89</v>
      </c>
      <c r="Z62" s="1" t="s">
        <v>89</v>
      </c>
      <c r="AA62" s="1" t="s">
        <v>119</v>
      </c>
      <c r="AB62" s="1" t="s">
        <v>86</v>
      </c>
      <c r="AC62" s="1" t="s">
        <v>521</v>
      </c>
      <c r="AD62" s="1">
        <v>68</v>
      </c>
      <c r="AE62" s="1">
        <v>63</v>
      </c>
      <c r="AF62" s="1" t="s">
        <v>91</v>
      </c>
      <c r="AG62" s="1">
        <v>3.5</v>
      </c>
      <c r="AH62" s="1">
        <v>35.4</v>
      </c>
      <c r="AI62" s="1" t="s">
        <v>86</v>
      </c>
      <c r="AJ62" s="1">
        <v>1.15</v>
      </c>
      <c r="AK62" s="1" t="s">
        <v>190</v>
      </c>
      <c r="AL62" s="1" t="s">
        <v>93</v>
      </c>
      <c r="AM62" s="1" t="s">
        <v>140</v>
      </c>
      <c r="AN62" s="1" t="s">
        <v>307</v>
      </c>
      <c r="AO62" s="1" t="s">
        <v>94</v>
      </c>
      <c r="AP62" s="1" t="s">
        <v>95</v>
      </c>
      <c r="AQ62" s="1">
        <v>13.2</v>
      </c>
      <c r="AR62" s="1">
        <v>51.1</v>
      </c>
      <c r="AS62" s="1">
        <v>38.2</v>
      </c>
      <c r="AT62" s="1" t="s">
        <v>96</v>
      </c>
      <c r="AU62" s="1" t="s">
        <v>86</v>
      </c>
      <c r="AV62" s="1" t="s">
        <v>86</v>
      </c>
      <c r="AW62" s="1" t="s">
        <v>86</v>
      </c>
      <c r="AX62" s="1" t="s">
        <v>86</v>
      </c>
      <c r="AY62" s="1" t="s">
        <v>86</v>
      </c>
      <c r="AZ62" s="1" t="s">
        <v>86</v>
      </c>
      <c r="BA62" s="1" t="s">
        <v>86</v>
      </c>
      <c r="BB62" s="1" t="s">
        <v>86</v>
      </c>
      <c r="BC62" s="1" t="s">
        <v>86</v>
      </c>
      <c r="BD62" s="1" t="s">
        <v>86</v>
      </c>
      <c r="BE62" s="1" t="s">
        <v>86</v>
      </c>
      <c r="BF62" s="1" t="s">
        <v>86</v>
      </c>
      <c r="BG62" s="1" t="s">
        <v>86</v>
      </c>
      <c r="BH62" s="1" t="s">
        <v>97</v>
      </c>
      <c r="BI62" s="1" t="s">
        <v>183</v>
      </c>
      <c r="BJ62" s="1" t="s">
        <v>87</v>
      </c>
      <c r="BK62" s="1">
        <v>0</v>
      </c>
      <c r="BL62" s="1">
        <v>0</v>
      </c>
      <c r="BM62" s="1" t="s">
        <v>398</v>
      </c>
      <c r="BN62" s="1" t="s">
        <v>522</v>
      </c>
      <c r="BO62" s="1" t="s">
        <v>523</v>
      </c>
      <c r="BP62" s="1" t="s">
        <v>86</v>
      </c>
      <c r="BQ62" s="1" t="s">
        <v>86</v>
      </c>
      <c r="BR62" s="1" t="s">
        <v>86</v>
      </c>
      <c r="BS62" s="1" t="s">
        <v>438</v>
      </c>
      <c r="BT62" s="1" t="s">
        <v>86</v>
      </c>
      <c r="BU62" s="1" t="s">
        <v>163</v>
      </c>
      <c r="BV62" s="1" t="s">
        <v>86</v>
      </c>
      <c r="BW62" s="1" t="s">
        <v>101</v>
      </c>
      <c r="BX62" s="1" t="s">
        <v>439</v>
      </c>
      <c r="BY62" s="1" t="s">
        <v>86</v>
      </c>
      <c r="BZ62" s="1" t="s">
        <v>524</v>
      </c>
      <c r="CA62" s="1" t="s">
        <v>525</v>
      </c>
      <c r="CB62" s="1" t="s">
        <v>86</v>
      </c>
      <c r="CC62" s="1" t="s">
        <v>86</v>
      </c>
      <c r="CD62" s="1" t="s">
        <v>86</v>
      </c>
      <c r="CE62" s="1" t="s">
        <v>86</v>
      </c>
    </row>
    <row r="63">
      <c r="A63" s="1">
        <v>61</v>
      </c>
      <c r="B63" s="1" t="s">
        <v>395</v>
      </c>
      <c r="C63" s="2">
        <f>=HYPERLINK("https://i.stonehdfile.com/stoneimage?s=1195b193-7405-4aae-ae6b-2114cb149c21","Image")</f>
      </c>
      <c r="D63" s="2">
        <f>=HYPERLINK("https://dna.stonehdfile.com/hd/viewhd.html?d=76230afc-73e2-475b-9807-ff481cf1203e","View360")</f>
      </c>
      <c r="E63" s="2">
        <f>=HYPERLINK("https://i.stonehdfile.com/Certificate?s=1195b193-7405-4aae-ae6b-2114cb149c21","GIA")</f>
      </c>
      <c r="F63" s="2">
        <f>=HYPERLINK("https://i.stonehdfile.com/DNAReport?s=1195b193-7405-4aae-ae6b-2114cb149c21","DNA")</f>
      </c>
      <c r="G63" s="2">
        <f>=HYPERLINK("https://www.gia.edu/report-check?reportno=******5102","Verify")</f>
      </c>
      <c r="H63" s="1" t="s">
        <v>526</v>
      </c>
      <c r="I63" s="1" t="s">
        <v>46</v>
      </c>
      <c r="J63" s="1">
        <v>1.51</v>
      </c>
      <c r="K63" s="1">
        <v>7</v>
      </c>
      <c r="L63" s="1">
        <v>10900</v>
      </c>
      <c r="M63" s="1">
        <v>4702</v>
      </c>
      <c r="N63" s="1">
        <v>7100.02</v>
      </c>
      <c r="O63" s="1">
        <v>-56.86</v>
      </c>
      <c r="P63" s="1">
        <v>0</v>
      </c>
      <c r="Q63" s="1" t="s">
        <v>86</v>
      </c>
      <c r="R63" s="1">
        <v>0</v>
      </c>
      <c r="S63" s="1" t="s">
        <v>86</v>
      </c>
      <c r="T63" s="1" t="s">
        <v>86</v>
      </c>
      <c r="U63" s="1" t="s">
        <v>87</v>
      </c>
      <c r="V63" s="1" t="s">
        <v>86</v>
      </c>
      <c r="W63" s="1" t="s">
        <v>352</v>
      </c>
      <c r="X63" s="1" t="s">
        <v>86</v>
      </c>
      <c r="Y63" s="1" t="s">
        <v>89</v>
      </c>
      <c r="Z63" s="1" t="s">
        <v>89</v>
      </c>
      <c r="AA63" s="1" t="s">
        <v>108</v>
      </c>
      <c r="AB63" s="1" t="s">
        <v>109</v>
      </c>
      <c r="AC63" s="1" t="s">
        <v>527</v>
      </c>
      <c r="AD63" s="1">
        <v>68.9</v>
      </c>
      <c r="AE63" s="1">
        <v>65</v>
      </c>
      <c r="AF63" s="1" t="s">
        <v>91</v>
      </c>
      <c r="AG63" s="1">
        <v>2.5</v>
      </c>
      <c r="AH63" s="1">
        <v>34.1</v>
      </c>
      <c r="AI63" s="1" t="s">
        <v>86</v>
      </c>
      <c r="AJ63" s="1">
        <v>1.09</v>
      </c>
      <c r="AK63" s="1" t="s">
        <v>111</v>
      </c>
      <c r="AL63" s="1" t="s">
        <v>93</v>
      </c>
      <c r="AM63" s="1" t="s">
        <v>140</v>
      </c>
      <c r="AN63" s="1" t="s">
        <v>171</v>
      </c>
      <c r="AO63" s="1" t="s">
        <v>94</v>
      </c>
      <c r="AP63" s="1" t="s">
        <v>95</v>
      </c>
      <c r="AQ63" s="1">
        <v>12.1</v>
      </c>
      <c r="AR63" s="1">
        <v>53.9</v>
      </c>
      <c r="AS63" s="1">
        <v>40.6</v>
      </c>
      <c r="AT63" s="1" t="s">
        <v>96</v>
      </c>
      <c r="AU63" s="1" t="s">
        <v>86</v>
      </c>
      <c r="AV63" s="1" t="s">
        <v>86</v>
      </c>
      <c r="AW63" s="1" t="s">
        <v>86</v>
      </c>
      <c r="AX63" s="1" t="s">
        <v>86</v>
      </c>
      <c r="AY63" s="1" t="s">
        <v>86</v>
      </c>
      <c r="AZ63" s="1" t="s">
        <v>86</v>
      </c>
      <c r="BA63" s="1" t="s">
        <v>86</v>
      </c>
      <c r="BB63" s="1" t="s">
        <v>86</v>
      </c>
      <c r="BC63" s="1" t="s">
        <v>86</v>
      </c>
      <c r="BD63" s="1" t="s">
        <v>86</v>
      </c>
      <c r="BE63" s="1" t="s">
        <v>86</v>
      </c>
      <c r="BF63" s="1" t="s">
        <v>86</v>
      </c>
      <c r="BG63" s="1" t="s">
        <v>86</v>
      </c>
      <c r="BH63" s="1" t="s">
        <v>182</v>
      </c>
      <c r="BI63" s="1" t="s">
        <v>328</v>
      </c>
      <c r="BJ63" s="1" t="s">
        <v>87</v>
      </c>
      <c r="BK63" s="1">
        <v>0</v>
      </c>
      <c r="BL63" s="1">
        <v>0</v>
      </c>
      <c r="BM63" s="1" t="s">
        <v>398</v>
      </c>
      <c r="BN63" s="1" t="s">
        <v>528</v>
      </c>
      <c r="BO63" s="1" t="s">
        <v>529</v>
      </c>
      <c r="BP63" s="1" t="s">
        <v>86</v>
      </c>
      <c r="BQ63" s="1" t="s">
        <v>86</v>
      </c>
      <c r="BR63" s="1" t="s">
        <v>86</v>
      </c>
      <c r="BS63" s="1" t="s">
        <v>438</v>
      </c>
      <c r="BT63" s="1" t="s">
        <v>86</v>
      </c>
      <c r="BU63" s="1" t="s">
        <v>163</v>
      </c>
      <c r="BV63" s="1" t="s">
        <v>86</v>
      </c>
      <c r="BW63" s="1" t="s">
        <v>101</v>
      </c>
      <c r="BX63" s="1" t="s">
        <v>530</v>
      </c>
      <c r="BY63" s="1" t="s">
        <v>86</v>
      </c>
      <c r="BZ63" s="1" t="s">
        <v>531</v>
      </c>
      <c r="CA63" s="1" t="s">
        <v>532</v>
      </c>
      <c r="CB63" s="1" t="s">
        <v>156</v>
      </c>
      <c r="CC63" s="1" t="s">
        <v>86</v>
      </c>
      <c r="CD63" s="1" t="s">
        <v>86</v>
      </c>
      <c r="CE63" s="1" t="s">
        <v>86</v>
      </c>
    </row>
    <row r="64">
      <c r="A64" s="1">
        <v>62</v>
      </c>
      <c r="B64" s="1" t="s">
        <v>395</v>
      </c>
      <c r="C64" s="2">
        <f>=HYPERLINK("https://i.stonehdfile.com/stoneimage?s=f2a4cb37-13dd-48db-b6cd-31d05cb5622c","Image")</f>
      </c>
      <c r="D64" s="2">
        <f>=HYPERLINK("https://dna.stonehdfile.com/hd/viewhd.html?d=4ec4da12-16fa-47ee-88df-5e2d00028cd6","View360")</f>
      </c>
      <c r="E64" s="2">
        <f>=HYPERLINK("https://i.stonehdfile.com/Certificate?s=f2a4cb37-13dd-48db-b6cd-31d05cb5622c","GIA")</f>
      </c>
      <c r="F64" s="2">
        <f>=HYPERLINK("https://i.stonehdfile.com/DNAReport?s=f2a4cb37-13dd-48db-b6cd-31d05cb5622c","DNA")</f>
      </c>
      <c r="G64" s="2">
        <f>=HYPERLINK("https://www.gia.edu/report-check?reportno=******6082","Verify")</f>
      </c>
      <c r="H64" s="1" t="s">
        <v>533</v>
      </c>
      <c r="I64" s="1" t="s">
        <v>46</v>
      </c>
      <c r="J64" s="1">
        <v>1.51</v>
      </c>
      <c r="K64" s="1">
        <v>1</v>
      </c>
      <c r="L64" s="1">
        <v>10900</v>
      </c>
      <c r="M64" s="1">
        <v>5456</v>
      </c>
      <c r="N64" s="1">
        <v>8238.56</v>
      </c>
      <c r="O64" s="1">
        <v>-49.94</v>
      </c>
      <c r="P64" s="1">
        <v>0</v>
      </c>
      <c r="Q64" s="1" t="s">
        <v>86</v>
      </c>
      <c r="R64" s="1">
        <v>0</v>
      </c>
      <c r="S64" s="1" t="s">
        <v>86</v>
      </c>
      <c r="T64" s="1" t="s">
        <v>86</v>
      </c>
      <c r="U64" s="1" t="s">
        <v>87</v>
      </c>
      <c r="V64" s="1" t="s">
        <v>86</v>
      </c>
      <c r="W64" s="1" t="s">
        <v>352</v>
      </c>
      <c r="X64" s="1" t="s">
        <v>86</v>
      </c>
      <c r="Y64" s="1" t="s">
        <v>89</v>
      </c>
      <c r="Z64" s="1" t="s">
        <v>89</v>
      </c>
      <c r="AA64" s="1" t="s">
        <v>119</v>
      </c>
      <c r="AB64" s="1" t="s">
        <v>86</v>
      </c>
      <c r="AC64" s="1" t="s">
        <v>534</v>
      </c>
      <c r="AD64" s="1">
        <v>68.4</v>
      </c>
      <c r="AE64" s="1">
        <v>62</v>
      </c>
      <c r="AF64" s="1" t="s">
        <v>91</v>
      </c>
      <c r="AG64" s="1">
        <v>4</v>
      </c>
      <c r="AH64" s="1">
        <v>36.3</v>
      </c>
      <c r="AI64" s="1" t="s">
        <v>86</v>
      </c>
      <c r="AJ64" s="1">
        <v>1.1</v>
      </c>
      <c r="AK64" s="1" t="s">
        <v>111</v>
      </c>
      <c r="AL64" s="1" t="s">
        <v>93</v>
      </c>
      <c r="AM64" s="1" t="s">
        <v>140</v>
      </c>
      <c r="AN64" s="1" t="s">
        <v>307</v>
      </c>
      <c r="AO64" s="1" t="s">
        <v>94</v>
      </c>
      <c r="AP64" s="1" t="s">
        <v>95</v>
      </c>
      <c r="AQ64" s="1">
        <v>13.8</v>
      </c>
      <c r="AR64" s="1">
        <v>50.5</v>
      </c>
      <c r="AS64" s="1">
        <v>38.5</v>
      </c>
      <c r="AT64" s="1" t="s">
        <v>96</v>
      </c>
      <c r="AU64" s="1" t="s">
        <v>86</v>
      </c>
      <c r="AV64" s="1" t="s">
        <v>86</v>
      </c>
      <c r="AW64" s="1" t="s">
        <v>86</v>
      </c>
      <c r="AX64" s="1" t="s">
        <v>86</v>
      </c>
      <c r="AY64" s="1" t="s">
        <v>86</v>
      </c>
      <c r="AZ64" s="1" t="s">
        <v>86</v>
      </c>
      <c r="BA64" s="1" t="s">
        <v>86</v>
      </c>
      <c r="BB64" s="1" t="s">
        <v>86</v>
      </c>
      <c r="BC64" s="1" t="s">
        <v>86</v>
      </c>
      <c r="BD64" s="1" t="s">
        <v>86</v>
      </c>
      <c r="BE64" s="1" t="s">
        <v>86</v>
      </c>
      <c r="BF64" s="1" t="s">
        <v>86</v>
      </c>
      <c r="BG64" s="1" t="s">
        <v>86</v>
      </c>
      <c r="BH64" s="1" t="s">
        <v>129</v>
      </c>
      <c r="BI64" s="1" t="s">
        <v>225</v>
      </c>
      <c r="BJ64" s="1" t="s">
        <v>87</v>
      </c>
      <c r="BK64" s="1">
        <v>0</v>
      </c>
      <c r="BL64" s="1">
        <v>0</v>
      </c>
      <c r="BM64" s="1" t="s">
        <v>398</v>
      </c>
      <c r="BN64" s="1" t="s">
        <v>535</v>
      </c>
      <c r="BO64" s="1" t="s">
        <v>536</v>
      </c>
      <c r="BP64" s="1" t="s">
        <v>86</v>
      </c>
      <c r="BQ64" s="1" t="s">
        <v>86</v>
      </c>
      <c r="BR64" s="1" t="s">
        <v>86</v>
      </c>
      <c r="BS64" s="1" t="s">
        <v>86</v>
      </c>
      <c r="BT64" s="1" t="s">
        <v>86</v>
      </c>
      <c r="BU64" s="1" t="s">
        <v>163</v>
      </c>
      <c r="BV64" s="1" t="s">
        <v>86</v>
      </c>
      <c r="BW64" s="1" t="s">
        <v>101</v>
      </c>
      <c r="BX64" s="1" t="s">
        <v>414</v>
      </c>
      <c r="BY64" s="1" t="s">
        <v>86</v>
      </c>
      <c r="BZ64" s="1" t="s">
        <v>537</v>
      </c>
      <c r="CA64" s="1" t="s">
        <v>312</v>
      </c>
      <c r="CB64" s="1" t="s">
        <v>166</v>
      </c>
      <c r="CC64" s="1" t="s">
        <v>86</v>
      </c>
      <c r="CD64" s="1" t="s">
        <v>86</v>
      </c>
      <c r="CE64" s="1" t="s">
        <v>86</v>
      </c>
    </row>
    <row r="65">
      <c r="A65" s="1">
        <v>63</v>
      </c>
      <c r="B65" s="1" t="s">
        <v>395</v>
      </c>
      <c r="C65" s="2">
        <f>=HYPERLINK("https://i.stonehdfile.com/stoneimage?s=7ed47d1b-c71f-48ba-841a-136c97d9cb05","Image")</f>
      </c>
      <c r="D65" s="2">
        <f>=HYPERLINK("https://dna.stonehdfile.com/hd/viewhd.html?d=066485cd-fe2a-462d-b6b9-ceb3ad3a298a","View360")</f>
      </c>
      <c r="E65" s="2">
        <f>=HYPERLINK("https://i.stonehdfile.com/Certificate?s=7ed47d1b-c71f-48ba-841a-136c97d9cb05","GIA")</f>
      </c>
      <c r="F65" s="2">
        <f>=HYPERLINK("https://i.stonehdfile.com/DNAReport?s=7ed47d1b-c71f-48ba-841a-136c97d9cb05","DNA")</f>
      </c>
      <c r="G65" s="2">
        <f>=HYPERLINK("https://www.gia.edu/report-check?reportno=******5809","Verify")</f>
      </c>
      <c r="H65" s="1" t="s">
        <v>538</v>
      </c>
      <c r="I65" s="1" t="s">
        <v>46</v>
      </c>
      <c r="J65" s="1">
        <v>1.62</v>
      </c>
      <c r="K65" s="1">
        <v>7</v>
      </c>
      <c r="L65" s="1">
        <v>10900</v>
      </c>
      <c r="M65" s="1">
        <v>5486</v>
      </c>
      <c r="N65" s="1">
        <v>8887.32</v>
      </c>
      <c r="O65" s="1">
        <v>-49.67</v>
      </c>
      <c r="P65" s="1">
        <v>0</v>
      </c>
      <c r="Q65" s="1" t="s">
        <v>86</v>
      </c>
      <c r="R65" s="1">
        <v>0</v>
      </c>
      <c r="S65" s="1" t="s">
        <v>86</v>
      </c>
      <c r="T65" s="1" t="s">
        <v>86</v>
      </c>
      <c r="U65" s="1" t="s">
        <v>87</v>
      </c>
      <c r="V65" s="1" t="s">
        <v>86</v>
      </c>
      <c r="W65" s="1" t="s">
        <v>352</v>
      </c>
      <c r="X65" s="1" t="s">
        <v>86</v>
      </c>
      <c r="Y65" s="1" t="s">
        <v>138</v>
      </c>
      <c r="Z65" s="1" t="s">
        <v>138</v>
      </c>
      <c r="AA65" s="1" t="s">
        <v>119</v>
      </c>
      <c r="AB65" s="1" t="s">
        <v>86</v>
      </c>
      <c r="AC65" s="1" t="s">
        <v>539</v>
      </c>
      <c r="AD65" s="1">
        <v>68.4</v>
      </c>
      <c r="AE65" s="1">
        <v>66</v>
      </c>
      <c r="AF65" s="1" t="s">
        <v>91</v>
      </c>
      <c r="AG65" s="1">
        <v>2.1</v>
      </c>
      <c r="AH65" s="1">
        <v>35.4</v>
      </c>
      <c r="AI65" s="1" t="s">
        <v>86</v>
      </c>
      <c r="AJ65" s="1">
        <v>1.07</v>
      </c>
      <c r="AK65" s="1" t="s">
        <v>190</v>
      </c>
      <c r="AL65" s="1" t="s">
        <v>140</v>
      </c>
      <c r="AM65" s="1" t="s">
        <v>140</v>
      </c>
      <c r="AN65" s="1" t="s">
        <v>307</v>
      </c>
      <c r="AO65" s="1" t="s">
        <v>94</v>
      </c>
      <c r="AP65" s="1" t="s">
        <v>95</v>
      </c>
      <c r="AQ65" s="1">
        <v>12.2</v>
      </c>
      <c r="AR65" s="1">
        <v>53.9</v>
      </c>
      <c r="AS65" s="1">
        <v>39.4</v>
      </c>
      <c r="AT65" s="1" t="s">
        <v>96</v>
      </c>
      <c r="AU65" s="1" t="s">
        <v>86</v>
      </c>
      <c r="AV65" s="1" t="s">
        <v>86</v>
      </c>
      <c r="AW65" s="1" t="s">
        <v>86</v>
      </c>
      <c r="AX65" s="1" t="s">
        <v>86</v>
      </c>
      <c r="AY65" s="1" t="s">
        <v>86</v>
      </c>
      <c r="AZ65" s="1" t="s">
        <v>86</v>
      </c>
      <c r="BA65" s="1" t="s">
        <v>86</v>
      </c>
      <c r="BB65" s="1" t="s">
        <v>86</v>
      </c>
      <c r="BC65" s="1" t="s">
        <v>86</v>
      </c>
      <c r="BD65" s="1" t="s">
        <v>86</v>
      </c>
      <c r="BE65" s="1" t="s">
        <v>86</v>
      </c>
      <c r="BF65" s="1" t="s">
        <v>86</v>
      </c>
      <c r="BG65" s="1" t="s">
        <v>86</v>
      </c>
      <c r="BH65" s="1" t="s">
        <v>429</v>
      </c>
      <c r="BI65" s="1" t="s">
        <v>516</v>
      </c>
      <c r="BJ65" s="1" t="s">
        <v>87</v>
      </c>
      <c r="BK65" s="1">
        <v>0</v>
      </c>
      <c r="BL65" s="1">
        <v>0</v>
      </c>
      <c r="BM65" s="1" t="s">
        <v>398</v>
      </c>
      <c r="BN65" s="1" t="s">
        <v>540</v>
      </c>
      <c r="BO65" s="1" t="s">
        <v>176</v>
      </c>
      <c r="BP65" s="1" t="s">
        <v>86</v>
      </c>
      <c r="BQ65" s="1" t="s">
        <v>86</v>
      </c>
      <c r="BR65" s="1" t="s">
        <v>86</v>
      </c>
      <c r="BS65" s="1" t="s">
        <v>86</v>
      </c>
      <c r="BT65" s="1" t="s">
        <v>86</v>
      </c>
      <c r="BU65" s="1" t="s">
        <v>163</v>
      </c>
      <c r="BV65" s="1" t="s">
        <v>86</v>
      </c>
      <c r="BW65" s="1" t="s">
        <v>101</v>
      </c>
      <c r="BX65" s="1" t="s">
        <v>401</v>
      </c>
      <c r="BY65" s="1" t="s">
        <v>86</v>
      </c>
      <c r="BZ65" s="1" t="s">
        <v>541</v>
      </c>
      <c r="CA65" s="1" t="s">
        <v>195</v>
      </c>
      <c r="CB65" s="1" t="s">
        <v>166</v>
      </c>
      <c r="CC65" s="1" t="s">
        <v>86</v>
      </c>
      <c r="CD65" s="1" t="s">
        <v>86</v>
      </c>
      <c r="CE65" s="1" t="s">
        <v>86</v>
      </c>
    </row>
    <row r="66">
      <c r="A66" s="1">
        <v>64</v>
      </c>
      <c r="B66" s="1" t="s">
        <v>395</v>
      </c>
      <c r="C66" s="2">
        <f>=HYPERLINK("https://i.stonehdfile.com/stoneimage?s=a77e7091-8f3e-4224-bbd4-4ec3aa3fe08d","Image")</f>
      </c>
      <c r="D66" s="2">
        <f>=HYPERLINK("https://dna.stonehdfile.com/hd/viewhd.html?d=47bcc418-7675-4d76-b0b0-58c9ee3dda7f","View360")</f>
      </c>
      <c r="E66" s="2">
        <f>=HYPERLINK("https://i.stonehdfile.com/Certificate?s=a77e7091-8f3e-4224-bbd4-4ec3aa3fe08d","GIA")</f>
      </c>
      <c r="F66" s="2">
        <f>=HYPERLINK("https://i.stonehdfile.com/DNAReport?s=a77e7091-8f3e-4224-bbd4-4ec3aa3fe08d","DNA")</f>
      </c>
      <c r="G66" s="2">
        <f>=HYPERLINK("https://www.gia.edu/report-check?reportno=******8416","Verify")</f>
      </c>
      <c r="H66" s="1" t="s">
        <v>542</v>
      </c>
      <c r="I66" s="1" t="s">
        <v>46</v>
      </c>
      <c r="J66" s="1">
        <v>1.51</v>
      </c>
      <c r="K66" s="1">
        <v>0</v>
      </c>
      <c r="L66" s="1">
        <v>10900</v>
      </c>
      <c r="M66" s="1">
        <v>4807</v>
      </c>
      <c r="N66" s="1">
        <v>7258.57</v>
      </c>
      <c r="O66" s="1">
        <v>-55.9</v>
      </c>
      <c r="P66" s="1">
        <v>0</v>
      </c>
      <c r="Q66" s="1" t="s">
        <v>86</v>
      </c>
      <c r="R66" s="1">
        <v>0</v>
      </c>
      <c r="S66" s="1" t="s">
        <v>86</v>
      </c>
      <c r="T66" s="1" t="s">
        <v>86</v>
      </c>
      <c r="U66" s="1" t="s">
        <v>87</v>
      </c>
      <c r="V66" s="1" t="s">
        <v>86</v>
      </c>
      <c r="W66" s="1" t="s">
        <v>223</v>
      </c>
      <c r="X66" s="1" t="s">
        <v>86</v>
      </c>
      <c r="Y66" s="1" t="s">
        <v>89</v>
      </c>
      <c r="Z66" s="1" t="s">
        <v>89</v>
      </c>
      <c r="AA66" s="1" t="s">
        <v>119</v>
      </c>
      <c r="AB66" s="1" t="s">
        <v>86</v>
      </c>
      <c r="AC66" s="1" t="s">
        <v>543</v>
      </c>
      <c r="AD66" s="1">
        <v>69.1</v>
      </c>
      <c r="AE66" s="1">
        <v>62</v>
      </c>
      <c r="AF66" s="1" t="s">
        <v>91</v>
      </c>
      <c r="AG66" s="1">
        <v>3.4</v>
      </c>
      <c r="AH66" s="1">
        <v>36.2</v>
      </c>
      <c r="AI66" s="1" t="s">
        <v>86</v>
      </c>
      <c r="AJ66" s="1">
        <v>1.03</v>
      </c>
      <c r="AK66" s="1" t="s">
        <v>198</v>
      </c>
      <c r="AL66" s="1" t="s">
        <v>93</v>
      </c>
      <c r="AM66" s="1" t="s">
        <v>128</v>
      </c>
      <c r="AN66" s="1" t="s">
        <v>171</v>
      </c>
      <c r="AO66" s="1" t="s">
        <v>94</v>
      </c>
      <c r="AP66" s="1" t="s">
        <v>95</v>
      </c>
      <c r="AQ66" s="1">
        <v>13.8</v>
      </c>
      <c r="AR66" s="1">
        <v>51.7</v>
      </c>
      <c r="AS66" s="1">
        <v>38.5</v>
      </c>
      <c r="AT66" s="1" t="s">
        <v>96</v>
      </c>
      <c r="AU66" s="1" t="s">
        <v>86</v>
      </c>
      <c r="AV66" s="1" t="s">
        <v>86</v>
      </c>
      <c r="AW66" s="1" t="s">
        <v>86</v>
      </c>
      <c r="AX66" s="1" t="s">
        <v>86</v>
      </c>
      <c r="AY66" s="1" t="s">
        <v>86</v>
      </c>
      <c r="AZ66" s="1" t="s">
        <v>86</v>
      </c>
      <c r="BA66" s="1" t="s">
        <v>86</v>
      </c>
      <c r="BB66" s="1" t="s">
        <v>86</v>
      </c>
      <c r="BC66" s="1" t="s">
        <v>86</v>
      </c>
      <c r="BD66" s="1" t="s">
        <v>86</v>
      </c>
      <c r="BE66" s="1" t="s">
        <v>86</v>
      </c>
      <c r="BF66" s="1" t="s">
        <v>86</v>
      </c>
      <c r="BG66" s="1" t="s">
        <v>86</v>
      </c>
      <c r="BH66" s="1" t="s">
        <v>97</v>
      </c>
      <c r="BI66" s="1" t="s">
        <v>191</v>
      </c>
      <c r="BJ66" s="1" t="s">
        <v>87</v>
      </c>
      <c r="BK66" s="1">
        <v>0</v>
      </c>
      <c r="BL66" s="1">
        <v>0</v>
      </c>
      <c r="BM66" s="1" t="s">
        <v>398</v>
      </c>
      <c r="BN66" s="1" t="s">
        <v>544</v>
      </c>
      <c r="BO66" s="1" t="s">
        <v>210</v>
      </c>
      <c r="BP66" s="1" t="s">
        <v>86</v>
      </c>
      <c r="BQ66" s="1" t="s">
        <v>86</v>
      </c>
      <c r="BR66" s="1" t="s">
        <v>86</v>
      </c>
      <c r="BS66" s="1" t="s">
        <v>86</v>
      </c>
      <c r="BT66" s="1" t="s">
        <v>86</v>
      </c>
      <c r="BU66" s="1" t="s">
        <v>163</v>
      </c>
      <c r="BV66" s="1" t="s">
        <v>86</v>
      </c>
      <c r="BW66" s="1" t="s">
        <v>101</v>
      </c>
      <c r="BX66" s="1" t="s">
        <v>545</v>
      </c>
      <c r="BY66" s="1" t="s">
        <v>86</v>
      </c>
      <c r="BZ66" s="1" t="s">
        <v>546</v>
      </c>
      <c r="CA66" s="1" t="s">
        <v>220</v>
      </c>
      <c r="CB66" s="1" t="s">
        <v>547</v>
      </c>
      <c r="CC66" s="1" t="s">
        <v>86</v>
      </c>
      <c r="CD66" s="1" t="s">
        <v>86</v>
      </c>
      <c r="CE66" s="1" t="s">
        <v>86</v>
      </c>
    </row>
    <row r="67">
      <c r="A67" s="1">
        <v>65</v>
      </c>
      <c r="B67" s="1" t="s">
        <v>395</v>
      </c>
      <c r="C67" s="2">
        <f>=HYPERLINK("https://i.stonehdfile.com/stoneimage?s=dd61d09b-fcf9-4d91-b0fc-f31b4042ff39","Image")</f>
      </c>
      <c r="D67" s="2">
        <f>=HYPERLINK("https://dna.stonehdfile.com/hd/viewhd.html?d=511ef3d0-5e81-4f4a-8463-f2e284c45348","View360")</f>
      </c>
      <c r="E67" s="2">
        <f>=HYPERLINK("https://i.stonehdfile.com/Certificate?s=dd61d09b-fcf9-4d91-b0fc-f31b4042ff39","GIA")</f>
      </c>
      <c r="F67" s="2">
        <f>=HYPERLINK("https://i.stonehdfile.com/DNAReport?s=dd61d09b-fcf9-4d91-b0fc-f31b4042ff39","DNA")</f>
      </c>
      <c r="G67" s="2">
        <f>=HYPERLINK("https://www.gia.edu/report-check?reportno=******0445","Verify")</f>
      </c>
      <c r="H67" s="1" t="s">
        <v>548</v>
      </c>
      <c r="I67" s="1" t="s">
        <v>46</v>
      </c>
      <c r="J67" s="1">
        <v>1.5</v>
      </c>
      <c r="K67" s="1">
        <v>0</v>
      </c>
      <c r="L67" s="1">
        <v>9300</v>
      </c>
      <c r="M67" s="1">
        <v>3990</v>
      </c>
      <c r="N67" s="1">
        <v>5985</v>
      </c>
      <c r="O67" s="1">
        <v>-57.1</v>
      </c>
      <c r="P67" s="1">
        <v>0</v>
      </c>
      <c r="Q67" s="1" t="s">
        <v>86</v>
      </c>
      <c r="R67" s="1">
        <v>0</v>
      </c>
      <c r="S67" s="1" t="s">
        <v>86</v>
      </c>
      <c r="T67" s="1" t="s">
        <v>86</v>
      </c>
      <c r="U67" s="1" t="s">
        <v>482</v>
      </c>
      <c r="V67" s="1" t="s">
        <v>86</v>
      </c>
      <c r="W67" s="1" t="s">
        <v>137</v>
      </c>
      <c r="X67" s="1" t="s">
        <v>86</v>
      </c>
      <c r="Y67" s="1" t="s">
        <v>89</v>
      </c>
      <c r="Z67" s="1" t="s">
        <v>89</v>
      </c>
      <c r="AA67" s="1" t="s">
        <v>119</v>
      </c>
      <c r="AB67" s="1" t="s">
        <v>86</v>
      </c>
      <c r="AC67" s="1" t="s">
        <v>549</v>
      </c>
      <c r="AD67" s="1">
        <v>69.4</v>
      </c>
      <c r="AE67" s="1">
        <v>63</v>
      </c>
      <c r="AF67" s="1" t="s">
        <v>91</v>
      </c>
      <c r="AG67" s="1">
        <v>2.7</v>
      </c>
      <c r="AH67" s="1">
        <v>33.4</v>
      </c>
      <c r="AI67" s="1" t="s">
        <v>86</v>
      </c>
      <c r="AJ67" s="1">
        <v>1.11</v>
      </c>
      <c r="AK67" s="1" t="s">
        <v>111</v>
      </c>
      <c r="AL67" s="1" t="s">
        <v>93</v>
      </c>
      <c r="AM67" s="1" t="s">
        <v>128</v>
      </c>
      <c r="AN67" s="1" t="s">
        <v>171</v>
      </c>
      <c r="AO67" s="1" t="s">
        <v>94</v>
      </c>
      <c r="AP67" s="1" t="s">
        <v>95</v>
      </c>
      <c r="AQ67" s="1">
        <v>12.2</v>
      </c>
      <c r="AR67" s="1">
        <v>54.4</v>
      </c>
      <c r="AS67" s="1">
        <v>40.4</v>
      </c>
      <c r="AT67" s="1" t="s">
        <v>96</v>
      </c>
      <c r="AU67" s="1" t="s">
        <v>86</v>
      </c>
      <c r="AV67" s="1" t="s">
        <v>86</v>
      </c>
      <c r="AW67" s="1" t="s">
        <v>86</v>
      </c>
      <c r="AX67" s="1" t="s">
        <v>86</v>
      </c>
      <c r="AY67" s="1" t="s">
        <v>86</v>
      </c>
      <c r="AZ67" s="1" t="s">
        <v>86</v>
      </c>
      <c r="BA67" s="1" t="s">
        <v>86</v>
      </c>
      <c r="BB67" s="1" t="s">
        <v>86</v>
      </c>
      <c r="BC67" s="1" t="s">
        <v>86</v>
      </c>
      <c r="BD67" s="1" t="s">
        <v>86</v>
      </c>
      <c r="BE67" s="1" t="s">
        <v>86</v>
      </c>
      <c r="BF67" s="1" t="s">
        <v>86</v>
      </c>
      <c r="BG67" s="1" t="s">
        <v>86</v>
      </c>
      <c r="BH67" s="1" t="s">
        <v>97</v>
      </c>
      <c r="BI67" s="1" t="s">
        <v>430</v>
      </c>
      <c r="BJ67" s="1" t="s">
        <v>87</v>
      </c>
      <c r="BK67" s="1">
        <v>0</v>
      </c>
      <c r="BL67" s="1">
        <v>0</v>
      </c>
      <c r="BM67" s="1" t="s">
        <v>398</v>
      </c>
      <c r="BN67" s="1" t="s">
        <v>550</v>
      </c>
      <c r="BO67" s="1" t="s">
        <v>551</v>
      </c>
      <c r="BP67" s="1" t="s">
        <v>86</v>
      </c>
      <c r="BQ67" s="1" t="s">
        <v>86</v>
      </c>
      <c r="BR67" s="1" t="s">
        <v>86</v>
      </c>
      <c r="BS67" s="1" t="s">
        <v>86</v>
      </c>
      <c r="BT67" s="1" t="s">
        <v>86</v>
      </c>
      <c r="BU67" s="1" t="s">
        <v>552</v>
      </c>
      <c r="BV67" s="1" t="s">
        <v>86</v>
      </c>
      <c r="BW67" s="1" t="s">
        <v>101</v>
      </c>
      <c r="BX67" s="1" t="s">
        <v>553</v>
      </c>
      <c r="BY67" s="1" t="s">
        <v>86</v>
      </c>
      <c r="BZ67" s="1" t="s">
        <v>554</v>
      </c>
      <c r="CA67" s="1" t="s">
        <v>178</v>
      </c>
      <c r="CB67" s="1" t="s">
        <v>166</v>
      </c>
      <c r="CC67" s="1" t="s">
        <v>86</v>
      </c>
      <c r="CD67" s="1" t="s">
        <v>86</v>
      </c>
      <c r="CE67" s="1" t="s">
        <v>86</v>
      </c>
    </row>
    <row r="68">
      <c r="A68" s="1">
        <v>66</v>
      </c>
      <c r="B68" s="1" t="s">
        <v>395</v>
      </c>
      <c r="C68" s="2">
        <f>=HYPERLINK("https://i.stonehdfile.com/stoneimage?s=0b2f4a55-3804-405b-976d-56c69f7723b9","Image")</f>
      </c>
      <c r="D68" s="2">
        <f>=HYPERLINK("https://dna.stonehdfile.com/hd/viewhd.html?d=e28e086c-cf1b-414b-9c71-fdc894975a55","View360")</f>
      </c>
      <c r="E68" s="2">
        <f>=HYPERLINK("https://i.stonehdfile.com/Certificate?s=0b2f4a55-3804-405b-976d-56c69f7723b9","GIA")</f>
      </c>
      <c r="F68" s="2">
        <f>=HYPERLINK("https://i.stonehdfile.com/DNAReport?s=0b2f4a55-3804-405b-976d-56c69f7723b9","DNA")</f>
      </c>
      <c r="G68" s="2">
        <f>=HYPERLINK("https://www.gia.edu/report-check?reportno=******0230","Verify")</f>
      </c>
      <c r="H68" s="1" t="s">
        <v>555</v>
      </c>
      <c r="I68" s="1" t="s">
        <v>46</v>
      </c>
      <c r="J68" s="1">
        <v>1.5</v>
      </c>
      <c r="K68" s="1">
        <v>8</v>
      </c>
      <c r="L68" s="1">
        <v>9300</v>
      </c>
      <c r="M68" s="1">
        <v>3276</v>
      </c>
      <c r="N68" s="1">
        <v>4914</v>
      </c>
      <c r="O68" s="1">
        <v>-64.77</v>
      </c>
      <c r="P68" s="1">
        <v>0</v>
      </c>
      <c r="Q68" s="1" t="s">
        <v>86</v>
      </c>
      <c r="R68" s="1">
        <v>0</v>
      </c>
      <c r="S68" s="1" t="s">
        <v>86</v>
      </c>
      <c r="T68" s="1" t="s">
        <v>86</v>
      </c>
      <c r="U68" s="1" t="s">
        <v>87</v>
      </c>
      <c r="V68" s="1" t="s">
        <v>86</v>
      </c>
      <c r="W68" s="1" t="s">
        <v>137</v>
      </c>
      <c r="X68" s="1" t="s">
        <v>86</v>
      </c>
      <c r="Y68" s="1" t="s">
        <v>89</v>
      </c>
      <c r="Z68" s="1" t="s">
        <v>89</v>
      </c>
      <c r="AA68" s="1" t="s">
        <v>119</v>
      </c>
      <c r="AB68" s="1" t="s">
        <v>86</v>
      </c>
      <c r="AC68" s="1" t="s">
        <v>556</v>
      </c>
      <c r="AD68" s="1">
        <v>71.1</v>
      </c>
      <c r="AE68" s="1">
        <v>61</v>
      </c>
      <c r="AF68" s="1" t="s">
        <v>91</v>
      </c>
      <c r="AG68" s="1">
        <v>3.3</v>
      </c>
      <c r="AH68" s="1">
        <v>35.9</v>
      </c>
      <c r="AI68" s="1" t="s">
        <v>86</v>
      </c>
      <c r="AJ68" s="1">
        <v>1.08</v>
      </c>
      <c r="AK68" s="1" t="s">
        <v>111</v>
      </c>
      <c r="AL68" s="1" t="s">
        <v>93</v>
      </c>
      <c r="AM68" s="1" t="s">
        <v>151</v>
      </c>
      <c r="AN68" s="1" t="s">
        <v>168</v>
      </c>
      <c r="AO68" s="1" t="s">
        <v>94</v>
      </c>
      <c r="AP68" s="1" t="s">
        <v>95</v>
      </c>
      <c r="AQ68" s="1">
        <v>14.3</v>
      </c>
      <c r="AR68" s="1">
        <v>53.2</v>
      </c>
      <c r="AS68" s="1">
        <v>38</v>
      </c>
      <c r="AT68" s="1" t="s">
        <v>96</v>
      </c>
      <c r="AU68" s="1" t="s">
        <v>86</v>
      </c>
      <c r="AV68" s="1" t="s">
        <v>86</v>
      </c>
      <c r="AW68" s="1" t="s">
        <v>86</v>
      </c>
      <c r="AX68" s="1" t="s">
        <v>86</v>
      </c>
      <c r="AY68" s="1" t="s">
        <v>86</v>
      </c>
      <c r="AZ68" s="1" t="s">
        <v>86</v>
      </c>
      <c r="BA68" s="1" t="s">
        <v>86</v>
      </c>
      <c r="BB68" s="1" t="s">
        <v>86</v>
      </c>
      <c r="BC68" s="1" t="s">
        <v>86</v>
      </c>
      <c r="BD68" s="1" t="s">
        <v>86</v>
      </c>
      <c r="BE68" s="1" t="s">
        <v>86</v>
      </c>
      <c r="BF68" s="1" t="s">
        <v>86</v>
      </c>
      <c r="BG68" s="1" t="s">
        <v>86</v>
      </c>
      <c r="BH68" s="1" t="s">
        <v>129</v>
      </c>
      <c r="BI68" s="1" t="s">
        <v>232</v>
      </c>
      <c r="BJ68" s="1" t="s">
        <v>87</v>
      </c>
      <c r="BK68" s="1">
        <v>0</v>
      </c>
      <c r="BL68" s="1">
        <v>0</v>
      </c>
      <c r="BM68" s="1" t="s">
        <v>86</v>
      </c>
      <c r="BN68" s="1" t="s">
        <v>557</v>
      </c>
      <c r="BO68" s="1" t="s">
        <v>558</v>
      </c>
      <c r="BP68" s="1" t="s">
        <v>86</v>
      </c>
      <c r="BQ68" s="1" t="s">
        <v>86</v>
      </c>
      <c r="BR68" s="1" t="s">
        <v>86</v>
      </c>
      <c r="BS68" s="1" t="s">
        <v>86</v>
      </c>
      <c r="BT68" s="1" t="s">
        <v>86</v>
      </c>
      <c r="BU68" s="1" t="s">
        <v>163</v>
      </c>
      <c r="BV68" s="1" t="s">
        <v>86</v>
      </c>
      <c r="BW68" s="1" t="s">
        <v>101</v>
      </c>
      <c r="BX68" s="1" t="s">
        <v>401</v>
      </c>
      <c r="BY68" s="1" t="s">
        <v>86</v>
      </c>
      <c r="BZ68" s="1" t="s">
        <v>559</v>
      </c>
      <c r="CA68" s="1" t="s">
        <v>220</v>
      </c>
      <c r="CB68" s="1" t="s">
        <v>221</v>
      </c>
      <c r="CC68" s="1" t="s">
        <v>86</v>
      </c>
      <c r="CD68" s="1" t="s">
        <v>86</v>
      </c>
      <c r="CE68" s="1" t="s">
        <v>86</v>
      </c>
    </row>
    <row r="69">
      <c r="A69" s="1">
        <v>67</v>
      </c>
      <c r="B69" s="1" t="s">
        <v>395</v>
      </c>
      <c r="C69" s="2">
        <f>=HYPERLINK("https://i.stonehdfile.com/stoneimage?s=0316bff9-e274-484a-b6d5-4d12999b0258","Image")</f>
      </c>
      <c r="D69" s="2">
        <f>=HYPERLINK("https://dna.stonehdfile.com/hd/viewhd.html?d=32e86cb7-8e3d-4140-85b9-9b35657c80a9","View360")</f>
      </c>
      <c r="E69" s="2">
        <f>=HYPERLINK("https://i.stonehdfile.com/Certificate?s=0316bff9-e274-484a-b6d5-4d12999b0258","GIA")</f>
      </c>
      <c r="F69" s="2">
        <f>=HYPERLINK("https://i.stonehdfile.com/DNAReport?s=0316bff9-e274-484a-b6d5-4d12999b0258","DNA")</f>
      </c>
      <c r="G69" s="2">
        <f>=HYPERLINK("https://www.gia.edu/report-check?reportno=******5164","Verify")</f>
      </c>
      <c r="H69" s="1" t="s">
        <v>560</v>
      </c>
      <c r="I69" s="1" t="s">
        <v>46</v>
      </c>
      <c r="J69" s="1">
        <v>1.5</v>
      </c>
      <c r="K69" s="1">
        <v>0</v>
      </c>
      <c r="L69" s="1">
        <v>9300</v>
      </c>
      <c r="M69" s="1">
        <v>4263</v>
      </c>
      <c r="N69" s="1">
        <v>6394.5</v>
      </c>
      <c r="O69" s="1">
        <v>-54.16</v>
      </c>
      <c r="P69" s="1">
        <v>0</v>
      </c>
      <c r="Q69" s="1" t="s">
        <v>86</v>
      </c>
      <c r="R69" s="1">
        <v>0</v>
      </c>
      <c r="S69" s="1" t="s">
        <v>86</v>
      </c>
      <c r="T69" s="1" t="s">
        <v>86</v>
      </c>
      <c r="U69" s="1" t="s">
        <v>87</v>
      </c>
      <c r="V69" s="1" t="s">
        <v>86</v>
      </c>
      <c r="W69" s="1" t="s">
        <v>137</v>
      </c>
      <c r="X69" s="1" t="s">
        <v>86</v>
      </c>
      <c r="Y69" s="1" t="s">
        <v>89</v>
      </c>
      <c r="Z69" s="1" t="s">
        <v>138</v>
      </c>
      <c r="AA69" s="1" t="s">
        <v>87</v>
      </c>
      <c r="AB69" s="1" t="s">
        <v>86</v>
      </c>
      <c r="AC69" s="1" t="s">
        <v>561</v>
      </c>
      <c r="AD69" s="1">
        <v>69.5</v>
      </c>
      <c r="AE69" s="1">
        <v>61</v>
      </c>
      <c r="AF69" s="1" t="s">
        <v>91</v>
      </c>
      <c r="AG69" s="1">
        <v>3.9</v>
      </c>
      <c r="AH69" s="1">
        <v>36.3</v>
      </c>
      <c r="AI69" s="1" t="s">
        <v>86</v>
      </c>
      <c r="AJ69" s="1">
        <v>1.18</v>
      </c>
      <c r="AK69" s="1" t="s">
        <v>111</v>
      </c>
      <c r="AL69" s="1" t="s">
        <v>140</v>
      </c>
      <c r="AM69" s="1" t="s">
        <v>140</v>
      </c>
      <c r="AN69" s="1" t="s">
        <v>171</v>
      </c>
      <c r="AO69" s="1" t="s">
        <v>94</v>
      </c>
      <c r="AP69" s="1" t="s">
        <v>95</v>
      </c>
      <c r="AQ69" s="1">
        <v>14.3</v>
      </c>
      <c r="AR69" s="1">
        <v>51.2</v>
      </c>
      <c r="AS69" s="1">
        <v>38</v>
      </c>
      <c r="AT69" s="1" t="s">
        <v>96</v>
      </c>
      <c r="AU69" s="1" t="s">
        <v>86</v>
      </c>
      <c r="AV69" s="1" t="s">
        <v>86</v>
      </c>
      <c r="AW69" s="1" t="s">
        <v>86</v>
      </c>
      <c r="AX69" s="1" t="s">
        <v>86</v>
      </c>
      <c r="AY69" s="1" t="s">
        <v>86</v>
      </c>
      <c r="AZ69" s="1" t="s">
        <v>86</v>
      </c>
      <c r="BA69" s="1" t="s">
        <v>86</v>
      </c>
      <c r="BB69" s="1" t="s">
        <v>86</v>
      </c>
      <c r="BC69" s="1" t="s">
        <v>86</v>
      </c>
      <c r="BD69" s="1" t="s">
        <v>112</v>
      </c>
      <c r="BE69" s="1" t="s">
        <v>86</v>
      </c>
      <c r="BF69" s="1" t="s">
        <v>86</v>
      </c>
      <c r="BG69" s="1" t="s">
        <v>172</v>
      </c>
      <c r="BH69" s="1" t="s">
        <v>215</v>
      </c>
      <c r="BI69" s="1" t="s">
        <v>562</v>
      </c>
      <c r="BJ69" s="1" t="s">
        <v>87</v>
      </c>
      <c r="BK69" s="1">
        <v>0</v>
      </c>
      <c r="BL69" s="1">
        <v>0</v>
      </c>
      <c r="BM69" s="1" t="s">
        <v>398</v>
      </c>
      <c r="BN69" s="1" t="s">
        <v>563</v>
      </c>
      <c r="BO69" s="1" t="s">
        <v>564</v>
      </c>
      <c r="BP69" s="1" t="s">
        <v>86</v>
      </c>
      <c r="BQ69" s="1" t="s">
        <v>86</v>
      </c>
      <c r="BR69" s="1" t="s">
        <v>86</v>
      </c>
      <c r="BS69" s="1" t="s">
        <v>86</v>
      </c>
      <c r="BT69" s="1" t="s">
        <v>86</v>
      </c>
      <c r="BU69" s="1" t="s">
        <v>163</v>
      </c>
      <c r="BV69" s="1" t="s">
        <v>86</v>
      </c>
      <c r="BW69" s="1" t="s">
        <v>101</v>
      </c>
      <c r="BX69" s="1" t="s">
        <v>565</v>
      </c>
      <c r="BY69" s="1" t="s">
        <v>86</v>
      </c>
      <c r="BZ69" s="1" t="s">
        <v>566</v>
      </c>
      <c r="CA69" s="1" t="s">
        <v>567</v>
      </c>
      <c r="CB69" s="1" t="s">
        <v>179</v>
      </c>
      <c r="CC69" s="1" t="s">
        <v>86</v>
      </c>
      <c r="CD69" s="1" t="s">
        <v>86</v>
      </c>
      <c r="CE69" s="1" t="s">
        <v>86</v>
      </c>
    </row>
    <row r="70">
      <c r="A70" s="1">
        <v>68</v>
      </c>
      <c r="B70" s="1" t="s">
        <v>395</v>
      </c>
      <c r="C70" s="2">
        <f>=HYPERLINK("https://i.stonehdfile.com/stoneimage?s=44c9d32f-d108-4cd6-b17b-78fe7a846800","Image")</f>
      </c>
      <c r="D70" s="2">
        <f>=HYPERLINK("https://dna.stonehdfile.com/hd/viewhd.html?d=21f46c48-3efb-462c-8b51-5f3b06973ad0","View360")</f>
      </c>
      <c r="E70" s="2">
        <f>=HYPERLINK("https://i.stonehdfile.com/Certificate?s=44c9d32f-d108-4cd6-b17b-78fe7a846800","GIA")</f>
      </c>
      <c r="F70" s="2">
        <f>=HYPERLINK("https://i.stonehdfile.com/DNAReport?s=44c9d32f-d108-4cd6-b17b-78fe7a846800","DNA")</f>
      </c>
      <c r="G70" s="2">
        <f>=HYPERLINK("https://www.gia.edu/report-check?reportno=******8413","Verify")</f>
      </c>
      <c r="H70" s="1" t="s">
        <v>568</v>
      </c>
      <c r="I70" s="1" t="s">
        <v>46</v>
      </c>
      <c r="J70" s="1">
        <v>1.5</v>
      </c>
      <c r="K70" s="1">
        <v>5</v>
      </c>
      <c r="L70" s="1">
        <v>7400</v>
      </c>
      <c r="M70" s="1">
        <v>3004</v>
      </c>
      <c r="N70" s="1">
        <v>4506</v>
      </c>
      <c r="O70" s="1">
        <v>-59.41</v>
      </c>
      <c r="P70" s="1">
        <v>0</v>
      </c>
      <c r="Q70" s="1" t="s">
        <v>86</v>
      </c>
      <c r="R70" s="1">
        <v>0</v>
      </c>
      <c r="S70" s="1" t="s">
        <v>86</v>
      </c>
      <c r="T70" s="1" t="s">
        <v>86</v>
      </c>
      <c r="U70" s="1" t="s">
        <v>87</v>
      </c>
      <c r="V70" s="1" t="s">
        <v>86</v>
      </c>
      <c r="W70" s="1" t="s">
        <v>213</v>
      </c>
      <c r="X70" s="1" t="s">
        <v>86</v>
      </c>
      <c r="Y70" s="1" t="s">
        <v>89</v>
      </c>
      <c r="Z70" s="1" t="s">
        <v>138</v>
      </c>
      <c r="AA70" s="1" t="s">
        <v>119</v>
      </c>
      <c r="AB70" s="1" t="s">
        <v>86</v>
      </c>
      <c r="AC70" s="1" t="s">
        <v>569</v>
      </c>
      <c r="AD70" s="1">
        <v>69.4</v>
      </c>
      <c r="AE70" s="1">
        <v>62</v>
      </c>
      <c r="AF70" s="1" t="s">
        <v>91</v>
      </c>
      <c r="AG70" s="1">
        <v>1.8</v>
      </c>
      <c r="AH70" s="1">
        <v>33</v>
      </c>
      <c r="AI70" s="1" t="s">
        <v>86</v>
      </c>
      <c r="AJ70" s="1">
        <v>1.25</v>
      </c>
      <c r="AK70" s="1" t="s">
        <v>198</v>
      </c>
      <c r="AL70" s="1" t="s">
        <v>93</v>
      </c>
      <c r="AM70" s="1" t="s">
        <v>151</v>
      </c>
      <c r="AN70" s="1" t="s">
        <v>168</v>
      </c>
      <c r="AO70" s="1" t="s">
        <v>208</v>
      </c>
      <c r="AP70" s="1" t="s">
        <v>95</v>
      </c>
      <c r="AQ70" s="1">
        <v>12.2</v>
      </c>
      <c r="AR70" s="1">
        <v>54.7</v>
      </c>
      <c r="AS70" s="1">
        <v>38.6</v>
      </c>
      <c r="AT70" s="1" t="s">
        <v>96</v>
      </c>
      <c r="AU70" s="1" t="s">
        <v>86</v>
      </c>
      <c r="AV70" s="1" t="s">
        <v>86</v>
      </c>
      <c r="AW70" s="1" t="s">
        <v>86</v>
      </c>
      <c r="AX70" s="1" t="s">
        <v>86</v>
      </c>
      <c r="AY70" s="1" t="s">
        <v>86</v>
      </c>
      <c r="AZ70" s="1" t="s">
        <v>86</v>
      </c>
      <c r="BA70" s="1" t="s">
        <v>86</v>
      </c>
      <c r="BB70" s="1" t="s">
        <v>86</v>
      </c>
      <c r="BC70" s="1" t="s">
        <v>86</v>
      </c>
      <c r="BD70" s="1" t="s">
        <v>86</v>
      </c>
      <c r="BE70" s="1" t="s">
        <v>86</v>
      </c>
      <c r="BF70" s="1" t="s">
        <v>86</v>
      </c>
      <c r="BG70" s="1" t="s">
        <v>86</v>
      </c>
      <c r="BH70" s="1" t="s">
        <v>273</v>
      </c>
      <c r="BI70" s="1" t="s">
        <v>570</v>
      </c>
      <c r="BJ70" s="1" t="s">
        <v>87</v>
      </c>
      <c r="BK70" s="1">
        <v>0</v>
      </c>
      <c r="BL70" s="1">
        <v>0</v>
      </c>
      <c r="BM70" s="1" t="s">
        <v>398</v>
      </c>
      <c r="BN70" s="1" t="s">
        <v>571</v>
      </c>
      <c r="BO70" s="1" t="s">
        <v>572</v>
      </c>
      <c r="BP70" s="1" t="s">
        <v>86</v>
      </c>
      <c r="BQ70" s="1" t="s">
        <v>86</v>
      </c>
      <c r="BR70" s="1" t="s">
        <v>86</v>
      </c>
      <c r="BS70" s="1" t="s">
        <v>86</v>
      </c>
      <c r="BT70" s="1" t="s">
        <v>86</v>
      </c>
      <c r="BU70" s="1" t="s">
        <v>163</v>
      </c>
      <c r="BV70" s="1" t="s">
        <v>86</v>
      </c>
      <c r="BW70" s="1" t="s">
        <v>101</v>
      </c>
      <c r="BX70" s="1" t="s">
        <v>439</v>
      </c>
      <c r="BY70" s="1" t="s">
        <v>86</v>
      </c>
      <c r="BZ70" s="1" t="s">
        <v>573</v>
      </c>
      <c r="CA70" s="1" t="s">
        <v>195</v>
      </c>
      <c r="CB70" s="1" t="s">
        <v>166</v>
      </c>
      <c r="CC70" s="1" t="s">
        <v>86</v>
      </c>
      <c r="CD70" s="1" t="s">
        <v>86</v>
      </c>
      <c r="CE70" s="1" t="s">
        <v>86</v>
      </c>
    </row>
    <row r="71">
      <c r="A71" s="1">
        <v>69</v>
      </c>
      <c r="B71" s="1" t="s">
        <v>395</v>
      </c>
      <c r="C71" s="2">
        <f>=HYPERLINK("https://i.stonehdfile.com/stoneimage?s=c85fa6f8-4014-465e-8595-b493eaa242be","Image")</f>
      </c>
      <c r="D71" s="2">
        <f>=HYPERLINK("https://dna.stonehdfile.com/hd/viewhd.html?d=9427c584-7cd5-4b37-9eb4-c09d77908d65","View360")</f>
      </c>
      <c r="E71" s="2">
        <f>=HYPERLINK("https://i.stonehdfile.com/Certificate?s=c85fa6f8-4014-465e-8595-b493eaa242be","GIA")</f>
      </c>
      <c r="F71" s="2">
        <f>=HYPERLINK("https://i.stonehdfile.com/DNAReport?s=c85fa6f8-4014-465e-8595-b493eaa242be","DNA")</f>
      </c>
      <c r="G71" s="2">
        <f>=HYPERLINK("https://www.gia.edu/report-check?reportno=******3420","Verify")</f>
      </c>
      <c r="H71" s="1" t="s">
        <v>574</v>
      </c>
      <c r="I71" s="1" t="s">
        <v>46</v>
      </c>
      <c r="J71" s="1">
        <v>1.51</v>
      </c>
      <c r="K71" s="1">
        <v>1</v>
      </c>
      <c r="L71" s="1">
        <v>11700</v>
      </c>
      <c r="M71" s="1">
        <v>5640</v>
      </c>
      <c r="N71" s="1">
        <v>8516.4</v>
      </c>
      <c r="O71" s="1">
        <v>-51.79</v>
      </c>
      <c r="P71" s="1">
        <v>0</v>
      </c>
      <c r="Q71" s="1" t="s">
        <v>86</v>
      </c>
      <c r="R71" s="1">
        <v>0</v>
      </c>
      <c r="S71" s="1" t="s">
        <v>86</v>
      </c>
      <c r="T71" s="1" t="s">
        <v>86</v>
      </c>
      <c r="U71" s="1" t="s">
        <v>106</v>
      </c>
      <c r="V71" s="1" t="s">
        <v>86</v>
      </c>
      <c r="W71" s="1" t="s">
        <v>474</v>
      </c>
      <c r="X71" s="1" t="s">
        <v>86</v>
      </c>
      <c r="Y71" s="1" t="s">
        <v>89</v>
      </c>
      <c r="Z71" s="1" t="s">
        <v>138</v>
      </c>
      <c r="AA71" s="1" t="s">
        <v>119</v>
      </c>
      <c r="AB71" s="1" t="s">
        <v>86</v>
      </c>
      <c r="AC71" s="1" t="s">
        <v>575</v>
      </c>
      <c r="AD71" s="1">
        <v>68.8</v>
      </c>
      <c r="AE71" s="1">
        <v>59</v>
      </c>
      <c r="AF71" s="1" t="s">
        <v>91</v>
      </c>
      <c r="AG71" s="1">
        <v>3.6</v>
      </c>
      <c r="AH71" s="1">
        <v>35.2</v>
      </c>
      <c r="AI71" s="1" t="s">
        <v>86</v>
      </c>
      <c r="AJ71" s="1">
        <v>1.07</v>
      </c>
      <c r="AK71" s="1" t="s">
        <v>190</v>
      </c>
      <c r="AL71" s="1" t="s">
        <v>93</v>
      </c>
      <c r="AM71" s="1" t="s">
        <v>93</v>
      </c>
      <c r="AN71" s="1" t="s">
        <v>86</v>
      </c>
      <c r="AO71" s="1" t="s">
        <v>94</v>
      </c>
      <c r="AP71" s="1" t="s">
        <v>95</v>
      </c>
      <c r="AQ71" s="1">
        <v>14.1</v>
      </c>
      <c r="AR71" s="1">
        <v>50.9</v>
      </c>
      <c r="AS71" s="1">
        <v>38.7</v>
      </c>
      <c r="AT71" s="1" t="s">
        <v>96</v>
      </c>
      <c r="AU71" s="1" t="s">
        <v>86</v>
      </c>
      <c r="AV71" s="1" t="s">
        <v>86</v>
      </c>
      <c r="AW71" s="1" t="s">
        <v>86</v>
      </c>
      <c r="AX71" s="1" t="s">
        <v>86</v>
      </c>
      <c r="AY71" s="1" t="s">
        <v>86</v>
      </c>
      <c r="AZ71" s="1" t="s">
        <v>86</v>
      </c>
      <c r="BA71" s="1" t="s">
        <v>86</v>
      </c>
      <c r="BB71" s="1" t="s">
        <v>86</v>
      </c>
      <c r="BC71" s="1" t="s">
        <v>86</v>
      </c>
      <c r="BD71" s="1" t="s">
        <v>86</v>
      </c>
      <c r="BE71" s="1" t="s">
        <v>86</v>
      </c>
      <c r="BF71" s="1" t="s">
        <v>86</v>
      </c>
      <c r="BG71" s="1" t="s">
        <v>172</v>
      </c>
      <c r="BH71" s="1" t="s">
        <v>215</v>
      </c>
      <c r="BI71" s="1" t="s">
        <v>576</v>
      </c>
      <c r="BJ71" s="1" t="s">
        <v>87</v>
      </c>
      <c r="BK71" s="1">
        <v>0</v>
      </c>
      <c r="BL71" s="1">
        <v>0</v>
      </c>
      <c r="BM71" s="1" t="s">
        <v>398</v>
      </c>
      <c r="BN71" s="1" t="s">
        <v>577</v>
      </c>
      <c r="BO71" s="1" t="s">
        <v>578</v>
      </c>
      <c r="BP71" s="1" t="s">
        <v>86</v>
      </c>
      <c r="BQ71" s="1" t="s">
        <v>86</v>
      </c>
      <c r="BR71" s="1" t="s">
        <v>86</v>
      </c>
      <c r="BS71" s="1" t="s">
        <v>86</v>
      </c>
      <c r="BT71" s="1" t="s">
        <v>86</v>
      </c>
      <c r="BU71" s="1" t="s">
        <v>163</v>
      </c>
      <c r="BV71" s="1" t="s">
        <v>86</v>
      </c>
      <c r="BW71" s="1" t="s">
        <v>101</v>
      </c>
      <c r="BX71" s="1" t="s">
        <v>401</v>
      </c>
      <c r="BY71" s="1" t="s">
        <v>86</v>
      </c>
      <c r="BZ71" s="1" t="s">
        <v>579</v>
      </c>
      <c r="CA71" s="1" t="s">
        <v>319</v>
      </c>
      <c r="CB71" s="1" t="s">
        <v>580</v>
      </c>
      <c r="CC71" s="1" t="s">
        <v>86</v>
      </c>
      <c r="CD71" s="1" t="s">
        <v>86</v>
      </c>
      <c r="CE71" s="1" t="s">
        <v>86</v>
      </c>
    </row>
    <row r="72">
      <c r="A72" s="1">
        <v>70</v>
      </c>
      <c r="B72" s="1" t="s">
        <v>395</v>
      </c>
      <c r="C72" s="2">
        <f>=HYPERLINK("https://i.stonehdfile.com/stoneimage?s=85f8456d-930e-4080-bb1a-b1dc05b14aa5","Image")</f>
      </c>
      <c r="D72" s="2">
        <f>=HYPERLINK("https://dna.stonehdfile.com/hd/viewhd.html?d=b5f1aab1-65a1-4b85-b176-7711fb0c8e26","View360")</f>
      </c>
      <c r="E72" s="2">
        <f>=HYPERLINK("https://i.stonehdfile.com/Certificate?s=85f8456d-930e-4080-bb1a-b1dc05b14aa5","GIA")</f>
      </c>
      <c r="F72" s="2">
        <f>=HYPERLINK("https://i.stonehdfile.com/DNAReport?s=85f8456d-930e-4080-bb1a-b1dc05b14aa5","DNA")</f>
      </c>
      <c r="G72" s="2">
        <f>=HYPERLINK("https://www.gia.edu/report-check?reportno=******8034","Verify")</f>
      </c>
      <c r="H72" s="1" t="s">
        <v>581</v>
      </c>
      <c r="I72" s="1" t="s">
        <v>46</v>
      </c>
      <c r="J72" s="1">
        <v>1.5</v>
      </c>
      <c r="K72" s="1">
        <v>6</v>
      </c>
      <c r="L72" s="1">
        <v>11700</v>
      </c>
      <c r="M72" s="1">
        <v>6102</v>
      </c>
      <c r="N72" s="1">
        <v>9153</v>
      </c>
      <c r="O72" s="1">
        <v>-47.85</v>
      </c>
      <c r="P72" s="1">
        <v>0</v>
      </c>
      <c r="Q72" s="1" t="s">
        <v>86</v>
      </c>
      <c r="R72" s="1">
        <v>0</v>
      </c>
      <c r="S72" s="1" t="s">
        <v>86</v>
      </c>
      <c r="T72" s="1" t="s">
        <v>86</v>
      </c>
      <c r="U72" s="1" t="s">
        <v>106</v>
      </c>
      <c r="V72" s="1" t="s">
        <v>86</v>
      </c>
      <c r="W72" s="1" t="s">
        <v>88</v>
      </c>
      <c r="X72" s="1" t="s">
        <v>86</v>
      </c>
      <c r="Y72" s="1" t="s">
        <v>89</v>
      </c>
      <c r="Z72" s="1" t="s">
        <v>89</v>
      </c>
      <c r="AA72" s="1" t="s">
        <v>119</v>
      </c>
      <c r="AB72" s="1" t="s">
        <v>86</v>
      </c>
      <c r="AC72" s="1" t="s">
        <v>582</v>
      </c>
      <c r="AD72" s="1">
        <v>68.8</v>
      </c>
      <c r="AE72" s="1">
        <v>65</v>
      </c>
      <c r="AF72" s="1" t="s">
        <v>91</v>
      </c>
      <c r="AG72" s="1">
        <v>3</v>
      </c>
      <c r="AH72" s="1">
        <v>36.5</v>
      </c>
      <c r="AI72" s="1" t="s">
        <v>86</v>
      </c>
      <c r="AJ72" s="1">
        <v>1.06</v>
      </c>
      <c r="AK72" s="1" t="s">
        <v>190</v>
      </c>
      <c r="AL72" s="1" t="s">
        <v>93</v>
      </c>
      <c r="AM72" s="1" t="s">
        <v>93</v>
      </c>
      <c r="AN72" s="1" t="s">
        <v>86</v>
      </c>
      <c r="AO72" s="1" t="s">
        <v>94</v>
      </c>
      <c r="AP72" s="1" t="s">
        <v>95</v>
      </c>
      <c r="AQ72" s="1">
        <v>13</v>
      </c>
      <c r="AR72" s="1">
        <v>52.6</v>
      </c>
      <c r="AS72" s="1">
        <v>39.5</v>
      </c>
      <c r="AT72" s="1" t="s">
        <v>96</v>
      </c>
      <c r="AU72" s="1" t="s">
        <v>86</v>
      </c>
      <c r="AV72" s="1" t="s">
        <v>86</v>
      </c>
      <c r="AW72" s="1" t="s">
        <v>86</v>
      </c>
      <c r="AX72" s="1" t="s">
        <v>86</v>
      </c>
      <c r="AY72" s="1" t="s">
        <v>86</v>
      </c>
      <c r="AZ72" s="1" t="s">
        <v>86</v>
      </c>
      <c r="BA72" s="1" t="s">
        <v>86</v>
      </c>
      <c r="BB72" s="1" t="s">
        <v>86</v>
      </c>
      <c r="BC72" s="1" t="s">
        <v>86</v>
      </c>
      <c r="BD72" s="1" t="s">
        <v>86</v>
      </c>
      <c r="BE72" s="1" t="s">
        <v>86</v>
      </c>
      <c r="BF72" s="1" t="s">
        <v>86</v>
      </c>
      <c r="BG72" s="1" t="s">
        <v>86</v>
      </c>
      <c r="BH72" s="1" t="s">
        <v>429</v>
      </c>
      <c r="BI72" s="1" t="s">
        <v>315</v>
      </c>
      <c r="BJ72" s="1" t="s">
        <v>87</v>
      </c>
      <c r="BK72" s="1">
        <v>0</v>
      </c>
      <c r="BL72" s="1">
        <v>0</v>
      </c>
      <c r="BM72" s="1" t="s">
        <v>398</v>
      </c>
      <c r="BN72" s="1" t="s">
        <v>583</v>
      </c>
      <c r="BO72" s="1" t="s">
        <v>518</v>
      </c>
      <c r="BP72" s="1" t="s">
        <v>86</v>
      </c>
      <c r="BQ72" s="1" t="s">
        <v>86</v>
      </c>
      <c r="BR72" s="1" t="s">
        <v>86</v>
      </c>
      <c r="BS72" s="1" t="s">
        <v>86</v>
      </c>
      <c r="BT72" s="1" t="s">
        <v>86</v>
      </c>
      <c r="BU72" s="1" t="s">
        <v>163</v>
      </c>
      <c r="BV72" s="1" t="s">
        <v>86</v>
      </c>
      <c r="BW72" s="1" t="s">
        <v>101</v>
      </c>
      <c r="BX72" s="1" t="s">
        <v>439</v>
      </c>
      <c r="BY72" s="1" t="s">
        <v>86</v>
      </c>
      <c r="BZ72" s="1" t="s">
        <v>584</v>
      </c>
      <c r="CA72" s="1" t="s">
        <v>332</v>
      </c>
      <c r="CB72" s="1" t="s">
        <v>86</v>
      </c>
      <c r="CC72" s="1" t="s">
        <v>86</v>
      </c>
      <c r="CD72" s="1" t="s">
        <v>86</v>
      </c>
      <c r="CE72" s="1" t="s">
        <v>86</v>
      </c>
    </row>
    <row r="73">
      <c r="A73" s="1">
        <v>71</v>
      </c>
      <c r="B73" s="1" t="s">
        <v>395</v>
      </c>
      <c r="C73" s="2">
        <f>=HYPERLINK("https://i.stonehdfile.com/stoneimage?s=630af456-3680-454a-8452-6646c7906d07","Image")</f>
      </c>
      <c r="D73" s="2">
        <f>=HYPERLINK("https://dna.stonehdfile.com/hd/viewhd.html?d=c74cd79c-8a3a-4d51-986a-e70b22b42caf","View360")</f>
      </c>
      <c r="E73" s="2">
        <f>=HYPERLINK("https://i.stonehdfile.com/Certificate?s=630af456-3680-454a-8452-6646c7906d07","GIA")</f>
      </c>
      <c r="F73" s="2">
        <f>=HYPERLINK("https://i.stonehdfile.com/DNAReport?s=630af456-3680-454a-8452-6646c7906d07","DNA")</f>
      </c>
      <c r="G73" s="2">
        <f>=HYPERLINK("https://www.gia.edu/report-check?reportno=******7604","Verify")</f>
      </c>
      <c r="H73" s="1" t="s">
        <v>585</v>
      </c>
      <c r="I73" s="1" t="s">
        <v>46</v>
      </c>
      <c r="J73" s="1">
        <v>1.51</v>
      </c>
      <c r="K73" s="1">
        <v>0</v>
      </c>
      <c r="L73" s="1">
        <v>11700</v>
      </c>
      <c r="M73" s="1">
        <v>4074</v>
      </c>
      <c r="N73" s="1">
        <v>6151.74</v>
      </c>
      <c r="O73" s="1">
        <v>-65.18</v>
      </c>
      <c r="P73" s="1">
        <v>0</v>
      </c>
      <c r="Q73" s="1" t="s">
        <v>86</v>
      </c>
      <c r="R73" s="1">
        <v>0</v>
      </c>
      <c r="S73" s="1" t="s">
        <v>86</v>
      </c>
      <c r="T73" s="1" t="s">
        <v>86</v>
      </c>
      <c r="U73" s="1" t="s">
        <v>241</v>
      </c>
      <c r="V73" s="1" t="s">
        <v>86</v>
      </c>
      <c r="W73" s="1" t="s">
        <v>88</v>
      </c>
      <c r="X73" s="1" t="s">
        <v>86</v>
      </c>
      <c r="Y73" s="1" t="s">
        <v>89</v>
      </c>
      <c r="Z73" s="1" t="s">
        <v>89</v>
      </c>
      <c r="AA73" s="1" t="s">
        <v>87</v>
      </c>
      <c r="AB73" s="1" t="s">
        <v>86</v>
      </c>
      <c r="AC73" s="1" t="s">
        <v>586</v>
      </c>
      <c r="AD73" s="1">
        <v>71.8</v>
      </c>
      <c r="AE73" s="1">
        <v>66</v>
      </c>
      <c r="AF73" s="1" t="s">
        <v>91</v>
      </c>
      <c r="AG73" s="1">
        <v>4.8</v>
      </c>
      <c r="AH73" s="1">
        <v>36.6</v>
      </c>
      <c r="AI73" s="1" t="s">
        <v>86</v>
      </c>
      <c r="AJ73" s="1">
        <v>1.09</v>
      </c>
      <c r="AK73" s="1" t="s">
        <v>111</v>
      </c>
      <c r="AL73" s="1" t="s">
        <v>93</v>
      </c>
      <c r="AM73" s="1" t="s">
        <v>128</v>
      </c>
      <c r="AN73" s="1" t="s">
        <v>86</v>
      </c>
      <c r="AO73" s="1" t="s">
        <v>94</v>
      </c>
      <c r="AP73" s="1" t="s">
        <v>95</v>
      </c>
      <c r="AQ73" s="1">
        <v>12.5</v>
      </c>
      <c r="AR73" s="1">
        <v>54.1</v>
      </c>
      <c r="AS73" s="1">
        <v>38.9</v>
      </c>
      <c r="AT73" s="1" t="s">
        <v>96</v>
      </c>
      <c r="AU73" s="1" t="s">
        <v>86</v>
      </c>
      <c r="AV73" s="1" t="s">
        <v>86</v>
      </c>
      <c r="AW73" s="1" t="s">
        <v>86</v>
      </c>
      <c r="AX73" s="1" t="s">
        <v>86</v>
      </c>
      <c r="AY73" s="1" t="s">
        <v>86</v>
      </c>
      <c r="AZ73" s="1" t="s">
        <v>86</v>
      </c>
      <c r="BA73" s="1" t="s">
        <v>86</v>
      </c>
      <c r="BB73" s="1" t="s">
        <v>86</v>
      </c>
      <c r="BC73" s="1" t="s">
        <v>86</v>
      </c>
      <c r="BD73" s="1" t="s">
        <v>86</v>
      </c>
      <c r="BE73" s="1" t="s">
        <v>86</v>
      </c>
      <c r="BF73" s="1" t="s">
        <v>86</v>
      </c>
      <c r="BG73" s="1" t="s">
        <v>86</v>
      </c>
      <c r="BH73" s="1" t="s">
        <v>129</v>
      </c>
      <c r="BI73" s="1" t="s">
        <v>587</v>
      </c>
      <c r="BJ73" s="1" t="s">
        <v>87</v>
      </c>
      <c r="BK73" s="1">
        <v>0</v>
      </c>
      <c r="BL73" s="1">
        <v>0</v>
      </c>
      <c r="BM73" s="1" t="s">
        <v>398</v>
      </c>
      <c r="BN73" s="1" t="s">
        <v>588</v>
      </c>
      <c r="BO73" s="1" t="s">
        <v>589</v>
      </c>
      <c r="BP73" s="1" t="s">
        <v>86</v>
      </c>
      <c r="BQ73" s="1" t="s">
        <v>86</v>
      </c>
      <c r="BR73" s="1" t="s">
        <v>86</v>
      </c>
      <c r="BS73" s="1" t="s">
        <v>86</v>
      </c>
      <c r="BT73" s="1" t="s">
        <v>86</v>
      </c>
      <c r="BU73" s="1" t="s">
        <v>590</v>
      </c>
      <c r="BV73" s="1" t="s">
        <v>86</v>
      </c>
      <c r="BW73" s="1" t="s">
        <v>101</v>
      </c>
      <c r="BX73" s="1" t="s">
        <v>439</v>
      </c>
      <c r="BY73" s="1" t="s">
        <v>86</v>
      </c>
      <c r="BZ73" s="1" t="s">
        <v>591</v>
      </c>
      <c r="CA73" s="1" t="s">
        <v>592</v>
      </c>
      <c r="CB73" s="1" t="s">
        <v>156</v>
      </c>
      <c r="CC73" s="1" t="s">
        <v>86</v>
      </c>
      <c r="CD73" s="1" t="s">
        <v>86</v>
      </c>
      <c r="CE73" s="1" t="s">
        <v>86</v>
      </c>
    </row>
    <row r="74">
      <c r="A74" s="1">
        <v>72</v>
      </c>
      <c r="B74" s="1" t="s">
        <v>395</v>
      </c>
      <c r="C74" s="2">
        <f>=HYPERLINK("https://i.stonehdfile.com/stoneimage?s=fa31cd9d-d113-437e-98b4-c543f098e345","Image")</f>
      </c>
      <c r="D74" s="2">
        <f>=HYPERLINK("https://dna.stonehdfile.com/hd/viewhd.html?d=d89a8ddc-ac95-40f1-9b55-0a882e3b8b7a","View360")</f>
      </c>
      <c r="E74" s="2">
        <f>=HYPERLINK("https://i.stonehdfile.com/Certificate?s=fa31cd9d-d113-437e-98b4-c543f098e345","GIA")</f>
      </c>
      <c r="F74" s="2">
        <f>=HYPERLINK("https://i.stonehdfile.com/DNAReport?s=fa31cd9d-d113-437e-98b4-c543f098e345","DNA")</f>
      </c>
      <c r="G74" s="2">
        <f>=HYPERLINK("https://www.gia.edu/report-check?reportno=******6479","Verify")</f>
      </c>
      <c r="H74" s="1" t="s">
        <v>593</v>
      </c>
      <c r="I74" s="1" t="s">
        <v>46</v>
      </c>
      <c r="J74" s="1">
        <v>1.5</v>
      </c>
      <c r="K74" s="1">
        <v>2</v>
      </c>
      <c r="L74" s="1">
        <v>11200</v>
      </c>
      <c r="M74" s="1">
        <v>4437</v>
      </c>
      <c r="N74" s="1">
        <v>6655.5</v>
      </c>
      <c r="O74" s="1">
        <v>-60.38</v>
      </c>
      <c r="P74" s="1">
        <v>0</v>
      </c>
      <c r="Q74" s="1" t="s">
        <v>86</v>
      </c>
      <c r="R74" s="1">
        <v>0</v>
      </c>
      <c r="S74" s="1" t="s">
        <v>86</v>
      </c>
      <c r="T74" s="1" t="s">
        <v>86</v>
      </c>
      <c r="U74" s="1" t="s">
        <v>106</v>
      </c>
      <c r="V74" s="1" t="s">
        <v>86</v>
      </c>
      <c r="W74" s="1" t="s">
        <v>107</v>
      </c>
      <c r="X74" s="1" t="s">
        <v>86</v>
      </c>
      <c r="Y74" s="1" t="s">
        <v>89</v>
      </c>
      <c r="Z74" s="1" t="s">
        <v>138</v>
      </c>
      <c r="AA74" s="1" t="s">
        <v>87</v>
      </c>
      <c r="AB74" s="1" t="s">
        <v>86</v>
      </c>
      <c r="AC74" s="1" t="s">
        <v>594</v>
      </c>
      <c r="AD74" s="1">
        <v>70.6</v>
      </c>
      <c r="AE74" s="1">
        <v>58</v>
      </c>
      <c r="AF74" s="1" t="s">
        <v>91</v>
      </c>
      <c r="AG74" s="1">
        <v>2.4</v>
      </c>
      <c r="AH74" s="1">
        <v>35.6</v>
      </c>
      <c r="AI74" s="1" t="s">
        <v>86</v>
      </c>
      <c r="AJ74" s="1">
        <v>1.04</v>
      </c>
      <c r="AK74" s="1" t="s">
        <v>190</v>
      </c>
      <c r="AL74" s="1" t="s">
        <v>93</v>
      </c>
      <c r="AM74" s="1" t="s">
        <v>93</v>
      </c>
      <c r="AN74" s="1" t="s">
        <v>86</v>
      </c>
      <c r="AO74" s="1" t="s">
        <v>94</v>
      </c>
      <c r="AP74" s="1" t="s">
        <v>95</v>
      </c>
      <c r="AQ74" s="1">
        <v>15.1</v>
      </c>
      <c r="AR74" s="1">
        <v>52.9</v>
      </c>
      <c r="AS74" s="1">
        <v>40.1</v>
      </c>
      <c r="AT74" s="1" t="s">
        <v>96</v>
      </c>
      <c r="AU74" s="1" t="s">
        <v>86</v>
      </c>
      <c r="AV74" s="1" t="s">
        <v>141</v>
      </c>
      <c r="AW74" s="1" t="s">
        <v>86</v>
      </c>
      <c r="AX74" s="1" t="s">
        <v>86</v>
      </c>
      <c r="AY74" s="1" t="s">
        <v>86</v>
      </c>
      <c r="AZ74" s="1" t="s">
        <v>86</v>
      </c>
      <c r="BA74" s="1" t="s">
        <v>86</v>
      </c>
      <c r="BB74" s="1" t="s">
        <v>86</v>
      </c>
      <c r="BC74" s="1" t="s">
        <v>86</v>
      </c>
      <c r="BD74" s="1" t="s">
        <v>86</v>
      </c>
      <c r="BE74" s="1" t="s">
        <v>86</v>
      </c>
      <c r="BF74" s="1" t="s">
        <v>86</v>
      </c>
      <c r="BG74" s="1" t="s">
        <v>86</v>
      </c>
      <c r="BH74" s="1" t="s">
        <v>182</v>
      </c>
      <c r="BI74" s="1" t="s">
        <v>354</v>
      </c>
      <c r="BJ74" s="1" t="s">
        <v>87</v>
      </c>
      <c r="BK74" s="1">
        <v>0</v>
      </c>
      <c r="BL74" s="1">
        <v>0</v>
      </c>
      <c r="BM74" s="1" t="s">
        <v>398</v>
      </c>
      <c r="BN74" s="1" t="s">
        <v>595</v>
      </c>
      <c r="BO74" s="1" t="s">
        <v>506</v>
      </c>
      <c r="BP74" s="1" t="s">
        <v>86</v>
      </c>
      <c r="BQ74" s="1" t="s">
        <v>86</v>
      </c>
      <c r="BR74" s="1" t="s">
        <v>86</v>
      </c>
      <c r="BS74" s="1" t="s">
        <v>86</v>
      </c>
      <c r="BT74" s="1" t="s">
        <v>86</v>
      </c>
      <c r="BU74" s="1" t="s">
        <v>163</v>
      </c>
      <c r="BV74" s="1" t="s">
        <v>86</v>
      </c>
      <c r="BW74" s="1" t="s">
        <v>101</v>
      </c>
      <c r="BX74" s="1" t="s">
        <v>401</v>
      </c>
      <c r="BY74" s="1" t="s">
        <v>86</v>
      </c>
      <c r="BZ74" s="1" t="s">
        <v>596</v>
      </c>
      <c r="CA74" s="1" t="s">
        <v>332</v>
      </c>
      <c r="CB74" s="1" t="s">
        <v>86</v>
      </c>
      <c r="CC74" s="1" t="s">
        <v>86</v>
      </c>
      <c r="CD74" s="1" t="s">
        <v>86</v>
      </c>
      <c r="CE74" s="1" t="s">
        <v>86</v>
      </c>
    </row>
    <row r="75">
      <c r="A75" s="1">
        <v>73</v>
      </c>
      <c r="B75" s="1" t="s">
        <v>395</v>
      </c>
      <c r="C75" s="2">
        <f>=HYPERLINK("https://i.stonehdfile.com/stoneimage?s=2affcae1-b7de-41ee-b47c-0c2b9b73b509","Image")</f>
      </c>
      <c r="D75" s="2">
        <f>=HYPERLINK("https://dna.stonehdfile.com/hd/viewhd.html?d=2d4acb25-b32d-4a32-921d-edd3e996ca4b","View360")</f>
      </c>
      <c r="E75" s="2">
        <f>=HYPERLINK("https://i.stonehdfile.com/Certificate?s=2affcae1-b7de-41ee-b47c-0c2b9b73b509","GIA")</f>
      </c>
      <c r="F75" s="2">
        <f>=HYPERLINK("https://i.stonehdfile.com/DNAReport?s=2affcae1-b7de-41ee-b47c-0c2b9b73b509","DNA")</f>
      </c>
      <c r="G75" s="2">
        <f>=HYPERLINK("https://www.gia.edu/report-check?reportno=******1093","Verify")</f>
      </c>
      <c r="H75" s="1" t="s">
        <v>597</v>
      </c>
      <c r="I75" s="1" t="s">
        <v>46</v>
      </c>
      <c r="J75" s="1">
        <v>1.5</v>
      </c>
      <c r="K75" s="1">
        <v>3</v>
      </c>
      <c r="L75" s="1">
        <v>11200</v>
      </c>
      <c r="M75" s="1">
        <v>5338</v>
      </c>
      <c r="N75" s="1">
        <v>8007</v>
      </c>
      <c r="O75" s="1">
        <v>-52.34</v>
      </c>
      <c r="P75" s="1">
        <v>0</v>
      </c>
      <c r="Q75" s="1" t="s">
        <v>86</v>
      </c>
      <c r="R75" s="1">
        <v>0</v>
      </c>
      <c r="S75" s="1" t="s">
        <v>86</v>
      </c>
      <c r="T75" s="1" t="s">
        <v>86</v>
      </c>
      <c r="U75" s="1" t="s">
        <v>106</v>
      </c>
      <c r="V75" s="1" t="s">
        <v>86</v>
      </c>
      <c r="W75" s="1" t="s">
        <v>107</v>
      </c>
      <c r="X75" s="1" t="s">
        <v>86</v>
      </c>
      <c r="Y75" s="1" t="s">
        <v>89</v>
      </c>
      <c r="Z75" s="1" t="s">
        <v>89</v>
      </c>
      <c r="AA75" s="1" t="s">
        <v>119</v>
      </c>
      <c r="AB75" s="1" t="s">
        <v>86</v>
      </c>
      <c r="AC75" s="1" t="s">
        <v>598</v>
      </c>
      <c r="AD75" s="1">
        <v>71.5</v>
      </c>
      <c r="AE75" s="1">
        <v>62</v>
      </c>
      <c r="AF75" s="1" t="s">
        <v>91</v>
      </c>
      <c r="AG75" s="1">
        <v>4</v>
      </c>
      <c r="AH75" s="1">
        <v>37.6</v>
      </c>
      <c r="AI75" s="1" t="s">
        <v>86</v>
      </c>
      <c r="AJ75" s="1">
        <v>1.19</v>
      </c>
      <c r="AK75" s="1" t="s">
        <v>190</v>
      </c>
      <c r="AL75" s="1" t="s">
        <v>93</v>
      </c>
      <c r="AM75" s="1" t="s">
        <v>128</v>
      </c>
      <c r="AN75" s="1" t="s">
        <v>86</v>
      </c>
      <c r="AO75" s="1" t="s">
        <v>94</v>
      </c>
      <c r="AP75" s="1" t="s">
        <v>95</v>
      </c>
      <c r="AQ75" s="1">
        <v>14.8</v>
      </c>
      <c r="AR75" s="1">
        <v>52.3</v>
      </c>
      <c r="AS75" s="1">
        <v>37.6</v>
      </c>
      <c r="AT75" s="1" t="s">
        <v>96</v>
      </c>
      <c r="AU75" s="1" t="s">
        <v>86</v>
      </c>
      <c r="AV75" s="1" t="s">
        <v>86</v>
      </c>
      <c r="AW75" s="1" t="s">
        <v>86</v>
      </c>
      <c r="AX75" s="1" t="s">
        <v>86</v>
      </c>
      <c r="AY75" s="1" t="s">
        <v>86</v>
      </c>
      <c r="AZ75" s="1" t="s">
        <v>86</v>
      </c>
      <c r="BA75" s="1" t="s">
        <v>86</v>
      </c>
      <c r="BB75" s="1" t="s">
        <v>86</v>
      </c>
      <c r="BC75" s="1" t="s">
        <v>86</v>
      </c>
      <c r="BD75" s="1" t="s">
        <v>86</v>
      </c>
      <c r="BE75" s="1" t="s">
        <v>86</v>
      </c>
      <c r="BF75" s="1" t="s">
        <v>86</v>
      </c>
      <c r="BG75" s="1" t="s">
        <v>86</v>
      </c>
      <c r="BH75" s="1" t="s">
        <v>129</v>
      </c>
      <c r="BI75" s="1" t="s">
        <v>225</v>
      </c>
      <c r="BJ75" s="1" t="s">
        <v>87</v>
      </c>
      <c r="BK75" s="1">
        <v>0</v>
      </c>
      <c r="BL75" s="1">
        <v>0</v>
      </c>
      <c r="BM75" s="1" t="s">
        <v>398</v>
      </c>
      <c r="BN75" s="1" t="s">
        <v>599</v>
      </c>
      <c r="BO75" s="1" t="s">
        <v>432</v>
      </c>
      <c r="BP75" s="1" t="s">
        <v>86</v>
      </c>
      <c r="BQ75" s="1" t="s">
        <v>86</v>
      </c>
      <c r="BR75" s="1" t="s">
        <v>86</v>
      </c>
      <c r="BS75" s="1" t="s">
        <v>86</v>
      </c>
      <c r="BT75" s="1" t="s">
        <v>86</v>
      </c>
      <c r="BU75" s="1" t="s">
        <v>163</v>
      </c>
      <c r="BV75" s="1" t="s">
        <v>86</v>
      </c>
      <c r="BW75" s="1" t="s">
        <v>101</v>
      </c>
      <c r="BX75" s="1" t="s">
        <v>414</v>
      </c>
      <c r="BY75" s="1" t="s">
        <v>86</v>
      </c>
      <c r="BZ75" s="1" t="s">
        <v>600</v>
      </c>
      <c r="CA75" s="1" t="s">
        <v>261</v>
      </c>
      <c r="CB75" s="1" t="s">
        <v>156</v>
      </c>
      <c r="CC75" s="1" t="s">
        <v>86</v>
      </c>
      <c r="CD75" s="1" t="s">
        <v>86</v>
      </c>
      <c r="CE75" s="1" t="s">
        <v>86</v>
      </c>
    </row>
    <row r="76">
      <c r="A76" s="1">
        <v>74</v>
      </c>
      <c r="B76" s="1" t="s">
        <v>395</v>
      </c>
      <c r="C76" s="2">
        <f>=HYPERLINK("https://i.stonehdfile.com/stoneimage?s=10e5471f-52da-4dfd-ba2a-48db90ec0681","Image")</f>
      </c>
      <c r="D76" s="2">
        <f>=HYPERLINK("https://dna.stonehdfile.com/hd/viewhd.html?d=f4d676df-2943-46d9-9311-660d13700ad6","View360")</f>
      </c>
      <c r="E76" s="2">
        <f>=HYPERLINK("https://i.stonehdfile.com/Certificate?s=10e5471f-52da-4dfd-ba2a-48db90ec0681","GIA")</f>
      </c>
      <c r="F76" s="2">
        <f>=HYPERLINK("https://i.stonehdfile.com/DNAReport?s=10e5471f-52da-4dfd-ba2a-48db90ec0681","DNA")</f>
      </c>
      <c r="G76" s="2">
        <f>=HYPERLINK("https://www.gia.edu/report-check?reportno=******6069","Verify")</f>
      </c>
      <c r="H76" s="1" t="s">
        <v>601</v>
      </c>
      <c r="I76" s="1" t="s">
        <v>46</v>
      </c>
      <c r="J76" s="1">
        <v>1.5</v>
      </c>
      <c r="K76" s="1">
        <v>7</v>
      </c>
      <c r="L76" s="1">
        <v>11200</v>
      </c>
      <c r="M76" s="1">
        <v>5900</v>
      </c>
      <c r="N76" s="1">
        <v>8850</v>
      </c>
      <c r="O76" s="1">
        <v>-47.32</v>
      </c>
      <c r="P76" s="1">
        <v>0</v>
      </c>
      <c r="Q76" s="1" t="s">
        <v>86</v>
      </c>
      <c r="R76" s="1">
        <v>0</v>
      </c>
      <c r="S76" s="1" t="s">
        <v>86</v>
      </c>
      <c r="T76" s="1" t="s">
        <v>86</v>
      </c>
      <c r="U76" s="1" t="s">
        <v>106</v>
      </c>
      <c r="V76" s="1" t="s">
        <v>86</v>
      </c>
      <c r="W76" s="1" t="s">
        <v>149</v>
      </c>
      <c r="X76" s="1" t="s">
        <v>86</v>
      </c>
      <c r="Y76" s="1" t="s">
        <v>89</v>
      </c>
      <c r="Z76" s="1" t="s">
        <v>89</v>
      </c>
      <c r="AA76" s="1" t="s">
        <v>119</v>
      </c>
      <c r="AB76" s="1" t="s">
        <v>86</v>
      </c>
      <c r="AC76" s="1" t="s">
        <v>602</v>
      </c>
      <c r="AD76" s="1">
        <v>68.5</v>
      </c>
      <c r="AE76" s="1">
        <v>63</v>
      </c>
      <c r="AF76" s="1" t="s">
        <v>91</v>
      </c>
      <c r="AG76" s="1">
        <v>3</v>
      </c>
      <c r="AH76" s="1">
        <v>36.1</v>
      </c>
      <c r="AI76" s="1" t="s">
        <v>86</v>
      </c>
      <c r="AJ76" s="1">
        <v>1.16</v>
      </c>
      <c r="AK76" s="1" t="s">
        <v>111</v>
      </c>
      <c r="AL76" s="1" t="s">
        <v>93</v>
      </c>
      <c r="AM76" s="1" t="s">
        <v>93</v>
      </c>
      <c r="AN76" s="1" t="s">
        <v>86</v>
      </c>
      <c r="AO76" s="1" t="s">
        <v>94</v>
      </c>
      <c r="AP76" s="1" t="s">
        <v>95</v>
      </c>
      <c r="AQ76" s="1">
        <v>13.7</v>
      </c>
      <c r="AR76" s="1">
        <v>51.6</v>
      </c>
      <c r="AS76" s="1">
        <v>38.2</v>
      </c>
      <c r="AT76" s="1" t="s">
        <v>96</v>
      </c>
      <c r="AU76" s="1" t="s">
        <v>141</v>
      </c>
      <c r="AV76" s="1" t="s">
        <v>86</v>
      </c>
      <c r="AW76" s="1" t="s">
        <v>86</v>
      </c>
      <c r="AX76" s="1" t="s">
        <v>86</v>
      </c>
      <c r="AY76" s="1" t="s">
        <v>86</v>
      </c>
      <c r="AZ76" s="1" t="s">
        <v>86</v>
      </c>
      <c r="BA76" s="1" t="s">
        <v>86</v>
      </c>
      <c r="BB76" s="1" t="s">
        <v>86</v>
      </c>
      <c r="BC76" s="1" t="s">
        <v>86</v>
      </c>
      <c r="BD76" s="1" t="s">
        <v>86</v>
      </c>
      <c r="BE76" s="1" t="s">
        <v>86</v>
      </c>
      <c r="BF76" s="1" t="s">
        <v>86</v>
      </c>
      <c r="BG76" s="1" t="s">
        <v>172</v>
      </c>
      <c r="BH76" s="1" t="s">
        <v>97</v>
      </c>
      <c r="BI76" s="1" t="s">
        <v>315</v>
      </c>
      <c r="BJ76" s="1" t="s">
        <v>87</v>
      </c>
      <c r="BK76" s="1">
        <v>0</v>
      </c>
      <c r="BL76" s="1">
        <v>0</v>
      </c>
      <c r="BM76" s="1" t="s">
        <v>398</v>
      </c>
      <c r="BN76" s="1" t="s">
        <v>603</v>
      </c>
      <c r="BO76" s="1" t="s">
        <v>604</v>
      </c>
      <c r="BP76" s="1" t="s">
        <v>86</v>
      </c>
      <c r="BQ76" s="1" t="s">
        <v>86</v>
      </c>
      <c r="BR76" s="1" t="s">
        <v>86</v>
      </c>
      <c r="BS76" s="1" t="s">
        <v>438</v>
      </c>
      <c r="BT76" s="1" t="s">
        <v>86</v>
      </c>
      <c r="BU76" s="1" t="s">
        <v>163</v>
      </c>
      <c r="BV76" s="1" t="s">
        <v>86</v>
      </c>
      <c r="BW76" s="1" t="s">
        <v>101</v>
      </c>
      <c r="BX76" s="1" t="s">
        <v>439</v>
      </c>
      <c r="BY76" s="1" t="s">
        <v>86</v>
      </c>
      <c r="BZ76" s="1" t="s">
        <v>605</v>
      </c>
      <c r="CA76" s="1" t="s">
        <v>606</v>
      </c>
      <c r="CB76" s="1" t="s">
        <v>204</v>
      </c>
      <c r="CC76" s="1" t="s">
        <v>86</v>
      </c>
      <c r="CD76" s="1" t="s">
        <v>86</v>
      </c>
      <c r="CE76" s="1" t="s">
        <v>86</v>
      </c>
    </row>
    <row r="77">
      <c r="A77" s="1">
        <v>75</v>
      </c>
      <c r="B77" s="1" t="s">
        <v>395</v>
      </c>
      <c r="C77" s="2">
        <f>=HYPERLINK("https://i.stonehdfile.com/stoneimage?s=bfcf62b3-7dd3-4bf1-bea4-1f324a989568","Image")</f>
      </c>
      <c r="D77" s="2">
        <f>=HYPERLINK("https://dna.stonehdfile.com/hd/viewhd.html?d=bbc10a53-fb1b-4eb5-8640-ae92c52b15e4","View360")</f>
      </c>
      <c r="E77" s="2">
        <f>=HYPERLINK("https://i.stonehdfile.com/Certificate?s=bfcf62b3-7dd3-4bf1-bea4-1f324a989568","GIA")</f>
      </c>
      <c r="F77" s="2">
        <f>=HYPERLINK("https://i.stonehdfile.com/DNAReport?s=bfcf62b3-7dd3-4bf1-bea4-1f324a989568","DNA")</f>
      </c>
      <c r="G77" s="2">
        <f>=HYPERLINK("https://www.gia.edu/report-check?reportno=******3302","Verify")</f>
      </c>
      <c r="H77" s="1" t="s">
        <v>607</v>
      </c>
      <c r="I77" s="1" t="s">
        <v>46</v>
      </c>
      <c r="J77" s="1">
        <v>1.5</v>
      </c>
      <c r="K77" s="1">
        <v>6</v>
      </c>
      <c r="L77" s="1">
        <v>11200</v>
      </c>
      <c r="M77" s="1">
        <v>5478</v>
      </c>
      <c r="N77" s="1">
        <v>8217</v>
      </c>
      <c r="O77" s="1">
        <v>-51.09</v>
      </c>
      <c r="P77" s="1">
        <v>0</v>
      </c>
      <c r="Q77" s="1" t="s">
        <v>86</v>
      </c>
      <c r="R77" s="1">
        <v>0</v>
      </c>
      <c r="S77" s="1" t="s">
        <v>86</v>
      </c>
      <c r="T77" s="1" t="s">
        <v>86</v>
      </c>
      <c r="U77" s="1" t="s">
        <v>106</v>
      </c>
      <c r="V77" s="1" t="s">
        <v>86</v>
      </c>
      <c r="W77" s="1" t="s">
        <v>149</v>
      </c>
      <c r="X77" s="1" t="s">
        <v>86</v>
      </c>
      <c r="Y77" s="1" t="s">
        <v>89</v>
      </c>
      <c r="Z77" s="1" t="s">
        <v>89</v>
      </c>
      <c r="AA77" s="1" t="s">
        <v>119</v>
      </c>
      <c r="AB77" s="1" t="s">
        <v>86</v>
      </c>
      <c r="AC77" s="1" t="s">
        <v>608</v>
      </c>
      <c r="AD77" s="1">
        <v>69</v>
      </c>
      <c r="AE77" s="1">
        <v>63</v>
      </c>
      <c r="AF77" s="1" t="s">
        <v>91</v>
      </c>
      <c r="AG77" s="1">
        <v>3</v>
      </c>
      <c r="AH77" s="1">
        <v>35.6</v>
      </c>
      <c r="AI77" s="1" t="s">
        <v>86</v>
      </c>
      <c r="AJ77" s="1">
        <v>1.26</v>
      </c>
      <c r="AK77" s="1" t="s">
        <v>111</v>
      </c>
      <c r="AL77" s="1" t="s">
        <v>93</v>
      </c>
      <c r="AM77" s="1" t="s">
        <v>128</v>
      </c>
      <c r="AN77" s="1" t="s">
        <v>86</v>
      </c>
      <c r="AO77" s="1" t="s">
        <v>94</v>
      </c>
      <c r="AP77" s="1" t="s">
        <v>95</v>
      </c>
      <c r="AQ77" s="1">
        <v>13.3</v>
      </c>
      <c r="AR77" s="1">
        <v>52.4</v>
      </c>
      <c r="AS77" s="1">
        <v>37.9</v>
      </c>
      <c r="AT77" s="1" t="s">
        <v>96</v>
      </c>
      <c r="AU77" s="1" t="s">
        <v>86</v>
      </c>
      <c r="AV77" s="1" t="s">
        <v>86</v>
      </c>
      <c r="AW77" s="1" t="s">
        <v>86</v>
      </c>
      <c r="AX77" s="1" t="s">
        <v>86</v>
      </c>
      <c r="AY77" s="1" t="s">
        <v>86</v>
      </c>
      <c r="AZ77" s="1" t="s">
        <v>86</v>
      </c>
      <c r="BA77" s="1" t="s">
        <v>86</v>
      </c>
      <c r="BB77" s="1" t="s">
        <v>86</v>
      </c>
      <c r="BC77" s="1" t="s">
        <v>86</v>
      </c>
      <c r="BD77" s="1" t="s">
        <v>86</v>
      </c>
      <c r="BE77" s="1" t="s">
        <v>86</v>
      </c>
      <c r="BF77" s="1" t="s">
        <v>86</v>
      </c>
      <c r="BG77" s="1" t="s">
        <v>86</v>
      </c>
      <c r="BH77" s="1" t="s">
        <v>182</v>
      </c>
      <c r="BI77" s="1" t="s">
        <v>315</v>
      </c>
      <c r="BJ77" s="1" t="s">
        <v>87</v>
      </c>
      <c r="BK77" s="1">
        <v>0</v>
      </c>
      <c r="BL77" s="1">
        <v>0</v>
      </c>
      <c r="BM77" s="1" t="s">
        <v>398</v>
      </c>
      <c r="BN77" s="1" t="s">
        <v>609</v>
      </c>
      <c r="BO77" s="1" t="s">
        <v>604</v>
      </c>
      <c r="BP77" s="1" t="s">
        <v>86</v>
      </c>
      <c r="BQ77" s="1" t="s">
        <v>86</v>
      </c>
      <c r="BR77" s="1" t="s">
        <v>86</v>
      </c>
      <c r="BS77" s="1" t="s">
        <v>438</v>
      </c>
      <c r="BT77" s="1" t="s">
        <v>86</v>
      </c>
      <c r="BU77" s="1" t="s">
        <v>163</v>
      </c>
      <c r="BV77" s="1" t="s">
        <v>86</v>
      </c>
      <c r="BW77" s="1" t="s">
        <v>101</v>
      </c>
      <c r="BX77" s="1" t="s">
        <v>439</v>
      </c>
      <c r="BY77" s="1" t="s">
        <v>86</v>
      </c>
      <c r="BZ77" s="1" t="s">
        <v>610</v>
      </c>
      <c r="CA77" s="1" t="s">
        <v>278</v>
      </c>
      <c r="CB77" s="1" t="s">
        <v>104</v>
      </c>
      <c r="CC77" s="1" t="s">
        <v>86</v>
      </c>
      <c r="CD77" s="1" t="s">
        <v>86</v>
      </c>
      <c r="CE77" s="1" t="s">
        <v>86</v>
      </c>
    </row>
    <row r="78">
      <c r="A78" s="1">
        <v>76</v>
      </c>
      <c r="B78" s="1" t="s">
        <v>395</v>
      </c>
      <c r="C78" s="2">
        <f>=HYPERLINK("https://i.stonehdfile.com/stoneimage?s=dd4f8678-6d53-445c-8703-a5b34255569e","Image")</f>
      </c>
      <c r="D78" s="2">
        <f>=HYPERLINK("https://dna.stonehdfile.com/hd/viewhd.html?d=e61821d6-7110-4a79-b1cf-aebfcfcf06e4","View360")</f>
      </c>
      <c r="E78" s="2">
        <f>=HYPERLINK("https://i.stonehdfile.com/Certificate?s=dd4f8678-6d53-445c-8703-a5b34255569e","GIA")</f>
      </c>
      <c r="F78" s="2">
        <f>=HYPERLINK("https://i.stonehdfile.com/DNAReport?s=dd4f8678-6d53-445c-8703-a5b34255569e","DNA")</f>
      </c>
      <c r="G78" s="2">
        <f>=HYPERLINK("https://www.gia.edu/report-check?reportno=******3614","Verify")</f>
      </c>
      <c r="H78" s="1" t="s">
        <v>611</v>
      </c>
      <c r="I78" s="1" t="s">
        <v>46</v>
      </c>
      <c r="J78" s="1">
        <v>1.5</v>
      </c>
      <c r="K78" s="1">
        <v>3</v>
      </c>
      <c r="L78" s="1">
        <v>11200</v>
      </c>
      <c r="M78" s="1">
        <v>4257</v>
      </c>
      <c r="N78" s="1">
        <v>6385.5</v>
      </c>
      <c r="O78" s="1">
        <v>-61.99</v>
      </c>
      <c r="P78" s="1">
        <v>0</v>
      </c>
      <c r="Q78" s="1" t="s">
        <v>86</v>
      </c>
      <c r="R78" s="1">
        <v>0</v>
      </c>
      <c r="S78" s="1" t="s">
        <v>86</v>
      </c>
      <c r="T78" s="1" t="s">
        <v>86</v>
      </c>
      <c r="U78" s="1" t="s">
        <v>106</v>
      </c>
      <c r="V78" s="1" t="s">
        <v>86</v>
      </c>
      <c r="W78" s="1" t="s">
        <v>149</v>
      </c>
      <c r="X78" s="1" t="s">
        <v>86</v>
      </c>
      <c r="Y78" s="1" t="s">
        <v>89</v>
      </c>
      <c r="Z78" s="1" t="s">
        <v>89</v>
      </c>
      <c r="AA78" s="1" t="s">
        <v>87</v>
      </c>
      <c r="AB78" s="1" t="s">
        <v>86</v>
      </c>
      <c r="AC78" s="1" t="s">
        <v>612</v>
      </c>
      <c r="AD78" s="1">
        <v>69.9</v>
      </c>
      <c r="AE78" s="1">
        <v>64</v>
      </c>
      <c r="AF78" s="1" t="s">
        <v>91</v>
      </c>
      <c r="AG78" s="1">
        <v>2.9</v>
      </c>
      <c r="AH78" s="1">
        <v>33.5</v>
      </c>
      <c r="AI78" s="1" t="s">
        <v>86</v>
      </c>
      <c r="AJ78" s="1">
        <v>1.01</v>
      </c>
      <c r="AK78" s="1" t="s">
        <v>111</v>
      </c>
      <c r="AL78" s="1" t="s">
        <v>93</v>
      </c>
      <c r="AM78" s="1" t="s">
        <v>128</v>
      </c>
      <c r="AN78" s="1" t="s">
        <v>86</v>
      </c>
      <c r="AO78" s="1" t="s">
        <v>94</v>
      </c>
      <c r="AP78" s="1" t="s">
        <v>95</v>
      </c>
      <c r="AQ78" s="1">
        <v>12</v>
      </c>
      <c r="AR78" s="1">
        <v>54.8</v>
      </c>
      <c r="AS78" s="1">
        <v>40.5</v>
      </c>
      <c r="AT78" s="1" t="s">
        <v>96</v>
      </c>
      <c r="AU78" s="1" t="s">
        <v>86</v>
      </c>
      <c r="AV78" s="1" t="s">
        <v>86</v>
      </c>
      <c r="AW78" s="1" t="s">
        <v>86</v>
      </c>
      <c r="AX78" s="1" t="s">
        <v>86</v>
      </c>
      <c r="AY78" s="1" t="s">
        <v>86</v>
      </c>
      <c r="AZ78" s="1" t="s">
        <v>86</v>
      </c>
      <c r="BA78" s="1" t="s">
        <v>86</v>
      </c>
      <c r="BB78" s="1" t="s">
        <v>86</v>
      </c>
      <c r="BC78" s="1" t="s">
        <v>86</v>
      </c>
      <c r="BD78" s="1" t="s">
        <v>86</v>
      </c>
      <c r="BE78" s="1" t="s">
        <v>86</v>
      </c>
      <c r="BF78" s="1" t="s">
        <v>86</v>
      </c>
      <c r="BG78" s="1" t="s">
        <v>86</v>
      </c>
      <c r="BH78" s="1" t="s">
        <v>182</v>
      </c>
      <c r="BI78" s="1" t="s">
        <v>387</v>
      </c>
      <c r="BJ78" s="1" t="s">
        <v>87</v>
      </c>
      <c r="BK78" s="1">
        <v>0</v>
      </c>
      <c r="BL78" s="1">
        <v>0</v>
      </c>
      <c r="BM78" s="1" t="s">
        <v>398</v>
      </c>
      <c r="BN78" s="1" t="s">
        <v>613</v>
      </c>
      <c r="BO78" s="1" t="s">
        <v>614</v>
      </c>
      <c r="BP78" s="1" t="s">
        <v>86</v>
      </c>
      <c r="BQ78" s="1" t="s">
        <v>86</v>
      </c>
      <c r="BR78" s="1" t="s">
        <v>86</v>
      </c>
      <c r="BS78" s="1" t="s">
        <v>86</v>
      </c>
      <c r="BT78" s="1" t="s">
        <v>86</v>
      </c>
      <c r="BU78" s="1" t="s">
        <v>163</v>
      </c>
      <c r="BV78" s="1" t="s">
        <v>86</v>
      </c>
      <c r="BW78" s="1" t="s">
        <v>101</v>
      </c>
      <c r="BX78" s="1" t="s">
        <v>439</v>
      </c>
      <c r="BY78" s="1" t="s">
        <v>86</v>
      </c>
      <c r="BZ78" s="1" t="s">
        <v>615</v>
      </c>
      <c r="CA78" s="1" t="s">
        <v>297</v>
      </c>
      <c r="CB78" s="1" t="s">
        <v>166</v>
      </c>
      <c r="CC78" s="1" t="s">
        <v>86</v>
      </c>
      <c r="CD78" s="1" t="s">
        <v>86</v>
      </c>
      <c r="CE78" s="1" t="s">
        <v>86</v>
      </c>
    </row>
    <row r="79">
      <c r="A79" s="1">
        <v>77</v>
      </c>
      <c r="B79" s="1" t="s">
        <v>395</v>
      </c>
      <c r="C79" s="2">
        <f>=HYPERLINK("https://i.stonehdfile.com/stoneimage?s=1117c62c-f113-4036-b17b-4eb90bdd2317","Image")</f>
      </c>
      <c r="D79" s="2">
        <f>=HYPERLINK("https://dna.stonehdfile.com/hd/viewhd.html?d=8b955fe4-a8d0-4924-a7ad-2c9491edd092","View360")</f>
      </c>
      <c r="E79" s="2">
        <f>=HYPERLINK("https://i.stonehdfile.com/Certificate?s=1117c62c-f113-4036-b17b-4eb90bdd2317","GIA")</f>
      </c>
      <c r="F79" s="2">
        <f>=HYPERLINK("https://i.stonehdfile.com/DNAReport?s=1117c62c-f113-4036-b17b-4eb90bdd2317","DNA")</f>
      </c>
      <c r="G79" s="2">
        <f>=HYPERLINK("https://www.gia.edu/report-check?reportno=******6702","Verify")</f>
      </c>
      <c r="H79" s="1" t="s">
        <v>616</v>
      </c>
      <c r="I79" s="1" t="s">
        <v>46</v>
      </c>
      <c r="J79" s="1">
        <v>1.61</v>
      </c>
      <c r="K79" s="1">
        <v>0</v>
      </c>
      <c r="L79" s="1">
        <v>11200</v>
      </c>
      <c r="M79" s="1">
        <v>5280</v>
      </c>
      <c r="N79" s="1">
        <v>8500.8</v>
      </c>
      <c r="O79" s="1">
        <v>-52.86</v>
      </c>
      <c r="P79" s="1">
        <v>0</v>
      </c>
      <c r="Q79" s="1" t="s">
        <v>86</v>
      </c>
      <c r="R79" s="1">
        <v>0</v>
      </c>
      <c r="S79" s="1" t="s">
        <v>86</v>
      </c>
      <c r="T79" s="1" t="s">
        <v>86</v>
      </c>
      <c r="U79" s="1" t="s">
        <v>106</v>
      </c>
      <c r="V79" s="1" t="s">
        <v>86</v>
      </c>
      <c r="W79" s="1" t="s">
        <v>149</v>
      </c>
      <c r="X79" s="1" t="s">
        <v>86</v>
      </c>
      <c r="Y79" s="1" t="s">
        <v>89</v>
      </c>
      <c r="Z79" s="1" t="s">
        <v>89</v>
      </c>
      <c r="AA79" s="1" t="s">
        <v>119</v>
      </c>
      <c r="AB79" s="1" t="s">
        <v>86</v>
      </c>
      <c r="AC79" s="1" t="s">
        <v>617</v>
      </c>
      <c r="AD79" s="1">
        <v>69</v>
      </c>
      <c r="AE79" s="1">
        <v>66</v>
      </c>
      <c r="AF79" s="1" t="s">
        <v>91</v>
      </c>
      <c r="AG79" s="1">
        <v>1.6</v>
      </c>
      <c r="AH79" s="1">
        <v>34.7</v>
      </c>
      <c r="AI79" s="1" t="s">
        <v>86</v>
      </c>
      <c r="AJ79" s="1">
        <v>1.09</v>
      </c>
      <c r="AK79" s="1" t="s">
        <v>111</v>
      </c>
      <c r="AL79" s="1" t="s">
        <v>93</v>
      </c>
      <c r="AM79" s="1" t="s">
        <v>93</v>
      </c>
      <c r="AN79" s="1" t="s">
        <v>86</v>
      </c>
      <c r="AO79" s="1" t="s">
        <v>94</v>
      </c>
      <c r="AP79" s="1" t="s">
        <v>95</v>
      </c>
      <c r="AQ79" s="1">
        <v>11.9</v>
      </c>
      <c r="AR79" s="1">
        <v>55.2</v>
      </c>
      <c r="AS79" s="1">
        <v>40.4</v>
      </c>
      <c r="AT79" s="1" t="s">
        <v>96</v>
      </c>
      <c r="AU79" s="1" t="s">
        <v>86</v>
      </c>
      <c r="AV79" s="1" t="s">
        <v>86</v>
      </c>
      <c r="AW79" s="1" t="s">
        <v>86</v>
      </c>
      <c r="AX79" s="1" t="s">
        <v>86</v>
      </c>
      <c r="AY79" s="1" t="s">
        <v>86</v>
      </c>
      <c r="AZ79" s="1" t="s">
        <v>86</v>
      </c>
      <c r="BA79" s="1" t="s">
        <v>86</v>
      </c>
      <c r="BB79" s="1" t="s">
        <v>86</v>
      </c>
      <c r="BC79" s="1" t="s">
        <v>86</v>
      </c>
      <c r="BD79" s="1" t="s">
        <v>86</v>
      </c>
      <c r="BE79" s="1" t="s">
        <v>86</v>
      </c>
      <c r="BF79" s="1" t="s">
        <v>86</v>
      </c>
      <c r="BG79" s="1" t="s">
        <v>86</v>
      </c>
      <c r="BH79" s="1" t="s">
        <v>142</v>
      </c>
      <c r="BI79" s="1" t="s">
        <v>346</v>
      </c>
      <c r="BJ79" s="1" t="s">
        <v>87</v>
      </c>
      <c r="BK79" s="1">
        <v>0</v>
      </c>
      <c r="BL79" s="1">
        <v>0</v>
      </c>
      <c r="BM79" s="1" t="s">
        <v>398</v>
      </c>
      <c r="BN79" s="1" t="s">
        <v>618</v>
      </c>
      <c r="BO79" s="1" t="s">
        <v>619</v>
      </c>
      <c r="BP79" s="1" t="s">
        <v>86</v>
      </c>
      <c r="BQ79" s="1" t="s">
        <v>86</v>
      </c>
      <c r="BR79" s="1" t="s">
        <v>86</v>
      </c>
      <c r="BS79" s="1" t="s">
        <v>86</v>
      </c>
      <c r="BT79" s="1" t="s">
        <v>86</v>
      </c>
      <c r="BU79" s="1" t="s">
        <v>163</v>
      </c>
      <c r="BV79" s="1" t="s">
        <v>86</v>
      </c>
      <c r="BW79" s="1" t="s">
        <v>101</v>
      </c>
      <c r="BX79" s="1" t="s">
        <v>401</v>
      </c>
      <c r="BY79" s="1" t="s">
        <v>86</v>
      </c>
      <c r="BZ79" s="1" t="s">
        <v>620</v>
      </c>
      <c r="CA79" s="1" t="s">
        <v>621</v>
      </c>
      <c r="CB79" s="1" t="s">
        <v>156</v>
      </c>
      <c r="CC79" s="1" t="s">
        <v>86</v>
      </c>
      <c r="CD79" s="1" t="s">
        <v>86</v>
      </c>
      <c r="CE79" s="1" t="s">
        <v>86</v>
      </c>
    </row>
    <row r="80">
      <c r="A80" s="1">
        <v>78</v>
      </c>
      <c r="B80" s="1" t="s">
        <v>395</v>
      </c>
      <c r="C80" s="2">
        <f>=HYPERLINK("https://i.stonehdfile.com/stoneimage?s=dd7f4f49-dd5c-46ab-9807-827f30e11399","Image")</f>
      </c>
      <c r="D80" s="2">
        <f>=HYPERLINK("https://dna.stonehdfile.com/hd/viewhd.html?d=4aa2caa4-74a9-49b6-82ee-cb343d601781","View360")</f>
      </c>
      <c r="E80" s="2">
        <f>=HYPERLINK("https://i.stonehdfile.com/Certificate?s=dd7f4f49-dd5c-46ab-9807-827f30e11399","GIA")</f>
      </c>
      <c r="F80" s="2">
        <f>=HYPERLINK("https://i.stonehdfile.com/DNAReport?s=dd7f4f49-dd5c-46ab-9807-827f30e11399","DNA")</f>
      </c>
      <c r="G80" s="2">
        <f>=HYPERLINK("https://www.gia.edu/report-check?reportno=******9529","Verify")</f>
      </c>
      <c r="H80" s="1" t="s">
        <v>622</v>
      </c>
      <c r="I80" s="1" t="s">
        <v>46</v>
      </c>
      <c r="J80" s="1">
        <v>1.5</v>
      </c>
      <c r="K80" s="1">
        <v>6</v>
      </c>
      <c r="L80" s="1">
        <v>10100</v>
      </c>
      <c r="M80" s="1">
        <v>5188</v>
      </c>
      <c r="N80" s="1">
        <v>7782</v>
      </c>
      <c r="O80" s="1">
        <v>-48.63</v>
      </c>
      <c r="P80" s="1">
        <v>0</v>
      </c>
      <c r="Q80" s="1" t="s">
        <v>86</v>
      </c>
      <c r="R80" s="1">
        <v>0</v>
      </c>
      <c r="S80" s="1" t="s">
        <v>86</v>
      </c>
      <c r="T80" s="1" t="s">
        <v>86</v>
      </c>
      <c r="U80" s="1" t="s">
        <v>106</v>
      </c>
      <c r="V80" s="1" t="s">
        <v>86</v>
      </c>
      <c r="W80" s="1" t="s">
        <v>352</v>
      </c>
      <c r="X80" s="1" t="s">
        <v>86</v>
      </c>
      <c r="Y80" s="1" t="s">
        <v>89</v>
      </c>
      <c r="Z80" s="1" t="s">
        <v>138</v>
      </c>
      <c r="AA80" s="1" t="s">
        <v>119</v>
      </c>
      <c r="AB80" s="1" t="s">
        <v>86</v>
      </c>
      <c r="AC80" s="1" t="s">
        <v>623</v>
      </c>
      <c r="AD80" s="1">
        <v>68</v>
      </c>
      <c r="AE80" s="1">
        <v>65</v>
      </c>
      <c r="AF80" s="1" t="s">
        <v>91</v>
      </c>
      <c r="AG80" s="1">
        <v>2.6</v>
      </c>
      <c r="AH80" s="1">
        <v>36</v>
      </c>
      <c r="AI80" s="1" t="s">
        <v>86</v>
      </c>
      <c r="AJ80" s="1">
        <v>1</v>
      </c>
      <c r="AK80" s="1" t="s">
        <v>111</v>
      </c>
      <c r="AL80" s="1" t="s">
        <v>93</v>
      </c>
      <c r="AM80" s="1" t="s">
        <v>140</v>
      </c>
      <c r="AN80" s="1" t="s">
        <v>307</v>
      </c>
      <c r="AO80" s="1" t="s">
        <v>94</v>
      </c>
      <c r="AP80" s="1" t="s">
        <v>95</v>
      </c>
      <c r="AQ80" s="1">
        <v>12.6</v>
      </c>
      <c r="AR80" s="1">
        <v>52.1</v>
      </c>
      <c r="AS80" s="1">
        <v>39.3</v>
      </c>
      <c r="AT80" s="1" t="s">
        <v>96</v>
      </c>
      <c r="AU80" s="1" t="s">
        <v>86</v>
      </c>
      <c r="AV80" s="1" t="s">
        <v>86</v>
      </c>
      <c r="AW80" s="1" t="s">
        <v>86</v>
      </c>
      <c r="AX80" s="1" t="s">
        <v>86</v>
      </c>
      <c r="AY80" s="1" t="s">
        <v>86</v>
      </c>
      <c r="AZ80" s="1" t="s">
        <v>86</v>
      </c>
      <c r="BA80" s="1" t="s">
        <v>86</v>
      </c>
      <c r="BB80" s="1" t="s">
        <v>86</v>
      </c>
      <c r="BC80" s="1" t="s">
        <v>86</v>
      </c>
      <c r="BD80" s="1" t="s">
        <v>86</v>
      </c>
      <c r="BE80" s="1" t="s">
        <v>86</v>
      </c>
      <c r="BF80" s="1" t="s">
        <v>86</v>
      </c>
      <c r="BG80" s="1" t="s">
        <v>172</v>
      </c>
      <c r="BH80" s="1" t="s">
        <v>429</v>
      </c>
      <c r="BI80" s="1" t="s">
        <v>335</v>
      </c>
      <c r="BJ80" s="1" t="s">
        <v>87</v>
      </c>
      <c r="BK80" s="1">
        <v>0</v>
      </c>
      <c r="BL80" s="1">
        <v>0</v>
      </c>
      <c r="BM80" s="1" t="s">
        <v>398</v>
      </c>
      <c r="BN80" s="1" t="s">
        <v>624</v>
      </c>
      <c r="BO80" s="1" t="s">
        <v>506</v>
      </c>
      <c r="BP80" s="1" t="s">
        <v>86</v>
      </c>
      <c r="BQ80" s="1" t="s">
        <v>86</v>
      </c>
      <c r="BR80" s="1" t="s">
        <v>86</v>
      </c>
      <c r="BS80" s="1" t="s">
        <v>86</v>
      </c>
      <c r="BT80" s="1" t="s">
        <v>86</v>
      </c>
      <c r="BU80" s="1" t="s">
        <v>163</v>
      </c>
      <c r="BV80" s="1" t="s">
        <v>86</v>
      </c>
      <c r="BW80" s="1" t="s">
        <v>101</v>
      </c>
      <c r="BX80" s="1" t="s">
        <v>401</v>
      </c>
      <c r="BY80" s="1" t="s">
        <v>86</v>
      </c>
      <c r="BZ80" s="1" t="s">
        <v>625</v>
      </c>
      <c r="CA80" s="1" t="s">
        <v>626</v>
      </c>
      <c r="CB80" s="1" t="s">
        <v>179</v>
      </c>
      <c r="CC80" s="1" t="s">
        <v>86</v>
      </c>
      <c r="CD80" s="1" t="s">
        <v>86</v>
      </c>
      <c r="CE80" s="1" t="s">
        <v>86</v>
      </c>
    </row>
    <row r="81">
      <c r="A81" s="1">
        <v>79</v>
      </c>
      <c r="B81" s="1" t="s">
        <v>395</v>
      </c>
      <c r="C81" s="2">
        <f>=HYPERLINK("https://i.stonehdfile.com/stoneimage?s=75fc228f-7ad4-4c8c-a3f4-64f14bf28dc9","Image")</f>
      </c>
      <c r="D81" s="2">
        <f>=HYPERLINK("https://dna.stonehdfile.com/hd/viewhd.html?d=327dbc42-c381-4255-ba94-2587b1812dda","View360")</f>
      </c>
      <c r="E81" s="2">
        <f>=HYPERLINK("https://i.stonehdfile.com/Certificate?s=75fc228f-7ad4-4c8c-a3f4-64f14bf28dc9","GIA")</f>
      </c>
      <c r="F81" s="2">
        <f>=HYPERLINK("https://i.stonehdfile.com/DNAReport?s=75fc228f-7ad4-4c8c-a3f4-64f14bf28dc9","DNA")</f>
      </c>
      <c r="G81" s="2">
        <f>=HYPERLINK("https://www.gia.edu/report-check?reportno=******7510","Verify")</f>
      </c>
      <c r="H81" s="1" t="s">
        <v>627</v>
      </c>
      <c r="I81" s="1" t="s">
        <v>46</v>
      </c>
      <c r="J81" s="1">
        <v>1.5</v>
      </c>
      <c r="K81" s="1">
        <v>5</v>
      </c>
      <c r="L81" s="1">
        <v>10100</v>
      </c>
      <c r="M81" s="1">
        <v>5886</v>
      </c>
      <c r="N81" s="1">
        <v>8829</v>
      </c>
      <c r="O81" s="1">
        <v>-41.72</v>
      </c>
      <c r="P81" s="1">
        <v>0</v>
      </c>
      <c r="Q81" s="1" t="s">
        <v>86</v>
      </c>
      <c r="R81" s="1">
        <v>0</v>
      </c>
      <c r="S81" s="1" t="s">
        <v>86</v>
      </c>
      <c r="T81" s="1" t="s">
        <v>86</v>
      </c>
      <c r="U81" s="1" t="s">
        <v>241</v>
      </c>
      <c r="V81" s="1" t="s">
        <v>86</v>
      </c>
      <c r="W81" s="1" t="s">
        <v>352</v>
      </c>
      <c r="X81" s="1" t="s">
        <v>86</v>
      </c>
      <c r="Y81" s="1" t="s">
        <v>89</v>
      </c>
      <c r="Z81" s="1" t="s">
        <v>89</v>
      </c>
      <c r="AA81" s="1" t="s">
        <v>119</v>
      </c>
      <c r="AB81" s="1" t="s">
        <v>86</v>
      </c>
      <c r="AC81" s="1" t="s">
        <v>628</v>
      </c>
      <c r="AD81" s="1">
        <v>69.4</v>
      </c>
      <c r="AE81" s="1">
        <v>60</v>
      </c>
      <c r="AF81" s="1" t="s">
        <v>91</v>
      </c>
      <c r="AG81" s="1">
        <v>3.9</v>
      </c>
      <c r="AH81" s="1">
        <v>35.7</v>
      </c>
      <c r="AI81" s="1" t="s">
        <v>86</v>
      </c>
      <c r="AJ81" s="1">
        <v>1.18</v>
      </c>
      <c r="AK81" s="1" t="s">
        <v>111</v>
      </c>
      <c r="AL81" s="1" t="s">
        <v>93</v>
      </c>
      <c r="AM81" s="1" t="s">
        <v>93</v>
      </c>
      <c r="AN81" s="1" t="s">
        <v>307</v>
      </c>
      <c r="AO81" s="1" t="s">
        <v>94</v>
      </c>
      <c r="AP81" s="1" t="s">
        <v>95</v>
      </c>
      <c r="AQ81" s="1">
        <v>14.4</v>
      </c>
      <c r="AR81" s="1">
        <v>50.8</v>
      </c>
      <c r="AS81" s="1">
        <v>37.6</v>
      </c>
      <c r="AT81" s="1" t="s">
        <v>96</v>
      </c>
      <c r="AU81" s="1" t="s">
        <v>86</v>
      </c>
      <c r="AV81" s="1" t="s">
        <v>86</v>
      </c>
      <c r="AW81" s="1" t="s">
        <v>86</v>
      </c>
      <c r="AX81" s="1" t="s">
        <v>86</v>
      </c>
      <c r="AY81" s="1" t="s">
        <v>86</v>
      </c>
      <c r="AZ81" s="1" t="s">
        <v>86</v>
      </c>
      <c r="BA81" s="1" t="s">
        <v>86</v>
      </c>
      <c r="BB81" s="1" t="s">
        <v>86</v>
      </c>
      <c r="BC81" s="1" t="s">
        <v>86</v>
      </c>
      <c r="BD81" s="1" t="s">
        <v>86</v>
      </c>
      <c r="BE81" s="1" t="s">
        <v>86</v>
      </c>
      <c r="BF81" s="1" t="s">
        <v>86</v>
      </c>
      <c r="BG81" s="1" t="s">
        <v>86</v>
      </c>
      <c r="BH81" s="1" t="s">
        <v>182</v>
      </c>
      <c r="BI81" s="1" t="s">
        <v>562</v>
      </c>
      <c r="BJ81" s="1" t="s">
        <v>87</v>
      </c>
      <c r="BK81" s="1">
        <v>0</v>
      </c>
      <c r="BL81" s="1">
        <v>0</v>
      </c>
      <c r="BM81" s="1" t="s">
        <v>398</v>
      </c>
      <c r="BN81" s="1" t="s">
        <v>629</v>
      </c>
      <c r="BO81" s="1" t="s">
        <v>630</v>
      </c>
      <c r="BP81" s="1" t="s">
        <v>86</v>
      </c>
      <c r="BQ81" s="1" t="s">
        <v>86</v>
      </c>
      <c r="BR81" s="1" t="s">
        <v>86</v>
      </c>
      <c r="BS81" s="1" t="s">
        <v>86</v>
      </c>
      <c r="BT81" s="1" t="s">
        <v>86</v>
      </c>
      <c r="BU81" s="1" t="s">
        <v>163</v>
      </c>
      <c r="BV81" s="1" t="s">
        <v>86</v>
      </c>
      <c r="BW81" s="1" t="s">
        <v>101</v>
      </c>
      <c r="BX81" s="1" t="s">
        <v>423</v>
      </c>
      <c r="BY81" s="1" t="s">
        <v>86</v>
      </c>
      <c r="BZ81" s="1" t="s">
        <v>631</v>
      </c>
      <c r="CA81" s="1" t="s">
        <v>632</v>
      </c>
      <c r="CB81" s="1" t="s">
        <v>166</v>
      </c>
      <c r="CC81" s="1" t="s">
        <v>86</v>
      </c>
      <c r="CD81" s="1" t="s">
        <v>86</v>
      </c>
      <c r="CE81" s="1" t="s">
        <v>86</v>
      </c>
    </row>
    <row r="82">
      <c r="A82" s="1">
        <v>80</v>
      </c>
      <c r="B82" s="1" t="s">
        <v>395</v>
      </c>
      <c r="C82" s="2">
        <f>=HYPERLINK("https://i.stonehdfile.com/stoneimage?s=99a49bac-9b35-416e-8e3a-cc55c31ac6e9","Image")</f>
      </c>
      <c r="D82" s="2">
        <f>=HYPERLINK("https://dna.stonehdfile.com/hd/viewhd.html?d=26c7395e-34de-45c6-93c6-630d06d91ec2","View360")</f>
      </c>
      <c r="E82" s="2">
        <f>=HYPERLINK("https://i.stonehdfile.com/Certificate?s=99a49bac-9b35-416e-8e3a-cc55c31ac6e9","GIA")</f>
      </c>
      <c r="F82" s="2">
        <f>=HYPERLINK("https://i.stonehdfile.com/DNAReport?s=99a49bac-9b35-416e-8e3a-cc55c31ac6e9","DNA")</f>
      </c>
      <c r="G82" s="2">
        <f>=HYPERLINK("https://www.gia.edu/report-check?reportno=******7670","Verify")</f>
      </c>
      <c r="H82" s="1" t="s">
        <v>633</v>
      </c>
      <c r="I82" s="1" t="s">
        <v>46</v>
      </c>
      <c r="J82" s="1">
        <v>1.51</v>
      </c>
      <c r="K82" s="1">
        <v>7</v>
      </c>
      <c r="L82" s="1">
        <v>10100</v>
      </c>
      <c r="M82" s="1">
        <v>5498</v>
      </c>
      <c r="N82" s="1">
        <v>8301.98</v>
      </c>
      <c r="O82" s="1">
        <v>-45.56</v>
      </c>
      <c r="P82" s="1">
        <v>0</v>
      </c>
      <c r="Q82" s="1" t="s">
        <v>86</v>
      </c>
      <c r="R82" s="1">
        <v>0</v>
      </c>
      <c r="S82" s="1" t="s">
        <v>86</v>
      </c>
      <c r="T82" s="1" t="s">
        <v>86</v>
      </c>
      <c r="U82" s="1" t="s">
        <v>106</v>
      </c>
      <c r="V82" s="1" t="s">
        <v>86</v>
      </c>
      <c r="W82" s="1" t="s">
        <v>352</v>
      </c>
      <c r="X82" s="1" t="s">
        <v>86</v>
      </c>
      <c r="Y82" s="1" t="s">
        <v>89</v>
      </c>
      <c r="Z82" s="1" t="s">
        <v>89</v>
      </c>
      <c r="AA82" s="1" t="s">
        <v>119</v>
      </c>
      <c r="AB82" s="1" t="s">
        <v>86</v>
      </c>
      <c r="AC82" s="1" t="s">
        <v>634</v>
      </c>
      <c r="AD82" s="1">
        <v>68.2</v>
      </c>
      <c r="AE82" s="1">
        <v>63</v>
      </c>
      <c r="AF82" s="1" t="s">
        <v>91</v>
      </c>
      <c r="AG82" s="1">
        <v>3.7</v>
      </c>
      <c r="AH82" s="1">
        <v>35.9</v>
      </c>
      <c r="AI82" s="1" t="s">
        <v>86</v>
      </c>
      <c r="AJ82" s="1">
        <v>1</v>
      </c>
      <c r="AK82" s="1" t="s">
        <v>111</v>
      </c>
      <c r="AL82" s="1" t="s">
        <v>93</v>
      </c>
      <c r="AM82" s="1" t="s">
        <v>93</v>
      </c>
      <c r="AN82" s="1" t="s">
        <v>171</v>
      </c>
      <c r="AO82" s="1" t="s">
        <v>94</v>
      </c>
      <c r="AP82" s="1" t="s">
        <v>95</v>
      </c>
      <c r="AQ82" s="1">
        <v>13.6</v>
      </c>
      <c r="AR82" s="1">
        <v>50.7</v>
      </c>
      <c r="AS82" s="1">
        <v>39</v>
      </c>
      <c r="AT82" s="1" t="s">
        <v>96</v>
      </c>
      <c r="AU82" s="1" t="s">
        <v>86</v>
      </c>
      <c r="AV82" s="1" t="s">
        <v>86</v>
      </c>
      <c r="AW82" s="1" t="s">
        <v>86</v>
      </c>
      <c r="AX82" s="1" t="s">
        <v>86</v>
      </c>
      <c r="AY82" s="1" t="s">
        <v>86</v>
      </c>
      <c r="AZ82" s="1" t="s">
        <v>86</v>
      </c>
      <c r="BA82" s="1" t="s">
        <v>86</v>
      </c>
      <c r="BB82" s="1" t="s">
        <v>86</v>
      </c>
      <c r="BC82" s="1" t="s">
        <v>86</v>
      </c>
      <c r="BD82" s="1" t="s">
        <v>86</v>
      </c>
      <c r="BE82" s="1" t="s">
        <v>86</v>
      </c>
      <c r="BF82" s="1" t="s">
        <v>86</v>
      </c>
      <c r="BG82" s="1" t="s">
        <v>86</v>
      </c>
      <c r="BH82" s="1" t="s">
        <v>215</v>
      </c>
      <c r="BI82" s="1" t="s">
        <v>459</v>
      </c>
      <c r="BJ82" s="1" t="s">
        <v>87</v>
      </c>
      <c r="BK82" s="1">
        <v>0</v>
      </c>
      <c r="BL82" s="1">
        <v>0</v>
      </c>
      <c r="BM82" s="1" t="s">
        <v>398</v>
      </c>
      <c r="BN82" s="1" t="s">
        <v>635</v>
      </c>
      <c r="BO82" s="1" t="s">
        <v>636</v>
      </c>
      <c r="BP82" s="1" t="s">
        <v>86</v>
      </c>
      <c r="BQ82" s="1" t="s">
        <v>86</v>
      </c>
      <c r="BR82" s="1" t="s">
        <v>86</v>
      </c>
      <c r="BS82" s="1" t="s">
        <v>86</v>
      </c>
      <c r="BT82" s="1" t="s">
        <v>86</v>
      </c>
      <c r="BU82" s="1" t="s">
        <v>163</v>
      </c>
      <c r="BV82" s="1" t="s">
        <v>86</v>
      </c>
      <c r="BW82" s="1" t="s">
        <v>101</v>
      </c>
      <c r="BX82" s="1" t="s">
        <v>414</v>
      </c>
      <c r="BY82" s="1" t="s">
        <v>86</v>
      </c>
      <c r="BZ82" s="1" t="s">
        <v>637</v>
      </c>
      <c r="CA82" s="1" t="s">
        <v>638</v>
      </c>
      <c r="CB82" s="1" t="s">
        <v>639</v>
      </c>
      <c r="CC82" s="1" t="s">
        <v>86</v>
      </c>
      <c r="CD82" s="1" t="s">
        <v>86</v>
      </c>
      <c r="CE82" s="1" t="s">
        <v>86</v>
      </c>
    </row>
    <row r="83">
      <c r="A83" s="1">
        <v>81</v>
      </c>
      <c r="B83" s="1" t="s">
        <v>395</v>
      </c>
      <c r="C83" s="2">
        <f>=HYPERLINK("https://i.stonehdfile.com/stoneimage?s=903c97f8-c82a-4f99-9a4a-c252af36f5a8","Image")</f>
      </c>
      <c r="D83" s="2">
        <f>=HYPERLINK("https://dna.stonehdfile.com/hd/viewhd.html?d=7aa16886-bfe4-4456-bd71-c744657cdc40","View360")</f>
      </c>
      <c r="E83" s="2">
        <f>=HYPERLINK("https://i.stonehdfile.com/Certificate?s=903c97f8-c82a-4f99-9a4a-c252af36f5a8","GIA")</f>
      </c>
      <c r="F83" s="2">
        <f>=HYPERLINK("https://i.stonehdfile.com/DNAReport?s=903c97f8-c82a-4f99-9a4a-c252af36f5a8","DNA")</f>
      </c>
      <c r="G83" s="2">
        <f>=HYPERLINK("https://www.gia.edu/report-check?reportno=******4328","Verify")</f>
      </c>
      <c r="H83" s="1" t="s">
        <v>640</v>
      </c>
      <c r="I83" s="1" t="s">
        <v>46</v>
      </c>
      <c r="J83" s="1">
        <v>1.55</v>
      </c>
      <c r="K83" s="1">
        <v>8</v>
      </c>
      <c r="L83" s="1">
        <v>10100</v>
      </c>
      <c r="M83" s="1">
        <v>5104</v>
      </c>
      <c r="N83" s="1">
        <v>7911.2</v>
      </c>
      <c r="O83" s="1">
        <v>-49.47</v>
      </c>
      <c r="P83" s="1">
        <v>0</v>
      </c>
      <c r="Q83" s="1" t="s">
        <v>86</v>
      </c>
      <c r="R83" s="1">
        <v>0</v>
      </c>
      <c r="S83" s="1" t="s">
        <v>86</v>
      </c>
      <c r="T83" s="1" t="s">
        <v>86</v>
      </c>
      <c r="U83" s="1" t="s">
        <v>106</v>
      </c>
      <c r="V83" s="1" t="s">
        <v>86</v>
      </c>
      <c r="W83" s="1" t="s">
        <v>352</v>
      </c>
      <c r="X83" s="1" t="s">
        <v>86</v>
      </c>
      <c r="Y83" s="1" t="s">
        <v>89</v>
      </c>
      <c r="Z83" s="1" t="s">
        <v>138</v>
      </c>
      <c r="AA83" s="1" t="s">
        <v>119</v>
      </c>
      <c r="AB83" s="1" t="s">
        <v>86</v>
      </c>
      <c r="AC83" s="1" t="s">
        <v>641</v>
      </c>
      <c r="AD83" s="1">
        <v>68.1</v>
      </c>
      <c r="AE83" s="1">
        <v>60</v>
      </c>
      <c r="AF83" s="1" t="s">
        <v>91</v>
      </c>
      <c r="AG83" s="1">
        <v>3</v>
      </c>
      <c r="AH83" s="1">
        <v>35.9</v>
      </c>
      <c r="AI83" s="1" t="s">
        <v>86</v>
      </c>
      <c r="AJ83" s="1">
        <v>1.07</v>
      </c>
      <c r="AK83" s="1" t="s">
        <v>190</v>
      </c>
      <c r="AL83" s="1" t="s">
        <v>93</v>
      </c>
      <c r="AM83" s="1" t="s">
        <v>128</v>
      </c>
      <c r="AN83" s="1" t="s">
        <v>171</v>
      </c>
      <c r="AO83" s="1" t="s">
        <v>94</v>
      </c>
      <c r="AP83" s="1" t="s">
        <v>95</v>
      </c>
      <c r="AQ83" s="1">
        <v>14.5</v>
      </c>
      <c r="AR83" s="1">
        <v>50.6</v>
      </c>
      <c r="AS83" s="1">
        <v>38.4</v>
      </c>
      <c r="AT83" s="1" t="s">
        <v>96</v>
      </c>
      <c r="AU83" s="1" t="s">
        <v>86</v>
      </c>
      <c r="AV83" s="1" t="s">
        <v>86</v>
      </c>
      <c r="AW83" s="1" t="s">
        <v>86</v>
      </c>
      <c r="AX83" s="1" t="s">
        <v>86</v>
      </c>
      <c r="AY83" s="1" t="s">
        <v>86</v>
      </c>
      <c r="AZ83" s="1" t="s">
        <v>86</v>
      </c>
      <c r="BA83" s="1" t="s">
        <v>86</v>
      </c>
      <c r="BB83" s="1" t="s">
        <v>86</v>
      </c>
      <c r="BC83" s="1" t="s">
        <v>86</v>
      </c>
      <c r="BD83" s="1" t="s">
        <v>86</v>
      </c>
      <c r="BE83" s="1" t="s">
        <v>86</v>
      </c>
      <c r="BF83" s="1" t="s">
        <v>86</v>
      </c>
      <c r="BG83" s="1" t="s">
        <v>86</v>
      </c>
      <c r="BH83" s="1" t="s">
        <v>97</v>
      </c>
      <c r="BI83" s="1" t="s">
        <v>315</v>
      </c>
      <c r="BJ83" s="1" t="s">
        <v>87</v>
      </c>
      <c r="BK83" s="1">
        <v>0</v>
      </c>
      <c r="BL83" s="1">
        <v>0</v>
      </c>
      <c r="BM83" s="1" t="s">
        <v>398</v>
      </c>
      <c r="BN83" s="1" t="s">
        <v>642</v>
      </c>
      <c r="BO83" s="1" t="s">
        <v>643</v>
      </c>
      <c r="BP83" s="1" t="s">
        <v>86</v>
      </c>
      <c r="BQ83" s="1" t="s">
        <v>86</v>
      </c>
      <c r="BR83" s="1" t="s">
        <v>86</v>
      </c>
      <c r="BS83" s="1" t="s">
        <v>86</v>
      </c>
      <c r="BT83" s="1" t="s">
        <v>86</v>
      </c>
      <c r="BU83" s="1" t="s">
        <v>163</v>
      </c>
      <c r="BV83" s="1" t="s">
        <v>86</v>
      </c>
      <c r="BW83" s="1" t="s">
        <v>101</v>
      </c>
      <c r="BX83" s="1" t="s">
        <v>401</v>
      </c>
      <c r="BY83" s="1" t="s">
        <v>86</v>
      </c>
      <c r="BZ83" s="1" t="s">
        <v>644</v>
      </c>
      <c r="CA83" s="1" t="s">
        <v>645</v>
      </c>
      <c r="CB83" s="1" t="s">
        <v>166</v>
      </c>
      <c r="CC83" s="1" t="s">
        <v>86</v>
      </c>
      <c r="CD83" s="1" t="s">
        <v>86</v>
      </c>
      <c r="CE83" s="1" t="s">
        <v>86</v>
      </c>
    </row>
    <row r="84">
      <c r="A84" s="1">
        <v>82</v>
      </c>
      <c r="B84" s="1" t="s">
        <v>395</v>
      </c>
      <c r="C84" s="2">
        <f>=HYPERLINK("https://i.stonehdfile.com/stoneimage?s=d5075e65-ec9f-4935-b1ef-5a96ce7a01af","Image")</f>
      </c>
      <c r="D84" s="2">
        <f>=HYPERLINK("https://dna.stonehdfile.com/hd/viewhd.html?d=c4759463-c23c-4db7-954b-966a53c65447","View360")</f>
      </c>
      <c r="E84" s="2">
        <f>=HYPERLINK("https://i.stonehdfile.com/Certificate?s=d5075e65-ec9f-4935-b1ef-5a96ce7a01af","GIA")</f>
      </c>
      <c r="F84" s="2">
        <f>=HYPERLINK("https://i.stonehdfile.com/DNAReport?s=d5075e65-ec9f-4935-b1ef-5a96ce7a01af","DNA")</f>
      </c>
      <c r="G84" s="2">
        <f>=HYPERLINK("https://www.gia.edu/report-check?reportno=******6008","Verify")</f>
      </c>
      <c r="H84" s="1" t="s">
        <v>646</v>
      </c>
      <c r="I84" s="1" t="s">
        <v>46</v>
      </c>
      <c r="J84" s="1">
        <v>1.5</v>
      </c>
      <c r="K84" s="1">
        <v>2</v>
      </c>
      <c r="L84" s="1">
        <v>10100</v>
      </c>
      <c r="M84" s="1">
        <v>4370</v>
      </c>
      <c r="N84" s="1">
        <v>6555</v>
      </c>
      <c r="O84" s="1">
        <v>-56.73</v>
      </c>
      <c r="P84" s="1">
        <v>0</v>
      </c>
      <c r="Q84" s="1" t="s">
        <v>86</v>
      </c>
      <c r="R84" s="1">
        <v>0</v>
      </c>
      <c r="S84" s="1" t="s">
        <v>86</v>
      </c>
      <c r="T84" s="1" t="s">
        <v>86</v>
      </c>
      <c r="U84" s="1" t="s">
        <v>106</v>
      </c>
      <c r="V84" s="1" t="s">
        <v>86</v>
      </c>
      <c r="W84" s="1" t="s">
        <v>223</v>
      </c>
      <c r="X84" s="1" t="s">
        <v>86</v>
      </c>
      <c r="Y84" s="1" t="s">
        <v>89</v>
      </c>
      <c r="Z84" s="1" t="s">
        <v>89</v>
      </c>
      <c r="AA84" s="1" t="s">
        <v>87</v>
      </c>
      <c r="AB84" s="1" t="s">
        <v>86</v>
      </c>
      <c r="AC84" s="1" t="s">
        <v>647</v>
      </c>
      <c r="AD84" s="1">
        <v>67.1</v>
      </c>
      <c r="AE84" s="1">
        <v>65</v>
      </c>
      <c r="AF84" s="1" t="s">
        <v>91</v>
      </c>
      <c r="AG84" s="1">
        <v>3.5</v>
      </c>
      <c r="AH84" s="1">
        <v>35.6</v>
      </c>
      <c r="AI84" s="1" t="s">
        <v>86</v>
      </c>
      <c r="AJ84" s="1">
        <v>1.04</v>
      </c>
      <c r="AK84" s="1" t="s">
        <v>111</v>
      </c>
      <c r="AL84" s="1" t="s">
        <v>140</v>
      </c>
      <c r="AM84" s="1" t="s">
        <v>151</v>
      </c>
      <c r="AN84" s="1" t="s">
        <v>171</v>
      </c>
      <c r="AO84" s="1" t="s">
        <v>94</v>
      </c>
      <c r="AP84" s="1" t="s">
        <v>95</v>
      </c>
      <c r="AQ84" s="1">
        <v>12.7</v>
      </c>
      <c r="AR84" s="1">
        <v>51.1</v>
      </c>
      <c r="AS84" s="1">
        <v>38.6</v>
      </c>
      <c r="AT84" s="1" t="s">
        <v>96</v>
      </c>
      <c r="AU84" s="1" t="s">
        <v>86</v>
      </c>
      <c r="AV84" s="1" t="s">
        <v>86</v>
      </c>
      <c r="AW84" s="1" t="s">
        <v>86</v>
      </c>
      <c r="AX84" s="1" t="s">
        <v>86</v>
      </c>
      <c r="AY84" s="1" t="s">
        <v>86</v>
      </c>
      <c r="AZ84" s="1" t="s">
        <v>86</v>
      </c>
      <c r="BA84" s="1" t="s">
        <v>86</v>
      </c>
      <c r="BB84" s="1" t="s">
        <v>86</v>
      </c>
      <c r="BC84" s="1" t="s">
        <v>86</v>
      </c>
      <c r="BD84" s="1" t="s">
        <v>86</v>
      </c>
      <c r="BE84" s="1" t="s">
        <v>86</v>
      </c>
      <c r="BF84" s="1" t="s">
        <v>282</v>
      </c>
      <c r="BG84" s="1" t="s">
        <v>86</v>
      </c>
      <c r="BH84" s="1" t="s">
        <v>173</v>
      </c>
      <c r="BI84" s="1" t="s">
        <v>183</v>
      </c>
      <c r="BJ84" s="1" t="s">
        <v>87</v>
      </c>
      <c r="BK84" s="1">
        <v>0</v>
      </c>
      <c r="BL84" s="1">
        <v>0</v>
      </c>
      <c r="BM84" s="1" t="s">
        <v>398</v>
      </c>
      <c r="BN84" s="1" t="s">
        <v>648</v>
      </c>
      <c r="BO84" s="1" t="s">
        <v>284</v>
      </c>
      <c r="BP84" s="1" t="s">
        <v>86</v>
      </c>
      <c r="BQ84" s="1" t="s">
        <v>86</v>
      </c>
      <c r="BR84" s="1" t="s">
        <v>86</v>
      </c>
      <c r="BS84" s="1" t="s">
        <v>86</v>
      </c>
      <c r="BT84" s="1" t="s">
        <v>86</v>
      </c>
      <c r="BU84" s="1" t="s">
        <v>163</v>
      </c>
      <c r="BV84" s="1" t="s">
        <v>86</v>
      </c>
      <c r="BW84" s="1" t="s">
        <v>101</v>
      </c>
      <c r="BX84" s="1" t="s">
        <v>401</v>
      </c>
      <c r="BY84" s="1" t="s">
        <v>86</v>
      </c>
      <c r="BZ84" s="1" t="s">
        <v>649</v>
      </c>
      <c r="CA84" s="1" t="s">
        <v>220</v>
      </c>
      <c r="CB84" s="1" t="s">
        <v>650</v>
      </c>
      <c r="CC84" s="1" t="s">
        <v>86</v>
      </c>
      <c r="CD84" s="1" t="s">
        <v>86</v>
      </c>
      <c r="CE84" s="1" t="s">
        <v>86</v>
      </c>
    </row>
    <row r="85">
      <c r="A85" s="1">
        <v>83</v>
      </c>
      <c r="B85" s="1" t="s">
        <v>395</v>
      </c>
      <c r="C85" s="2">
        <f>=HYPERLINK("https://i.stonehdfile.com/stoneimage?s=5206ad41-06e0-4c75-b93c-d4c2ff02bee0","Image")</f>
      </c>
      <c r="D85" s="2">
        <f>=HYPERLINK("https://dna.stonehdfile.com/hd/viewhd.html?d=82e432a2-1eb2-4d52-af72-6a16c8bb3c7f","View360")</f>
      </c>
      <c r="E85" s="2">
        <f>=HYPERLINK("https://i.stonehdfile.com/Certificate?s=5206ad41-06e0-4c75-b93c-d4c2ff02bee0","GIA")</f>
      </c>
      <c r="F85" s="2">
        <f>=HYPERLINK("https://i.stonehdfile.com/DNAReport?s=5206ad41-06e0-4c75-b93c-d4c2ff02bee0","DNA")</f>
      </c>
      <c r="G85" s="2">
        <f>=HYPERLINK("https://www.gia.edu/report-check?reportno=******4621","Verify")</f>
      </c>
      <c r="H85" s="1" t="s">
        <v>651</v>
      </c>
      <c r="I85" s="1" t="s">
        <v>46</v>
      </c>
      <c r="J85" s="1">
        <v>1.5</v>
      </c>
      <c r="K85" s="1">
        <v>7</v>
      </c>
      <c r="L85" s="1">
        <v>10100</v>
      </c>
      <c r="M85" s="1">
        <v>5361</v>
      </c>
      <c r="N85" s="1">
        <v>8041.5</v>
      </c>
      <c r="O85" s="1">
        <v>-46.92</v>
      </c>
      <c r="P85" s="1">
        <v>0</v>
      </c>
      <c r="Q85" s="1" t="s">
        <v>86</v>
      </c>
      <c r="R85" s="1">
        <v>0</v>
      </c>
      <c r="S85" s="1" t="s">
        <v>86</v>
      </c>
      <c r="T85" s="1" t="s">
        <v>86</v>
      </c>
      <c r="U85" s="1" t="s">
        <v>106</v>
      </c>
      <c r="V85" s="1" t="s">
        <v>86</v>
      </c>
      <c r="W85" s="1" t="s">
        <v>223</v>
      </c>
      <c r="X85" s="1" t="s">
        <v>86</v>
      </c>
      <c r="Y85" s="1" t="s">
        <v>89</v>
      </c>
      <c r="Z85" s="1" t="s">
        <v>89</v>
      </c>
      <c r="AA85" s="1" t="s">
        <v>119</v>
      </c>
      <c r="AB85" s="1" t="s">
        <v>86</v>
      </c>
      <c r="AC85" s="1" t="s">
        <v>652</v>
      </c>
      <c r="AD85" s="1">
        <v>65</v>
      </c>
      <c r="AE85" s="1">
        <v>61</v>
      </c>
      <c r="AF85" s="1" t="s">
        <v>91</v>
      </c>
      <c r="AG85" s="1">
        <v>2.8</v>
      </c>
      <c r="AH85" s="1">
        <v>36.5</v>
      </c>
      <c r="AI85" s="1" t="s">
        <v>86</v>
      </c>
      <c r="AJ85" s="1">
        <v>1.14</v>
      </c>
      <c r="AK85" s="1" t="s">
        <v>111</v>
      </c>
      <c r="AL85" s="1" t="s">
        <v>93</v>
      </c>
      <c r="AM85" s="1" t="s">
        <v>140</v>
      </c>
      <c r="AN85" s="1" t="s">
        <v>171</v>
      </c>
      <c r="AO85" s="1" t="s">
        <v>94</v>
      </c>
      <c r="AP85" s="1" t="s">
        <v>95</v>
      </c>
      <c r="AQ85" s="1">
        <v>14.3</v>
      </c>
      <c r="AR85" s="1">
        <v>47.6</v>
      </c>
      <c r="AS85" s="1">
        <v>37.1</v>
      </c>
      <c r="AT85" s="1" t="s">
        <v>96</v>
      </c>
      <c r="AU85" s="1" t="s">
        <v>86</v>
      </c>
      <c r="AV85" s="1" t="s">
        <v>86</v>
      </c>
      <c r="AW85" s="1" t="s">
        <v>86</v>
      </c>
      <c r="AX85" s="1" t="s">
        <v>86</v>
      </c>
      <c r="AY85" s="1" t="s">
        <v>86</v>
      </c>
      <c r="AZ85" s="1" t="s">
        <v>86</v>
      </c>
      <c r="BA85" s="1" t="s">
        <v>86</v>
      </c>
      <c r="BB85" s="1" t="s">
        <v>86</v>
      </c>
      <c r="BC85" s="1" t="s">
        <v>86</v>
      </c>
      <c r="BD85" s="1" t="s">
        <v>86</v>
      </c>
      <c r="BE85" s="1" t="s">
        <v>86</v>
      </c>
      <c r="BF85" s="1" t="s">
        <v>86</v>
      </c>
      <c r="BG85" s="1" t="s">
        <v>86</v>
      </c>
      <c r="BH85" s="1" t="s">
        <v>97</v>
      </c>
      <c r="BI85" s="1" t="s">
        <v>322</v>
      </c>
      <c r="BJ85" s="1" t="s">
        <v>87</v>
      </c>
      <c r="BK85" s="1">
        <v>0</v>
      </c>
      <c r="BL85" s="1">
        <v>0</v>
      </c>
      <c r="BM85" s="1" t="s">
        <v>398</v>
      </c>
      <c r="BN85" s="1" t="s">
        <v>653</v>
      </c>
      <c r="BO85" s="1" t="s">
        <v>450</v>
      </c>
      <c r="BP85" s="1" t="s">
        <v>86</v>
      </c>
      <c r="BQ85" s="1" t="s">
        <v>86</v>
      </c>
      <c r="BR85" s="1" t="s">
        <v>86</v>
      </c>
      <c r="BS85" s="1" t="s">
        <v>86</v>
      </c>
      <c r="BT85" s="1" t="s">
        <v>86</v>
      </c>
      <c r="BU85" s="1" t="s">
        <v>163</v>
      </c>
      <c r="BV85" s="1" t="s">
        <v>86</v>
      </c>
      <c r="BW85" s="1" t="s">
        <v>101</v>
      </c>
      <c r="BX85" s="1" t="s">
        <v>423</v>
      </c>
      <c r="BY85" s="1" t="s">
        <v>86</v>
      </c>
      <c r="BZ85" s="1" t="s">
        <v>654</v>
      </c>
      <c r="CA85" s="1" t="s">
        <v>350</v>
      </c>
      <c r="CB85" s="1" t="s">
        <v>269</v>
      </c>
      <c r="CC85" s="1" t="s">
        <v>86</v>
      </c>
      <c r="CD85" s="1" t="s">
        <v>86</v>
      </c>
      <c r="CE85" s="1" t="s">
        <v>86</v>
      </c>
    </row>
    <row r="86">
      <c r="A86" s="1">
        <v>84</v>
      </c>
      <c r="B86" s="1" t="s">
        <v>395</v>
      </c>
      <c r="C86" s="2">
        <f>=HYPERLINK("https://i.stonehdfile.com/stoneimage?s=1e39db16-2ce3-4f6f-8ec8-7b99737f3505","Image")</f>
      </c>
      <c r="D86" s="2">
        <f>=HYPERLINK("https://dna.stonehdfile.com/hd/viewhd.html?d=20728f5c-40ba-4adf-969b-17a61566020d","View360")</f>
      </c>
      <c r="E86" s="2">
        <f>=HYPERLINK("https://i.stonehdfile.com/Certificate?s=1e39db16-2ce3-4f6f-8ec8-7b99737f3505","GIA")</f>
      </c>
      <c r="F86" s="2">
        <f>=HYPERLINK("https://i.stonehdfile.com/DNAReport?s=1e39db16-2ce3-4f6f-8ec8-7b99737f3505","DNA")</f>
      </c>
      <c r="G86" s="2">
        <f>=HYPERLINK("https://www.gia.edu/report-check?reportno=******6787","Verify")</f>
      </c>
      <c r="H86" s="1" t="s">
        <v>655</v>
      </c>
      <c r="I86" s="1" t="s">
        <v>46</v>
      </c>
      <c r="J86" s="1">
        <v>1.51</v>
      </c>
      <c r="K86" s="1">
        <v>2</v>
      </c>
      <c r="L86" s="1">
        <v>10100</v>
      </c>
      <c r="M86" s="1">
        <v>4953</v>
      </c>
      <c r="N86" s="1">
        <v>7479.03</v>
      </c>
      <c r="O86" s="1">
        <v>-50.96</v>
      </c>
      <c r="P86" s="1">
        <v>0</v>
      </c>
      <c r="Q86" s="1" t="s">
        <v>86</v>
      </c>
      <c r="R86" s="1">
        <v>0</v>
      </c>
      <c r="S86" s="1" t="s">
        <v>86</v>
      </c>
      <c r="T86" s="1" t="s">
        <v>86</v>
      </c>
      <c r="U86" s="1" t="s">
        <v>106</v>
      </c>
      <c r="V86" s="1" t="s">
        <v>86</v>
      </c>
      <c r="W86" s="1" t="s">
        <v>223</v>
      </c>
      <c r="X86" s="1" t="s">
        <v>86</v>
      </c>
      <c r="Y86" s="1" t="s">
        <v>89</v>
      </c>
      <c r="Z86" s="1" t="s">
        <v>138</v>
      </c>
      <c r="AA86" s="1" t="s">
        <v>119</v>
      </c>
      <c r="AB86" s="1" t="s">
        <v>86</v>
      </c>
      <c r="AC86" s="1" t="s">
        <v>656</v>
      </c>
      <c r="AD86" s="1">
        <v>67.2</v>
      </c>
      <c r="AE86" s="1">
        <v>64</v>
      </c>
      <c r="AF86" s="1" t="s">
        <v>91</v>
      </c>
      <c r="AG86" s="1">
        <v>1.9</v>
      </c>
      <c r="AH86" s="1">
        <v>34.6</v>
      </c>
      <c r="AI86" s="1" t="s">
        <v>86</v>
      </c>
      <c r="AJ86" s="1">
        <v>1.18</v>
      </c>
      <c r="AK86" s="1" t="s">
        <v>111</v>
      </c>
      <c r="AL86" s="1" t="s">
        <v>140</v>
      </c>
      <c r="AM86" s="1" t="s">
        <v>151</v>
      </c>
      <c r="AN86" s="1" t="s">
        <v>171</v>
      </c>
      <c r="AO86" s="1" t="s">
        <v>94</v>
      </c>
      <c r="AP86" s="1" t="s">
        <v>95</v>
      </c>
      <c r="AQ86" s="1">
        <v>12.4</v>
      </c>
      <c r="AR86" s="1">
        <v>52.5</v>
      </c>
      <c r="AS86" s="1">
        <v>39.2</v>
      </c>
      <c r="AT86" s="1" t="s">
        <v>96</v>
      </c>
      <c r="AU86" s="1" t="s">
        <v>86</v>
      </c>
      <c r="AV86" s="1" t="s">
        <v>86</v>
      </c>
      <c r="AW86" s="1" t="s">
        <v>86</v>
      </c>
      <c r="AX86" s="1" t="s">
        <v>86</v>
      </c>
      <c r="AY86" s="1" t="s">
        <v>86</v>
      </c>
      <c r="AZ86" s="1" t="s">
        <v>86</v>
      </c>
      <c r="BA86" s="1" t="s">
        <v>86</v>
      </c>
      <c r="BB86" s="1" t="s">
        <v>86</v>
      </c>
      <c r="BC86" s="1" t="s">
        <v>86</v>
      </c>
      <c r="BD86" s="1" t="s">
        <v>86</v>
      </c>
      <c r="BE86" s="1" t="s">
        <v>86</v>
      </c>
      <c r="BF86" s="1" t="s">
        <v>86</v>
      </c>
      <c r="BG86" s="1" t="s">
        <v>172</v>
      </c>
      <c r="BH86" s="1" t="s">
        <v>657</v>
      </c>
      <c r="BI86" s="1" t="s">
        <v>658</v>
      </c>
      <c r="BJ86" s="1" t="s">
        <v>87</v>
      </c>
      <c r="BK86" s="1">
        <v>0</v>
      </c>
      <c r="BL86" s="1">
        <v>0</v>
      </c>
      <c r="BM86" s="1" t="s">
        <v>398</v>
      </c>
      <c r="BN86" s="1" t="s">
        <v>659</v>
      </c>
      <c r="BO86" s="1" t="s">
        <v>660</v>
      </c>
      <c r="BP86" s="1" t="s">
        <v>86</v>
      </c>
      <c r="BQ86" s="1" t="s">
        <v>86</v>
      </c>
      <c r="BR86" s="1" t="s">
        <v>86</v>
      </c>
      <c r="BS86" s="1" t="s">
        <v>86</v>
      </c>
      <c r="BT86" s="1" t="s">
        <v>86</v>
      </c>
      <c r="BU86" s="1" t="s">
        <v>163</v>
      </c>
      <c r="BV86" s="1" t="s">
        <v>86</v>
      </c>
      <c r="BW86" s="1" t="s">
        <v>101</v>
      </c>
      <c r="BX86" s="1" t="s">
        <v>423</v>
      </c>
      <c r="BY86" s="1" t="s">
        <v>86</v>
      </c>
      <c r="BZ86" s="1" t="s">
        <v>661</v>
      </c>
      <c r="CA86" s="1" t="s">
        <v>220</v>
      </c>
      <c r="CB86" s="1" t="s">
        <v>425</v>
      </c>
      <c r="CC86" s="1" t="s">
        <v>86</v>
      </c>
      <c r="CD86" s="1" t="s">
        <v>86</v>
      </c>
      <c r="CE86" s="1" t="s">
        <v>86</v>
      </c>
    </row>
    <row r="87">
      <c r="A87" s="1">
        <v>85</v>
      </c>
      <c r="B87" s="1" t="s">
        <v>395</v>
      </c>
      <c r="C87" s="2">
        <f>=HYPERLINK("https://i.stonehdfile.com/stoneimage?s=bc71a285-f080-41ef-8793-45872b276a4e","Image")</f>
      </c>
      <c r="D87" s="2">
        <f>=HYPERLINK("https://dna.stonehdfile.com/hd/viewhd.html?d=e9275609-0898-4c94-a7c5-d26b69cbe6ed","View360")</f>
      </c>
      <c r="E87" s="2">
        <f>=HYPERLINK("https://i.stonehdfile.com/Certificate?s=bc71a285-f080-41ef-8793-45872b276a4e","GIA")</f>
      </c>
      <c r="F87" s="2">
        <f>=HYPERLINK("https://i.stonehdfile.com/DNAReport?s=bc71a285-f080-41ef-8793-45872b276a4e","DNA")</f>
      </c>
      <c r="G87" s="2">
        <f>=HYPERLINK("https://www.gia.edu/report-check?reportno=******2462","Verify")</f>
      </c>
      <c r="H87" s="1" t="s">
        <v>662</v>
      </c>
      <c r="I87" s="1" t="s">
        <v>46</v>
      </c>
      <c r="J87" s="1">
        <v>1.54</v>
      </c>
      <c r="K87" s="1">
        <v>5</v>
      </c>
      <c r="L87" s="1">
        <v>10100</v>
      </c>
      <c r="M87" s="1">
        <v>5132</v>
      </c>
      <c r="N87" s="1">
        <v>7903.28</v>
      </c>
      <c r="O87" s="1">
        <v>-49.19</v>
      </c>
      <c r="P87" s="1">
        <v>0</v>
      </c>
      <c r="Q87" s="1" t="s">
        <v>86</v>
      </c>
      <c r="R87" s="1">
        <v>0</v>
      </c>
      <c r="S87" s="1" t="s">
        <v>86</v>
      </c>
      <c r="T87" s="1" t="s">
        <v>86</v>
      </c>
      <c r="U87" s="1" t="s">
        <v>106</v>
      </c>
      <c r="V87" s="1" t="s">
        <v>86</v>
      </c>
      <c r="W87" s="1" t="s">
        <v>223</v>
      </c>
      <c r="X87" s="1" t="s">
        <v>86</v>
      </c>
      <c r="Y87" s="1" t="s">
        <v>89</v>
      </c>
      <c r="Z87" s="1" t="s">
        <v>138</v>
      </c>
      <c r="AA87" s="1" t="s">
        <v>119</v>
      </c>
      <c r="AB87" s="1" t="s">
        <v>86</v>
      </c>
      <c r="AC87" s="1" t="s">
        <v>663</v>
      </c>
      <c r="AD87" s="1">
        <v>67.4</v>
      </c>
      <c r="AE87" s="1">
        <v>64</v>
      </c>
      <c r="AF87" s="1" t="s">
        <v>91</v>
      </c>
      <c r="AG87" s="1">
        <v>1.7</v>
      </c>
      <c r="AH87" s="1">
        <v>35</v>
      </c>
      <c r="AI87" s="1" t="s">
        <v>86</v>
      </c>
      <c r="AJ87" s="1">
        <v>1.18</v>
      </c>
      <c r="AK87" s="1" t="s">
        <v>111</v>
      </c>
      <c r="AL87" s="1" t="s">
        <v>93</v>
      </c>
      <c r="AM87" s="1" t="s">
        <v>128</v>
      </c>
      <c r="AN87" s="1" t="s">
        <v>171</v>
      </c>
      <c r="AO87" s="1" t="s">
        <v>94</v>
      </c>
      <c r="AP87" s="1" t="s">
        <v>95</v>
      </c>
      <c r="AQ87" s="1">
        <v>12.3</v>
      </c>
      <c r="AR87" s="1">
        <v>53.1</v>
      </c>
      <c r="AS87" s="1">
        <v>38.8</v>
      </c>
      <c r="AT87" s="1" t="s">
        <v>96</v>
      </c>
      <c r="AU87" s="1" t="s">
        <v>86</v>
      </c>
      <c r="AV87" s="1" t="s">
        <v>86</v>
      </c>
      <c r="AW87" s="1" t="s">
        <v>86</v>
      </c>
      <c r="AX87" s="1" t="s">
        <v>86</v>
      </c>
      <c r="AY87" s="1" t="s">
        <v>86</v>
      </c>
      <c r="AZ87" s="1" t="s">
        <v>86</v>
      </c>
      <c r="BA87" s="1" t="s">
        <v>86</v>
      </c>
      <c r="BB87" s="1" t="s">
        <v>86</v>
      </c>
      <c r="BC87" s="1" t="s">
        <v>86</v>
      </c>
      <c r="BD87" s="1" t="s">
        <v>86</v>
      </c>
      <c r="BE87" s="1" t="s">
        <v>86</v>
      </c>
      <c r="BF87" s="1" t="s">
        <v>86</v>
      </c>
      <c r="BG87" s="1" t="s">
        <v>172</v>
      </c>
      <c r="BH87" s="1" t="s">
        <v>264</v>
      </c>
      <c r="BI87" s="1" t="s">
        <v>265</v>
      </c>
      <c r="BJ87" s="1" t="s">
        <v>87</v>
      </c>
      <c r="BK87" s="1">
        <v>0</v>
      </c>
      <c r="BL87" s="1">
        <v>0</v>
      </c>
      <c r="BM87" s="1" t="s">
        <v>398</v>
      </c>
      <c r="BN87" s="1" t="s">
        <v>664</v>
      </c>
      <c r="BO87" s="1" t="s">
        <v>506</v>
      </c>
      <c r="BP87" s="1" t="s">
        <v>86</v>
      </c>
      <c r="BQ87" s="1" t="s">
        <v>86</v>
      </c>
      <c r="BR87" s="1" t="s">
        <v>86</v>
      </c>
      <c r="BS87" s="1" t="s">
        <v>86</v>
      </c>
      <c r="BT87" s="1" t="s">
        <v>86</v>
      </c>
      <c r="BU87" s="1" t="s">
        <v>163</v>
      </c>
      <c r="BV87" s="1" t="s">
        <v>86</v>
      </c>
      <c r="BW87" s="1" t="s">
        <v>101</v>
      </c>
      <c r="BX87" s="1" t="s">
        <v>414</v>
      </c>
      <c r="BY87" s="1" t="s">
        <v>86</v>
      </c>
      <c r="BZ87" s="1" t="s">
        <v>665</v>
      </c>
      <c r="CA87" s="1" t="s">
        <v>220</v>
      </c>
      <c r="CB87" s="1" t="s">
        <v>279</v>
      </c>
      <c r="CC87" s="1" t="s">
        <v>86</v>
      </c>
      <c r="CD87" s="1" t="s">
        <v>86</v>
      </c>
      <c r="CE87" s="1" t="s">
        <v>86</v>
      </c>
    </row>
    <row r="88">
      <c r="A88" s="1">
        <v>86</v>
      </c>
      <c r="B88" s="1" t="s">
        <v>395</v>
      </c>
      <c r="C88" s="2">
        <f>=HYPERLINK("https://i.stonehdfile.com/stoneimage?s=70220492-bdb6-45c7-aa61-f221968825df","Image")</f>
      </c>
      <c r="D88" s="2">
        <f>=HYPERLINK("https://dna.stonehdfile.com/hd/viewhd.html?d=d5913bd9-fa93-44f9-952a-38152873cc0b","View360")</f>
      </c>
      <c r="E88" s="2">
        <f>=HYPERLINK("https://i.stonehdfile.com/Certificate?s=70220492-bdb6-45c7-aa61-f221968825df","GIA")</f>
      </c>
      <c r="F88" s="2">
        <f>=HYPERLINK("https://i.stonehdfile.com/DNAReport?s=70220492-bdb6-45c7-aa61-f221968825df","DNA")</f>
      </c>
      <c r="G88" s="2">
        <f>=HYPERLINK("https://www.gia.edu/report-check?reportno=******4396","Verify")</f>
      </c>
      <c r="H88" s="1" t="s">
        <v>666</v>
      </c>
      <c r="I88" s="1" t="s">
        <v>46</v>
      </c>
      <c r="J88" s="1">
        <v>1.5</v>
      </c>
      <c r="K88" s="1">
        <v>2</v>
      </c>
      <c r="L88" s="1">
        <v>8600</v>
      </c>
      <c r="M88" s="1">
        <v>3520</v>
      </c>
      <c r="N88" s="1">
        <v>5280</v>
      </c>
      <c r="O88" s="1">
        <v>-59.07</v>
      </c>
      <c r="P88" s="1">
        <v>0</v>
      </c>
      <c r="Q88" s="1" t="s">
        <v>86</v>
      </c>
      <c r="R88" s="1">
        <v>0</v>
      </c>
      <c r="S88" s="1" t="s">
        <v>86</v>
      </c>
      <c r="T88" s="1" t="s">
        <v>86</v>
      </c>
      <c r="U88" s="1" t="s">
        <v>106</v>
      </c>
      <c r="V88" s="1" t="s">
        <v>86</v>
      </c>
      <c r="W88" s="1" t="s">
        <v>137</v>
      </c>
      <c r="X88" s="1" t="s">
        <v>86</v>
      </c>
      <c r="Y88" s="1" t="s">
        <v>89</v>
      </c>
      <c r="Z88" s="1" t="s">
        <v>89</v>
      </c>
      <c r="AA88" s="1" t="s">
        <v>119</v>
      </c>
      <c r="AB88" s="1" t="s">
        <v>86</v>
      </c>
      <c r="AC88" s="1" t="s">
        <v>667</v>
      </c>
      <c r="AD88" s="1">
        <v>69.6</v>
      </c>
      <c r="AE88" s="1">
        <v>60</v>
      </c>
      <c r="AF88" s="1" t="s">
        <v>91</v>
      </c>
      <c r="AG88" s="1">
        <v>3.3</v>
      </c>
      <c r="AH88" s="1">
        <v>36.5</v>
      </c>
      <c r="AI88" s="1" t="s">
        <v>86</v>
      </c>
      <c r="AJ88" s="1">
        <v>1.05</v>
      </c>
      <c r="AK88" s="1" t="s">
        <v>111</v>
      </c>
      <c r="AL88" s="1" t="s">
        <v>93</v>
      </c>
      <c r="AM88" s="1" t="s">
        <v>128</v>
      </c>
      <c r="AN88" s="1" t="s">
        <v>171</v>
      </c>
      <c r="AO88" s="1" t="s">
        <v>94</v>
      </c>
      <c r="AP88" s="1" t="s">
        <v>95</v>
      </c>
      <c r="AQ88" s="1">
        <v>14.7</v>
      </c>
      <c r="AR88" s="1">
        <v>51.5</v>
      </c>
      <c r="AS88" s="1">
        <v>38.8</v>
      </c>
      <c r="AT88" s="1" t="s">
        <v>96</v>
      </c>
      <c r="AU88" s="1" t="s">
        <v>86</v>
      </c>
      <c r="AV88" s="1" t="s">
        <v>86</v>
      </c>
      <c r="AW88" s="1" t="s">
        <v>86</v>
      </c>
      <c r="AX88" s="1" t="s">
        <v>86</v>
      </c>
      <c r="AY88" s="1" t="s">
        <v>86</v>
      </c>
      <c r="AZ88" s="1" t="s">
        <v>86</v>
      </c>
      <c r="BA88" s="1" t="s">
        <v>86</v>
      </c>
      <c r="BB88" s="1" t="s">
        <v>86</v>
      </c>
      <c r="BC88" s="1" t="s">
        <v>86</v>
      </c>
      <c r="BD88" s="1" t="s">
        <v>86</v>
      </c>
      <c r="BE88" s="1" t="s">
        <v>86</v>
      </c>
      <c r="BF88" s="1" t="s">
        <v>86</v>
      </c>
      <c r="BG88" s="1" t="s">
        <v>86</v>
      </c>
      <c r="BH88" s="1" t="s">
        <v>97</v>
      </c>
      <c r="BI88" s="1" t="s">
        <v>232</v>
      </c>
      <c r="BJ88" s="1" t="s">
        <v>87</v>
      </c>
      <c r="BK88" s="1">
        <v>0</v>
      </c>
      <c r="BL88" s="1">
        <v>0</v>
      </c>
      <c r="BM88" s="1" t="s">
        <v>398</v>
      </c>
      <c r="BN88" s="1" t="s">
        <v>668</v>
      </c>
      <c r="BO88" s="1" t="s">
        <v>669</v>
      </c>
      <c r="BP88" s="1" t="s">
        <v>86</v>
      </c>
      <c r="BQ88" s="1" t="s">
        <v>86</v>
      </c>
      <c r="BR88" s="1" t="s">
        <v>86</v>
      </c>
      <c r="BS88" s="1" t="s">
        <v>86</v>
      </c>
      <c r="BT88" s="1" t="s">
        <v>86</v>
      </c>
      <c r="BU88" s="1" t="s">
        <v>163</v>
      </c>
      <c r="BV88" s="1" t="s">
        <v>86</v>
      </c>
      <c r="BW88" s="1" t="s">
        <v>101</v>
      </c>
      <c r="BX88" s="1" t="s">
        <v>470</v>
      </c>
      <c r="BY88" s="1" t="s">
        <v>86</v>
      </c>
      <c r="BZ88" s="1" t="s">
        <v>670</v>
      </c>
      <c r="CA88" s="1" t="s">
        <v>671</v>
      </c>
      <c r="CB88" s="1" t="s">
        <v>221</v>
      </c>
      <c r="CC88" s="1" t="s">
        <v>86</v>
      </c>
      <c r="CD88" s="1" t="s">
        <v>86</v>
      </c>
      <c r="CE88" s="1" t="s">
        <v>86</v>
      </c>
    </row>
    <row r="89">
      <c r="A89" s="1">
        <v>87</v>
      </c>
      <c r="B89" s="1" t="s">
        <v>395</v>
      </c>
      <c r="C89" s="2">
        <f>=HYPERLINK("https://i.stonehdfile.com/stoneimage?s=30501087-506a-4ea9-aa2c-9ba1381210d8","Image")</f>
      </c>
      <c r="D89" s="2">
        <f>=HYPERLINK("https://dna.stonehdfile.com/hd/viewhd.html?d=5ea2ae22-dbd8-4ec8-b45c-7fcd0261e15f","View360")</f>
      </c>
      <c r="E89" s="2">
        <f>=HYPERLINK("https://i.stonehdfile.com/Certificate?s=30501087-506a-4ea9-aa2c-9ba1381210d8","GIA")</f>
      </c>
      <c r="F89" s="2">
        <f>=HYPERLINK("https://i.stonehdfile.com/DNAReport?s=30501087-506a-4ea9-aa2c-9ba1381210d8","DNA")</f>
      </c>
      <c r="G89" s="2">
        <f>=HYPERLINK("https://www.gia.edu/report-check?reportno=******4490","Verify")</f>
      </c>
      <c r="H89" s="1" t="s">
        <v>672</v>
      </c>
      <c r="I89" s="1" t="s">
        <v>46</v>
      </c>
      <c r="J89" s="1">
        <v>1.51</v>
      </c>
      <c r="K89" s="1">
        <v>0</v>
      </c>
      <c r="L89" s="1">
        <v>8600</v>
      </c>
      <c r="M89" s="1">
        <v>3283</v>
      </c>
      <c r="N89" s="1">
        <v>4957.33</v>
      </c>
      <c r="O89" s="1">
        <v>-61.83</v>
      </c>
      <c r="P89" s="1">
        <v>0</v>
      </c>
      <c r="Q89" s="1" t="s">
        <v>86</v>
      </c>
      <c r="R89" s="1">
        <v>0</v>
      </c>
      <c r="S89" s="1" t="s">
        <v>86</v>
      </c>
      <c r="T89" s="1" t="s">
        <v>86</v>
      </c>
      <c r="U89" s="1" t="s">
        <v>106</v>
      </c>
      <c r="V89" s="1" t="s">
        <v>86</v>
      </c>
      <c r="W89" s="1" t="s">
        <v>137</v>
      </c>
      <c r="X89" s="1" t="s">
        <v>86</v>
      </c>
      <c r="Y89" s="1" t="s">
        <v>89</v>
      </c>
      <c r="Z89" s="1" t="s">
        <v>138</v>
      </c>
      <c r="AA89" s="1" t="s">
        <v>119</v>
      </c>
      <c r="AB89" s="1" t="s">
        <v>86</v>
      </c>
      <c r="AC89" s="1" t="s">
        <v>673</v>
      </c>
      <c r="AD89" s="1">
        <v>69</v>
      </c>
      <c r="AE89" s="1">
        <v>62</v>
      </c>
      <c r="AF89" s="1" t="s">
        <v>91</v>
      </c>
      <c r="AG89" s="1">
        <v>3.8</v>
      </c>
      <c r="AH89" s="1">
        <v>35.6</v>
      </c>
      <c r="AI89" s="1" t="s">
        <v>86</v>
      </c>
      <c r="AJ89" s="1">
        <v>1.08</v>
      </c>
      <c r="AK89" s="1" t="s">
        <v>198</v>
      </c>
      <c r="AL89" s="1" t="s">
        <v>93</v>
      </c>
      <c r="AM89" s="1" t="s">
        <v>128</v>
      </c>
      <c r="AN89" s="1" t="s">
        <v>168</v>
      </c>
      <c r="AO89" s="1" t="s">
        <v>208</v>
      </c>
      <c r="AP89" s="1" t="s">
        <v>95</v>
      </c>
      <c r="AQ89" s="1">
        <v>13.5</v>
      </c>
      <c r="AR89" s="1">
        <v>51.3</v>
      </c>
      <c r="AS89" s="1">
        <v>39.2</v>
      </c>
      <c r="AT89" s="1" t="s">
        <v>96</v>
      </c>
      <c r="AU89" s="1" t="s">
        <v>86</v>
      </c>
      <c r="AV89" s="1" t="s">
        <v>86</v>
      </c>
      <c r="AW89" s="1" t="s">
        <v>86</v>
      </c>
      <c r="AX89" s="1" t="s">
        <v>86</v>
      </c>
      <c r="AY89" s="1" t="s">
        <v>86</v>
      </c>
      <c r="AZ89" s="1" t="s">
        <v>86</v>
      </c>
      <c r="BA89" s="1" t="s">
        <v>86</v>
      </c>
      <c r="BB89" s="1" t="s">
        <v>86</v>
      </c>
      <c r="BC89" s="1" t="s">
        <v>86</v>
      </c>
      <c r="BD89" s="1" t="s">
        <v>86</v>
      </c>
      <c r="BE89" s="1" t="s">
        <v>86</v>
      </c>
      <c r="BF89" s="1" t="s">
        <v>86</v>
      </c>
      <c r="BG89" s="1" t="s">
        <v>86</v>
      </c>
      <c r="BH89" s="1" t="s">
        <v>97</v>
      </c>
      <c r="BI89" s="1" t="s">
        <v>216</v>
      </c>
      <c r="BJ89" s="1" t="s">
        <v>87</v>
      </c>
      <c r="BK89" s="1">
        <v>0</v>
      </c>
      <c r="BL89" s="1">
        <v>0</v>
      </c>
      <c r="BM89" s="1" t="s">
        <v>86</v>
      </c>
      <c r="BN89" s="1" t="s">
        <v>674</v>
      </c>
      <c r="BO89" s="1" t="s">
        <v>675</v>
      </c>
      <c r="BP89" s="1" t="s">
        <v>86</v>
      </c>
      <c r="BQ89" s="1" t="s">
        <v>86</v>
      </c>
      <c r="BR89" s="1" t="s">
        <v>86</v>
      </c>
      <c r="BS89" s="1" t="s">
        <v>86</v>
      </c>
      <c r="BT89" s="1" t="s">
        <v>86</v>
      </c>
      <c r="BU89" s="1" t="s">
        <v>163</v>
      </c>
      <c r="BV89" s="1" t="s">
        <v>86</v>
      </c>
      <c r="BW89" s="1" t="s">
        <v>101</v>
      </c>
      <c r="BX89" s="1" t="s">
        <v>545</v>
      </c>
      <c r="BY89" s="1" t="s">
        <v>86</v>
      </c>
      <c r="BZ89" s="1" t="s">
        <v>676</v>
      </c>
      <c r="CA89" s="1" t="s">
        <v>178</v>
      </c>
      <c r="CB89" s="1" t="s">
        <v>166</v>
      </c>
      <c r="CC89" s="1" t="s">
        <v>86</v>
      </c>
      <c r="CD89" s="1" t="s">
        <v>86</v>
      </c>
      <c r="CE89" s="1" t="s">
        <v>86</v>
      </c>
    </row>
    <row r="90">
      <c r="A90" s="1">
        <v>88</v>
      </c>
      <c r="B90" s="1" t="s">
        <v>395</v>
      </c>
      <c r="C90" s="2">
        <f>=HYPERLINK("https://i.stonehdfile.com/stoneimage?s=7ba4b939-2f7d-4637-8b35-a2eb6ac7c800","Image")</f>
      </c>
      <c r="D90" s="2">
        <f>=HYPERLINK("https://dna.stonehdfile.com/hd/viewhd.html?d=18a9f12d-a165-4332-bdaa-ce6172111d12","View360")</f>
      </c>
      <c r="E90" s="2">
        <f>=HYPERLINK("https://i.stonehdfile.com/Certificate?s=7ba4b939-2f7d-4637-8b35-a2eb6ac7c800","GIA")</f>
      </c>
      <c r="F90" s="2">
        <f>=HYPERLINK("https://i.stonehdfile.com/DNAReport?s=7ba4b939-2f7d-4637-8b35-a2eb6ac7c800","DNA")</f>
      </c>
      <c r="G90" s="2">
        <f>=HYPERLINK("https://www.gia.edu/report-check?reportno=******3927","Verify")</f>
      </c>
      <c r="H90" s="1" t="s">
        <v>677</v>
      </c>
      <c r="I90" s="1" t="s">
        <v>46</v>
      </c>
      <c r="J90" s="1">
        <v>1.52</v>
      </c>
      <c r="K90" s="1">
        <v>6</v>
      </c>
      <c r="L90" s="1">
        <v>8600</v>
      </c>
      <c r="M90" s="1">
        <v>3312</v>
      </c>
      <c r="N90" s="1">
        <v>5034.24</v>
      </c>
      <c r="O90" s="1">
        <v>-61.49</v>
      </c>
      <c r="P90" s="1">
        <v>0</v>
      </c>
      <c r="Q90" s="1" t="s">
        <v>86</v>
      </c>
      <c r="R90" s="1">
        <v>0</v>
      </c>
      <c r="S90" s="1" t="s">
        <v>86</v>
      </c>
      <c r="T90" s="1" t="s">
        <v>86</v>
      </c>
      <c r="U90" s="1" t="s">
        <v>106</v>
      </c>
      <c r="V90" s="1" t="s">
        <v>86</v>
      </c>
      <c r="W90" s="1" t="s">
        <v>206</v>
      </c>
      <c r="X90" s="1" t="s">
        <v>86</v>
      </c>
      <c r="Y90" s="1" t="s">
        <v>89</v>
      </c>
      <c r="Z90" s="1" t="s">
        <v>89</v>
      </c>
      <c r="AA90" s="1" t="s">
        <v>119</v>
      </c>
      <c r="AB90" s="1" t="s">
        <v>86</v>
      </c>
      <c r="AC90" s="1" t="s">
        <v>678</v>
      </c>
      <c r="AD90" s="1">
        <v>67.9</v>
      </c>
      <c r="AE90" s="1">
        <v>63</v>
      </c>
      <c r="AF90" s="1" t="s">
        <v>91</v>
      </c>
      <c r="AG90" s="1">
        <v>2.6</v>
      </c>
      <c r="AH90" s="1">
        <v>35</v>
      </c>
      <c r="AI90" s="1" t="s">
        <v>86</v>
      </c>
      <c r="AJ90" s="1">
        <v>1.08</v>
      </c>
      <c r="AK90" s="1" t="s">
        <v>198</v>
      </c>
      <c r="AL90" s="1" t="s">
        <v>93</v>
      </c>
      <c r="AM90" s="1" t="s">
        <v>151</v>
      </c>
      <c r="AN90" s="1" t="s">
        <v>168</v>
      </c>
      <c r="AO90" s="1" t="s">
        <v>208</v>
      </c>
      <c r="AP90" s="1" t="s">
        <v>95</v>
      </c>
      <c r="AQ90" s="1">
        <v>13</v>
      </c>
      <c r="AR90" s="1">
        <v>51.9</v>
      </c>
      <c r="AS90" s="1">
        <v>38.9</v>
      </c>
      <c r="AT90" s="1" t="s">
        <v>96</v>
      </c>
      <c r="AU90" s="1" t="s">
        <v>86</v>
      </c>
      <c r="AV90" s="1" t="s">
        <v>86</v>
      </c>
      <c r="AW90" s="1" t="s">
        <v>86</v>
      </c>
      <c r="AX90" s="1" t="s">
        <v>86</v>
      </c>
      <c r="AY90" s="1" t="s">
        <v>86</v>
      </c>
      <c r="AZ90" s="1" t="s">
        <v>86</v>
      </c>
      <c r="BA90" s="1" t="s">
        <v>86</v>
      </c>
      <c r="BB90" s="1" t="s">
        <v>86</v>
      </c>
      <c r="BC90" s="1" t="s">
        <v>86</v>
      </c>
      <c r="BD90" s="1" t="s">
        <v>86</v>
      </c>
      <c r="BE90" s="1" t="s">
        <v>86</v>
      </c>
      <c r="BF90" s="1" t="s">
        <v>86</v>
      </c>
      <c r="BG90" s="1" t="s">
        <v>86</v>
      </c>
      <c r="BH90" s="1" t="s">
        <v>182</v>
      </c>
      <c r="BI90" s="1" t="s">
        <v>335</v>
      </c>
      <c r="BJ90" s="1" t="s">
        <v>87</v>
      </c>
      <c r="BK90" s="1">
        <v>0</v>
      </c>
      <c r="BL90" s="1">
        <v>0</v>
      </c>
      <c r="BM90" s="1" t="s">
        <v>86</v>
      </c>
      <c r="BN90" s="1" t="s">
        <v>679</v>
      </c>
      <c r="BO90" s="1" t="s">
        <v>680</v>
      </c>
      <c r="BP90" s="1" t="s">
        <v>86</v>
      </c>
      <c r="BQ90" s="1" t="s">
        <v>86</v>
      </c>
      <c r="BR90" s="1" t="s">
        <v>86</v>
      </c>
      <c r="BS90" s="1" t="s">
        <v>86</v>
      </c>
      <c r="BT90" s="1" t="s">
        <v>86</v>
      </c>
      <c r="BU90" s="1" t="s">
        <v>163</v>
      </c>
      <c r="BV90" s="1" t="s">
        <v>86</v>
      </c>
      <c r="BW90" s="1" t="s">
        <v>101</v>
      </c>
      <c r="BX90" s="1" t="s">
        <v>401</v>
      </c>
      <c r="BY90" s="1" t="s">
        <v>86</v>
      </c>
      <c r="BZ90" s="1" t="s">
        <v>681</v>
      </c>
      <c r="CA90" s="1" t="s">
        <v>220</v>
      </c>
      <c r="CB90" s="1" t="s">
        <v>221</v>
      </c>
      <c r="CC90" s="1" t="s">
        <v>86</v>
      </c>
      <c r="CD90" s="1" t="s">
        <v>86</v>
      </c>
      <c r="CE90" s="1" t="s">
        <v>86</v>
      </c>
    </row>
    <row r="91">
      <c r="A91" s="1">
        <v>89</v>
      </c>
      <c r="B91" s="1" t="s">
        <v>395</v>
      </c>
      <c r="C91" s="2">
        <f>=HYPERLINK("https://i.stonehdfile.com/stoneimage?s=9cc77e05-0769-4fd6-b670-524b7d07889e","Image")</f>
      </c>
      <c r="D91" s="2">
        <f>=HYPERLINK("https://dna.stonehdfile.com/hd/viewhd.html?d=1219d546-ff31-4b97-8428-66f5aaa048f5","View360")</f>
      </c>
      <c r="E91" s="2">
        <f>=HYPERLINK("https://i.stonehdfile.com/Certificate?s=9cc77e05-0769-4fd6-b670-524b7d07889e","GIA")</f>
      </c>
      <c r="F91" s="2">
        <f>=HYPERLINK("https://i.stonehdfile.com/DNAReport?s=9cc77e05-0769-4fd6-b670-524b7d07889e","DNA")</f>
      </c>
      <c r="G91" s="2">
        <f>=HYPERLINK("https://www.gia.edu/report-check?reportno=******1783","Verify")</f>
      </c>
      <c r="H91" s="1" t="s">
        <v>682</v>
      </c>
      <c r="I91" s="1" t="s">
        <v>46</v>
      </c>
      <c r="J91" s="1">
        <v>1.5</v>
      </c>
      <c r="K91" s="1">
        <v>3</v>
      </c>
      <c r="L91" s="1">
        <v>7000</v>
      </c>
      <c r="M91" s="1">
        <v>2393</v>
      </c>
      <c r="N91" s="1">
        <v>3589.5</v>
      </c>
      <c r="O91" s="1">
        <v>-65.81</v>
      </c>
      <c r="P91" s="1">
        <v>0</v>
      </c>
      <c r="Q91" s="1" t="s">
        <v>86</v>
      </c>
      <c r="R91" s="1">
        <v>0</v>
      </c>
      <c r="S91" s="1" t="s">
        <v>86</v>
      </c>
      <c r="T91" s="1" t="s">
        <v>86</v>
      </c>
      <c r="U91" s="1" t="s">
        <v>106</v>
      </c>
      <c r="V91" s="1" t="s">
        <v>86</v>
      </c>
      <c r="W91" s="1" t="s">
        <v>213</v>
      </c>
      <c r="X91" s="1" t="s">
        <v>86</v>
      </c>
      <c r="Y91" s="1" t="s">
        <v>138</v>
      </c>
      <c r="Z91" s="1" t="s">
        <v>89</v>
      </c>
      <c r="AA91" s="1" t="s">
        <v>119</v>
      </c>
      <c r="AB91" s="1" t="s">
        <v>86</v>
      </c>
      <c r="AC91" s="1" t="s">
        <v>683</v>
      </c>
      <c r="AD91" s="1">
        <v>70.7</v>
      </c>
      <c r="AE91" s="1">
        <v>64</v>
      </c>
      <c r="AF91" s="1" t="s">
        <v>91</v>
      </c>
      <c r="AG91" s="1">
        <v>4.2</v>
      </c>
      <c r="AH91" s="1">
        <v>36.8</v>
      </c>
      <c r="AI91" s="1" t="s">
        <v>86</v>
      </c>
      <c r="AJ91" s="1">
        <v>1.05</v>
      </c>
      <c r="AK91" s="1" t="s">
        <v>111</v>
      </c>
      <c r="AL91" s="1" t="s">
        <v>140</v>
      </c>
      <c r="AM91" s="1" t="s">
        <v>151</v>
      </c>
      <c r="AN91" s="1" t="s">
        <v>171</v>
      </c>
      <c r="AO91" s="1" t="s">
        <v>208</v>
      </c>
      <c r="AP91" s="1" t="s">
        <v>95</v>
      </c>
      <c r="AQ91" s="1">
        <v>13.3</v>
      </c>
      <c r="AR91" s="1">
        <v>52.6</v>
      </c>
      <c r="AS91" s="1">
        <v>40.2</v>
      </c>
      <c r="AT91" s="1" t="s">
        <v>96</v>
      </c>
      <c r="AU91" s="1" t="s">
        <v>141</v>
      </c>
      <c r="AV91" s="1" t="s">
        <v>86</v>
      </c>
      <c r="AW91" s="1" t="s">
        <v>86</v>
      </c>
      <c r="AX91" s="1" t="s">
        <v>86</v>
      </c>
      <c r="AY91" s="1" t="s">
        <v>86</v>
      </c>
      <c r="AZ91" s="1" t="s">
        <v>86</v>
      </c>
      <c r="BA91" s="1" t="s">
        <v>86</v>
      </c>
      <c r="BB91" s="1" t="s">
        <v>86</v>
      </c>
      <c r="BC91" s="1" t="s">
        <v>86</v>
      </c>
      <c r="BD91" s="1" t="s">
        <v>86</v>
      </c>
      <c r="BE91" s="1" t="s">
        <v>86</v>
      </c>
      <c r="BF91" s="1" t="s">
        <v>282</v>
      </c>
      <c r="BG91" s="1" t="s">
        <v>172</v>
      </c>
      <c r="BH91" s="1" t="s">
        <v>129</v>
      </c>
      <c r="BI91" s="1" t="s">
        <v>257</v>
      </c>
      <c r="BJ91" s="1" t="s">
        <v>87</v>
      </c>
      <c r="BK91" s="1">
        <v>0</v>
      </c>
      <c r="BL91" s="1">
        <v>0</v>
      </c>
      <c r="BM91" s="1" t="s">
        <v>86</v>
      </c>
      <c r="BN91" s="1" t="s">
        <v>684</v>
      </c>
      <c r="BO91" s="1" t="s">
        <v>685</v>
      </c>
      <c r="BP91" s="1" t="s">
        <v>86</v>
      </c>
      <c r="BQ91" s="1" t="s">
        <v>86</v>
      </c>
      <c r="BR91" s="1" t="s">
        <v>86</v>
      </c>
      <c r="BS91" s="1" t="s">
        <v>86</v>
      </c>
      <c r="BT91" s="1" t="s">
        <v>86</v>
      </c>
      <c r="BU91" s="1" t="s">
        <v>163</v>
      </c>
      <c r="BV91" s="1" t="s">
        <v>86</v>
      </c>
      <c r="BW91" s="1" t="s">
        <v>101</v>
      </c>
      <c r="BX91" s="1" t="s">
        <v>439</v>
      </c>
      <c r="BY91" s="1" t="s">
        <v>86</v>
      </c>
      <c r="BZ91" s="1" t="s">
        <v>686</v>
      </c>
      <c r="CA91" s="1" t="s">
        <v>687</v>
      </c>
      <c r="CB91" s="1" t="s">
        <v>688</v>
      </c>
      <c r="CC91" s="1" t="s">
        <v>86</v>
      </c>
      <c r="CD91" s="1" t="s">
        <v>86</v>
      </c>
      <c r="CE91" s="1" t="s">
        <v>86</v>
      </c>
    </row>
    <row r="92">
      <c r="A92" s="1">
        <v>90</v>
      </c>
      <c r="B92" s="1" t="s">
        <v>395</v>
      </c>
      <c r="C92" s="2">
        <f>=HYPERLINK("https://i.stonehdfile.com/stoneimage?s=e94eb8bd-74d6-4233-b701-0df620235c1f","Image")</f>
      </c>
      <c r="D92" s="2">
        <f>=HYPERLINK("https://dna.stonehdfile.com/hd/viewhd.html?d=90a8177e-5855-45ff-b067-c2145cdaf718","View360")</f>
      </c>
      <c r="E92" s="2">
        <f>=HYPERLINK("https://i.stonehdfile.com/Certificate?s=e94eb8bd-74d6-4233-b701-0df620235c1f","GIA")</f>
      </c>
      <c r="F92" s="2">
        <f>=HYPERLINK("https://i.stonehdfile.com/DNAReport?s=e94eb8bd-74d6-4233-b701-0df620235c1f","DNA")</f>
      </c>
      <c r="G92" s="2">
        <f>=HYPERLINK("https://www.gia.edu/report-check?reportno=******1838","Verify")</f>
      </c>
      <c r="H92" s="1" t="s">
        <v>689</v>
      </c>
      <c r="I92" s="1" t="s">
        <v>46</v>
      </c>
      <c r="J92" s="1">
        <v>1.51</v>
      </c>
      <c r="K92" s="1">
        <v>5</v>
      </c>
      <c r="L92" s="1">
        <v>7000</v>
      </c>
      <c r="M92" s="1">
        <v>2982</v>
      </c>
      <c r="N92" s="1">
        <v>4502.82</v>
      </c>
      <c r="O92" s="1">
        <v>-57.4</v>
      </c>
      <c r="P92" s="1">
        <v>0</v>
      </c>
      <c r="Q92" s="1" t="s">
        <v>86</v>
      </c>
      <c r="R92" s="1">
        <v>0</v>
      </c>
      <c r="S92" s="1" t="s">
        <v>86</v>
      </c>
      <c r="T92" s="1" t="s">
        <v>86</v>
      </c>
      <c r="U92" s="1" t="s">
        <v>106</v>
      </c>
      <c r="V92" s="1" t="s">
        <v>86</v>
      </c>
      <c r="W92" s="1" t="s">
        <v>213</v>
      </c>
      <c r="X92" s="1" t="s">
        <v>86</v>
      </c>
      <c r="Y92" s="1" t="s">
        <v>89</v>
      </c>
      <c r="Z92" s="1" t="s">
        <v>89</v>
      </c>
      <c r="AA92" s="1" t="s">
        <v>119</v>
      </c>
      <c r="AB92" s="1" t="s">
        <v>86</v>
      </c>
      <c r="AC92" s="1" t="s">
        <v>690</v>
      </c>
      <c r="AD92" s="1">
        <v>67.6</v>
      </c>
      <c r="AE92" s="1">
        <v>60</v>
      </c>
      <c r="AF92" s="1" t="s">
        <v>91</v>
      </c>
      <c r="AG92" s="1">
        <v>3.1</v>
      </c>
      <c r="AH92" s="1">
        <v>36.4</v>
      </c>
      <c r="AI92" s="1" t="s">
        <v>86</v>
      </c>
      <c r="AJ92" s="1">
        <v>1.02</v>
      </c>
      <c r="AK92" s="1" t="s">
        <v>111</v>
      </c>
      <c r="AL92" s="1" t="s">
        <v>93</v>
      </c>
      <c r="AM92" s="1" t="s">
        <v>151</v>
      </c>
      <c r="AN92" s="1" t="s">
        <v>171</v>
      </c>
      <c r="AO92" s="1" t="s">
        <v>208</v>
      </c>
      <c r="AP92" s="1" t="s">
        <v>95</v>
      </c>
      <c r="AQ92" s="1">
        <v>15</v>
      </c>
      <c r="AR92" s="1">
        <v>49.4</v>
      </c>
      <c r="AS92" s="1">
        <v>38.2</v>
      </c>
      <c r="AT92" s="1" t="s">
        <v>96</v>
      </c>
      <c r="AU92" s="1" t="s">
        <v>86</v>
      </c>
      <c r="AV92" s="1" t="s">
        <v>86</v>
      </c>
      <c r="AW92" s="1" t="s">
        <v>86</v>
      </c>
      <c r="AX92" s="1" t="s">
        <v>86</v>
      </c>
      <c r="AY92" s="1" t="s">
        <v>86</v>
      </c>
      <c r="AZ92" s="1" t="s">
        <v>86</v>
      </c>
      <c r="BA92" s="1" t="s">
        <v>86</v>
      </c>
      <c r="BB92" s="1" t="s">
        <v>86</v>
      </c>
      <c r="BC92" s="1" t="s">
        <v>86</v>
      </c>
      <c r="BD92" s="1" t="s">
        <v>86</v>
      </c>
      <c r="BE92" s="1" t="s">
        <v>86</v>
      </c>
      <c r="BF92" s="1" t="s">
        <v>86</v>
      </c>
      <c r="BG92" s="1" t="s">
        <v>86</v>
      </c>
      <c r="BH92" s="1" t="s">
        <v>97</v>
      </c>
      <c r="BI92" s="1" t="s">
        <v>174</v>
      </c>
      <c r="BJ92" s="1" t="s">
        <v>87</v>
      </c>
      <c r="BK92" s="1">
        <v>0</v>
      </c>
      <c r="BL92" s="1">
        <v>0</v>
      </c>
      <c r="BM92" s="1" t="s">
        <v>86</v>
      </c>
      <c r="BN92" s="1" t="s">
        <v>691</v>
      </c>
      <c r="BO92" s="1" t="s">
        <v>469</v>
      </c>
      <c r="BP92" s="1" t="s">
        <v>86</v>
      </c>
      <c r="BQ92" s="1" t="s">
        <v>86</v>
      </c>
      <c r="BR92" s="1" t="s">
        <v>86</v>
      </c>
      <c r="BS92" s="1" t="s">
        <v>692</v>
      </c>
      <c r="BT92" s="1" t="s">
        <v>86</v>
      </c>
      <c r="BU92" s="1" t="s">
        <v>163</v>
      </c>
      <c r="BV92" s="1" t="s">
        <v>86</v>
      </c>
      <c r="BW92" s="1" t="s">
        <v>101</v>
      </c>
      <c r="BX92" s="1" t="s">
        <v>439</v>
      </c>
      <c r="BY92" s="1" t="s">
        <v>693</v>
      </c>
      <c r="BZ92" s="1" t="s">
        <v>694</v>
      </c>
      <c r="CA92" s="1" t="s">
        <v>645</v>
      </c>
      <c r="CB92" s="1" t="s">
        <v>166</v>
      </c>
      <c r="CC92" s="1" t="s">
        <v>86</v>
      </c>
      <c r="CD92" s="1" t="s">
        <v>86</v>
      </c>
      <c r="CE92" s="1" t="s">
        <v>86</v>
      </c>
    </row>
    <row r="93">
      <c r="A93" s="1">
        <v>91</v>
      </c>
      <c r="B93" s="1" t="s">
        <v>395</v>
      </c>
      <c r="C93" s="2">
        <f>=HYPERLINK("https://i.stonehdfile.com/stoneimage?s=30aedf0c-3e8d-4c44-a1be-caa87dd9e303","Image")</f>
      </c>
      <c r="D93" s="2">
        <f>=HYPERLINK("https://dna.stonehdfile.com/hd/viewhd.html?d=b4c2ca9a-5804-4ff2-8b75-18a200c3800d","View360")</f>
      </c>
      <c r="E93" s="2">
        <f>=HYPERLINK("https://i.stonehdfile.com/Certificate?s=30aedf0c-3e8d-4c44-a1be-caa87dd9e303","GIA")</f>
      </c>
      <c r="F93" s="2">
        <f>=HYPERLINK("https://i.stonehdfile.com/DNAReport?s=30aedf0c-3e8d-4c44-a1be-caa87dd9e303","DNA")</f>
      </c>
      <c r="G93" s="2">
        <f>=HYPERLINK("https://www.gia.edu/report-check?reportno=******6925","Verify")</f>
      </c>
      <c r="H93" s="1" t="s">
        <v>695</v>
      </c>
      <c r="I93" s="1" t="s">
        <v>46</v>
      </c>
      <c r="J93" s="1">
        <v>1.5</v>
      </c>
      <c r="K93" s="1">
        <v>7</v>
      </c>
      <c r="L93" s="1">
        <v>9900</v>
      </c>
      <c r="M93" s="1">
        <v>5803</v>
      </c>
      <c r="N93" s="1">
        <v>8704.5</v>
      </c>
      <c r="O93" s="1">
        <v>-41.38</v>
      </c>
      <c r="P93" s="1">
        <v>0</v>
      </c>
      <c r="Q93" s="1" t="s">
        <v>86</v>
      </c>
      <c r="R93" s="1">
        <v>0</v>
      </c>
      <c r="S93" s="1" t="s">
        <v>86</v>
      </c>
      <c r="T93" s="1" t="s">
        <v>86</v>
      </c>
      <c r="U93" s="1" t="s">
        <v>271</v>
      </c>
      <c r="V93" s="1" t="s">
        <v>86</v>
      </c>
      <c r="W93" s="1" t="s">
        <v>88</v>
      </c>
      <c r="X93" s="1" t="s">
        <v>86</v>
      </c>
      <c r="Y93" s="1" t="s">
        <v>89</v>
      </c>
      <c r="Z93" s="1" t="s">
        <v>89</v>
      </c>
      <c r="AA93" s="1" t="s">
        <v>119</v>
      </c>
      <c r="AB93" s="1" t="s">
        <v>86</v>
      </c>
      <c r="AC93" s="1" t="s">
        <v>696</v>
      </c>
      <c r="AD93" s="1">
        <v>68.3</v>
      </c>
      <c r="AE93" s="1">
        <v>62</v>
      </c>
      <c r="AF93" s="1" t="s">
        <v>91</v>
      </c>
      <c r="AG93" s="1">
        <v>2.1</v>
      </c>
      <c r="AH93" s="1">
        <v>34.2</v>
      </c>
      <c r="AI93" s="1" t="s">
        <v>86</v>
      </c>
      <c r="AJ93" s="1">
        <v>1.24</v>
      </c>
      <c r="AK93" s="1" t="s">
        <v>111</v>
      </c>
      <c r="AL93" s="1" t="s">
        <v>93</v>
      </c>
      <c r="AM93" s="1" t="s">
        <v>93</v>
      </c>
      <c r="AN93" s="1" t="s">
        <v>86</v>
      </c>
      <c r="AO93" s="1" t="s">
        <v>94</v>
      </c>
      <c r="AP93" s="1" t="s">
        <v>95</v>
      </c>
      <c r="AQ93" s="1">
        <v>12.9</v>
      </c>
      <c r="AR93" s="1">
        <v>52.3</v>
      </c>
      <c r="AS93" s="1">
        <v>38.1</v>
      </c>
      <c r="AT93" s="1" t="s">
        <v>96</v>
      </c>
      <c r="AU93" s="1" t="s">
        <v>86</v>
      </c>
      <c r="AV93" s="1" t="s">
        <v>86</v>
      </c>
      <c r="AW93" s="1" t="s">
        <v>86</v>
      </c>
      <c r="AX93" s="1" t="s">
        <v>86</v>
      </c>
      <c r="AY93" s="1" t="s">
        <v>86</v>
      </c>
      <c r="AZ93" s="1" t="s">
        <v>86</v>
      </c>
      <c r="BA93" s="1" t="s">
        <v>86</v>
      </c>
      <c r="BB93" s="1" t="s">
        <v>86</v>
      </c>
      <c r="BC93" s="1" t="s">
        <v>86</v>
      </c>
      <c r="BD93" s="1" t="s">
        <v>86</v>
      </c>
      <c r="BE93" s="1" t="s">
        <v>86</v>
      </c>
      <c r="BF93" s="1" t="s">
        <v>86</v>
      </c>
      <c r="BG93" s="1" t="s">
        <v>172</v>
      </c>
      <c r="BH93" s="1" t="s">
        <v>142</v>
      </c>
      <c r="BI93" s="1" t="s">
        <v>516</v>
      </c>
      <c r="BJ93" s="1" t="s">
        <v>87</v>
      </c>
      <c r="BK93" s="1">
        <v>0</v>
      </c>
      <c r="BL93" s="1">
        <v>0</v>
      </c>
      <c r="BM93" s="1" t="s">
        <v>398</v>
      </c>
      <c r="BN93" s="1" t="s">
        <v>697</v>
      </c>
      <c r="BO93" s="1" t="s">
        <v>698</v>
      </c>
      <c r="BP93" s="1" t="s">
        <v>86</v>
      </c>
      <c r="BQ93" s="1" t="s">
        <v>86</v>
      </c>
      <c r="BR93" s="1" t="s">
        <v>86</v>
      </c>
      <c r="BS93" s="1" t="s">
        <v>86</v>
      </c>
      <c r="BT93" s="1" t="s">
        <v>86</v>
      </c>
      <c r="BU93" s="1" t="s">
        <v>552</v>
      </c>
      <c r="BV93" s="1" t="s">
        <v>86</v>
      </c>
      <c r="BW93" s="1" t="s">
        <v>101</v>
      </c>
      <c r="BX93" s="1" t="s">
        <v>553</v>
      </c>
      <c r="BY93" s="1" t="s">
        <v>86</v>
      </c>
      <c r="BZ93" s="1" t="s">
        <v>699</v>
      </c>
      <c r="CA93" s="1" t="s">
        <v>480</v>
      </c>
      <c r="CB93" s="1" t="s">
        <v>700</v>
      </c>
      <c r="CC93" s="1" t="s">
        <v>86</v>
      </c>
      <c r="CD93" s="1" t="s">
        <v>86</v>
      </c>
      <c r="CE93" s="1" t="s">
        <v>86</v>
      </c>
    </row>
    <row r="94">
      <c r="A94" s="1">
        <v>92</v>
      </c>
      <c r="B94" s="1" t="s">
        <v>395</v>
      </c>
      <c r="C94" s="2">
        <f>=HYPERLINK("https://i.stonehdfile.com/stoneimage?s=b3c71508-e780-4370-8ea7-81c07fcfa065","Image")</f>
      </c>
      <c r="D94" s="2">
        <f>=HYPERLINK("https://dna.stonehdfile.com/hd/viewhd.html?d=e3c81ea2-5eb3-40f9-a474-6e6e4f2f8916","View360")</f>
      </c>
      <c r="E94" s="2">
        <f>=HYPERLINK("https://i.stonehdfile.com/Certificate?s=b3c71508-e780-4370-8ea7-81c07fcfa065","GIA")</f>
      </c>
      <c r="F94" s="2">
        <f>=HYPERLINK("https://i.stonehdfile.com/DNAReport?s=b3c71508-e780-4370-8ea7-81c07fcfa065","DNA")</f>
      </c>
      <c r="G94" s="2">
        <f>=HYPERLINK("https://www.gia.edu/report-check?reportno=******8348","Verify")</f>
      </c>
      <c r="H94" s="1" t="s">
        <v>701</v>
      </c>
      <c r="I94" s="1" t="s">
        <v>46</v>
      </c>
      <c r="J94" s="1">
        <v>1.51</v>
      </c>
      <c r="K94" s="1">
        <v>7</v>
      </c>
      <c r="L94" s="1">
        <v>9900</v>
      </c>
      <c r="M94" s="1">
        <v>5214</v>
      </c>
      <c r="N94" s="1">
        <v>7873.14</v>
      </c>
      <c r="O94" s="1">
        <v>-47.33</v>
      </c>
      <c r="P94" s="1">
        <v>0</v>
      </c>
      <c r="Q94" s="1" t="s">
        <v>86</v>
      </c>
      <c r="R94" s="1">
        <v>0</v>
      </c>
      <c r="S94" s="1" t="s">
        <v>86</v>
      </c>
      <c r="T94" s="1" t="s">
        <v>86</v>
      </c>
      <c r="U94" s="1" t="s">
        <v>271</v>
      </c>
      <c r="V94" s="1" t="s">
        <v>86</v>
      </c>
      <c r="W94" s="1" t="s">
        <v>88</v>
      </c>
      <c r="X94" s="1" t="s">
        <v>86</v>
      </c>
      <c r="Y94" s="1" t="s">
        <v>89</v>
      </c>
      <c r="Z94" s="1" t="s">
        <v>138</v>
      </c>
      <c r="AA94" s="1" t="s">
        <v>87</v>
      </c>
      <c r="AB94" s="1" t="s">
        <v>86</v>
      </c>
      <c r="AC94" s="1" t="s">
        <v>702</v>
      </c>
      <c r="AD94" s="1">
        <v>67.8</v>
      </c>
      <c r="AE94" s="1">
        <v>65</v>
      </c>
      <c r="AF94" s="1" t="s">
        <v>91</v>
      </c>
      <c r="AG94" s="1">
        <v>2</v>
      </c>
      <c r="AH94" s="1">
        <v>34.1</v>
      </c>
      <c r="AI94" s="1" t="s">
        <v>86</v>
      </c>
      <c r="AJ94" s="1">
        <v>1.11</v>
      </c>
      <c r="AK94" s="1" t="s">
        <v>190</v>
      </c>
      <c r="AL94" s="1" t="s">
        <v>93</v>
      </c>
      <c r="AM94" s="1" t="s">
        <v>93</v>
      </c>
      <c r="AN94" s="1" t="s">
        <v>86</v>
      </c>
      <c r="AO94" s="1" t="s">
        <v>94</v>
      </c>
      <c r="AP94" s="1" t="s">
        <v>95</v>
      </c>
      <c r="AQ94" s="1">
        <v>12.2</v>
      </c>
      <c r="AR94" s="1">
        <v>53.5</v>
      </c>
      <c r="AS94" s="1">
        <v>39.7</v>
      </c>
      <c r="AT94" s="1" t="s">
        <v>96</v>
      </c>
      <c r="AU94" s="1" t="s">
        <v>86</v>
      </c>
      <c r="AV94" s="1" t="s">
        <v>86</v>
      </c>
      <c r="AW94" s="1" t="s">
        <v>86</v>
      </c>
      <c r="AX94" s="1" t="s">
        <v>86</v>
      </c>
      <c r="AY94" s="1" t="s">
        <v>86</v>
      </c>
      <c r="AZ94" s="1" t="s">
        <v>86</v>
      </c>
      <c r="BA94" s="1" t="s">
        <v>86</v>
      </c>
      <c r="BB94" s="1" t="s">
        <v>86</v>
      </c>
      <c r="BC94" s="1" t="s">
        <v>86</v>
      </c>
      <c r="BD94" s="1" t="s">
        <v>86</v>
      </c>
      <c r="BE94" s="1" t="s">
        <v>86</v>
      </c>
      <c r="BF94" s="1" t="s">
        <v>86</v>
      </c>
      <c r="BG94" s="1" t="s">
        <v>86</v>
      </c>
      <c r="BH94" s="1" t="s">
        <v>142</v>
      </c>
      <c r="BI94" s="1" t="s">
        <v>703</v>
      </c>
      <c r="BJ94" s="1" t="s">
        <v>87</v>
      </c>
      <c r="BK94" s="1">
        <v>0</v>
      </c>
      <c r="BL94" s="1">
        <v>0</v>
      </c>
      <c r="BM94" s="1" t="s">
        <v>398</v>
      </c>
      <c r="BN94" s="1" t="s">
        <v>704</v>
      </c>
      <c r="BO94" s="1" t="s">
        <v>705</v>
      </c>
      <c r="BP94" s="1" t="s">
        <v>86</v>
      </c>
      <c r="BQ94" s="1" t="s">
        <v>86</v>
      </c>
      <c r="BR94" s="1" t="s">
        <v>86</v>
      </c>
      <c r="BS94" s="1" t="s">
        <v>86</v>
      </c>
      <c r="BT94" s="1" t="s">
        <v>86</v>
      </c>
      <c r="BU94" s="1" t="s">
        <v>163</v>
      </c>
      <c r="BV94" s="1" t="s">
        <v>86</v>
      </c>
      <c r="BW94" s="1" t="s">
        <v>101</v>
      </c>
      <c r="BX94" s="1" t="s">
        <v>565</v>
      </c>
      <c r="BY94" s="1" t="s">
        <v>86</v>
      </c>
      <c r="BZ94" s="1" t="s">
        <v>706</v>
      </c>
      <c r="CA94" s="1" t="s">
        <v>707</v>
      </c>
      <c r="CB94" s="1" t="s">
        <v>86</v>
      </c>
      <c r="CC94" s="1" t="s">
        <v>86</v>
      </c>
      <c r="CD94" s="1" t="s">
        <v>86</v>
      </c>
      <c r="CE94" s="1" t="s">
        <v>86</v>
      </c>
    </row>
    <row r="95">
      <c r="A95" s="1">
        <v>93</v>
      </c>
      <c r="B95" s="1" t="s">
        <v>395</v>
      </c>
      <c r="C95" s="2">
        <f>=HYPERLINK("https://i.stonehdfile.com/stoneimage?s=60c221a6-1a79-40ec-8325-97ec44ce6fe3","Image")</f>
      </c>
      <c r="D95" s="2">
        <f>=HYPERLINK("https://dna.stonehdfile.com/hd/viewhd.html?d=9b76d93c-e351-4924-9ec0-9f1a78de6b59","View360")</f>
      </c>
      <c r="E95" s="2">
        <f>=HYPERLINK("https://i.stonehdfile.com/Certificate?s=60c221a6-1a79-40ec-8325-97ec44ce6fe3","GIA")</f>
      </c>
      <c r="F95" s="2">
        <f>=HYPERLINK("https://i.stonehdfile.com/DNAReport?s=60c221a6-1a79-40ec-8325-97ec44ce6fe3","DNA")</f>
      </c>
      <c r="G95" s="2">
        <f>=HYPERLINK("https://www.gia.edu/report-check?reportno=******9766","Verify")</f>
      </c>
      <c r="H95" s="1" t="s">
        <v>708</v>
      </c>
      <c r="I95" s="1" t="s">
        <v>46</v>
      </c>
      <c r="J95" s="1">
        <v>1.5</v>
      </c>
      <c r="K95" s="1">
        <v>6</v>
      </c>
      <c r="L95" s="1">
        <v>9500</v>
      </c>
      <c r="M95" s="1">
        <v>4379</v>
      </c>
      <c r="N95" s="1">
        <v>6568.5</v>
      </c>
      <c r="O95" s="1">
        <v>-53.91</v>
      </c>
      <c r="P95" s="1">
        <v>0</v>
      </c>
      <c r="Q95" s="1" t="s">
        <v>86</v>
      </c>
      <c r="R95" s="1">
        <v>0</v>
      </c>
      <c r="S95" s="1" t="s">
        <v>86</v>
      </c>
      <c r="T95" s="1" t="s">
        <v>86</v>
      </c>
      <c r="U95" s="1" t="s">
        <v>271</v>
      </c>
      <c r="V95" s="1" t="s">
        <v>86</v>
      </c>
      <c r="W95" s="1" t="s">
        <v>107</v>
      </c>
      <c r="X95" s="1" t="s">
        <v>86</v>
      </c>
      <c r="Y95" s="1" t="s">
        <v>89</v>
      </c>
      <c r="Z95" s="1" t="s">
        <v>89</v>
      </c>
      <c r="AA95" s="1" t="s">
        <v>87</v>
      </c>
      <c r="AB95" s="1" t="s">
        <v>86</v>
      </c>
      <c r="AC95" s="1" t="s">
        <v>709</v>
      </c>
      <c r="AD95" s="1">
        <v>69.5</v>
      </c>
      <c r="AE95" s="1">
        <v>65</v>
      </c>
      <c r="AF95" s="1" t="s">
        <v>91</v>
      </c>
      <c r="AG95" s="1">
        <v>3.1</v>
      </c>
      <c r="AH95" s="1">
        <v>34.1</v>
      </c>
      <c r="AI95" s="1" t="s">
        <v>86</v>
      </c>
      <c r="AJ95" s="1">
        <v>1.01</v>
      </c>
      <c r="AK95" s="1" t="s">
        <v>92</v>
      </c>
      <c r="AL95" s="1" t="s">
        <v>93</v>
      </c>
      <c r="AM95" s="1" t="s">
        <v>93</v>
      </c>
      <c r="AN95" s="1" t="s">
        <v>86</v>
      </c>
      <c r="AO95" s="1" t="s">
        <v>94</v>
      </c>
      <c r="AP95" s="1" t="s">
        <v>95</v>
      </c>
      <c r="AQ95" s="1">
        <v>12</v>
      </c>
      <c r="AR95" s="1">
        <v>53.9</v>
      </c>
      <c r="AS95" s="1">
        <v>40.3</v>
      </c>
      <c r="AT95" s="1" t="s">
        <v>96</v>
      </c>
      <c r="AU95" s="1" t="s">
        <v>86</v>
      </c>
      <c r="AV95" s="1" t="s">
        <v>86</v>
      </c>
      <c r="AW95" s="1" t="s">
        <v>86</v>
      </c>
      <c r="AX95" s="1" t="s">
        <v>86</v>
      </c>
      <c r="AY95" s="1" t="s">
        <v>86</v>
      </c>
      <c r="AZ95" s="1" t="s">
        <v>86</v>
      </c>
      <c r="BA95" s="1" t="s">
        <v>86</v>
      </c>
      <c r="BB95" s="1" t="s">
        <v>86</v>
      </c>
      <c r="BC95" s="1" t="s">
        <v>86</v>
      </c>
      <c r="BD95" s="1" t="s">
        <v>86</v>
      </c>
      <c r="BE95" s="1" t="s">
        <v>86</v>
      </c>
      <c r="BF95" s="1" t="s">
        <v>86</v>
      </c>
      <c r="BG95" s="1" t="s">
        <v>86</v>
      </c>
      <c r="BH95" s="1" t="s">
        <v>97</v>
      </c>
      <c r="BI95" s="1" t="s">
        <v>174</v>
      </c>
      <c r="BJ95" s="1" t="s">
        <v>87</v>
      </c>
      <c r="BK95" s="1">
        <v>0</v>
      </c>
      <c r="BL95" s="1">
        <v>0</v>
      </c>
      <c r="BM95" s="1" t="s">
        <v>398</v>
      </c>
      <c r="BN95" s="1" t="s">
        <v>710</v>
      </c>
      <c r="BO95" s="1" t="s">
        <v>711</v>
      </c>
      <c r="BP95" s="1" t="s">
        <v>86</v>
      </c>
      <c r="BQ95" s="1" t="s">
        <v>86</v>
      </c>
      <c r="BR95" s="1" t="s">
        <v>86</v>
      </c>
      <c r="BS95" s="1" t="s">
        <v>86</v>
      </c>
      <c r="BT95" s="1" t="s">
        <v>86</v>
      </c>
      <c r="BU95" s="1" t="s">
        <v>163</v>
      </c>
      <c r="BV95" s="1" t="s">
        <v>86</v>
      </c>
      <c r="BW95" s="1" t="s">
        <v>101</v>
      </c>
      <c r="BX95" s="1" t="s">
        <v>401</v>
      </c>
      <c r="BY95" s="1" t="s">
        <v>86</v>
      </c>
      <c r="BZ95" s="1" t="s">
        <v>712</v>
      </c>
      <c r="CA95" s="1" t="s">
        <v>203</v>
      </c>
      <c r="CB95" s="1" t="s">
        <v>86</v>
      </c>
      <c r="CC95" s="1" t="s">
        <v>86</v>
      </c>
      <c r="CD95" s="1" t="s">
        <v>86</v>
      </c>
      <c r="CE95" s="1" t="s">
        <v>86</v>
      </c>
    </row>
    <row r="96">
      <c r="A96" s="1">
        <v>94</v>
      </c>
      <c r="B96" s="1" t="s">
        <v>395</v>
      </c>
      <c r="C96" s="2">
        <f>=HYPERLINK("https://i.stonehdfile.com/stoneimage?s=8033f6b8-0ddb-4d5d-9b3d-6db8440913fd","Image")</f>
      </c>
      <c r="D96" s="2">
        <f>=HYPERLINK("https://dna.stonehdfile.com/hd/viewhd.html?d=dedfecf3-4f82-4172-8e82-d56c71825faa","View360")</f>
      </c>
      <c r="E96" s="2">
        <f>=HYPERLINK("https://i.stonehdfile.com/Certificate?s=8033f6b8-0ddb-4d5d-9b3d-6db8440913fd","GIA")</f>
      </c>
      <c r="F96" s="2">
        <f>=HYPERLINK("https://i.stonehdfile.com/DNAReport?s=8033f6b8-0ddb-4d5d-9b3d-6db8440913fd","DNA")</f>
      </c>
      <c r="G96" s="2">
        <f>=HYPERLINK("https://www.gia.edu/report-check?reportno=******8914","Verify")</f>
      </c>
      <c r="H96" s="1" t="s">
        <v>713</v>
      </c>
      <c r="I96" s="1" t="s">
        <v>46</v>
      </c>
      <c r="J96" s="1">
        <v>1.5</v>
      </c>
      <c r="K96" s="1">
        <v>0</v>
      </c>
      <c r="L96" s="1">
        <v>9500</v>
      </c>
      <c r="M96" s="1">
        <v>5087</v>
      </c>
      <c r="N96" s="1">
        <v>7630.5</v>
      </c>
      <c r="O96" s="1">
        <v>-46.45</v>
      </c>
      <c r="P96" s="1">
        <v>0</v>
      </c>
      <c r="Q96" s="1" t="s">
        <v>86</v>
      </c>
      <c r="R96" s="1">
        <v>0</v>
      </c>
      <c r="S96" s="1" t="s">
        <v>86</v>
      </c>
      <c r="T96" s="1" t="s">
        <v>86</v>
      </c>
      <c r="U96" s="1" t="s">
        <v>271</v>
      </c>
      <c r="V96" s="1" t="s">
        <v>86</v>
      </c>
      <c r="W96" s="1" t="s">
        <v>107</v>
      </c>
      <c r="X96" s="1" t="s">
        <v>86</v>
      </c>
      <c r="Y96" s="1" t="s">
        <v>89</v>
      </c>
      <c r="Z96" s="1" t="s">
        <v>138</v>
      </c>
      <c r="AA96" s="1" t="s">
        <v>87</v>
      </c>
      <c r="AB96" s="1" t="s">
        <v>86</v>
      </c>
      <c r="AC96" s="1" t="s">
        <v>714</v>
      </c>
      <c r="AD96" s="1">
        <v>67.4</v>
      </c>
      <c r="AE96" s="1">
        <v>61</v>
      </c>
      <c r="AF96" s="1" t="s">
        <v>91</v>
      </c>
      <c r="AG96" s="1">
        <v>2.3</v>
      </c>
      <c r="AH96" s="1">
        <v>35.1</v>
      </c>
      <c r="AI96" s="1" t="s">
        <v>86</v>
      </c>
      <c r="AJ96" s="1">
        <v>1.17</v>
      </c>
      <c r="AK96" s="1" t="s">
        <v>190</v>
      </c>
      <c r="AL96" s="1" t="s">
        <v>140</v>
      </c>
      <c r="AM96" s="1" t="s">
        <v>93</v>
      </c>
      <c r="AN96" s="1" t="s">
        <v>86</v>
      </c>
      <c r="AO96" s="1" t="s">
        <v>94</v>
      </c>
      <c r="AP96" s="1" t="s">
        <v>95</v>
      </c>
      <c r="AQ96" s="1">
        <v>13.6</v>
      </c>
      <c r="AR96" s="1">
        <v>51.3</v>
      </c>
      <c r="AS96" s="1">
        <v>38</v>
      </c>
      <c r="AT96" s="1" t="s">
        <v>96</v>
      </c>
      <c r="AU96" s="1" t="s">
        <v>86</v>
      </c>
      <c r="AV96" s="1" t="s">
        <v>86</v>
      </c>
      <c r="AW96" s="1" t="s">
        <v>86</v>
      </c>
      <c r="AX96" s="1" t="s">
        <v>86</v>
      </c>
      <c r="AY96" s="1" t="s">
        <v>86</v>
      </c>
      <c r="AZ96" s="1" t="s">
        <v>86</v>
      </c>
      <c r="BA96" s="1" t="s">
        <v>86</v>
      </c>
      <c r="BB96" s="1" t="s">
        <v>86</v>
      </c>
      <c r="BC96" s="1" t="s">
        <v>86</v>
      </c>
      <c r="BD96" s="1" t="s">
        <v>86</v>
      </c>
      <c r="BE96" s="1" t="s">
        <v>86</v>
      </c>
      <c r="BF96" s="1" t="s">
        <v>86</v>
      </c>
      <c r="BG96" s="1" t="s">
        <v>86</v>
      </c>
      <c r="BH96" s="1" t="s">
        <v>142</v>
      </c>
      <c r="BI96" s="1" t="s">
        <v>715</v>
      </c>
      <c r="BJ96" s="1" t="s">
        <v>87</v>
      </c>
      <c r="BK96" s="1">
        <v>0</v>
      </c>
      <c r="BL96" s="1">
        <v>0</v>
      </c>
      <c r="BM96" s="1" t="s">
        <v>398</v>
      </c>
      <c r="BN96" s="1" t="s">
        <v>716</v>
      </c>
      <c r="BO96" s="1" t="s">
        <v>529</v>
      </c>
      <c r="BP96" s="1" t="s">
        <v>86</v>
      </c>
      <c r="BQ96" s="1" t="s">
        <v>86</v>
      </c>
      <c r="BR96" s="1" t="s">
        <v>86</v>
      </c>
      <c r="BS96" s="1" t="s">
        <v>86</v>
      </c>
      <c r="BT96" s="1" t="s">
        <v>86</v>
      </c>
      <c r="BU96" s="1" t="s">
        <v>163</v>
      </c>
      <c r="BV96" s="1" t="s">
        <v>86</v>
      </c>
      <c r="BW96" s="1" t="s">
        <v>101</v>
      </c>
      <c r="BX96" s="1" t="s">
        <v>423</v>
      </c>
      <c r="BY96" s="1" t="s">
        <v>86</v>
      </c>
      <c r="BZ96" s="1" t="s">
        <v>717</v>
      </c>
      <c r="CA96" s="1" t="s">
        <v>261</v>
      </c>
      <c r="CB96" s="1" t="s">
        <v>156</v>
      </c>
      <c r="CC96" s="1" t="s">
        <v>86</v>
      </c>
      <c r="CD96" s="1" t="s">
        <v>86</v>
      </c>
      <c r="CE96" s="1" t="s">
        <v>86</v>
      </c>
    </row>
    <row r="97">
      <c r="A97" s="1">
        <v>95</v>
      </c>
      <c r="B97" s="1" t="s">
        <v>395</v>
      </c>
      <c r="C97" s="2">
        <f>=HYPERLINK("https://i.stonehdfile.com/stoneimage?s=a28c5fa2-cf54-404e-af97-18d5d4e64062","Image")</f>
      </c>
      <c r="D97" s="2">
        <f>=HYPERLINK("https://dna.stonehdfile.com/hd/viewhd.html?d=2bcca006-5dc0-478a-93cb-7f0ce7470aa2","View360")</f>
      </c>
      <c r="E97" s="2">
        <f>=HYPERLINK("https://i.stonehdfile.com/Certificate?s=a28c5fa2-cf54-404e-af97-18d5d4e64062","GIA")</f>
      </c>
      <c r="F97" s="2">
        <f>=HYPERLINK("https://i.stonehdfile.com/DNAReport?s=a28c5fa2-cf54-404e-af97-18d5d4e64062","DNA")</f>
      </c>
      <c r="G97" s="2">
        <f>=HYPERLINK("https://www.gia.edu/report-check?reportno=******7653","Verify")</f>
      </c>
      <c r="H97" s="1" t="s">
        <v>718</v>
      </c>
      <c r="I97" s="1" t="s">
        <v>46</v>
      </c>
      <c r="J97" s="1">
        <v>1.5</v>
      </c>
      <c r="K97" s="1">
        <v>5</v>
      </c>
      <c r="L97" s="1">
        <v>9500</v>
      </c>
      <c r="M97" s="1">
        <v>4372</v>
      </c>
      <c r="N97" s="1">
        <v>6558</v>
      </c>
      <c r="O97" s="1">
        <v>-53.98</v>
      </c>
      <c r="P97" s="1">
        <v>0</v>
      </c>
      <c r="Q97" s="1" t="s">
        <v>86</v>
      </c>
      <c r="R97" s="1">
        <v>0</v>
      </c>
      <c r="S97" s="1" t="s">
        <v>86</v>
      </c>
      <c r="T97" s="1" t="s">
        <v>86</v>
      </c>
      <c r="U97" s="1" t="s">
        <v>271</v>
      </c>
      <c r="V97" s="1" t="s">
        <v>86</v>
      </c>
      <c r="W97" s="1" t="s">
        <v>149</v>
      </c>
      <c r="X97" s="1" t="s">
        <v>86</v>
      </c>
      <c r="Y97" s="1" t="s">
        <v>89</v>
      </c>
      <c r="Z97" s="1" t="s">
        <v>89</v>
      </c>
      <c r="AA97" s="1" t="s">
        <v>119</v>
      </c>
      <c r="AB97" s="1" t="s">
        <v>86</v>
      </c>
      <c r="AC97" s="1" t="s">
        <v>719</v>
      </c>
      <c r="AD97" s="1">
        <v>71.3</v>
      </c>
      <c r="AE97" s="1">
        <v>61</v>
      </c>
      <c r="AF97" s="1" t="s">
        <v>91</v>
      </c>
      <c r="AG97" s="1">
        <v>4.2</v>
      </c>
      <c r="AH97" s="1">
        <v>37.2</v>
      </c>
      <c r="AI97" s="1" t="s">
        <v>86</v>
      </c>
      <c r="AJ97" s="1">
        <v>1.08</v>
      </c>
      <c r="AK97" s="1" t="s">
        <v>190</v>
      </c>
      <c r="AL97" s="1" t="s">
        <v>140</v>
      </c>
      <c r="AM97" s="1" t="s">
        <v>140</v>
      </c>
      <c r="AN97" s="1" t="s">
        <v>86</v>
      </c>
      <c r="AO97" s="1" t="s">
        <v>94</v>
      </c>
      <c r="AP97" s="1" t="s">
        <v>95</v>
      </c>
      <c r="AQ97" s="1">
        <v>14.9</v>
      </c>
      <c r="AR97" s="1">
        <v>52</v>
      </c>
      <c r="AS97" s="1">
        <v>37.9</v>
      </c>
      <c r="AT97" s="1" t="s">
        <v>96</v>
      </c>
      <c r="AU97" s="1" t="s">
        <v>86</v>
      </c>
      <c r="AV97" s="1" t="s">
        <v>86</v>
      </c>
      <c r="AW97" s="1" t="s">
        <v>86</v>
      </c>
      <c r="AX97" s="1" t="s">
        <v>86</v>
      </c>
      <c r="AY97" s="1" t="s">
        <v>86</v>
      </c>
      <c r="AZ97" s="1" t="s">
        <v>86</v>
      </c>
      <c r="BA97" s="1" t="s">
        <v>86</v>
      </c>
      <c r="BB97" s="1" t="s">
        <v>86</v>
      </c>
      <c r="BC97" s="1" t="s">
        <v>86</v>
      </c>
      <c r="BD97" s="1" t="s">
        <v>86</v>
      </c>
      <c r="BE97" s="1" t="s">
        <v>86</v>
      </c>
      <c r="BF97" s="1" t="s">
        <v>282</v>
      </c>
      <c r="BG97" s="1" t="s">
        <v>172</v>
      </c>
      <c r="BH97" s="1" t="s">
        <v>129</v>
      </c>
      <c r="BI97" s="1" t="s">
        <v>257</v>
      </c>
      <c r="BJ97" s="1" t="s">
        <v>87</v>
      </c>
      <c r="BK97" s="1">
        <v>0</v>
      </c>
      <c r="BL97" s="1">
        <v>0</v>
      </c>
      <c r="BM97" s="1" t="s">
        <v>398</v>
      </c>
      <c r="BN97" s="1" t="s">
        <v>720</v>
      </c>
      <c r="BO97" s="1" t="s">
        <v>636</v>
      </c>
      <c r="BP97" s="1" t="s">
        <v>86</v>
      </c>
      <c r="BQ97" s="1" t="s">
        <v>86</v>
      </c>
      <c r="BR97" s="1" t="s">
        <v>86</v>
      </c>
      <c r="BS97" s="1" t="s">
        <v>86</v>
      </c>
      <c r="BT97" s="1" t="s">
        <v>86</v>
      </c>
      <c r="BU97" s="1" t="s">
        <v>163</v>
      </c>
      <c r="BV97" s="1" t="s">
        <v>86</v>
      </c>
      <c r="BW97" s="1" t="s">
        <v>101</v>
      </c>
      <c r="BX97" s="1" t="s">
        <v>414</v>
      </c>
      <c r="BY97" s="1" t="s">
        <v>86</v>
      </c>
      <c r="BZ97" s="1" t="s">
        <v>721</v>
      </c>
      <c r="CA97" s="1" t="s">
        <v>220</v>
      </c>
      <c r="CB97" s="1" t="s">
        <v>722</v>
      </c>
      <c r="CC97" s="1" t="s">
        <v>86</v>
      </c>
      <c r="CD97" s="1" t="s">
        <v>86</v>
      </c>
      <c r="CE97" s="1" t="s">
        <v>86</v>
      </c>
    </row>
    <row r="98">
      <c r="A98" s="1">
        <v>96</v>
      </c>
      <c r="B98" s="1" t="s">
        <v>395</v>
      </c>
      <c r="C98" s="2">
        <f>=HYPERLINK("https://i.stonehdfile.com/stoneimage?s=92020e45-64e5-490e-8d23-5a27be4dfd7b","Image")</f>
      </c>
      <c r="D98" s="2">
        <f>=HYPERLINK("https://dna.stonehdfile.com/hd/viewhd.html?d=5c9a1955-7324-4485-9493-3f50ae28f0b4","View360")</f>
      </c>
      <c r="E98" s="2">
        <f>=HYPERLINK("https://i.stonehdfile.com/Certificate?s=92020e45-64e5-490e-8d23-5a27be4dfd7b","GIA")</f>
      </c>
      <c r="F98" s="2">
        <f>=HYPERLINK("https://i.stonehdfile.com/DNAReport?s=92020e45-64e5-490e-8d23-5a27be4dfd7b","DNA")</f>
      </c>
      <c r="G98" s="2">
        <f>=HYPERLINK("https://www.gia.edu/report-check?reportno=******1226","Verify")</f>
      </c>
      <c r="H98" s="1" t="s">
        <v>723</v>
      </c>
      <c r="I98" s="1" t="s">
        <v>46</v>
      </c>
      <c r="J98" s="1">
        <v>1.5</v>
      </c>
      <c r="K98" s="1">
        <v>2</v>
      </c>
      <c r="L98" s="1">
        <v>9500</v>
      </c>
      <c r="M98" s="1">
        <v>5105</v>
      </c>
      <c r="N98" s="1">
        <v>7657.5</v>
      </c>
      <c r="O98" s="1">
        <v>-46.26</v>
      </c>
      <c r="P98" s="1">
        <v>0</v>
      </c>
      <c r="Q98" s="1" t="s">
        <v>86</v>
      </c>
      <c r="R98" s="1">
        <v>0</v>
      </c>
      <c r="S98" s="1" t="s">
        <v>86</v>
      </c>
      <c r="T98" s="1" t="s">
        <v>86</v>
      </c>
      <c r="U98" s="1" t="s">
        <v>375</v>
      </c>
      <c r="V98" s="1" t="s">
        <v>86</v>
      </c>
      <c r="W98" s="1" t="s">
        <v>149</v>
      </c>
      <c r="X98" s="1" t="s">
        <v>86</v>
      </c>
      <c r="Y98" s="1" t="s">
        <v>89</v>
      </c>
      <c r="Z98" s="1" t="s">
        <v>89</v>
      </c>
      <c r="AA98" s="1" t="s">
        <v>87</v>
      </c>
      <c r="AB98" s="1" t="s">
        <v>86</v>
      </c>
      <c r="AC98" s="1" t="s">
        <v>724</v>
      </c>
      <c r="AD98" s="1">
        <v>67.6</v>
      </c>
      <c r="AE98" s="1">
        <v>63</v>
      </c>
      <c r="AF98" s="1" t="s">
        <v>91</v>
      </c>
      <c r="AG98" s="1">
        <v>2.6</v>
      </c>
      <c r="AH98" s="1">
        <v>35.2</v>
      </c>
      <c r="AI98" s="1" t="s">
        <v>86</v>
      </c>
      <c r="AJ98" s="1">
        <v>1.13</v>
      </c>
      <c r="AK98" s="1" t="s">
        <v>111</v>
      </c>
      <c r="AL98" s="1" t="s">
        <v>93</v>
      </c>
      <c r="AM98" s="1" t="s">
        <v>93</v>
      </c>
      <c r="AN98" s="1" t="s">
        <v>86</v>
      </c>
      <c r="AO98" s="1" t="s">
        <v>94</v>
      </c>
      <c r="AP98" s="1" t="s">
        <v>95</v>
      </c>
      <c r="AQ98" s="1">
        <v>13</v>
      </c>
      <c r="AR98" s="1">
        <v>51.8</v>
      </c>
      <c r="AS98" s="1">
        <v>38.5</v>
      </c>
      <c r="AT98" s="1" t="s">
        <v>96</v>
      </c>
      <c r="AU98" s="1" t="s">
        <v>86</v>
      </c>
      <c r="AV98" s="1" t="s">
        <v>86</v>
      </c>
      <c r="AW98" s="1" t="s">
        <v>86</v>
      </c>
      <c r="AX98" s="1" t="s">
        <v>86</v>
      </c>
      <c r="AY98" s="1" t="s">
        <v>86</v>
      </c>
      <c r="AZ98" s="1" t="s">
        <v>86</v>
      </c>
      <c r="BA98" s="1" t="s">
        <v>86</v>
      </c>
      <c r="BB98" s="1" t="s">
        <v>86</v>
      </c>
      <c r="BC98" s="1" t="s">
        <v>86</v>
      </c>
      <c r="BD98" s="1" t="s">
        <v>86</v>
      </c>
      <c r="BE98" s="1" t="s">
        <v>86</v>
      </c>
      <c r="BF98" s="1" t="s">
        <v>86</v>
      </c>
      <c r="BG98" s="1" t="s">
        <v>86</v>
      </c>
      <c r="BH98" s="1" t="s">
        <v>429</v>
      </c>
      <c r="BI98" s="1" t="s">
        <v>335</v>
      </c>
      <c r="BJ98" s="1" t="s">
        <v>87</v>
      </c>
      <c r="BK98" s="1">
        <v>0</v>
      </c>
      <c r="BL98" s="1">
        <v>0</v>
      </c>
      <c r="BM98" s="1" t="s">
        <v>398</v>
      </c>
      <c r="BN98" s="1" t="s">
        <v>725</v>
      </c>
      <c r="BO98" s="1" t="s">
        <v>726</v>
      </c>
      <c r="BP98" s="1" t="s">
        <v>86</v>
      </c>
      <c r="BQ98" s="1" t="s">
        <v>86</v>
      </c>
      <c r="BR98" s="1" t="s">
        <v>86</v>
      </c>
      <c r="BS98" s="1" t="s">
        <v>86</v>
      </c>
      <c r="BT98" s="1" t="s">
        <v>86</v>
      </c>
      <c r="BU98" s="1" t="s">
        <v>163</v>
      </c>
      <c r="BV98" s="1" t="s">
        <v>86</v>
      </c>
      <c r="BW98" s="1" t="s">
        <v>101</v>
      </c>
      <c r="BX98" s="1" t="s">
        <v>401</v>
      </c>
      <c r="BY98" s="1" t="s">
        <v>86</v>
      </c>
      <c r="BZ98" s="1" t="s">
        <v>727</v>
      </c>
      <c r="CA98" s="1" t="s">
        <v>728</v>
      </c>
      <c r="CB98" s="1" t="s">
        <v>86</v>
      </c>
      <c r="CC98" s="1" t="s">
        <v>86</v>
      </c>
      <c r="CD98" s="1" t="s">
        <v>86</v>
      </c>
      <c r="CE98" s="1" t="s">
        <v>86</v>
      </c>
    </row>
    <row r="99">
      <c r="A99" s="1">
        <v>97</v>
      </c>
      <c r="B99" s="1" t="s">
        <v>395</v>
      </c>
      <c r="C99" s="2">
        <f>=HYPERLINK("https://i.stonehdfile.com/stoneimage?s=e264fc6a-7f90-416c-8f46-a7fa21bb83e7","Image")</f>
      </c>
      <c r="D99" s="2">
        <f>=HYPERLINK("https://dna.stonehdfile.com/hd/viewhd.html?d=77bbed1b-dba7-4176-b17c-aa166599526b","View360")</f>
      </c>
      <c r="E99" s="2">
        <f>=HYPERLINK("https://i.stonehdfile.com/Certificate?s=e264fc6a-7f90-416c-8f46-a7fa21bb83e7","GIA")</f>
      </c>
      <c r="F99" s="2">
        <f>=HYPERLINK("https://i.stonehdfile.com/DNAReport?s=e264fc6a-7f90-416c-8f46-a7fa21bb83e7","DNA")</f>
      </c>
      <c r="G99" s="2">
        <f>=HYPERLINK("https://www.gia.edu/report-check?reportno=******4275","Verify")</f>
      </c>
      <c r="H99" s="1" t="s">
        <v>729</v>
      </c>
      <c r="I99" s="1" t="s">
        <v>46</v>
      </c>
      <c r="J99" s="1">
        <v>1.5</v>
      </c>
      <c r="K99" s="1">
        <v>2</v>
      </c>
      <c r="L99" s="1">
        <v>9500</v>
      </c>
      <c r="M99" s="1">
        <v>4321</v>
      </c>
      <c r="N99" s="1">
        <v>6481.5</v>
      </c>
      <c r="O99" s="1">
        <v>-54.52</v>
      </c>
      <c r="P99" s="1">
        <v>0</v>
      </c>
      <c r="Q99" s="1" t="s">
        <v>86</v>
      </c>
      <c r="R99" s="1">
        <v>0</v>
      </c>
      <c r="S99" s="1" t="s">
        <v>86</v>
      </c>
      <c r="T99" s="1" t="s">
        <v>86</v>
      </c>
      <c r="U99" s="1" t="s">
        <v>271</v>
      </c>
      <c r="V99" s="1" t="s">
        <v>86</v>
      </c>
      <c r="W99" s="1" t="s">
        <v>149</v>
      </c>
      <c r="X99" s="1" t="s">
        <v>86</v>
      </c>
      <c r="Y99" s="1" t="s">
        <v>89</v>
      </c>
      <c r="Z99" s="1" t="s">
        <v>89</v>
      </c>
      <c r="AA99" s="1" t="s">
        <v>119</v>
      </c>
      <c r="AB99" s="1" t="s">
        <v>86</v>
      </c>
      <c r="AC99" s="1" t="s">
        <v>730</v>
      </c>
      <c r="AD99" s="1">
        <v>71.4</v>
      </c>
      <c r="AE99" s="1">
        <v>66</v>
      </c>
      <c r="AF99" s="1" t="s">
        <v>91</v>
      </c>
      <c r="AG99" s="1">
        <v>3.1</v>
      </c>
      <c r="AH99" s="1">
        <v>33.6</v>
      </c>
      <c r="AI99" s="1" t="s">
        <v>86</v>
      </c>
      <c r="AJ99" s="1">
        <v>1.04</v>
      </c>
      <c r="AK99" s="1" t="s">
        <v>111</v>
      </c>
      <c r="AL99" s="1" t="s">
        <v>93</v>
      </c>
      <c r="AM99" s="1" t="s">
        <v>128</v>
      </c>
      <c r="AN99" s="1" t="s">
        <v>86</v>
      </c>
      <c r="AO99" s="1" t="s">
        <v>94</v>
      </c>
      <c r="AP99" s="1" t="s">
        <v>95</v>
      </c>
      <c r="AQ99" s="1">
        <v>11.5</v>
      </c>
      <c r="AR99" s="1">
        <v>56.6</v>
      </c>
      <c r="AS99" s="1">
        <v>41.8</v>
      </c>
      <c r="AT99" s="1" t="s">
        <v>96</v>
      </c>
      <c r="AU99" s="1" t="s">
        <v>86</v>
      </c>
      <c r="AV99" s="1" t="s">
        <v>86</v>
      </c>
      <c r="AW99" s="1" t="s">
        <v>86</v>
      </c>
      <c r="AX99" s="1" t="s">
        <v>86</v>
      </c>
      <c r="AY99" s="1" t="s">
        <v>86</v>
      </c>
      <c r="AZ99" s="1" t="s">
        <v>86</v>
      </c>
      <c r="BA99" s="1" t="s">
        <v>86</v>
      </c>
      <c r="BB99" s="1" t="s">
        <v>86</v>
      </c>
      <c r="BC99" s="1" t="s">
        <v>86</v>
      </c>
      <c r="BD99" s="1" t="s">
        <v>86</v>
      </c>
      <c r="BE99" s="1" t="s">
        <v>86</v>
      </c>
      <c r="BF99" s="1" t="s">
        <v>86</v>
      </c>
      <c r="BG99" s="1" t="s">
        <v>86</v>
      </c>
      <c r="BH99" s="1" t="s">
        <v>97</v>
      </c>
      <c r="BI99" s="1" t="s">
        <v>174</v>
      </c>
      <c r="BJ99" s="1" t="s">
        <v>87</v>
      </c>
      <c r="BK99" s="1">
        <v>0</v>
      </c>
      <c r="BL99" s="1">
        <v>0</v>
      </c>
      <c r="BM99" s="1" t="s">
        <v>398</v>
      </c>
      <c r="BN99" s="1" t="s">
        <v>731</v>
      </c>
      <c r="BO99" s="1" t="s">
        <v>732</v>
      </c>
      <c r="BP99" s="1" t="s">
        <v>86</v>
      </c>
      <c r="BQ99" s="1" t="s">
        <v>86</v>
      </c>
      <c r="BR99" s="1" t="s">
        <v>86</v>
      </c>
      <c r="BS99" s="1" t="s">
        <v>86</v>
      </c>
      <c r="BT99" s="1" t="s">
        <v>86</v>
      </c>
      <c r="BU99" s="1" t="s">
        <v>552</v>
      </c>
      <c r="BV99" s="1" t="s">
        <v>86</v>
      </c>
      <c r="BW99" s="1" t="s">
        <v>101</v>
      </c>
      <c r="BX99" s="1" t="s">
        <v>553</v>
      </c>
      <c r="BY99" s="1" t="s">
        <v>86</v>
      </c>
      <c r="BZ99" s="1" t="s">
        <v>733</v>
      </c>
      <c r="CA99" s="1" t="s">
        <v>734</v>
      </c>
      <c r="CB99" s="1" t="s">
        <v>639</v>
      </c>
      <c r="CC99" s="1" t="s">
        <v>86</v>
      </c>
      <c r="CD99" s="1" t="s">
        <v>86</v>
      </c>
      <c r="CE99" s="1" t="s">
        <v>86</v>
      </c>
    </row>
    <row r="100">
      <c r="A100" s="1">
        <v>98</v>
      </c>
      <c r="B100" s="1" t="s">
        <v>395</v>
      </c>
      <c r="C100" s="2">
        <f>=HYPERLINK("https://i.stonehdfile.com/stoneimage?s=36712e47-caa1-4bd8-a0e2-2a9c67fcc378","Image")</f>
      </c>
      <c r="D100" s="2">
        <f>=HYPERLINK("https://dna.stonehdfile.com/hd/viewhd.html?d=ad32ea21-bf92-4eca-b2f7-d48b8aef0435","View360")</f>
      </c>
      <c r="E100" s="2">
        <f>=HYPERLINK("https://i.stonehdfile.com/Certificate?s=36712e47-caa1-4bd8-a0e2-2a9c67fcc378","GIA")</f>
      </c>
      <c r="F100" s="2">
        <f>=HYPERLINK("https://i.stonehdfile.com/DNAReport?s=36712e47-caa1-4bd8-a0e2-2a9c67fcc378","DNA")</f>
      </c>
      <c r="G100" s="2">
        <f>=HYPERLINK("https://www.gia.edu/report-check?reportno=******8519","Verify")</f>
      </c>
      <c r="H100" s="1" t="s">
        <v>735</v>
      </c>
      <c r="I100" s="1" t="s">
        <v>46</v>
      </c>
      <c r="J100" s="1">
        <v>1.5</v>
      </c>
      <c r="K100" s="1">
        <v>6</v>
      </c>
      <c r="L100" s="1">
        <v>9500</v>
      </c>
      <c r="M100" s="1">
        <v>4390</v>
      </c>
      <c r="N100" s="1">
        <v>6585</v>
      </c>
      <c r="O100" s="1">
        <v>-53.79</v>
      </c>
      <c r="P100" s="1">
        <v>0</v>
      </c>
      <c r="Q100" s="1" t="s">
        <v>86</v>
      </c>
      <c r="R100" s="1">
        <v>0</v>
      </c>
      <c r="S100" s="1" t="s">
        <v>86</v>
      </c>
      <c r="T100" s="1" t="s">
        <v>86</v>
      </c>
      <c r="U100" s="1" t="s">
        <v>271</v>
      </c>
      <c r="V100" s="1" t="s">
        <v>86</v>
      </c>
      <c r="W100" s="1" t="s">
        <v>149</v>
      </c>
      <c r="X100" s="1" t="s">
        <v>86</v>
      </c>
      <c r="Y100" s="1" t="s">
        <v>89</v>
      </c>
      <c r="Z100" s="1" t="s">
        <v>89</v>
      </c>
      <c r="AA100" s="1" t="s">
        <v>87</v>
      </c>
      <c r="AB100" s="1" t="s">
        <v>86</v>
      </c>
      <c r="AC100" s="1" t="s">
        <v>736</v>
      </c>
      <c r="AD100" s="1">
        <v>68.4</v>
      </c>
      <c r="AE100" s="1">
        <v>62</v>
      </c>
      <c r="AF100" s="1" t="s">
        <v>91</v>
      </c>
      <c r="AG100" s="1">
        <v>3.4</v>
      </c>
      <c r="AH100" s="1">
        <v>35.6</v>
      </c>
      <c r="AI100" s="1" t="s">
        <v>86</v>
      </c>
      <c r="AJ100" s="1">
        <v>1.12</v>
      </c>
      <c r="AK100" s="1" t="s">
        <v>111</v>
      </c>
      <c r="AL100" s="1" t="s">
        <v>93</v>
      </c>
      <c r="AM100" s="1" t="s">
        <v>93</v>
      </c>
      <c r="AN100" s="1" t="s">
        <v>86</v>
      </c>
      <c r="AO100" s="1" t="s">
        <v>94</v>
      </c>
      <c r="AP100" s="1" t="s">
        <v>95</v>
      </c>
      <c r="AQ100" s="1">
        <v>13.7</v>
      </c>
      <c r="AR100" s="1">
        <v>50.9</v>
      </c>
      <c r="AS100" s="1">
        <v>38.5</v>
      </c>
      <c r="AT100" s="1" t="s">
        <v>96</v>
      </c>
      <c r="AU100" s="1" t="s">
        <v>86</v>
      </c>
      <c r="AV100" s="1" t="s">
        <v>86</v>
      </c>
      <c r="AW100" s="1" t="s">
        <v>86</v>
      </c>
      <c r="AX100" s="1" t="s">
        <v>86</v>
      </c>
      <c r="AY100" s="1" t="s">
        <v>86</v>
      </c>
      <c r="AZ100" s="1" t="s">
        <v>86</v>
      </c>
      <c r="BA100" s="1" t="s">
        <v>86</v>
      </c>
      <c r="BB100" s="1" t="s">
        <v>86</v>
      </c>
      <c r="BC100" s="1" t="s">
        <v>86</v>
      </c>
      <c r="BD100" s="1" t="s">
        <v>86</v>
      </c>
      <c r="BE100" s="1" t="s">
        <v>86</v>
      </c>
      <c r="BF100" s="1" t="s">
        <v>282</v>
      </c>
      <c r="BG100" s="1" t="s">
        <v>86</v>
      </c>
      <c r="BH100" s="1" t="s">
        <v>215</v>
      </c>
      <c r="BI100" s="1" t="s">
        <v>191</v>
      </c>
      <c r="BJ100" s="1" t="s">
        <v>87</v>
      </c>
      <c r="BK100" s="1">
        <v>0</v>
      </c>
      <c r="BL100" s="1">
        <v>0</v>
      </c>
      <c r="BM100" s="1" t="s">
        <v>398</v>
      </c>
      <c r="BN100" s="1" t="s">
        <v>737</v>
      </c>
      <c r="BO100" s="1" t="s">
        <v>738</v>
      </c>
      <c r="BP100" s="1" t="s">
        <v>86</v>
      </c>
      <c r="BQ100" s="1" t="s">
        <v>86</v>
      </c>
      <c r="BR100" s="1" t="s">
        <v>86</v>
      </c>
      <c r="BS100" s="1" t="s">
        <v>86</v>
      </c>
      <c r="BT100" s="1" t="s">
        <v>86</v>
      </c>
      <c r="BU100" s="1" t="s">
        <v>163</v>
      </c>
      <c r="BV100" s="1" t="s">
        <v>86</v>
      </c>
      <c r="BW100" s="1" t="s">
        <v>101</v>
      </c>
      <c r="BX100" s="1" t="s">
        <v>423</v>
      </c>
      <c r="BY100" s="1" t="s">
        <v>86</v>
      </c>
      <c r="BZ100" s="1" t="s">
        <v>739</v>
      </c>
      <c r="CA100" s="1" t="s">
        <v>220</v>
      </c>
      <c r="CB100" s="1" t="s">
        <v>740</v>
      </c>
      <c r="CC100" s="1" t="s">
        <v>86</v>
      </c>
      <c r="CD100" s="1" t="s">
        <v>86</v>
      </c>
      <c r="CE100" s="1" t="s">
        <v>86</v>
      </c>
    </row>
    <row r="101">
      <c r="A101" s="1">
        <v>99</v>
      </c>
      <c r="B101" s="1" t="s">
        <v>395</v>
      </c>
      <c r="C101" s="2">
        <f>=HYPERLINK("https://i.stonehdfile.com/stoneimage?s=81879621-7279-4e10-821d-3e2bc43bc9fe","Image")</f>
      </c>
      <c r="D101" s="2">
        <f>=HYPERLINK("https://dna.stonehdfile.com/hd/viewhd.html?d=db0d0ce8-afb5-415f-b6c7-848285e6b772","View360")</f>
      </c>
      <c r="E101" s="2">
        <f>=HYPERLINK("https://i.stonehdfile.com/Certificate?s=81879621-7279-4e10-821d-3e2bc43bc9fe","GIA")</f>
      </c>
      <c r="F101" s="2">
        <f>=HYPERLINK("https://i.stonehdfile.com/DNAReport?s=81879621-7279-4e10-821d-3e2bc43bc9fe","DNA")</f>
      </c>
      <c r="G101" s="2">
        <f>=HYPERLINK("https://www.gia.edu/report-check?reportno=******7682","Verify")</f>
      </c>
      <c r="H101" s="1" t="s">
        <v>741</v>
      </c>
      <c r="I101" s="1" t="s">
        <v>46</v>
      </c>
      <c r="J101" s="1">
        <v>1.5</v>
      </c>
      <c r="K101" s="1">
        <v>9</v>
      </c>
      <c r="L101" s="1">
        <v>9500</v>
      </c>
      <c r="M101" s="1">
        <v>4854</v>
      </c>
      <c r="N101" s="1">
        <v>7281</v>
      </c>
      <c r="O101" s="1">
        <v>-48.91</v>
      </c>
      <c r="P101" s="1">
        <v>0</v>
      </c>
      <c r="Q101" s="1" t="s">
        <v>86</v>
      </c>
      <c r="R101" s="1">
        <v>0</v>
      </c>
      <c r="S101" s="1" t="s">
        <v>86</v>
      </c>
      <c r="T101" s="1" t="s">
        <v>86</v>
      </c>
      <c r="U101" s="1" t="s">
        <v>271</v>
      </c>
      <c r="V101" s="1" t="s">
        <v>86</v>
      </c>
      <c r="W101" s="1" t="s">
        <v>149</v>
      </c>
      <c r="X101" s="1" t="s">
        <v>86</v>
      </c>
      <c r="Y101" s="1" t="s">
        <v>89</v>
      </c>
      <c r="Z101" s="1" t="s">
        <v>89</v>
      </c>
      <c r="AA101" s="1" t="s">
        <v>119</v>
      </c>
      <c r="AB101" s="1" t="s">
        <v>86</v>
      </c>
      <c r="AC101" s="1" t="s">
        <v>742</v>
      </c>
      <c r="AD101" s="1">
        <v>67.5</v>
      </c>
      <c r="AE101" s="1">
        <v>63</v>
      </c>
      <c r="AF101" s="1" t="s">
        <v>91</v>
      </c>
      <c r="AG101" s="1">
        <v>2.8</v>
      </c>
      <c r="AH101" s="1">
        <v>35.4</v>
      </c>
      <c r="AI101" s="1" t="s">
        <v>86</v>
      </c>
      <c r="AJ101" s="1">
        <v>1.05</v>
      </c>
      <c r="AK101" s="1" t="s">
        <v>111</v>
      </c>
      <c r="AL101" s="1" t="s">
        <v>93</v>
      </c>
      <c r="AM101" s="1" t="s">
        <v>140</v>
      </c>
      <c r="AN101" s="1" t="s">
        <v>86</v>
      </c>
      <c r="AO101" s="1" t="s">
        <v>94</v>
      </c>
      <c r="AP101" s="1" t="s">
        <v>95</v>
      </c>
      <c r="AQ101" s="1">
        <v>13.2</v>
      </c>
      <c r="AR101" s="1">
        <v>51.4</v>
      </c>
      <c r="AS101" s="1">
        <v>38.9</v>
      </c>
      <c r="AT101" s="1" t="s">
        <v>96</v>
      </c>
      <c r="AU101" s="1" t="s">
        <v>86</v>
      </c>
      <c r="AV101" s="1" t="s">
        <v>86</v>
      </c>
      <c r="AW101" s="1" t="s">
        <v>86</v>
      </c>
      <c r="AX101" s="1" t="s">
        <v>86</v>
      </c>
      <c r="AY101" s="1" t="s">
        <v>86</v>
      </c>
      <c r="AZ101" s="1" t="s">
        <v>86</v>
      </c>
      <c r="BA101" s="1" t="s">
        <v>86</v>
      </c>
      <c r="BB101" s="1" t="s">
        <v>86</v>
      </c>
      <c r="BC101" s="1" t="s">
        <v>86</v>
      </c>
      <c r="BD101" s="1" t="s">
        <v>86</v>
      </c>
      <c r="BE101" s="1" t="s">
        <v>86</v>
      </c>
      <c r="BF101" s="1" t="s">
        <v>86</v>
      </c>
      <c r="BG101" s="1" t="s">
        <v>86</v>
      </c>
      <c r="BH101" s="1" t="s">
        <v>182</v>
      </c>
      <c r="BI101" s="1" t="s">
        <v>322</v>
      </c>
      <c r="BJ101" s="1" t="s">
        <v>87</v>
      </c>
      <c r="BK101" s="1">
        <v>0</v>
      </c>
      <c r="BL101" s="1">
        <v>0</v>
      </c>
      <c r="BM101" s="1" t="s">
        <v>398</v>
      </c>
      <c r="BN101" s="1" t="s">
        <v>743</v>
      </c>
      <c r="BO101" s="1" t="s">
        <v>636</v>
      </c>
      <c r="BP101" s="1" t="s">
        <v>86</v>
      </c>
      <c r="BQ101" s="1" t="s">
        <v>86</v>
      </c>
      <c r="BR101" s="1" t="s">
        <v>86</v>
      </c>
      <c r="BS101" s="1" t="s">
        <v>86</v>
      </c>
      <c r="BT101" s="1" t="s">
        <v>86</v>
      </c>
      <c r="BU101" s="1" t="s">
        <v>163</v>
      </c>
      <c r="BV101" s="1" t="s">
        <v>86</v>
      </c>
      <c r="BW101" s="1" t="s">
        <v>101</v>
      </c>
      <c r="BX101" s="1" t="s">
        <v>401</v>
      </c>
      <c r="BY101" s="1" t="s">
        <v>86</v>
      </c>
      <c r="BZ101" s="1" t="s">
        <v>744</v>
      </c>
      <c r="CA101" s="1" t="s">
        <v>297</v>
      </c>
      <c r="CB101" s="1" t="s">
        <v>166</v>
      </c>
      <c r="CC101" s="1" t="s">
        <v>86</v>
      </c>
      <c r="CD101" s="1" t="s">
        <v>86</v>
      </c>
      <c r="CE101" s="1" t="s">
        <v>86</v>
      </c>
    </row>
    <row r="102">
      <c r="A102" s="1">
        <v>100</v>
      </c>
      <c r="B102" s="1" t="s">
        <v>395</v>
      </c>
      <c r="C102" s="2">
        <f>=HYPERLINK("https://i.stonehdfile.com/stoneimage?s=0a04db9e-a3c0-450b-9a64-08a93d6d3b6b","Image")</f>
      </c>
      <c r="D102" s="2">
        <f>=HYPERLINK("https://dna.stonehdfile.com/hd/viewhd.html?d=3bc6fded-5549-40b1-81a4-5ecb910296e8","View360")</f>
      </c>
      <c r="E102" s="2">
        <f>=HYPERLINK("https://i.stonehdfile.com/Certificate?s=0a04db9e-a3c0-450b-9a64-08a93d6d3b6b","GIA")</f>
      </c>
      <c r="F102" s="2">
        <f>=HYPERLINK("https://i.stonehdfile.com/DNAReport?s=0a04db9e-a3c0-450b-9a64-08a93d6d3b6b","DNA")</f>
      </c>
      <c r="G102" s="2">
        <f>=HYPERLINK("https://www.gia.edu/report-check?reportno=******1728","Verify")</f>
      </c>
      <c r="H102" s="1" t="s">
        <v>745</v>
      </c>
      <c r="I102" s="1" t="s">
        <v>46</v>
      </c>
      <c r="J102" s="1">
        <v>1.5</v>
      </c>
      <c r="K102" s="1">
        <v>2</v>
      </c>
      <c r="L102" s="1">
        <v>9500</v>
      </c>
      <c r="M102" s="1">
        <v>5181</v>
      </c>
      <c r="N102" s="1">
        <v>7771.5</v>
      </c>
      <c r="O102" s="1">
        <v>-45.46</v>
      </c>
      <c r="P102" s="1">
        <v>0</v>
      </c>
      <c r="Q102" s="1" t="s">
        <v>86</v>
      </c>
      <c r="R102" s="1">
        <v>0</v>
      </c>
      <c r="S102" s="1" t="s">
        <v>86</v>
      </c>
      <c r="T102" s="1" t="s">
        <v>86</v>
      </c>
      <c r="U102" s="1" t="s">
        <v>271</v>
      </c>
      <c r="V102" s="1" t="s">
        <v>86</v>
      </c>
      <c r="W102" s="1" t="s">
        <v>149</v>
      </c>
      <c r="X102" s="1" t="s">
        <v>86</v>
      </c>
      <c r="Y102" s="1" t="s">
        <v>89</v>
      </c>
      <c r="Z102" s="1" t="s">
        <v>89</v>
      </c>
      <c r="AA102" s="1" t="s">
        <v>119</v>
      </c>
      <c r="AB102" s="1" t="s">
        <v>86</v>
      </c>
      <c r="AC102" s="1" t="s">
        <v>746</v>
      </c>
      <c r="AD102" s="1">
        <v>68.7</v>
      </c>
      <c r="AE102" s="1">
        <v>64</v>
      </c>
      <c r="AF102" s="1" t="s">
        <v>91</v>
      </c>
      <c r="AG102" s="1">
        <v>3.4</v>
      </c>
      <c r="AH102" s="1">
        <v>35.8</v>
      </c>
      <c r="AI102" s="1" t="s">
        <v>86</v>
      </c>
      <c r="AJ102" s="1">
        <v>1.02</v>
      </c>
      <c r="AK102" s="1" t="s">
        <v>92</v>
      </c>
      <c r="AL102" s="1" t="s">
        <v>93</v>
      </c>
      <c r="AM102" s="1" t="s">
        <v>93</v>
      </c>
      <c r="AN102" s="1" t="s">
        <v>86</v>
      </c>
      <c r="AO102" s="1" t="s">
        <v>94</v>
      </c>
      <c r="AP102" s="1" t="s">
        <v>95</v>
      </c>
      <c r="AQ102" s="1">
        <v>12.8</v>
      </c>
      <c r="AR102" s="1">
        <v>52</v>
      </c>
      <c r="AS102" s="1">
        <v>39.1</v>
      </c>
      <c r="AT102" s="1" t="s">
        <v>96</v>
      </c>
      <c r="AU102" s="1" t="s">
        <v>86</v>
      </c>
      <c r="AV102" s="1" t="s">
        <v>86</v>
      </c>
      <c r="AW102" s="1" t="s">
        <v>86</v>
      </c>
      <c r="AX102" s="1" t="s">
        <v>86</v>
      </c>
      <c r="AY102" s="1" t="s">
        <v>86</v>
      </c>
      <c r="AZ102" s="1" t="s">
        <v>86</v>
      </c>
      <c r="BA102" s="1" t="s">
        <v>86</v>
      </c>
      <c r="BB102" s="1" t="s">
        <v>86</v>
      </c>
      <c r="BC102" s="1" t="s">
        <v>86</v>
      </c>
      <c r="BD102" s="1" t="s">
        <v>86</v>
      </c>
      <c r="BE102" s="1" t="s">
        <v>86</v>
      </c>
      <c r="BF102" s="1" t="s">
        <v>86</v>
      </c>
      <c r="BG102" s="1" t="s">
        <v>86</v>
      </c>
      <c r="BH102" s="1" t="s">
        <v>215</v>
      </c>
      <c r="BI102" s="1" t="s">
        <v>191</v>
      </c>
      <c r="BJ102" s="1" t="s">
        <v>87</v>
      </c>
      <c r="BK102" s="1">
        <v>0</v>
      </c>
      <c r="BL102" s="1">
        <v>0</v>
      </c>
      <c r="BM102" s="1" t="s">
        <v>398</v>
      </c>
      <c r="BN102" s="1" t="s">
        <v>747</v>
      </c>
      <c r="BO102" s="1" t="s">
        <v>643</v>
      </c>
      <c r="BP102" s="1" t="s">
        <v>86</v>
      </c>
      <c r="BQ102" s="1" t="s">
        <v>86</v>
      </c>
      <c r="BR102" s="1" t="s">
        <v>86</v>
      </c>
      <c r="BS102" s="1" t="s">
        <v>86</v>
      </c>
      <c r="BT102" s="1" t="s">
        <v>86</v>
      </c>
      <c r="BU102" s="1" t="s">
        <v>163</v>
      </c>
      <c r="BV102" s="1" t="s">
        <v>86</v>
      </c>
      <c r="BW102" s="1" t="s">
        <v>101</v>
      </c>
      <c r="BX102" s="1" t="s">
        <v>478</v>
      </c>
      <c r="BY102" s="1" t="s">
        <v>86</v>
      </c>
      <c r="BZ102" s="1" t="s">
        <v>748</v>
      </c>
      <c r="CA102" s="1" t="s">
        <v>749</v>
      </c>
      <c r="CB102" s="1" t="s">
        <v>86</v>
      </c>
      <c r="CC102" s="1" t="s">
        <v>86</v>
      </c>
      <c r="CD102" s="1" t="s">
        <v>86</v>
      </c>
      <c r="CE102" s="1" t="s">
        <v>86</v>
      </c>
    </row>
    <row r="103">
      <c r="A103" s="1">
        <v>101</v>
      </c>
      <c r="B103" s="1" t="s">
        <v>395</v>
      </c>
      <c r="C103" s="2">
        <f>=HYPERLINK("https://i.stonehdfile.com/stoneimage?s=c7f48fd2-a9c0-414f-a1b3-dc489a4b53fa","Image")</f>
      </c>
      <c r="D103" s="2">
        <f>=HYPERLINK("https://dna.stonehdfile.com/hd/viewhd.html?d=39c53640-4521-4889-a21d-02c1a3326f4e","View360")</f>
      </c>
      <c r="E103" s="2">
        <f>=HYPERLINK("https://i.stonehdfile.com/Certificate?s=c7f48fd2-a9c0-414f-a1b3-dc489a4b53fa","GIA")</f>
      </c>
      <c r="F103" s="2">
        <f>=HYPERLINK("https://i.stonehdfile.com/DNAReport?s=c7f48fd2-a9c0-414f-a1b3-dc489a4b53fa","DNA")</f>
      </c>
      <c r="G103" s="2">
        <f>=HYPERLINK("https://www.gia.edu/report-check?reportno=******0454","Verify")</f>
      </c>
      <c r="H103" s="1" t="s">
        <v>750</v>
      </c>
      <c r="I103" s="1" t="s">
        <v>46</v>
      </c>
      <c r="J103" s="1">
        <v>1.5</v>
      </c>
      <c r="K103" s="1">
        <v>7</v>
      </c>
      <c r="L103" s="1">
        <v>9500</v>
      </c>
      <c r="M103" s="1">
        <v>5261</v>
      </c>
      <c r="N103" s="1">
        <v>7891.5</v>
      </c>
      <c r="O103" s="1">
        <v>-44.62</v>
      </c>
      <c r="P103" s="1">
        <v>0</v>
      </c>
      <c r="Q103" s="1" t="s">
        <v>86</v>
      </c>
      <c r="R103" s="1">
        <v>0</v>
      </c>
      <c r="S103" s="1" t="s">
        <v>86</v>
      </c>
      <c r="T103" s="1" t="s">
        <v>86</v>
      </c>
      <c r="U103" s="1" t="s">
        <v>375</v>
      </c>
      <c r="V103" s="1" t="s">
        <v>86</v>
      </c>
      <c r="W103" s="1" t="s">
        <v>149</v>
      </c>
      <c r="X103" s="1" t="s">
        <v>86</v>
      </c>
      <c r="Y103" s="1" t="s">
        <v>89</v>
      </c>
      <c r="Z103" s="1" t="s">
        <v>89</v>
      </c>
      <c r="AA103" s="1" t="s">
        <v>119</v>
      </c>
      <c r="AB103" s="1" t="s">
        <v>86</v>
      </c>
      <c r="AC103" s="1" t="s">
        <v>751</v>
      </c>
      <c r="AD103" s="1">
        <v>68.7</v>
      </c>
      <c r="AE103" s="1">
        <v>65</v>
      </c>
      <c r="AF103" s="1" t="s">
        <v>91</v>
      </c>
      <c r="AG103" s="1">
        <v>2.5</v>
      </c>
      <c r="AH103" s="1">
        <v>35.4</v>
      </c>
      <c r="AI103" s="1" t="s">
        <v>86</v>
      </c>
      <c r="AJ103" s="1">
        <v>1.04</v>
      </c>
      <c r="AK103" s="1" t="s">
        <v>190</v>
      </c>
      <c r="AL103" s="1" t="s">
        <v>93</v>
      </c>
      <c r="AM103" s="1" t="s">
        <v>93</v>
      </c>
      <c r="AN103" s="1" t="s">
        <v>86</v>
      </c>
      <c r="AO103" s="1" t="s">
        <v>94</v>
      </c>
      <c r="AP103" s="1" t="s">
        <v>95</v>
      </c>
      <c r="AQ103" s="1">
        <v>12.4</v>
      </c>
      <c r="AR103" s="1">
        <v>54</v>
      </c>
      <c r="AS103" s="1">
        <v>40.6</v>
      </c>
      <c r="AT103" s="1" t="s">
        <v>96</v>
      </c>
      <c r="AU103" s="1" t="s">
        <v>86</v>
      </c>
      <c r="AV103" s="1" t="s">
        <v>86</v>
      </c>
      <c r="AW103" s="1" t="s">
        <v>141</v>
      </c>
      <c r="AX103" s="1" t="s">
        <v>86</v>
      </c>
      <c r="AY103" s="1" t="s">
        <v>86</v>
      </c>
      <c r="AZ103" s="1" t="s">
        <v>86</v>
      </c>
      <c r="BA103" s="1" t="s">
        <v>86</v>
      </c>
      <c r="BB103" s="1" t="s">
        <v>86</v>
      </c>
      <c r="BC103" s="1" t="s">
        <v>86</v>
      </c>
      <c r="BD103" s="1" t="s">
        <v>86</v>
      </c>
      <c r="BE103" s="1" t="s">
        <v>86</v>
      </c>
      <c r="BF103" s="1" t="s">
        <v>86</v>
      </c>
      <c r="BG103" s="1" t="s">
        <v>86</v>
      </c>
      <c r="BH103" s="1" t="s">
        <v>142</v>
      </c>
      <c r="BI103" s="1" t="s">
        <v>328</v>
      </c>
      <c r="BJ103" s="1" t="s">
        <v>87</v>
      </c>
      <c r="BK103" s="1">
        <v>0</v>
      </c>
      <c r="BL103" s="1">
        <v>0</v>
      </c>
      <c r="BM103" s="1" t="s">
        <v>398</v>
      </c>
      <c r="BN103" s="1" t="s">
        <v>752</v>
      </c>
      <c r="BO103" s="1" t="s">
        <v>551</v>
      </c>
      <c r="BP103" s="1" t="s">
        <v>86</v>
      </c>
      <c r="BQ103" s="1" t="s">
        <v>86</v>
      </c>
      <c r="BR103" s="1" t="s">
        <v>86</v>
      </c>
      <c r="BS103" s="1" t="s">
        <v>86</v>
      </c>
      <c r="BT103" s="1" t="s">
        <v>86</v>
      </c>
      <c r="BU103" s="1" t="s">
        <v>163</v>
      </c>
      <c r="BV103" s="1" t="s">
        <v>86</v>
      </c>
      <c r="BW103" s="1" t="s">
        <v>101</v>
      </c>
      <c r="BX103" s="1" t="s">
        <v>414</v>
      </c>
      <c r="BY103" s="1" t="s">
        <v>86</v>
      </c>
      <c r="BZ103" s="1" t="s">
        <v>753</v>
      </c>
      <c r="CA103" s="1" t="s">
        <v>332</v>
      </c>
      <c r="CB103" s="1" t="s">
        <v>86</v>
      </c>
      <c r="CC103" s="1" t="s">
        <v>86</v>
      </c>
      <c r="CD103" s="1" t="s">
        <v>86</v>
      </c>
      <c r="CE103" s="1" t="s">
        <v>86</v>
      </c>
    </row>
    <row r="104">
      <c r="A104" s="1">
        <v>102</v>
      </c>
      <c r="B104" s="1" t="s">
        <v>395</v>
      </c>
      <c r="C104" s="2">
        <f>=HYPERLINK("https://i.stonehdfile.com/stoneimage?s=5afb8382-f1b9-4374-ac9c-4fd890ee7bb9","Image")</f>
      </c>
      <c r="D104" s="2">
        <f>=HYPERLINK("https://dna.stonehdfile.com/hd/viewhd.html?d=562bfd2c-ba55-49bf-8fec-0334f0a0401a","View360")</f>
      </c>
      <c r="E104" s="2">
        <f>=HYPERLINK("https://i.stonehdfile.com/Certificate?s=5afb8382-f1b9-4374-ac9c-4fd890ee7bb9","GIA")</f>
      </c>
      <c r="F104" s="2">
        <f>=HYPERLINK("https://i.stonehdfile.com/DNAReport?s=5afb8382-f1b9-4374-ac9c-4fd890ee7bb9","DNA")</f>
      </c>
      <c r="G104" s="2">
        <f>=HYPERLINK("https://www.gia.edu/report-check?reportno=******8185","Verify")</f>
      </c>
      <c r="H104" s="1" t="s">
        <v>754</v>
      </c>
      <c r="I104" s="1" t="s">
        <v>46</v>
      </c>
      <c r="J104" s="1">
        <v>1.5</v>
      </c>
      <c r="K104" s="1">
        <v>1</v>
      </c>
      <c r="L104" s="1">
        <v>8800</v>
      </c>
      <c r="M104" s="1">
        <v>4379</v>
      </c>
      <c r="N104" s="1">
        <v>6568.5</v>
      </c>
      <c r="O104" s="1">
        <v>-50.24</v>
      </c>
      <c r="P104" s="1">
        <v>0</v>
      </c>
      <c r="Q104" s="1" t="s">
        <v>86</v>
      </c>
      <c r="R104" s="1">
        <v>0</v>
      </c>
      <c r="S104" s="1" t="s">
        <v>86</v>
      </c>
      <c r="T104" s="1" t="s">
        <v>86</v>
      </c>
      <c r="U104" s="1" t="s">
        <v>375</v>
      </c>
      <c r="V104" s="1" t="s">
        <v>86</v>
      </c>
      <c r="W104" s="1" t="s">
        <v>352</v>
      </c>
      <c r="X104" s="1" t="s">
        <v>86</v>
      </c>
      <c r="Y104" s="1" t="s">
        <v>89</v>
      </c>
      <c r="Z104" s="1" t="s">
        <v>89</v>
      </c>
      <c r="AA104" s="1" t="s">
        <v>119</v>
      </c>
      <c r="AB104" s="1" t="s">
        <v>86</v>
      </c>
      <c r="AC104" s="1" t="s">
        <v>755</v>
      </c>
      <c r="AD104" s="1">
        <v>69.3</v>
      </c>
      <c r="AE104" s="1">
        <v>61</v>
      </c>
      <c r="AF104" s="1" t="s">
        <v>91</v>
      </c>
      <c r="AG104" s="1">
        <v>3.1</v>
      </c>
      <c r="AH104" s="1">
        <v>34</v>
      </c>
      <c r="AI104" s="1" t="s">
        <v>86</v>
      </c>
      <c r="AJ104" s="1">
        <v>1.12</v>
      </c>
      <c r="AK104" s="1" t="s">
        <v>111</v>
      </c>
      <c r="AL104" s="1" t="s">
        <v>140</v>
      </c>
      <c r="AM104" s="1" t="s">
        <v>140</v>
      </c>
      <c r="AN104" s="1" t="s">
        <v>307</v>
      </c>
      <c r="AO104" s="1" t="s">
        <v>94</v>
      </c>
      <c r="AP104" s="1" t="s">
        <v>95</v>
      </c>
      <c r="AQ104" s="1">
        <v>13</v>
      </c>
      <c r="AR104" s="1">
        <v>53</v>
      </c>
      <c r="AS104" s="1">
        <v>38.4</v>
      </c>
      <c r="AT104" s="1" t="s">
        <v>96</v>
      </c>
      <c r="AU104" s="1" t="s">
        <v>86</v>
      </c>
      <c r="AV104" s="1" t="s">
        <v>86</v>
      </c>
      <c r="AW104" s="1" t="s">
        <v>86</v>
      </c>
      <c r="AX104" s="1" t="s">
        <v>86</v>
      </c>
      <c r="AY104" s="1" t="s">
        <v>86</v>
      </c>
      <c r="AZ104" s="1" t="s">
        <v>86</v>
      </c>
      <c r="BA104" s="1" t="s">
        <v>86</v>
      </c>
      <c r="BB104" s="1" t="s">
        <v>86</v>
      </c>
      <c r="BC104" s="1" t="s">
        <v>86</v>
      </c>
      <c r="BD104" s="1" t="s">
        <v>86</v>
      </c>
      <c r="BE104" s="1" t="s">
        <v>86</v>
      </c>
      <c r="BF104" s="1" t="s">
        <v>86</v>
      </c>
      <c r="BG104" s="1" t="s">
        <v>86</v>
      </c>
      <c r="BH104" s="1" t="s">
        <v>97</v>
      </c>
      <c r="BI104" s="1" t="s">
        <v>174</v>
      </c>
      <c r="BJ104" s="1" t="s">
        <v>87</v>
      </c>
      <c r="BK104" s="1">
        <v>0</v>
      </c>
      <c r="BL104" s="1">
        <v>0</v>
      </c>
      <c r="BM104" s="1" t="s">
        <v>398</v>
      </c>
      <c r="BN104" s="1" t="s">
        <v>756</v>
      </c>
      <c r="BO104" s="1" t="s">
        <v>310</v>
      </c>
      <c r="BP104" s="1" t="s">
        <v>86</v>
      </c>
      <c r="BQ104" s="1" t="s">
        <v>86</v>
      </c>
      <c r="BR104" s="1" t="s">
        <v>86</v>
      </c>
      <c r="BS104" s="1" t="s">
        <v>86</v>
      </c>
      <c r="BT104" s="1" t="s">
        <v>86</v>
      </c>
      <c r="BU104" s="1" t="s">
        <v>163</v>
      </c>
      <c r="BV104" s="1" t="s">
        <v>86</v>
      </c>
      <c r="BW104" s="1" t="s">
        <v>101</v>
      </c>
      <c r="BX104" s="1" t="s">
        <v>414</v>
      </c>
      <c r="BY104" s="1" t="s">
        <v>86</v>
      </c>
      <c r="BZ104" s="1" t="s">
        <v>757</v>
      </c>
      <c r="CA104" s="1" t="s">
        <v>312</v>
      </c>
      <c r="CB104" s="1" t="s">
        <v>166</v>
      </c>
      <c r="CC104" s="1" t="s">
        <v>86</v>
      </c>
      <c r="CD104" s="1" t="s">
        <v>86</v>
      </c>
      <c r="CE104" s="1" t="s">
        <v>86</v>
      </c>
    </row>
    <row r="105">
      <c r="A105" s="1">
        <v>103</v>
      </c>
      <c r="B105" s="1" t="s">
        <v>395</v>
      </c>
      <c r="C105" s="2">
        <f>=HYPERLINK("https://i.stonehdfile.com/stoneimage?s=368f2353-f95a-45d1-8d15-045436450659","Image")</f>
      </c>
      <c r="D105" s="2">
        <f>=HYPERLINK("https://dna.stonehdfile.com/hd/viewhd.html?d=4638a454-6857-400e-920d-be3254a2e7ed","View360")</f>
      </c>
      <c r="E105" s="2">
        <f>=HYPERLINK("https://i.stonehdfile.com/Certificate?s=368f2353-f95a-45d1-8d15-045436450659","GIA")</f>
      </c>
      <c r="F105" s="2">
        <f>=HYPERLINK("https://i.stonehdfile.com/DNAReport?s=368f2353-f95a-45d1-8d15-045436450659","DNA")</f>
      </c>
      <c r="G105" s="2">
        <f>=HYPERLINK("https://www.gia.edu/report-check?reportno=******3035","Verify")</f>
      </c>
      <c r="H105" s="1" t="s">
        <v>758</v>
      </c>
      <c r="I105" s="1" t="s">
        <v>46</v>
      </c>
      <c r="J105" s="1">
        <v>1.5</v>
      </c>
      <c r="K105" s="1">
        <v>3</v>
      </c>
      <c r="L105" s="1">
        <v>8800</v>
      </c>
      <c r="M105" s="1">
        <v>4151</v>
      </c>
      <c r="N105" s="1">
        <v>6226.5</v>
      </c>
      <c r="O105" s="1">
        <v>-52.83</v>
      </c>
      <c r="P105" s="1">
        <v>0</v>
      </c>
      <c r="Q105" s="1" t="s">
        <v>86</v>
      </c>
      <c r="R105" s="1">
        <v>0</v>
      </c>
      <c r="S105" s="1" t="s">
        <v>86</v>
      </c>
      <c r="T105" s="1" t="s">
        <v>86</v>
      </c>
      <c r="U105" s="1" t="s">
        <v>271</v>
      </c>
      <c r="V105" s="1" t="s">
        <v>86</v>
      </c>
      <c r="W105" s="1" t="s">
        <v>223</v>
      </c>
      <c r="X105" s="1" t="s">
        <v>86</v>
      </c>
      <c r="Y105" s="1" t="s">
        <v>89</v>
      </c>
      <c r="Z105" s="1" t="s">
        <v>89</v>
      </c>
      <c r="AA105" s="1" t="s">
        <v>119</v>
      </c>
      <c r="AB105" s="1" t="s">
        <v>86</v>
      </c>
      <c r="AC105" s="1" t="s">
        <v>759</v>
      </c>
      <c r="AD105" s="1">
        <v>68.1</v>
      </c>
      <c r="AE105" s="1">
        <v>62</v>
      </c>
      <c r="AF105" s="1" t="s">
        <v>91</v>
      </c>
      <c r="AG105" s="1">
        <v>1.6</v>
      </c>
      <c r="AH105" s="1">
        <v>36.3</v>
      </c>
      <c r="AI105" s="1" t="s">
        <v>86</v>
      </c>
      <c r="AJ105" s="1">
        <v>1.08</v>
      </c>
      <c r="AK105" s="1" t="s">
        <v>111</v>
      </c>
      <c r="AL105" s="1" t="s">
        <v>93</v>
      </c>
      <c r="AM105" s="1" t="s">
        <v>140</v>
      </c>
      <c r="AN105" s="1" t="s">
        <v>307</v>
      </c>
      <c r="AO105" s="1" t="s">
        <v>94</v>
      </c>
      <c r="AP105" s="1" t="s">
        <v>95</v>
      </c>
      <c r="AQ105" s="1">
        <v>13.9</v>
      </c>
      <c r="AR105" s="1">
        <v>51.6</v>
      </c>
      <c r="AS105" s="1">
        <v>38.5</v>
      </c>
      <c r="AT105" s="1" t="s">
        <v>96</v>
      </c>
      <c r="AU105" s="1" t="s">
        <v>86</v>
      </c>
      <c r="AV105" s="1" t="s">
        <v>86</v>
      </c>
      <c r="AW105" s="1" t="s">
        <v>86</v>
      </c>
      <c r="AX105" s="1" t="s">
        <v>86</v>
      </c>
      <c r="AY105" s="1" t="s">
        <v>86</v>
      </c>
      <c r="AZ105" s="1" t="s">
        <v>86</v>
      </c>
      <c r="BA105" s="1" t="s">
        <v>112</v>
      </c>
      <c r="BB105" s="1" t="s">
        <v>86</v>
      </c>
      <c r="BC105" s="1" t="s">
        <v>86</v>
      </c>
      <c r="BD105" s="1" t="s">
        <v>86</v>
      </c>
      <c r="BE105" s="1" t="s">
        <v>86</v>
      </c>
      <c r="BF105" s="1" t="s">
        <v>86</v>
      </c>
      <c r="BG105" s="1" t="s">
        <v>86</v>
      </c>
      <c r="BH105" s="1" t="s">
        <v>273</v>
      </c>
      <c r="BI105" s="1" t="s">
        <v>346</v>
      </c>
      <c r="BJ105" s="1" t="s">
        <v>87</v>
      </c>
      <c r="BK105" s="1">
        <v>0</v>
      </c>
      <c r="BL105" s="1">
        <v>0</v>
      </c>
      <c r="BM105" s="1" t="s">
        <v>86</v>
      </c>
      <c r="BN105" s="1" t="s">
        <v>760</v>
      </c>
      <c r="BO105" s="1" t="s">
        <v>761</v>
      </c>
      <c r="BP105" s="1" t="s">
        <v>86</v>
      </c>
      <c r="BQ105" s="1" t="s">
        <v>86</v>
      </c>
      <c r="BR105" s="1" t="s">
        <v>86</v>
      </c>
      <c r="BS105" s="1" t="s">
        <v>86</v>
      </c>
      <c r="BT105" s="1" t="s">
        <v>86</v>
      </c>
      <c r="BU105" s="1" t="s">
        <v>163</v>
      </c>
      <c r="BV105" s="1" t="s">
        <v>86</v>
      </c>
      <c r="BW105" s="1" t="s">
        <v>101</v>
      </c>
      <c r="BX105" s="1" t="s">
        <v>545</v>
      </c>
      <c r="BY105" s="1" t="s">
        <v>86</v>
      </c>
      <c r="BZ105" s="1" t="s">
        <v>762</v>
      </c>
      <c r="CA105" s="1" t="s">
        <v>763</v>
      </c>
      <c r="CB105" s="1" t="s">
        <v>166</v>
      </c>
      <c r="CC105" s="1" t="s">
        <v>86</v>
      </c>
      <c r="CD105" s="1" t="s">
        <v>86</v>
      </c>
      <c r="CE105" s="1" t="s">
        <v>86</v>
      </c>
    </row>
    <row r="106">
      <c r="A106" s="1">
        <v>104</v>
      </c>
      <c r="B106" s="1" t="s">
        <v>395</v>
      </c>
      <c r="C106" s="2">
        <f>=HYPERLINK("https://i.stonehdfile.com/stoneimage?s=f785146e-9bdb-4400-b79c-9ef9f398510a","Image")</f>
      </c>
      <c r="D106" s="2">
        <f>=HYPERLINK("https://dna.stonehdfile.com/hd/viewhd.html?d=bc15b5fa-4cf7-49e8-9470-ad0a00d2fd49","View360")</f>
      </c>
      <c r="E106" s="2">
        <f>=HYPERLINK("https://i.stonehdfile.com/Certificate?s=f785146e-9bdb-4400-b79c-9ef9f398510a","GIA")</f>
      </c>
      <c r="F106" s="2">
        <f>=HYPERLINK("https://i.stonehdfile.com/DNAReport?s=f785146e-9bdb-4400-b79c-9ef9f398510a","DNA")</f>
      </c>
      <c r="G106" s="2">
        <f>=HYPERLINK("https://www.gia.edu/report-check?reportno=******4887","Verify")</f>
      </c>
      <c r="H106" s="1" t="s">
        <v>764</v>
      </c>
      <c r="I106" s="1" t="s">
        <v>46</v>
      </c>
      <c r="J106" s="1">
        <v>1.5</v>
      </c>
      <c r="K106" s="1">
        <v>3</v>
      </c>
      <c r="L106" s="1">
        <v>8800</v>
      </c>
      <c r="M106" s="1">
        <v>4667</v>
      </c>
      <c r="N106" s="1">
        <v>7000.5</v>
      </c>
      <c r="O106" s="1">
        <v>-46.97</v>
      </c>
      <c r="P106" s="1">
        <v>0</v>
      </c>
      <c r="Q106" s="1" t="s">
        <v>86</v>
      </c>
      <c r="R106" s="1">
        <v>0</v>
      </c>
      <c r="S106" s="1" t="s">
        <v>86</v>
      </c>
      <c r="T106" s="1" t="s">
        <v>86</v>
      </c>
      <c r="U106" s="1" t="s">
        <v>271</v>
      </c>
      <c r="V106" s="1" t="s">
        <v>86</v>
      </c>
      <c r="W106" s="1" t="s">
        <v>223</v>
      </c>
      <c r="X106" s="1" t="s">
        <v>86</v>
      </c>
      <c r="Y106" s="1" t="s">
        <v>89</v>
      </c>
      <c r="Z106" s="1" t="s">
        <v>89</v>
      </c>
      <c r="AA106" s="1" t="s">
        <v>119</v>
      </c>
      <c r="AB106" s="1" t="s">
        <v>86</v>
      </c>
      <c r="AC106" s="1" t="s">
        <v>765</v>
      </c>
      <c r="AD106" s="1">
        <v>68.8</v>
      </c>
      <c r="AE106" s="1">
        <v>60</v>
      </c>
      <c r="AF106" s="1" t="s">
        <v>91</v>
      </c>
      <c r="AG106" s="1">
        <v>3.7</v>
      </c>
      <c r="AH106" s="1">
        <v>35.5</v>
      </c>
      <c r="AI106" s="1" t="s">
        <v>86</v>
      </c>
      <c r="AJ106" s="1">
        <v>1.03</v>
      </c>
      <c r="AK106" s="1" t="s">
        <v>92</v>
      </c>
      <c r="AL106" s="1" t="s">
        <v>93</v>
      </c>
      <c r="AM106" s="1" t="s">
        <v>93</v>
      </c>
      <c r="AN106" s="1" t="s">
        <v>171</v>
      </c>
      <c r="AO106" s="1" t="s">
        <v>94</v>
      </c>
      <c r="AP106" s="1" t="s">
        <v>95</v>
      </c>
      <c r="AQ106" s="1">
        <v>14.2</v>
      </c>
      <c r="AR106" s="1">
        <v>50.8</v>
      </c>
      <c r="AS106" s="1">
        <v>38.4</v>
      </c>
      <c r="AT106" s="1" t="s">
        <v>96</v>
      </c>
      <c r="AU106" s="1" t="s">
        <v>86</v>
      </c>
      <c r="AV106" s="1" t="s">
        <v>86</v>
      </c>
      <c r="AW106" s="1" t="s">
        <v>86</v>
      </c>
      <c r="AX106" s="1" t="s">
        <v>86</v>
      </c>
      <c r="AY106" s="1" t="s">
        <v>86</v>
      </c>
      <c r="AZ106" s="1" t="s">
        <v>86</v>
      </c>
      <c r="BA106" s="1" t="s">
        <v>86</v>
      </c>
      <c r="BB106" s="1" t="s">
        <v>86</v>
      </c>
      <c r="BC106" s="1" t="s">
        <v>86</v>
      </c>
      <c r="BD106" s="1" t="s">
        <v>86</v>
      </c>
      <c r="BE106" s="1" t="s">
        <v>86</v>
      </c>
      <c r="BF106" s="1" t="s">
        <v>86</v>
      </c>
      <c r="BG106" s="1" t="s">
        <v>86</v>
      </c>
      <c r="BH106" s="1" t="s">
        <v>129</v>
      </c>
      <c r="BI106" s="1" t="s">
        <v>459</v>
      </c>
      <c r="BJ106" s="1" t="s">
        <v>87</v>
      </c>
      <c r="BK106" s="1">
        <v>0</v>
      </c>
      <c r="BL106" s="1">
        <v>0</v>
      </c>
      <c r="BM106" s="1" t="s">
        <v>398</v>
      </c>
      <c r="BN106" s="1" t="s">
        <v>766</v>
      </c>
      <c r="BO106" s="1" t="s">
        <v>767</v>
      </c>
      <c r="BP106" s="1" t="s">
        <v>86</v>
      </c>
      <c r="BQ106" s="1" t="s">
        <v>86</v>
      </c>
      <c r="BR106" s="1" t="s">
        <v>86</v>
      </c>
      <c r="BS106" s="1" t="s">
        <v>86</v>
      </c>
      <c r="BT106" s="1" t="s">
        <v>86</v>
      </c>
      <c r="BU106" s="1" t="s">
        <v>163</v>
      </c>
      <c r="BV106" s="1" t="s">
        <v>86</v>
      </c>
      <c r="BW106" s="1" t="s">
        <v>101</v>
      </c>
      <c r="BX106" s="1" t="s">
        <v>478</v>
      </c>
      <c r="BY106" s="1" t="s">
        <v>86</v>
      </c>
      <c r="BZ106" s="1" t="s">
        <v>768</v>
      </c>
      <c r="CA106" s="1" t="s">
        <v>769</v>
      </c>
      <c r="CB106" s="1" t="s">
        <v>166</v>
      </c>
      <c r="CC106" s="1" t="s">
        <v>86</v>
      </c>
      <c r="CD106" s="1" t="s">
        <v>86</v>
      </c>
      <c r="CE106" s="1" t="s">
        <v>86</v>
      </c>
    </row>
    <row r="107">
      <c r="A107" s="1">
        <v>105</v>
      </c>
      <c r="B107" s="1" t="s">
        <v>395</v>
      </c>
      <c r="C107" s="2">
        <f>=HYPERLINK("https://i.stonehdfile.com/stoneimage?s=c07dbdd4-e887-4762-8cca-e774f4669b69","Image")</f>
      </c>
      <c r="D107" s="2">
        <f>=HYPERLINK("https://dna.stonehdfile.com/hd/viewhd.html?d=210f8517-e740-42bf-89b8-ea5c84f75fb2","View360")</f>
      </c>
      <c r="E107" s="2">
        <f>=HYPERLINK("https://i.stonehdfile.com/Certificate?s=c07dbdd4-e887-4762-8cca-e774f4669b69","GIA")</f>
      </c>
      <c r="F107" s="2">
        <f>=HYPERLINK("https://i.stonehdfile.com/DNAReport?s=c07dbdd4-e887-4762-8cca-e774f4669b69","DNA")</f>
      </c>
      <c r="G107" s="2">
        <f>=HYPERLINK("https://www.gia.edu/report-check?reportno=******4408","Verify")</f>
      </c>
      <c r="H107" s="1" t="s">
        <v>770</v>
      </c>
      <c r="I107" s="1" t="s">
        <v>46</v>
      </c>
      <c r="J107" s="1">
        <v>1.5</v>
      </c>
      <c r="K107" s="1">
        <v>1</v>
      </c>
      <c r="L107" s="1">
        <v>8800</v>
      </c>
      <c r="M107" s="1">
        <v>4257</v>
      </c>
      <c r="N107" s="1">
        <v>6385.5</v>
      </c>
      <c r="O107" s="1">
        <v>-51.63</v>
      </c>
      <c r="P107" s="1">
        <v>0</v>
      </c>
      <c r="Q107" s="1" t="s">
        <v>86</v>
      </c>
      <c r="R107" s="1">
        <v>0</v>
      </c>
      <c r="S107" s="1" t="s">
        <v>86</v>
      </c>
      <c r="T107" s="1" t="s">
        <v>86</v>
      </c>
      <c r="U107" s="1" t="s">
        <v>375</v>
      </c>
      <c r="V107" s="1" t="s">
        <v>86</v>
      </c>
      <c r="W107" s="1" t="s">
        <v>223</v>
      </c>
      <c r="X107" s="1" t="s">
        <v>86</v>
      </c>
      <c r="Y107" s="1" t="s">
        <v>89</v>
      </c>
      <c r="Z107" s="1" t="s">
        <v>138</v>
      </c>
      <c r="AA107" s="1" t="s">
        <v>119</v>
      </c>
      <c r="AB107" s="1" t="s">
        <v>86</v>
      </c>
      <c r="AC107" s="1" t="s">
        <v>771</v>
      </c>
      <c r="AD107" s="1">
        <v>70.8</v>
      </c>
      <c r="AE107" s="1">
        <v>59</v>
      </c>
      <c r="AF107" s="1" t="s">
        <v>91</v>
      </c>
      <c r="AG107" s="1">
        <v>2.9</v>
      </c>
      <c r="AH107" s="1">
        <v>36.7</v>
      </c>
      <c r="AI107" s="1" t="s">
        <v>86</v>
      </c>
      <c r="AJ107" s="1">
        <v>1.18</v>
      </c>
      <c r="AK107" s="1" t="s">
        <v>190</v>
      </c>
      <c r="AL107" s="1" t="s">
        <v>128</v>
      </c>
      <c r="AM107" s="1" t="s">
        <v>140</v>
      </c>
      <c r="AN107" s="1" t="s">
        <v>171</v>
      </c>
      <c r="AO107" s="1" t="s">
        <v>94</v>
      </c>
      <c r="AP107" s="1" t="s">
        <v>95</v>
      </c>
      <c r="AQ107" s="1">
        <v>15.1</v>
      </c>
      <c r="AR107" s="1">
        <v>52.4</v>
      </c>
      <c r="AS107" s="1">
        <v>38.6</v>
      </c>
      <c r="AT107" s="1" t="s">
        <v>96</v>
      </c>
      <c r="AU107" s="1" t="s">
        <v>141</v>
      </c>
      <c r="AV107" s="1" t="s">
        <v>86</v>
      </c>
      <c r="AW107" s="1" t="s">
        <v>86</v>
      </c>
      <c r="AX107" s="1" t="s">
        <v>86</v>
      </c>
      <c r="AY107" s="1" t="s">
        <v>86</v>
      </c>
      <c r="AZ107" s="1" t="s">
        <v>86</v>
      </c>
      <c r="BA107" s="1" t="s">
        <v>86</v>
      </c>
      <c r="BB107" s="1" t="s">
        <v>86</v>
      </c>
      <c r="BC107" s="1" t="s">
        <v>86</v>
      </c>
      <c r="BD107" s="1" t="s">
        <v>86</v>
      </c>
      <c r="BE107" s="1" t="s">
        <v>86</v>
      </c>
      <c r="BF107" s="1" t="s">
        <v>86</v>
      </c>
      <c r="BG107" s="1" t="s">
        <v>86</v>
      </c>
      <c r="BH107" s="1" t="s">
        <v>97</v>
      </c>
      <c r="BI107" s="1" t="s">
        <v>387</v>
      </c>
      <c r="BJ107" s="1" t="s">
        <v>87</v>
      </c>
      <c r="BK107" s="1">
        <v>0</v>
      </c>
      <c r="BL107" s="1">
        <v>0</v>
      </c>
      <c r="BM107" s="1" t="s">
        <v>398</v>
      </c>
      <c r="BN107" s="1" t="s">
        <v>772</v>
      </c>
      <c r="BO107" s="1" t="s">
        <v>630</v>
      </c>
      <c r="BP107" s="1" t="s">
        <v>86</v>
      </c>
      <c r="BQ107" s="1" t="s">
        <v>86</v>
      </c>
      <c r="BR107" s="1" t="s">
        <v>86</v>
      </c>
      <c r="BS107" s="1" t="s">
        <v>86</v>
      </c>
      <c r="BT107" s="1" t="s">
        <v>86</v>
      </c>
      <c r="BU107" s="1" t="s">
        <v>163</v>
      </c>
      <c r="BV107" s="1" t="s">
        <v>86</v>
      </c>
      <c r="BW107" s="1" t="s">
        <v>101</v>
      </c>
      <c r="BX107" s="1" t="s">
        <v>478</v>
      </c>
      <c r="BY107" s="1" t="s">
        <v>86</v>
      </c>
      <c r="BZ107" s="1" t="s">
        <v>773</v>
      </c>
      <c r="CA107" s="1" t="s">
        <v>220</v>
      </c>
      <c r="CB107" s="1" t="s">
        <v>221</v>
      </c>
      <c r="CC107" s="1" t="s">
        <v>86</v>
      </c>
      <c r="CD107" s="1" t="s">
        <v>86</v>
      </c>
      <c r="CE107" s="1" t="s">
        <v>86</v>
      </c>
    </row>
    <row r="108">
      <c r="A108" s="1">
        <v>106</v>
      </c>
      <c r="B108" s="1" t="s">
        <v>395</v>
      </c>
      <c r="C108" s="2">
        <f>=HYPERLINK("https://i.stonehdfile.com/stoneimage?s=bcf9f08d-e6c6-4f8a-a7cc-752d95463154","Image")</f>
      </c>
      <c r="D108" s="2">
        <f>=HYPERLINK("https://dna.stonehdfile.com/hd/viewhd.html?d=6e348ff1-2a87-486e-9db4-7432a42ed9e4","View360")</f>
      </c>
      <c r="E108" s="2">
        <f>=HYPERLINK("https://i.stonehdfile.com/Certificate?s=bcf9f08d-e6c6-4f8a-a7cc-752d95463154","GIA")</f>
      </c>
      <c r="F108" s="2">
        <f>=HYPERLINK("https://i.stonehdfile.com/DNAReport?s=bcf9f08d-e6c6-4f8a-a7cc-752d95463154","DNA")</f>
      </c>
      <c r="G108" s="2">
        <f>=HYPERLINK("https://www.gia.edu/report-check?reportno=******9207","Verify")</f>
      </c>
      <c r="H108" s="1" t="s">
        <v>774</v>
      </c>
      <c r="I108" s="1" t="s">
        <v>46</v>
      </c>
      <c r="J108" s="1">
        <v>1.52</v>
      </c>
      <c r="K108" s="1">
        <v>3</v>
      </c>
      <c r="L108" s="1">
        <v>8800</v>
      </c>
      <c r="M108" s="1">
        <v>3834</v>
      </c>
      <c r="N108" s="1">
        <v>5827.68</v>
      </c>
      <c r="O108" s="1">
        <v>-56.43</v>
      </c>
      <c r="P108" s="1">
        <v>0</v>
      </c>
      <c r="Q108" s="1" t="s">
        <v>86</v>
      </c>
      <c r="R108" s="1">
        <v>0</v>
      </c>
      <c r="S108" s="1" t="s">
        <v>86</v>
      </c>
      <c r="T108" s="1" t="s">
        <v>86</v>
      </c>
      <c r="U108" s="1" t="s">
        <v>271</v>
      </c>
      <c r="V108" s="1" t="s">
        <v>86</v>
      </c>
      <c r="W108" s="1" t="s">
        <v>223</v>
      </c>
      <c r="X108" s="1" t="s">
        <v>86</v>
      </c>
      <c r="Y108" s="1" t="s">
        <v>89</v>
      </c>
      <c r="Z108" s="1" t="s">
        <v>89</v>
      </c>
      <c r="AA108" s="1" t="s">
        <v>119</v>
      </c>
      <c r="AB108" s="1" t="s">
        <v>86</v>
      </c>
      <c r="AC108" s="1" t="s">
        <v>775</v>
      </c>
      <c r="AD108" s="1">
        <v>69.2</v>
      </c>
      <c r="AE108" s="1">
        <v>60</v>
      </c>
      <c r="AF108" s="1" t="s">
        <v>91</v>
      </c>
      <c r="AG108" s="1">
        <v>3.4</v>
      </c>
      <c r="AH108" s="1">
        <v>35.6</v>
      </c>
      <c r="AI108" s="1" t="s">
        <v>86</v>
      </c>
      <c r="AJ108" s="1">
        <v>1.07</v>
      </c>
      <c r="AK108" s="1" t="s">
        <v>111</v>
      </c>
      <c r="AL108" s="1" t="s">
        <v>140</v>
      </c>
      <c r="AM108" s="1" t="s">
        <v>128</v>
      </c>
      <c r="AN108" s="1" t="s">
        <v>171</v>
      </c>
      <c r="AO108" s="1" t="s">
        <v>94</v>
      </c>
      <c r="AP108" s="1" t="s">
        <v>95</v>
      </c>
      <c r="AQ108" s="1">
        <v>14.3</v>
      </c>
      <c r="AR108" s="1">
        <v>51.3</v>
      </c>
      <c r="AS108" s="1">
        <v>38.3</v>
      </c>
      <c r="AT108" s="1" t="s">
        <v>96</v>
      </c>
      <c r="AU108" s="1" t="s">
        <v>86</v>
      </c>
      <c r="AV108" s="1" t="s">
        <v>86</v>
      </c>
      <c r="AW108" s="1" t="s">
        <v>86</v>
      </c>
      <c r="AX108" s="1" t="s">
        <v>86</v>
      </c>
      <c r="AY108" s="1" t="s">
        <v>86</v>
      </c>
      <c r="AZ108" s="1" t="s">
        <v>86</v>
      </c>
      <c r="BA108" s="1" t="s">
        <v>86</v>
      </c>
      <c r="BB108" s="1" t="s">
        <v>86</v>
      </c>
      <c r="BC108" s="1" t="s">
        <v>86</v>
      </c>
      <c r="BD108" s="1" t="s">
        <v>86</v>
      </c>
      <c r="BE108" s="1" t="s">
        <v>86</v>
      </c>
      <c r="BF108" s="1" t="s">
        <v>86</v>
      </c>
      <c r="BG108" s="1" t="s">
        <v>86</v>
      </c>
      <c r="BH108" s="1" t="s">
        <v>97</v>
      </c>
      <c r="BI108" s="1" t="s">
        <v>191</v>
      </c>
      <c r="BJ108" s="1" t="s">
        <v>87</v>
      </c>
      <c r="BK108" s="1">
        <v>0</v>
      </c>
      <c r="BL108" s="1">
        <v>0</v>
      </c>
      <c r="BM108" s="1" t="s">
        <v>398</v>
      </c>
      <c r="BN108" s="1" t="s">
        <v>776</v>
      </c>
      <c r="BO108" s="1" t="s">
        <v>324</v>
      </c>
      <c r="BP108" s="1" t="s">
        <v>86</v>
      </c>
      <c r="BQ108" s="1" t="s">
        <v>86</v>
      </c>
      <c r="BR108" s="1" t="s">
        <v>86</v>
      </c>
      <c r="BS108" s="1" t="s">
        <v>86</v>
      </c>
      <c r="BT108" s="1" t="s">
        <v>86</v>
      </c>
      <c r="BU108" s="1" t="s">
        <v>163</v>
      </c>
      <c r="BV108" s="1" t="s">
        <v>86</v>
      </c>
      <c r="BW108" s="1" t="s">
        <v>101</v>
      </c>
      <c r="BX108" s="1" t="s">
        <v>545</v>
      </c>
      <c r="BY108" s="1" t="s">
        <v>86</v>
      </c>
      <c r="BZ108" s="1" t="s">
        <v>777</v>
      </c>
      <c r="CA108" s="1" t="s">
        <v>229</v>
      </c>
      <c r="CB108" s="1" t="s">
        <v>166</v>
      </c>
      <c r="CC108" s="1" t="s">
        <v>86</v>
      </c>
      <c r="CD108" s="1" t="s">
        <v>86</v>
      </c>
      <c r="CE108" s="1" t="s">
        <v>86</v>
      </c>
    </row>
    <row r="109">
      <c r="A109" s="1">
        <v>107</v>
      </c>
      <c r="B109" s="1" t="s">
        <v>395</v>
      </c>
      <c r="C109" s="2">
        <f>=HYPERLINK("https://i.stonehdfile.com/stoneimage?s=ec70b5cd-3ba3-4eda-9486-330e560b7d72","Image")</f>
      </c>
      <c r="D109" s="2">
        <f>=HYPERLINK("https://dna.stonehdfile.com/hd/viewhd.html?d=a4d186c3-d8de-4c7a-ab39-47f7965d438d","View360")</f>
      </c>
      <c r="E109" s="2">
        <f>=HYPERLINK("https://i.stonehdfile.com/Certificate?s=ec70b5cd-3ba3-4eda-9486-330e560b7d72","GIA")</f>
      </c>
      <c r="F109" s="2">
        <f>=HYPERLINK("https://i.stonehdfile.com/DNAReport?s=ec70b5cd-3ba3-4eda-9486-330e560b7d72","DNA")</f>
      </c>
      <c r="G109" s="2">
        <f>=HYPERLINK("https://www.gia.edu/report-check?reportno=******1209","Verify")</f>
      </c>
      <c r="H109" s="1" t="s">
        <v>778</v>
      </c>
      <c r="I109" s="1" t="s">
        <v>46</v>
      </c>
      <c r="J109" s="1">
        <v>1.57</v>
      </c>
      <c r="K109" s="1">
        <v>2</v>
      </c>
      <c r="L109" s="1">
        <v>8800</v>
      </c>
      <c r="M109" s="1">
        <v>4520</v>
      </c>
      <c r="N109" s="1">
        <v>7096.4</v>
      </c>
      <c r="O109" s="1">
        <v>-48.64</v>
      </c>
      <c r="P109" s="1">
        <v>0</v>
      </c>
      <c r="Q109" s="1" t="s">
        <v>86</v>
      </c>
      <c r="R109" s="1">
        <v>0</v>
      </c>
      <c r="S109" s="1" t="s">
        <v>86</v>
      </c>
      <c r="T109" s="1" t="s">
        <v>86</v>
      </c>
      <c r="U109" s="1" t="s">
        <v>271</v>
      </c>
      <c r="V109" s="1" t="s">
        <v>86</v>
      </c>
      <c r="W109" s="1" t="s">
        <v>223</v>
      </c>
      <c r="X109" s="1" t="s">
        <v>86</v>
      </c>
      <c r="Y109" s="1" t="s">
        <v>89</v>
      </c>
      <c r="Z109" s="1" t="s">
        <v>89</v>
      </c>
      <c r="AA109" s="1" t="s">
        <v>119</v>
      </c>
      <c r="AB109" s="1" t="s">
        <v>86</v>
      </c>
      <c r="AC109" s="1" t="s">
        <v>779</v>
      </c>
      <c r="AD109" s="1">
        <v>67.9</v>
      </c>
      <c r="AE109" s="1">
        <v>60</v>
      </c>
      <c r="AF109" s="1" t="s">
        <v>91</v>
      </c>
      <c r="AG109" s="1">
        <v>2.7</v>
      </c>
      <c r="AH109" s="1">
        <v>36</v>
      </c>
      <c r="AI109" s="1" t="s">
        <v>86</v>
      </c>
      <c r="AJ109" s="1">
        <v>1.08</v>
      </c>
      <c r="AK109" s="1" t="s">
        <v>111</v>
      </c>
      <c r="AL109" s="1" t="s">
        <v>140</v>
      </c>
      <c r="AM109" s="1" t="s">
        <v>140</v>
      </c>
      <c r="AN109" s="1" t="s">
        <v>307</v>
      </c>
      <c r="AO109" s="1" t="s">
        <v>94</v>
      </c>
      <c r="AP109" s="1" t="s">
        <v>95</v>
      </c>
      <c r="AQ109" s="1">
        <v>14.6</v>
      </c>
      <c r="AR109" s="1">
        <v>50.3</v>
      </c>
      <c r="AS109" s="1">
        <v>38.3</v>
      </c>
      <c r="AT109" s="1" t="s">
        <v>96</v>
      </c>
      <c r="AU109" s="1" t="s">
        <v>86</v>
      </c>
      <c r="AV109" s="1" t="s">
        <v>86</v>
      </c>
      <c r="AW109" s="1" t="s">
        <v>86</v>
      </c>
      <c r="AX109" s="1" t="s">
        <v>86</v>
      </c>
      <c r="AY109" s="1" t="s">
        <v>86</v>
      </c>
      <c r="AZ109" s="1" t="s">
        <v>86</v>
      </c>
      <c r="BA109" s="1" t="s">
        <v>86</v>
      </c>
      <c r="BB109" s="1" t="s">
        <v>86</v>
      </c>
      <c r="BC109" s="1" t="s">
        <v>86</v>
      </c>
      <c r="BD109" s="1" t="s">
        <v>86</v>
      </c>
      <c r="BE109" s="1" t="s">
        <v>86</v>
      </c>
      <c r="BF109" s="1" t="s">
        <v>86</v>
      </c>
      <c r="BG109" s="1" t="s">
        <v>86</v>
      </c>
      <c r="BH109" s="1" t="s">
        <v>182</v>
      </c>
      <c r="BI109" s="1" t="s">
        <v>430</v>
      </c>
      <c r="BJ109" s="1" t="s">
        <v>87</v>
      </c>
      <c r="BK109" s="1">
        <v>0</v>
      </c>
      <c r="BL109" s="1">
        <v>0</v>
      </c>
      <c r="BM109" s="1" t="s">
        <v>398</v>
      </c>
      <c r="BN109" s="1" t="s">
        <v>780</v>
      </c>
      <c r="BO109" s="1" t="s">
        <v>604</v>
      </c>
      <c r="BP109" s="1" t="s">
        <v>86</v>
      </c>
      <c r="BQ109" s="1" t="s">
        <v>86</v>
      </c>
      <c r="BR109" s="1" t="s">
        <v>86</v>
      </c>
      <c r="BS109" s="1" t="s">
        <v>86</v>
      </c>
      <c r="BT109" s="1" t="s">
        <v>86</v>
      </c>
      <c r="BU109" s="1" t="s">
        <v>163</v>
      </c>
      <c r="BV109" s="1" t="s">
        <v>86</v>
      </c>
      <c r="BW109" s="1" t="s">
        <v>101</v>
      </c>
      <c r="BX109" s="1" t="s">
        <v>478</v>
      </c>
      <c r="BY109" s="1" t="s">
        <v>86</v>
      </c>
      <c r="BZ109" s="1" t="s">
        <v>781</v>
      </c>
      <c r="CA109" s="1" t="s">
        <v>229</v>
      </c>
      <c r="CB109" s="1" t="s">
        <v>166</v>
      </c>
      <c r="CC109" s="1" t="s">
        <v>86</v>
      </c>
      <c r="CD109" s="1" t="s">
        <v>86</v>
      </c>
      <c r="CE109" s="1" t="s">
        <v>86</v>
      </c>
    </row>
    <row r="110">
      <c r="A110" s="1">
        <v>108</v>
      </c>
      <c r="B110" s="1" t="s">
        <v>395</v>
      </c>
      <c r="C110" s="2">
        <f>=HYPERLINK("https://i.stonehdfile.com/stoneimage?s=3c7bc781-7738-4ff0-b6c1-b1666d5e488e","Image")</f>
      </c>
      <c r="D110" s="2">
        <f>=HYPERLINK("https://dna.stonehdfile.com/hd/viewhd.html?d=e3fee1a3-d21f-4336-9b85-881a05d86cff","View360")</f>
      </c>
      <c r="E110" s="2">
        <f>=HYPERLINK("https://i.stonehdfile.com/Certificate?s=3c7bc781-7738-4ff0-b6c1-b1666d5e488e","GIA")</f>
      </c>
      <c r="F110" s="2">
        <f>=HYPERLINK("https://i.stonehdfile.com/DNAReport?s=3c7bc781-7738-4ff0-b6c1-b1666d5e488e","DNA")</f>
      </c>
      <c r="G110" s="2">
        <f>=HYPERLINK("https://www.gia.edu/report-check?reportno=******9079","Verify")</f>
      </c>
      <c r="H110" s="1" t="s">
        <v>782</v>
      </c>
      <c r="I110" s="1" t="s">
        <v>46</v>
      </c>
      <c r="J110" s="1">
        <v>1.5</v>
      </c>
      <c r="K110" s="1">
        <v>2</v>
      </c>
      <c r="L110" s="1">
        <v>8000</v>
      </c>
      <c r="M110" s="1">
        <v>3458</v>
      </c>
      <c r="N110" s="1">
        <v>5187</v>
      </c>
      <c r="O110" s="1">
        <v>-56.78</v>
      </c>
      <c r="P110" s="1">
        <v>0</v>
      </c>
      <c r="Q110" s="1" t="s">
        <v>86</v>
      </c>
      <c r="R110" s="1">
        <v>0</v>
      </c>
      <c r="S110" s="1" t="s">
        <v>86</v>
      </c>
      <c r="T110" s="1" t="s">
        <v>86</v>
      </c>
      <c r="U110" s="1" t="s">
        <v>271</v>
      </c>
      <c r="V110" s="1" t="s">
        <v>86</v>
      </c>
      <c r="W110" s="1" t="s">
        <v>137</v>
      </c>
      <c r="X110" s="1" t="s">
        <v>86</v>
      </c>
      <c r="Y110" s="1" t="s">
        <v>89</v>
      </c>
      <c r="Z110" s="1" t="s">
        <v>89</v>
      </c>
      <c r="AA110" s="1" t="s">
        <v>119</v>
      </c>
      <c r="AB110" s="1" t="s">
        <v>86</v>
      </c>
      <c r="AC110" s="1" t="s">
        <v>783</v>
      </c>
      <c r="AD110" s="1">
        <v>69</v>
      </c>
      <c r="AE110" s="1">
        <v>62</v>
      </c>
      <c r="AF110" s="1" t="s">
        <v>91</v>
      </c>
      <c r="AG110" s="1">
        <v>2.8</v>
      </c>
      <c r="AH110" s="1">
        <v>35.7</v>
      </c>
      <c r="AI110" s="1" t="s">
        <v>86</v>
      </c>
      <c r="AJ110" s="1">
        <v>1.06</v>
      </c>
      <c r="AK110" s="1" t="s">
        <v>111</v>
      </c>
      <c r="AL110" s="1" t="s">
        <v>140</v>
      </c>
      <c r="AM110" s="1" t="s">
        <v>140</v>
      </c>
      <c r="AN110" s="1" t="s">
        <v>171</v>
      </c>
      <c r="AO110" s="1" t="s">
        <v>94</v>
      </c>
      <c r="AP110" s="1" t="s">
        <v>95</v>
      </c>
      <c r="AQ110" s="1">
        <v>13.6</v>
      </c>
      <c r="AR110" s="1">
        <v>52.1</v>
      </c>
      <c r="AS110" s="1">
        <v>38.9</v>
      </c>
      <c r="AT110" s="1" t="s">
        <v>96</v>
      </c>
      <c r="AU110" s="1" t="s">
        <v>141</v>
      </c>
      <c r="AV110" s="1" t="s">
        <v>86</v>
      </c>
      <c r="AW110" s="1" t="s">
        <v>86</v>
      </c>
      <c r="AX110" s="1" t="s">
        <v>86</v>
      </c>
      <c r="AY110" s="1" t="s">
        <v>86</v>
      </c>
      <c r="AZ110" s="1" t="s">
        <v>86</v>
      </c>
      <c r="BA110" s="1" t="s">
        <v>86</v>
      </c>
      <c r="BB110" s="1" t="s">
        <v>86</v>
      </c>
      <c r="BC110" s="1" t="s">
        <v>112</v>
      </c>
      <c r="BD110" s="1" t="s">
        <v>86</v>
      </c>
      <c r="BE110" s="1" t="s">
        <v>86</v>
      </c>
      <c r="BF110" s="1" t="s">
        <v>86</v>
      </c>
      <c r="BG110" s="1" t="s">
        <v>86</v>
      </c>
      <c r="BH110" s="1" t="s">
        <v>97</v>
      </c>
      <c r="BI110" s="1" t="s">
        <v>322</v>
      </c>
      <c r="BJ110" s="1" t="s">
        <v>87</v>
      </c>
      <c r="BK110" s="1">
        <v>0</v>
      </c>
      <c r="BL110" s="1">
        <v>0</v>
      </c>
      <c r="BM110" s="1" t="s">
        <v>86</v>
      </c>
      <c r="BN110" s="1" t="s">
        <v>784</v>
      </c>
      <c r="BO110" s="1" t="s">
        <v>675</v>
      </c>
      <c r="BP110" s="1" t="s">
        <v>86</v>
      </c>
      <c r="BQ110" s="1" t="s">
        <v>86</v>
      </c>
      <c r="BR110" s="1" t="s">
        <v>86</v>
      </c>
      <c r="BS110" s="1" t="s">
        <v>86</v>
      </c>
      <c r="BT110" s="1" t="s">
        <v>86</v>
      </c>
      <c r="BU110" s="1" t="s">
        <v>163</v>
      </c>
      <c r="BV110" s="1" t="s">
        <v>86</v>
      </c>
      <c r="BW110" s="1" t="s">
        <v>101</v>
      </c>
      <c r="BX110" s="1" t="s">
        <v>565</v>
      </c>
      <c r="BY110" s="1" t="s">
        <v>86</v>
      </c>
      <c r="BZ110" s="1" t="s">
        <v>785</v>
      </c>
      <c r="CA110" s="1" t="s">
        <v>786</v>
      </c>
      <c r="CB110" s="1" t="s">
        <v>166</v>
      </c>
      <c r="CC110" s="1" t="s">
        <v>86</v>
      </c>
      <c r="CD110" s="1" t="s">
        <v>86</v>
      </c>
      <c r="CE110" s="1" t="s">
        <v>86</v>
      </c>
    </row>
    <row r="111">
      <c r="A111" s="1">
        <v>109</v>
      </c>
      <c r="B111" s="1" t="s">
        <v>395</v>
      </c>
      <c r="C111" s="2">
        <f>=HYPERLINK("https://i.stonehdfile.com/stoneimage?s=ecc1f4fe-4973-4860-a986-078c6a925ef3","Image")</f>
      </c>
      <c r="D111" s="2">
        <f>=HYPERLINK("https://dna.stonehdfile.com/hd/viewhd.html?d=cc22ece2-7905-4501-8d5e-2560e7888a96","View360")</f>
      </c>
      <c r="E111" s="2">
        <f>=HYPERLINK("https://i.stonehdfile.com/Certificate?s=ecc1f4fe-4973-4860-a986-078c6a925ef3","GIA")</f>
      </c>
      <c r="F111" s="2">
        <f>=HYPERLINK("https://i.stonehdfile.com/DNAReport?s=ecc1f4fe-4973-4860-a986-078c6a925ef3","DNA")</f>
      </c>
      <c r="G111" s="2">
        <f>=HYPERLINK("https://www.gia.edu/report-check?reportno=******8388","Verify")</f>
      </c>
      <c r="H111" s="1" t="s">
        <v>787</v>
      </c>
      <c r="I111" s="1" t="s">
        <v>46</v>
      </c>
      <c r="J111" s="1">
        <v>1.5</v>
      </c>
      <c r="K111" s="1">
        <v>1</v>
      </c>
      <c r="L111" s="1">
        <v>8000</v>
      </c>
      <c r="M111" s="1">
        <v>2960</v>
      </c>
      <c r="N111" s="1">
        <v>4440</v>
      </c>
      <c r="O111" s="1">
        <v>-63</v>
      </c>
      <c r="P111" s="1">
        <v>0</v>
      </c>
      <c r="Q111" s="1" t="s">
        <v>86</v>
      </c>
      <c r="R111" s="1">
        <v>0</v>
      </c>
      <c r="S111" s="1" t="s">
        <v>86</v>
      </c>
      <c r="T111" s="1" t="s">
        <v>86</v>
      </c>
      <c r="U111" s="1" t="s">
        <v>271</v>
      </c>
      <c r="V111" s="1" t="s">
        <v>86</v>
      </c>
      <c r="W111" s="1" t="s">
        <v>137</v>
      </c>
      <c r="X111" s="1" t="s">
        <v>86</v>
      </c>
      <c r="Y111" s="1" t="s">
        <v>89</v>
      </c>
      <c r="Z111" s="1" t="s">
        <v>138</v>
      </c>
      <c r="AA111" s="1" t="s">
        <v>119</v>
      </c>
      <c r="AB111" s="1" t="s">
        <v>86</v>
      </c>
      <c r="AC111" s="1" t="s">
        <v>788</v>
      </c>
      <c r="AD111" s="1">
        <v>70.2</v>
      </c>
      <c r="AE111" s="1">
        <v>59</v>
      </c>
      <c r="AF111" s="1" t="s">
        <v>91</v>
      </c>
      <c r="AG111" s="1">
        <v>2.7</v>
      </c>
      <c r="AH111" s="1">
        <v>36.9</v>
      </c>
      <c r="AI111" s="1" t="s">
        <v>86</v>
      </c>
      <c r="AJ111" s="1">
        <v>1.03</v>
      </c>
      <c r="AK111" s="1" t="s">
        <v>111</v>
      </c>
      <c r="AL111" s="1" t="s">
        <v>93</v>
      </c>
      <c r="AM111" s="1" t="s">
        <v>128</v>
      </c>
      <c r="AN111" s="1" t="s">
        <v>171</v>
      </c>
      <c r="AO111" s="1" t="s">
        <v>94</v>
      </c>
      <c r="AP111" s="1" t="s">
        <v>95</v>
      </c>
      <c r="AQ111" s="1">
        <v>15.4</v>
      </c>
      <c r="AR111" s="1">
        <v>51.3</v>
      </c>
      <c r="AS111" s="1">
        <v>38.2</v>
      </c>
      <c r="AT111" s="1" t="s">
        <v>96</v>
      </c>
      <c r="AU111" s="1" t="s">
        <v>86</v>
      </c>
      <c r="AV111" s="1" t="s">
        <v>86</v>
      </c>
      <c r="AW111" s="1" t="s">
        <v>86</v>
      </c>
      <c r="AX111" s="1" t="s">
        <v>86</v>
      </c>
      <c r="AY111" s="1" t="s">
        <v>86</v>
      </c>
      <c r="AZ111" s="1" t="s">
        <v>86</v>
      </c>
      <c r="BA111" s="1" t="s">
        <v>86</v>
      </c>
      <c r="BB111" s="1" t="s">
        <v>86</v>
      </c>
      <c r="BC111" s="1" t="s">
        <v>86</v>
      </c>
      <c r="BD111" s="1" t="s">
        <v>86</v>
      </c>
      <c r="BE111" s="1" t="s">
        <v>86</v>
      </c>
      <c r="BF111" s="1" t="s">
        <v>86</v>
      </c>
      <c r="BG111" s="1" t="s">
        <v>86</v>
      </c>
      <c r="BH111" s="1" t="s">
        <v>448</v>
      </c>
      <c r="BI111" s="1" t="s">
        <v>430</v>
      </c>
      <c r="BJ111" s="1" t="s">
        <v>87</v>
      </c>
      <c r="BK111" s="1">
        <v>0</v>
      </c>
      <c r="BL111" s="1">
        <v>0</v>
      </c>
      <c r="BM111" s="1" t="s">
        <v>398</v>
      </c>
      <c r="BN111" s="1" t="s">
        <v>789</v>
      </c>
      <c r="BO111" s="1" t="s">
        <v>210</v>
      </c>
      <c r="BP111" s="1" t="s">
        <v>86</v>
      </c>
      <c r="BQ111" s="1" t="s">
        <v>86</v>
      </c>
      <c r="BR111" s="1" t="s">
        <v>86</v>
      </c>
      <c r="BS111" s="1" t="s">
        <v>86</v>
      </c>
      <c r="BT111" s="1" t="s">
        <v>86</v>
      </c>
      <c r="BU111" s="1" t="s">
        <v>163</v>
      </c>
      <c r="BV111" s="1" t="s">
        <v>86</v>
      </c>
      <c r="BW111" s="1" t="s">
        <v>101</v>
      </c>
      <c r="BX111" s="1" t="s">
        <v>545</v>
      </c>
      <c r="BY111" s="1" t="s">
        <v>86</v>
      </c>
      <c r="BZ111" s="1" t="s">
        <v>790</v>
      </c>
      <c r="CA111" s="1" t="s">
        <v>178</v>
      </c>
      <c r="CB111" s="1" t="s">
        <v>166</v>
      </c>
      <c r="CC111" s="1" t="s">
        <v>86</v>
      </c>
      <c r="CD111" s="1" t="s">
        <v>86</v>
      </c>
      <c r="CE111" s="1" t="s">
        <v>86</v>
      </c>
    </row>
    <row r="112">
      <c r="A112" s="1">
        <v>110</v>
      </c>
      <c r="B112" s="1" t="s">
        <v>395</v>
      </c>
      <c r="C112" s="2">
        <f>=HYPERLINK("https://i.stonehdfile.com/stoneimage?s=98c2fa05-1681-4ade-ab26-27407d2a8281","Image")</f>
      </c>
      <c r="D112" s="2">
        <f>=HYPERLINK("https://dna.stonehdfile.com/hd/viewhd.html?d=9988055c-2b8d-4647-8dde-c56681851e8a","View360")</f>
      </c>
      <c r="E112" s="2">
        <f>=HYPERLINK("https://i.stonehdfile.com/Certificate?s=98c2fa05-1681-4ade-ab26-27407d2a8281","GIA")</f>
      </c>
      <c r="F112" s="2">
        <f>=HYPERLINK("https://i.stonehdfile.com/DNAReport?s=98c2fa05-1681-4ade-ab26-27407d2a8281","DNA")</f>
      </c>
      <c r="G112" s="2">
        <f>=HYPERLINK("https://www.gia.edu/report-check?reportno=******5863","Verify")</f>
      </c>
      <c r="H112" s="1" t="s">
        <v>791</v>
      </c>
      <c r="I112" s="1" t="s">
        <v>46</v>
      </c>
      <c r="J112" s="1">
        <v>1.51</v>
      </c>
      <c r="K112" s="1">
        <v>3</v>
      </c>
      <c r="L112" s="1">
        <v>8000</v>
      </c>
      <c r="M112" s="1">
        <v>3236</v>
      </c>
      <c r="N112" s="1">
        <v>4886.36</v>
      </c>
      <c r="O112" s="1">
        <v>-59.55</v>
      </c>
      <c r="P112" s="1">
        <v>0</v>
      </c>
      <c r="Q112" s="1" t="s">
        <v>86</v>
      </c>
      <c r="R112" s="1">
        <v>0</v>
      </c>
      <c r="S112" s="1" t="s">
        <v>86</v>
      </c>
      <c r="T112" s="1" t="s">
        <v>86</v>
      </c>
      <c r="U112" s="1" t="s">
        <v>375</v>
      </c>
      <c r="V112" s="1" t="s">
        <v>86</v>
      </c>
      <c r="W112" s="1" t="s">
        <v>137</v>
      </c>
      <c r="X112" s="1" t="s">
        <v>86</v>
      </c>
      <c r="Y112" s="1" t="s">
        <v>89</v>
      </c>
      <c r="Z112" s="1" t="s">
        <v>89</v>
      </c>
      <c r="AA112" s="1" t="s">
        <v>119</v>
      </c>
      <c r="AB112" s="1" t="s">
        <v>86</v>
      </c>
      <c r="AC112" s="1" t="s">
        <v>792</v>
      </c>
      <c r="AD112" s="1">
        <v>67.3</v>
      </c>
      <c r="AE112" s="1">
        <v>61</v>
      </c>
      <c r="AF112" s="1" t="s">
        <v>91</v>
      </c>
      <c r="AG112" s="1">
        <v>2.5</v>
      </c>
      <c r="AH112" s="1">
        <v>35.5</v>
      </c>
      <c r="AI112" s="1" t="s">
        <v>86</v>
      </c>
      <c r="AJ112" s="1">
        <v>1.1</v>
      </c>
      <c r="AK112" s="1" t="s">
        <v>198</v>
      </c>
      <c r="AL112" s="1" t="s">
        <v>93</v>
      </c>
      <c r="AM112" s="1" t="s">
        <v>151</v>
      </c>
      <c r="AN112" s="1" t="s">
        <v>171</v>
      </c>
      <c r="AO112" s="1" t="s">
        <v>94</v>
      </c>
      <c r="AP112" s="1" t="s">
        <v>95</v>
      </c>
      <c r="AQ112" s="1">
        <v>14</v>
      </c>
      <c r="AR112" s="1">
        <v>50.5</v>
      </c>
      <c r="AS112" s="1">
        <v>38.1</v>
      </c>
      <c r="AT112" s="1" t="s">
        <v>96</v>
      </c>
      <c r="AU112" s="1" t="s">
        <v>86</v>
      </c>
      <c r="AV112" s="1" t="s">
        <v>86</v>
      </c>
      <c r="AW112" s="1" t="s">
        <v>86</v>
      </c>
      <c r="AX112" s="1" t="s">
        <v>86</v>
      </c>
      <c r="AY112" s="1" t="s">
        <v>86</v>
      </c>
      <c r="AZ112" s="1" t="s">
        <v>86</v>
      </c>
      <c r="BA112" s="1" t="s">
        <v>86</v>
      </c>
      <c r="BB112" s="1" t="s">
        <v>86</v>
      </c>
      <c r="BC112" s="1" t="s">
        <v>86</v>
      </c>
      <c r="BD112" s="1" t="s">
        <v>86</v>
      </c>
      <c r="BE112" s="1" t="s">
        <v>86</v>
      </c>
      <c r="BF112" s="1" t="s">
        <v>86</v>
      </c>
      <c r="BG112" s="1" t="s">
        <v>86</v>
      </c>
      <c r="BH112" s="1" t="s">
        <v>657</v>
      </c>
      <c r="BI112" s="1" t="s">
        <v>328</v>
      </c>
      <c r="BJ112" s="1" t="s">
        <v>87</v>
      </c>
      <c r="BK112" s="1">
        <v>0</v>
      </c>
      <c r="BL112" s="1">
        <v>0</v>
      </c>
      <c r="BM112" s="1" t="s">
        <v>86</v>
      </c>
      <c r="BN112" s="1" t="s">
        <v>793</v>
      </c>
      <c r="BO112" s="1" t="s">
        <v>469</v>
      </c>
      <c r="BP112" s="1" t="s">
        <v>86</v>
      </c>
      <c r="BQ112" s="1" t="s">
        <v>86</v>
      </c>
      <c r="BR112" s="1" t="s">
        <v>86</v>
      </c>
      <c r="BS112" s="1" t="s">
        <v>692</v>
      </c>
      <c r="BT112" s="1" t="s">
        <v>86</v>
      </c>
      <c r="BU112" s="1" t="s">
        <v>163</v>
      </c>
      <c r="BV112" s="1" t="s">
        <v>86</v>
      </c>
      <c r="BW112" s="1" t="s">
        <v>101</v>
      </c>
      <c r="BX112" s="1" t="s">
        <v>439</v>
      </c>
      <c r="BY112" s="1" t="s">
        <v>794</v>
      </c>
      <c r="BZ112" s="1" t="s">
        <v>795</v>
      </c>
      <c r="CA112" s="1" t="s">
        <v>297</v>
      </c>
      <c r="CB112" s="1" t="s">
        <v>269</v>
      </c>
      <c r="CC112" s="1" t="s">
        <v>86</v>
      </c>
      <c r="CD112" s="1" t="s">
        <v>86</v>
      </c>
      <c r="CE112" s="1" t="s">
        <v>86</v>
      </c>
    </row>
    <row r="113">
      <c r="A113" s="1">
        <v>111</v>
      </c>
      <c r="B113" s="1" t="s">
        <v>395</v>
      </c>
      <c r="C113" s="2">
        <f>=HYPERLINK("https://i.stonehdfile.com/stoneimage?s=e1775ca6-8085-40a2-9bf0-0b8d4a9c0adc","Image")</f>
      </c>
      <c r="D113" s="2">
        <f>=HYPERLINK("https://dna.stonehdfile.com/hd/viewhd.html?d=7892ec5b-3232-4503-a5f2-0b54b95040ab","View360")</f>
      </c>
      <c r="E113" s="2">
        <f>=HYPERLINK("https://i.stonehdfile.com/Certificate?s=e1775ca6-8085-40a2-9bf0-0b8d4a9c0adc","GIA")</f>
      </c>
      <c r="F113" s="2">
        <f>=HYPERLINK("https://i.stonehdfile.com/DNAReport?s=e1775ca6-8085-40a2-9bf0-0b8d4a9c0adc","DNA")</f>
      </c>
      <c r="G113" s="2">
        <f>=HYPERLINK("https://www.gia.edu/report-check?reportno=******5574","Verify")</f>
      </c>
      <c r="H113" s="1" t="s">
        <v>796</v>
      </c>
      <c r="I113" s="1" t="s">
        <v>46</v>
      </c>
      <c r="J113" s="1">
        <v>1.56</v>
      </c>
      <c r="K113" s="1">
        <v>2</v>
      </c>
      <c r="L113" s="1">
        <v>8000</v>
      </c>
      <c r="M113" s="1">
        <v>2700</v>
      </c>
      <c r="N113" s="1">
        <v>4212</v>
      </c>
      <c r="O113" s="1">
        <v>-66.25</v>
      </c>
      <c r="P113" s="1">
        <v>0</v>
      </c>
      <c r="Q113" s="1" t="s">
        <v>86</v>
      </c>
      <c r="R113" s="1">
        <v>0</v>
      </c>
      <c r="S113" s="1" t="s">
        <v>86</v>
      </c>
      <c r="T113" s="1" t="s">
        <v>86</v>
      </c>
      <c r="U113" s="1" t="s">
        <v>375</v>
      </c>
      <c r="V113" s="1" t="s">
        <v>86</v>
      </c>
      <c r="W113" s="1" t="s">
        <v>206</v>
      </c>
      <c r="X113" s="1" t="s">
        <v>86</v>
      </c>
      <c r="Y113" s="1" t="s">
        <v>89</v>
      </c>
      <c r="Z113" s="1" t="s">
        <v>89</v>
      </c>
      <c r="AA113" s="1" t="s">
        <v>87</v>
      </c>
      <c r="AB113" s="1" t="s">
        <v>86</v>
      </c>
      <c r="AC113" s="1" t="s">
        <v>797</v>
      </c>
      <c r="AD113" s="1">
        <v>68.4</v>
      </c>
      <c r="AE113" s="1">
        <v>62</v>
      </c>
      <c r="AF113" s="1" t="s">
        <v>91</v>
      </c>
      <c r="AG113" s="1">
        <v>2.3</v>
      </c>
      <c r="AH113" s="1">
        <v>35.9</v>
      </c>
      <c r="AI113" s="1" t="s">
        <v>86</v>
      </c>
      <c r="AJ113" s="1">
        <v>1.04</v>
      </c>
      <c r="AK113" s="1" t="s">
        <v>198</v>
      </c>
      <c r="AL113" s="1" t="s">
        <v>93</v>
      </c>
      <c r="AM113" s="1" t="s">
        <v>467</v>
      </c>
      <c r="AN113" s="1" t="s">
        <v>171</v>
      </c>
      <c r="AO113" s="1" t="s">
        <v>208</v>
      </c>
      <c r="AP113" s="1" t="s">
        <v>95</v>
      </c>
      <c r="AQ113" s="1">
        <v>13.7</v>
      </c>
      <c r="AR113" s="1">
        <v>52.1</v>
      </c>
      <c r="AS113" s="1">
        <v>39.4</v>
      </c>
      <c r="AT113" s="1" t="s">
        <v>96</v>
      </c>
      <c r="AU113" s="1" t="s">
        <v>86</v>
      </c>
      <c r="AV113" s="1" t="s">
        <v>86</v>
      </c>
      <c r="AW113" s="1" t="s">
        <v>86</v>
      </c>
      <c r="AX113" s="1" t="s">
        <v>86</v>
      </c>
      <c r="AY113" s="1" t="s">
        <v>86</v>
      </c>
      <c r="AZ113" s="1" t="s">
        <v>86</v>
      </c>
      <c r="BA113" s="1" t="s">
        <v>86</v>
      </c>
      <c r="BB113" s="1" t="s">
        <v>86</v>
      </c>
      <c r="BC113" s="1" t="s">
        <v>86</v>
      </c>
      <c r="BD113" s="1" t="s">
        <v>86</v>
      </c>
      <c r="BE113" s="1" t="s">
        <v>86</v>
      </c>
      <c r="BF113" s="1" t="s">
        <v>86</v>
      </c>
      <c r="BG113" s="1" t="s">
        <v>86</v>
      </c>
      <c r="BH113" s="1" t="s">
        <v>142</v>
      </c>
      <c r="BI113" s="1" t="s">
        <v>715</v>
      </c>
      <c r="BJ113" s="1" t="s">
        <v>87</v>
      </c>
      <c r="BK113" s="1">
        <v>0</v>
      </c>
      <c r="BL113" s="1">
        <v>0</v>
      </c>
      <c r="BM113" s="1" t="s">
        <v>398</v>
      </c>
      <c r="BN113" s="1" t="s">
        <v>798</v>
      </c>
      <c r="BO113" s="1" t="s">
        <v>799</v>
      </c>
      <c r="BP113" s="1" t="s">
        <v>86</v>
      </c>
      <c r="BQ113" s="1" t="s">
        <v>86</v>
      </c>
      <c r="BR113" s="1" t="s">
        <v>86</v>
      </c>
      <c r="BS113" s="1" t="s">
        <v>86</v>
      </c>
      <c r="BT113" s="1" t="s">
        <v>86</v>
      </c>
      <c r="BU113" s="1" t="s">
        <v>163</v>
      </c>
      <c r="BV113" s="1" t="s">
        <v>86</v>
      </c>
      <c r="BW113" s="1" t="s">
        <v>101</v>
      </c>
      <c r="BX113" s="1" t="s">
        <v>565</v>
      </c>
      <c r="BY113" s="1" t="s">
        <v>86</v>
      </c>
      <c r="BZ113" s="1" t="s">
        <v>800</v>
      </c>
      <c r="CA113" s="1" t="s">
        <v>801</v>
      </c>
      <c r="CB113" s="1" t="s">
        <v>166</v>
      </c>
      <c r="CC113" s="1" t="s">
        <v>86</v>
      </c>
      <c r="CD113" s="1" t="s">
        <v>86</v>
      </c>
      <c r="CE113" s="1" t="s">
        <v>86</v>
      </c>
    </row>
    <row r="114">
      <c r="A114" s="1">
        <v>112</v>
      </c>
      <c r="B114" s="1" t="s">
        <v>395</v>
      </c>
      <c r="C114" s="2">
        <f>=HYPERLINK("https://i.stonehdfile.com/stoneimage?s=2083492a-6861-4ead-a7cf-69d9e7ff66bf","Image")</f>
      </c>
      <c r="D114" s="2">
        <f>=HYPERLINK("https://dna.stonehdfile.com/hd/viewhd.html?d=de5cac29-26af-48a9-bbae-b38a4ebb2ac1","View360")</f>
      </c>
      <c r="E114" s="2">
        <f>=HYPERLINK("https://i.stonehdfile.com/Certificate?s=2083492a-6861-4ead-a7cf-69d9e7ff66bf","GIA")</f>
      </c>
      <c r="F114" s="2">
        <f>=HYPERLINK("https://i.stonehdfile.com/DNAReport?s=2083492a-6861-4ead-a7cf-69d9e7ff66bf","DNA")</f>
      </c>
      <c r="G114" s="2">
        <f>=HYPERLINK("https://www.gia.edu/report-check?reportno=******7112","Verify")</f>
      </c>
      <c r="H114" s="1" t="s">
        <v>802</v>
      </c>
      <c r="I114" s="1" t="s">
        <v>46</v>
      </c>
      <c r="J114" s="1">
        <v>1.5</v>
      </c>
      <c r="K114" s="1">
        <v>6</v>
      </c>
      <c r="L114" s="1">
        <v>6600</v>
      </c>
      <c r="M114" s="1">
        <v>2291</v>
      </c>
      <c r="N114" s="1">
        <v>3436.5</v>
      </c>
      <c r="O114" s="1">
        <v>-65.29</v>
      </c>
      <c r="P114" s="1">
        <v>0</v>
      </c>
      <c r="Q114" s="1" t="s">
        <v>86</v>
      </c>
      <c r="R114" s="1">
        <v>0</v>
      </c>
      <c r="S114" s="1" t="s">
        <v>86</v>
      </c>
      <c r="T114" s="1" t="s">
        <v>86</v>
      </c>
      <c r="U114" s="1" t="s">
        <v>271</v>
      </c>
      <c r="V114" s="1" t="s">
        <v>86</v>
      </c>
      <c r="W114" s="1" t="s">
        <v>213</v>
      </c>
      <c r="X114" s="1" t="s">
        <v>86</v>
      </c>
      <c r="Y114" s="1" t="s">
        <v>89</v>
      </c>
      <c r="Z114" s="1" t="s">
        <v>89</v>
      </c>
      <c r="AA114" s="1" t="s">
        <v>87</v>
      </c>
      <c r="AB114" s="1" t="s">
        <v>86</v>
      </c>
      <c r="AC114" s="1" t="s">
        <v>803</v>
      </c>
      <c r="AD114" s="1">
        <v>71.2</v>
      </c>
      <c r="AE114" s="1">
        <v>60</v>
      </c>
      <c r="AF114" s="1" t="s">
        <v>91</v>
      </c>
      <c r="AG114" s="1">
        <v>4.2</v>
      </c>
      <c r="AH114" s="1">
        <v>37</v>
      </c>
      <c r="AI114" s="1" t="s">
        <v>86</v>
      </c>
      <c r="AJ114" s="1">
        <v>1.07</v>
      </c>
      <c r="AK114" s="1" t="s">
        <v>198</v>
      </c>
      <c r="AL114" s="1" t="s">
        <v>93</v>
      </c>
      <c r="AM114" s="1" t="s">
        <v>151</v>
      </c>
      <c r="AN114" s="1" t="s">
        <v>168</v>
      </c>
      <c r="AO114" s="1" t="s">
        <v>208</v>
      </c>
      <c r="AP114" s="1" t="s">
        <v>95</v>
      </c>
      <c r="AQ114" s="1">
        <v>15</v>
      </c>
      <c r="AR114" s="1">
        <v>51.4</v>
      </c>
      <c r="AS114" s="1">
        <v>37.4</v>
      </c>
      <c r="AT114" s="1" t="s">
        <v>96</v>
      </c>
      <c r="AU114" s="1" t="s">
        <v>86</v>
      </c>
      <c r="AV114" s="1" t="s">
        <v>86</v>
      </c>
      <c r="AW114" s="1" t="s">
        <v>86</v>
      </c>
      <c r="AX114" s="1" t="s">
        <v>86</v>
      </c>
      <c r="AY114" s="1" t="s">
        <v>86</v>
      </c>
      <c r="AZ114" s="1" t="s">
        <v>86</v>
      </c>
      <c r="BA114" s="1" t="s">
        <v>86</v>
      </c>
      <c r="BB114" s="1" t="s">
        <v>86</v>
      </c>
      <c r="BC114" s="1" t="s">
        <v>86</v>
      </c>
      <c r="BD114" s="1" t="s">
        <v>86</v>
      </c>
      <c r="BE114" s="1" t="s">
        <v>86</v>
      </c>
      <c r="BF114" s="1" t="s">
        <v>86</v>
      </c>
      <c r="BG114" s="1" t="s">
        <v>172</v>
      </c>
      <c r="BH114" s="1" t="s">
        <v>129</v>
      </c>
      <c r="BI114" s="1" t="s">
        <v>257</v>
      </c>
      <c r="BJ114" s="1" t="s">
        <v>87</v>
      </c>
      <c r="BK114" s="1">
        <v>0</v>
      </c>
      <c r="BL114" s="1">
        <v>0</v>
      </c>
      <c r="BM114" s="1" t="s">
        <v>398</v>
      </c>
      <c r="BN114" s="1" t="s">
        <v>804</v>
      </c>
      <c r="BO114" s="1" t="s">
        <v>276</v>
      </c>
      <c r="BP114" s="1" t="s">
        <v>86</v>
      </c>
      <c r="BQ114" s="1" t="s">
        <v>86</v>
      </c>
      <c r="BR114" s="1" t="s">
        <v>86</v>
      </c>
      <c r="BS114" s="1" t="s">
        <v>86</v>
      </c>
      <c r="BT114" s="1" t="s">
        <v>86</v>
      </c>
      <c r="BU114" s="1" t="s">
        <v>163</v>
      </c>
      <c r="BV114" s="1" t="s">
        <v>86</v>
      </c>
      <c r="BW114" s="1" t="s">
        <v>101</v>
      </c>
      <c r="BX114" s="1" t="s">
        <v>423</v>
      </c>
      <c r="BY114" s="1" t="s">
        <v>86</v>
      </c>
      <c r="BZ114" s="1" t="s">
        <v>805</v>
      </c>
      <c r="CA114" s="1" t="s">
        <v>278</v>
      </c>
      <c r="CB114" s="1" t="s">
        <v>417</v>
      </c>
      <c r="CC114" s="1" t="s">
        <v>86</v>
      </c>
      <c r="CD114" s="1" t="s">
        <v>86</v>
      </c>
      <c r="CE114" s="1" t="s">
        <v>86</v>
      </c>
    </row>
    <row r="115">
      <c r="A115" s="1">
        <v>113</v>
      </c>
      <c r="B115" s="1" t="s">
        <v>395</v>
      </c>
      <c r="C115" s="2">
        <f>=HYPERLINK("https://i.stonehdfile.com/stoneimage?s=552920cd-6045-4da3-9a44-2a5022682e3f","Image")</f>
      </c>
      <c r="D115" s="2">
        <f>=HYPERLINK("https://dna.stonehdfile.com/hd/viewhd.html?d=e40a1641-28fd-4f9d-a7de-2c74d8a59981","View360")</f>
      </c>
      <c r="E115" s="2">
        <f>=HYPERLINK("https://i.stonehdfile.com/Certificate?s=552920cd-6045-4da3-9a44-2a5022682e3f","GIA")</f>
      </c>
      <c r="F115" s="2">
        <f>=HYPERLINK("https://i.stonehdfile.com/DNAReport?s=552920cd-6045-4da3-9a44-2a5022682e3f","DNA")</f>
      </c>
      <c r="G115" s="2">
        <f>=HYPERLINK("https://www.gia.edu/report-check?reportno=******5173","Verify")</f>
      </c>
      <c r="H115" s="1" t="s">
        <v>806</v>
      </c>
      <c r="I115" s="1" t="s">
        <v>46</v>
      </c>
      <c r="J115" s="1">
        <v>1.51</v>
      </c>
      <c r="K115" s="1">
        <v>1</v>
      </c>
      <c r="L115" s="1">
        <v>6600</v>
      </c>
      <c r="M115" s="1">
        <v>2992</v>
      </c>
      <c r="N115" s="1">
        <v>4517.92</v>
      </c>
      <c r="O115" s="1">
        <v>-54.67</v>
      </c>
      <c r="P115" s="1">
        <v>0</v>
      </c>
      <c r="Q115" s="1" t="s">
        <v>86</v>
      </c>
      <c r="R115" s="1">
        <v>0</v>
      </c>
      <c r="S115" s="1" t="s">
        <v>86</v>
      </c>
      <c r="T115" s="1" t="s">
        <v>86</v>
      </c>
      <c r="U115" s="1" t="s">
        <v>271</v>
      </c>
      <c r="V115" s="1" t="s">
        <v>86</v>
      </c>
      <c r="W115" s="1" t="s">
        <v>213</v>
      </c>
      <c r="X115" s="1" t="s">
        <v>86</v>
      </c>
      <c r="Y115" s="1" t="s">
        <v>138</v>
      </c>
      <c r="Z115" s="1" t="s">
        <v>89</v>
      </c>
      <c r="AA115" s="1" t="s">
        <v>119</v>
      </c>
      <c r="AB115" s="1" t="s">
        <v>86</v>
      </c>
      <c r="AC115" s="1" t="s">
        <v>807</v>
      </c>
      <c r="AD115" s="1">
        <v>68.7</v>
      </c>
      <c r="AE115" s="1">
        <v>63</v>
      </c>
      <c r="AF115" s="1" t="s">
        <v>91</v>
      </c>
      <c r="AG115" s="1">
        <v>3</v>
      </c>
      <c r="AH115" s="1">
        <v>36.2</v>
      </c>
      <c r="AI115" s="1" t="s">
        <v>86</v>
      </c>
      <c r="AJ115" s="1">
        <v>1.01</v>
      </c>
      <c r="AK115" s="1" t="s">
        <v>190</v>
      </c>
      <c r="AL115" s="1" t="s">
        <v>128</v>
      </c>
      <c r="AM115" s="1" t="s">
        <v>128</v>
      </c>
      <c r="AN115" s="1" t="s">
        <v>171</v>
      </c>
      <c r="AO115" s="1" t="s">
        <v>94</v>
      </c>
      <c r="AP115" s="1" t="s">
        <v>95</v>
      </c>
      <c r="AQ115" s="1">
        <v>13.6</v>
      </c>
      <c r="AR115" s="1">
        <v>51.7</v>
      </c>
      <c r="AS115" s="1">
        <v>40.4</v>
      </c>
      <c r="AT115" s="1" t="s">
        <v>96</v>
      </c>
      <c r="AU115" s="1" t="s">
        <v>86</v>
      </c>
      <c r="AV115" s="1" t="s">
        <v>86</v>
      </c>
      <c r="AW115" s="1" t="s">
        <v>86</v>
      </c>
      <c r="AX115" s="1" t="s">
        <v>86</v>
      </c>
      <c r="AY115" s="1" t="s">
        <v>86</v>
      </c>
      <c r="AZ115" s="1" t="s">
        <v>112</v>
      </c>
      <c r="BA115" s="1" t="s">
        <v>86</v>
      </c>
      <c r="BB115" s="1" t="s">
        <v>86</v>
      </c>
      <c r="BC115" s="1" t="s">
        <v>86</v>
      </c>
      <c r="BD115" s="1" t="s">
        <v>86</v>
      </c>
      <c r="BE115" s="1" t="s">
        <v>86</v>
      </c>
      <c r="BF115" s="1" t="s">
        <v>86</v>
      </c>
      <c r="BG115" s="1" t="s">
        <v>86</v>
      </c>
      <c r="BH115" s="1" t="s">
        <v>97</v>
      </c>
      <c r="BI115" s="1" t="s">
        <v>315</v>
      </c>
      <c r="BJ115" s="1" t="s">
        <v>87</v>
      </c>
      <c r="BK115" s="1">
        <v>0</v>
      </c>
      <c r="BL115" s="1">
        <v>0</v>
      </c>
      <c r="BM115" s="1" t="s">
        <v>398</v>
      </c>
      <c r="BN115" s="1" t="s">
        <v>808</v>
      </c>
      <c r="BO115" s="1" t="s">
        <v>564</v>
      </c>
      <c r="BP115" s="1" t="s">
        <v>86</v>
      </c>
      <c r="BQ115" s="1" t="s">
        <v>86</v>
      </c>
      <c r="BR115" s="1" t="s">
        <v>86</v>
      </c>
      <c r="BS115" s="1" t="s">
        <v>86</v>
      </c>
      <c r="BT115" s="1" t="s">
        <v>86</v>
      </c>
      <c r="BU115" s="1" t="s">
        <v>163</v>
      </c>
      <c r="BV115" s="1" t="s">
        <v>86</v>
      </c>
      <c r="BW115" s="1" t="s">
        <v>101</v>
      </c>
      <c r="BX115" s="1" t="s">
        <v>401</v>
      </c>
      <c r="BY115" s="1" t="s">
        <v>86</v>
      </c>
      <c r="BZ115" s="1" t="s">
        <v>809</v>
      </c>
      <c r="CA115" s="1" t="s">
        <v>810</v>
      </c>
      <c r="CB115" s="1" t="s">
        <v>221</v>
      </c>
      <c r="CC115" s="1" t="s">
        <v>86</v>
      </c>
      <c r="CD115" s="1" t="s">
        <v>86</v>
      </c>
      <c r="CE115" s="1" t="s">
        <v>86</v>
      </c>
    </row>
    <row r="116">
      <c r="A116" s="1">
        <v>114</v>
      </c>
      <c r="B116" s="1" t="s">
        <v>395</v>
      </c>
      <c r="C116" s="2">
        <f>=HYPERLINK("https://i.stonehdfile.com/stoneimage?s=9c1e5628-386b-41ed-93dc-ab6bbca8f1da","Image")</f>
      </c>
      <c r="D116" s="2">
        <f>=HYPERLINK("https://dna.stonehdfile.com/hd/viewhd.html?d=d74ead6e-4a70-4dcc-b096-6b7753a2adcf","View360")</f>
      </c>
      <c r="E116" s="2">
        <f>=HYPERLINK("https://i.stonehdfile.com/Certificate?s=9c1e5628-386b-41ed-93dc-ab6bbca8f1da","GIA")</f>
      </c>
      <c r="F116" s="2">
        <f>=HYPERLINK("https://i.stonehdfile.com/DNAReport?s=9c1e5628-386b-41ed-93dc-ab6bbca8f1da","DNA")</f>
      </c>
      <c r="G116" s="2">
        <f>=HYPERLINK("https://www.gia.edu/report-check?reportno=******8418","Verify")</f>
      </c>
      <c r="H116" s="1" t="s">
        <v>811</v>
      </c>
      <c r="I116" s="1" t="s">
        <v>46</v>
      </c>
      <c r="J116" s="1">
        <v>1.5</v>
      </c>
      <c r="K116" s="1">
        <v>5</v>
      </c>
      <c r="L116" s="1">
        <v>8200</v>
      </c>
      <c r="M116" s="1">
        <v>4361</v>
      </c>
      <c r="N116" s="1">
        <v>6541.5</v>
      </c>
      <c r="O116" s="1">
        <v>-46.82</v>
      </c>
      <c r="P116" s="1">
        <v>0</v>
      </c>
      <c r="Q116" s="1" t="s">
        <v>86</v>
      </c>
      <c r="R116" s="1">
        <v>0</v>
      </c>
      <c r="S116" s="1" t="s">
        <v>86</v>
      </c>
      <c r="T116" s="1" t="s">
        <v>86</v>
      </c>
      <c r="U116" s="1" t="s">
        <v>159</v>
      </c>
      <c r="V116" s="1" t="s">
        <v>86</v>
      </c>
      <c r="W116" s="1" t="s">
        <v>474</v>
      </c>
      <c r="X116" s="1" t="s">
        <v>86</v>
      </c>
      <c r="Y116" s="1" t="s">
        <v>89</v>
      </c>
      <c r="Z116" s="1" t="s">
        <v>89</v>
      </c>
      <c r="AA116" s="1" t="s">
        <v>119</v>
      </c>
      <c r="AB116" s="1" t="s">
        <v>86</v>
      </c>
      <c r="AC116" s="1" t="s">
        <v>812</v>
      </c>
      <c r="AD116" s="1">
        <v>71.6</v>
      </c>
      <c r="AE116" s="1">
        <v>61</v>
      </c>
      <c r="AF116" s="1" t="s">
        <v>91</v>
      </c>
      <c r="AG116" s="1">
        <v>4.5</v>
      </c>
      <c r="AH116" s="1">
        <v>37</v>
      </c>
      <c r="AI116" s="1" t="s">
        <v>86</v>
      </c>
      <c r="AJ116" s="1">
        <v>1.01</v>
      </c>
      <c r="AK116" s="1" t="s">
        <v>190</v>
      </c>
      <c r="AL116" s="1" t="s">
        <v>93</v>
      </c>
      <c r="AM116" s="1" t="s">
        <v>93</v>
      </c>
      <c r="AN116" s="1" t="s">
        <v>86</v>
      </c>
      <c r="AO116" s="1" t="s">
        <v>94</v>
      </c>
      <c r="AP116" s="1" t="s">
        <v>95</v>
      </c>
      <c r="AQ116" s="1">
        <v>14.8</v>
      </c>
      <c r="AR116" s="1">
        <v>51.8</v>
      </c>
      <c r="AS116" s="1">
        <v>39.9</v>
      </c>
      <c r="AT116" s="1" t="s">
        <v>96</v>
      </c>
      <c r="AU116" s="1" t="s">
        <v>86</v>
      </c>
      <c r="AV116" s="1" t="s">
        <v>86</v>
      </c>
      <c r="AW116" s="1" t="s">
        <v>86</v>
      </c>
      <c r="AX116" s="1" t="s">
        <v>86</v>
      </c>
      <c r="AY116" s="1" t="s">
        <v>86</v>
      </c>
      <c r="AZ116" s="1" t="s">
        <v>86</v>
      </c>
      <c r="BA116" s="1" t="s">
        <v>86</v>
      </c>
      <c r="BB116" s="1" t="s">
        <v>86</v>
      </c>
      <c r="BC116" s="1" t="s">
        <v>86</v>
      </c>
      <c r="BD116" s="1" t="s">
        <v>86</v>
      </c>
      <c r="BE116" s="1" t="s">
        <v>86</v>
      </c>
      <c r="BF116" s="1" t="s">
        <v>86</v>
      </c>
      <c r="BG116" s="1" t="s">
        <v>86</v>
      </c>
      <c r="BH116" s="1" t="s">
        <v>215</v>
      </c>
      <c r="BI116" s="1" t="s">
        <v>813</v>
      </c>
      <c r="BJ116" s="1" t="s">
        <v>87</v>
      </c>
      <c r="BK116" s="1">
        <v>0</v>
      </c>
      <c r="BL116" s="1">
        <v>0</v>
      </c>
      <c r="BM116" s="1" t="s">
        <v>398</v>
      </c>
      <c r="BN116" s="1" t="s">
        <v>814</v>
      </c>
      <c r="BO116" s="1" t="s">
        <v>815</v>
      </c>
      <c r="BP116" s="1" t="s">
        <v>86</v>
      </c>
      <c r="BQ116" s="1" t="s">
        <v>86</v>
      </c>
      <c r="BR116" s="1" t="s">
        <v>86</v>
      </c>
      <c r="BS116" s="1" t="s">
        <v>86</v>
      </c>
      <c r="BT116" s="1" t="s">
        <v>86</v>
      </c>
      <c r="BU116" s="1" t="s">
        <v>163</v>
      </c>
      <c r="BV116" s="1" t="s">
        <v>86</v>
      </c>
      <c r="BW116" s="1" t="s">
        <v>101</v>
      </c>
      <c r="BX116" s="1" t="s">
        <v>414</v>
      </c>
      <c r="BY116" s="1" t="s">
        <v>86</v>
      </c>
      <c r="BZ116" s="1" t="s">
        <v>816</v>
      </c>
      <c r="CA116" s="1" t="s">
        <v>319</v>
      </c>
      <c r="CB116" s="1" t="s">
        <v>86</v>
      </c>
      <c r="CC116" s="1" t="s">
        <v>86</v>
      </c>
      <c r="CD116" s="1" t="s">
        <v>86</v>
      </c>
      <c r="CE116" s="1" t="s">
        <v>86</v>
      </c>
    </row>
    <row r="117">
      <c r="A117" s="1">
        <v>115</v>
      </c>
      <c r="B117" s="1" t="s">
        <v>395</v>
      </c>
      <c r="C117" s="2">
        <f>=HYPERLINK("https://i.stonehdfile.com/stoneimage?s=d133a6bd-6a66-4030-b428-0d27c477fe17","Image")</f>
      </c>
      <c r="D117" s="2">
        <f>=HYPERLINK("https://dna.stonehdfile.com/hd/viewhd.html?d=02c347de-d612-42f2-af0d-4e96fcc75567","View360")</f>
      </c>
      <c r="E117" s="2">
        <f>=HYPERLINK("https://i.stonehdfile.com/Certificate?s=d133a6bd-6a66-4030-b428-0d27c477fe17","GIA")</f>
      </c>
      <c r="F117" s="2">
        <f>=HYPERLINK("https://i.stonehdfile.com/DNAReport?s=d133a6bd-6a66-4030-b428-0d27c477fe17","DNA")</f>
      </c>
      <c r="G117" s="2">
        <f>=HYPERLINK("https://www.gia.edu/report-check?reportno=******3259","Verify")</f>
      </c>
      <c r="H117" s="1" t="s">
        <v>817</v>
      </c>
      <c r="I117" s="1" t="s">
        <v>46</v>
      </c>
      <c r="J117" s="1">
        <v>1.5</v>
      </c>
      <c r="K117" s="1">
        <v>7</v>
      </c>
      <c r="L117" s="1">
        <v>8200</v>
      </c>
      <c r="M117" s="1">
        <v>4979</v>
      </c>
      <c r="N117" s="1">
        <v>7468.5</v>
      </c>
      <c r="O117" s="1">
        <v>-39.28</v>
      </c>
      <c r="P117" s="1">
        <v>0</v>
      </c>
      <c r="Q117" s="1" t="s">
        <v>86</v>
      </c>
      <c r="R117" s="1">
        <v>0</v>
      </c>
      <c r="S117" s="1" t="s">
        <v>86</v>
      </c>
      <c r="T117" s="1" t="s">
        <v>86</v>
      </c>
      <c r="U117" s="1" t="s">
        <v>118</v>
      </c>
      <c r="V117" s="1" t="s">
        <v>86</v>
      </c>
      <c r="W117" s="1" t="s">
        <v>88</v>
      </c>
      <c r="X117" s="1" t="s">
        <v>86</v>
      </c>
      <c r="Y117" s="1" t="s">
        <v>89</v>
      </c>
      <c r="Z117" s="1" t="s">
        <v>89</v>
      </c>
      <c r="AA117" s="1" t="s">
        <v>119</v>
      </c>
      <c r="AB117" s="1" t="s">
        <v>86</v>
      </c>
      <c r="AC117" s="1" t="s">
        <v>818</v>
      </c>
      <c r="AD117" s="1">
        <v>69.2</v>
      </c>
      <c r="AE117" s="1">
        <v>62</v>
      </c>
      <c r="AF117" s="1" t="s">
        <v>91</v>
      </c>
      <c r="AG117" s="1">
        <v>3.1</v>
      </c>
      <c r="AH117" s="1">
        <v>34.9</v>
      </c>
      <c r="AI117" s="1" t="s">
        <v>86</v>
      </c>
      <c r="AJ117" s="1">
        <v>1.11</v>
      </c>
      <c r="AK117" s="1" t="s">
        <v>190</v>
      </c>
      <c r="AL117" s="1" t="s">
        <v>93</v>
      </c>
      <c r="AM117" s="1" t="s">
        <v>93</v>
      </c>
      <c r="AN117" s="1" t="s">
        <v>86</v>
      </c>
      <c r="AO117" s="1" t="s">
        <v>94</v>
      </c>
      <c r="AP117" s="1" t="s">
        <v>95</v>
      </c>
      <c r="AQ117" s="1">
        <v>13.4</v>
      </c>
      <c r="AR117" s="1">
        <v>52.2</v>
      </c>
      <c r="AS117" s="1">
        <v>39.1</v>
      </c>
      <c r="AT117" s="1" t="s">
        <v>96</v>
      </c>
      <c r="AU117" s="1" t="s">
        <v>86</v>
      </c>
      <c r="AV117" s="1" t="s">
        <v>86</v>
      </c>
      <c r="AW117" s="1" t="s">
        <v>86</v>
      </c>
      <c r="AX117" s="1" t="s">
        <v>86</v>
      </c>
      <c r="AY117" s="1" t="s">
        <v>86</v>
      </c>
      <c r="AZ117" s="1" t="s">
        <v>86</v>
      </c>
      <c r="BA117" s="1" t="s">
        <v>86</v>
      </c>
      <c r="BB117" s="1" t="s">
        <v>86</v>
      </c>
      <c r="BC117" s="1" t="s">
        <v>86</v>
      </c>
      <c r="BD117" s="1" t="s">
        <v>86</v>
      </c>
      <c r="BE117" s="1" t="s">
        <v>86</v>
      </c>
      <c r="BF117" s="1" t="s">
        <v>86</v>
      </c>
      <c r="BG117" s="1" t="s">
        <v>86</v>
      </c>
      <c r="BH117" s="1" t="s">
        <v>97</v>
      </c>
      <c r="BI117" s="1" t="s">
        <v>174</v>
      </c>
      <c r="BJ117" s="1" t="s">
        <v>87</v>
      </c>
      <c r="BK117" s="1">
        <v>0</v>
      </c>
      <c r="BL117" s="1">
        <v>0</v>
      </c>
      <c r="BM117" s="1" t="s">
        <v>398</v>
      </c>
      <c r="BN117" s="1" t="s">
        <v>819</v>
      </c>
      <c r="BO117" s="1" t="s">
        <v>630</v>
      </c>
      <c r="BP117" s="1" t="s">
        <v>86</v>
      </c>
      <c r="BQ117" s="1" t="s">
        <v>86</v>
      </c>
      <c r="BR117" s="1" t="s">
        <v>86</v>
      </c>
      <c r="BS117" s="1" t="s">
        <v>86</v>
      </c>
      <c r="BT117" s="1" t="s">
        <v>86</v>
      </c>
      <c r="BU117" s="1" t="s">
        <v>163</v>
      </c>
      <c r="BV117" s="1" t="s">
        <v>86</v>
      </c>
      <c r="BW117" s="1" t="s">
        <v>101</v>
      </c>
      <c r="BX117" s="1" t="s">
        <v>401</v>
      </c>
      <c r="BY117" s="1" t="s">
        <v>86</v>
      </c>
      <c r="BZ117" s="1" t="s">
        <v>820</v>
      </c>
      <c r="CA117" s="1" t="s">
        <v>480</v>
      </c>
      <c r="CB117" s="1" t="s">
        <v>86</v>
      </c>
      <c r="CC117" s="1" t="s">
        <v>86</v>
      </c>
      <c r="CD117" s="1" t="s">
        <v>86</v>
      </c>
      <c r="CE117" s="1" t="s">
        <v>86</v>
      </c>
    </row>
    <row r="118">
      <c r="A118" s="1">
        <v>116</v>
      </c>
      <c r="B118" s="1" t="s">
        <v>395</v>
      </c>
      <c r="C118" s="2">
        <f>=HYPERLINK("https://i.stonehdfile.com/stoneimage?s=8efd0240-f5cb-4fe5-b47d-644892a09911","Image")</f>
      </c>
      <c r="D118" s="2">
        <f>=HYPERLINK("https://dna.stonehdfile.com/hd/viewhd.html?d=7eda87e8-c33a-4587-9390-84be4ccbf1d4","View360")</f>
      </c>
      <c r="E118" s="2">
        <f>=HYPERLINK("https://i.stonehdfile.com/Certificate?s=8efd0240-f5cb-4fe5-b47d-644892a09911","GIA")</f>
      </c>
      <c r="F118" s="2">
        <f>=HYPERLINK("https://i.stonehdfile.com/DNAReport?s=8efd0240-f5cb-4fe5-b47d-644892a09911","DNA")</f>
      </c>
      <c r="G118" s="2">
        <f>=HYPERLINK("https://www.gia.edu/report-check?reportno=******3789","Verify")</f>
      </c>
      <c r="H118" s="1" t="s">
        <v>821</v>
      </c>
      <c r="I118" s="1" t="s">
        <v>46</v>
      </c>
      <c r="J118" s="1">
        <v>1.5</v>
      </c>
      <c r="K118" s="1">
        <v>5</v>
      </c>
      <c r="L118" s="1">
        <v>8200</v>
      </c>
      <c r="M118" s="1">
        <v>4682</v>
      </c>
      <c r="N118" s="1">
        <v>7023</v>
      </c>
      <c r="O118" s="1">
        <v>-42.9</v>
      </c>
      <c r="P118" s="1">
        <v>0</v>
      </c>
      <c r="Q118" s="1" t="s">
        <v>86</v>
      </c>
      <c r="R118" s="1">
        <v>0</v>
      </c>
      <c r="S118" s="1" t="s">
        <v>86</v>
      </c>
      <c r="T118" s="1" t="s">
        <v>86</v>
      </c>
      <c r="U118" s="1" t="s">
        <v>159</v>
      </c>
      <c r="V118" s="1" t="s">
        <v>86</v>
      </c>
      <c r="W118" s="1" t="s">
        <v>88</v>
      </c>
      <c r="X118" s="1" t="s">
        <v>86</v>
      </c>
      <c r="Y118" s="1" t="s">
        <v>89</v>
      </c>
      <c r="Z118" s="1" t="s">
        <v>89</v>
      </c>
      <c r="AA118" s="1" t="s">
        <v>87</v>
      </c>
      <c r="AB118" s="1" t="s">
        <v>86</v>
      </c>
      <c r="AC118" s="1" t="s">
        <v>822</v>
      </c>
      <c r="AD118" s="1">
        <v>67.7</v>
      </c>
      <c r="AE118" s="1">
        <v>63</v>
      </c>
      <c r="AF118" s="1" t="s">
        <v>91</v>
      </c>
      <c r="AG118" s="1">
        <v>2</v>
      </c>
      <c r="AH118" s="1">
        <v>35.9</v>
      </c>
      <c r="AI118" s="1" t="s">
        <v>86</v>
      </c>
      <c r="AJ118" s="1">
        <v>1.12</v>
      </c>
      <c r="AK118" s="1" t="s">
        <v>190</v>
      </c>
      <c r="AL118" s="1" t="s">
        <v>93</v>
      </c>
      <c r="AM118" s="1" t="s">
        <v>93</v>
      </c>
      <c r="AN118" s="1" t="s">
        <v>86</v>
      </c>
      <c r="AO118" s="1" t="s">
        <v>94</v>
      </c>
      <c r="AP118" s="1" t="s">
        <v>95</v>
      </c>
      <c r="AQ118" s="1">
        <v>13.6</v>
      </c>
      <c r="AR118" s="1">
        <v>51.7</v>
      </c>
      <c r="AS118" s="1">
        <v>38.9</v>
      </c>
      <c r="AT118" s="1" t="s">
        <v>96</v>
      </c>
      <c r="AU118" s="1" t="s">
        <v>86</v>
      </c>
      <c r="AV118" s="1" t="s">
        <v>86</v>
      </c>
      <c r="AW118" s="1" t="s">
        <v>86</v>
      </c>
      <c r="AX118" s="1" t="s">
        <v>86</v>
      </c>
      <c r="AY118" s="1" t="s">
        <v>86</v>
      </c>
      <c r="AZ118" s="1" t="s">
        <v>86</v>
      </c>
      <c r="BA118" s="1" t="s">
        <v>86</v>
      </c>
      <c r="BB118" s="1" t="s">
        <v>86</v>
      </c>
      <c r="BC118" s="1" t="s">
        <v>86</v>
      </c>
      <c r="BD118" s="1" t="s">
        <v>86</v>
      </c>
      <c r="BE118" s="1" t="s">
        <v>86</v>
      </c>
      <c r="BF118" s="1" t="s">
        <v>86</v>
      </c>
      <c r="BG118" s="1" t="s">
        <v>86</v>
      </c>
      <c r="BH118" s="1" t="s">
        <v>429</v>
      </c>
      <c r="BI118" s="1" t="s">
        <v>703</v>
      </c>
      <c r="BJ118" s="1" t="s">
        <v>87</v>
      </c>
      <c r="BK118" s="1">
        <v>0</v>
      </c>
      <c r="BL118" s="1">
        <v>0</v>
      </c>
      <c r="BM118" s="1" t="s">
        <v>398</v>
      </c>
      <c r="BN118" s="1" t="s">
        <v>823</v>
      </c>
      <c r="BO118" s="1" t="s">
        <v>407</v>
      </c>
      <c r="BP118" s="1" t="s">
        <v>86</v>
      </c>
      <c r="BQ118" s="1" t="s">
        <v>86</v>
      </c>
      <c r="BR118" s="1" t="s">
        <v>86</v>
      </c>
      <c r="BS118" s="1" t="s">
        <v>86</v>
      </c>
      <c r="BT118" s="1" t="s">
        <v>86</v>
      </c>
      <c r="BU118" s="1" t="s">
        <v>163</v>
      </c>
      <c r="BV118" s="1" t="s">
        <v>86</v>
      </c>
      <c r="BW118" s="1" t="s">
        <v>101</v>
      </c>
      <c r="BX118" s="1" t="s">
        <v>423</v>
      </c>
      <c r="BY118" s="1" t="s">
        <v>86</v>
      </c>
      <c r="BZ118" s="1" t="s">
        <v>824</v>
      </c>
      <c r="CA118" s="1" t="s">
        <v>825</v>
      </c>
      <c r="CB118" s="1" t="s">
        <v>156</v>
      </c>
      <c r="CC118" s="1" t="s">
        <v>86</v>
      </c>
      <c r="CD118" s="1" t="s">
        <v>86</v>
      </c>
      <c r="CE118" s="1" t="s">
        <v>86</v>
      </c>
    </row>
    <row r="119">
      <c r="A119" s="1">
        <v>117</v>
      </c>
      <c r="B119" s="1" t="s">
        <v>395</v>
      </c>
      <c r="C119" s="2">
        <f>=HYPERLINK("https://i.stonehdfile.com/stoneimage?s=b5a93337-1af4-4778-95f9-80932aefaa9e","Image")</f>
      </c>
      <c r="D119" s="2">
        <f>=HYPERLINK("https://dna.stonehdfile.com/hd/viewhd.html?d=5f0c244a-db0f-4009-9a7d-863da976c288","View360")</f>
      </c>
      <c r="E119" s="2">
        <f>=HYPERLINK("https://i.stonehdfile.com/Certificate?s=b5a93337-1af4-4778-95f9-80932aefaa9e","GIA")</f>
      </c>
      <c r="F119" s="2">
        <f>=HYPERLINK("https://i.stonehdfile.com/DNAReport?s=b5a93337-1af4-4778-95f9-80932aefaa9e","DNA")</f>
      </c>
      <c r="G119" s="2">
        <f>=HYPERLINK("https://www.gia.edu/report-check?reportno=******1432","Verify")</f>
      </c>
      <c r="H119" s="1" t="s">
        <v>826</v>
      </c>
      <c r="I119" s="1" t="s">
        <v>46</v>
      </c>
      <c r="J119" s="1">
        <v>1.6</v>
      </c>
      <c r="K119" s="1">
        <v>7</v>
      </c>
      <c r="L119" s="1">
        <v>8200</v>
      </c>
      <c r="M119" s="1">
        <v>4245</v>
      </c>
      <c r="N119" s="1">
        <v>6792</v>
      </c>
      <c r="O119" s="1">
        <v>-48.23</v>
      </c>
      <c r="P119" s="1">
        <v>0</v>
      </c>
      <c r="Q119" s="1" t="s">
        <v>86</v>
      </c>
      <c r="R119" s="1">
        <v>0</v>
      </c>
      <c r="S119" s="1" t="s">
        <v>86</v>
      </c>
      <c r="T119" s="1" t="s">
        <v>86</v>
      </c>
      <c r="U119" s="1" t="s">
        <v>118</v>
      </c>
      <c r="V119" s="1" t="s">
        <v>86</v>
      </c>
      <c r="W119" s="1" t="s">
        <v>88</v>
      </c>
      <c r="X119" s="1" t="s">
        <v>86</v>
      </c>
      <c r="Y119" s="1" t="s">
        <v>89</v>
      </c>
      <c r="Z119" s="1" t="s">
        <v>89</v>
      </c>
      <c r="AA119" s="1" t="s">
        <v>119</v>
      </c>
      <c r="AB119" s="1" t="s">
        <v>86</v>
      </c>
      <c r="AC119" s="1" t="s">
        <v>827</v>
      </c>
      <c r="AD119" s="1">
        <v>68.3</v>
      </c>
      <c r="AE119" s="1">
        <v>62</v>
      </c>
      <c r="AF119" s="1" t="s">
        <v>91</v>
      </c>
      <c r="AG119" s="1">
        <v>2.2</v>
      </c>
      <c r="AH119" s="1">
        <v>37.1</v>
      </c>
      <c r="AI119" s="1" t="s">
        <v>86</v>
      </c>
      <c r="AJ119" s="1">
        <v>1.01</v>
      </c>
      <c r="AK119" s="1" t="s">
        <v>111</v>
      </c>
      <c r="AL119" s="1" t="s">
        <v>93</v>
      </c>
      <c r="AM119" s="1" t="s">
        <v>151</v>
      </c>
      <c r="AN119" s="1" t="s">
        <v>86</v>
      </c>
      <c r="AO119" s="1" t="s">
        <v>94</v>
      </c>
      <c r="AP119" s="1" t="s">
        <v>95</v>
      </c>
      <c r="AQ119" s="1">
        <v>14.7</v>
      </c>
      <c r="AR119" s="1">
        <v>51</v>
      </c>
      <c r="AS119" s="1">
        <v>39.4</v>
      </c>
      <c r="AT119" s="1" t="s">
        <v>96</v>
      </c>
      <c r="AU119" s="1" t="s">
        <v>86</v>
      </c>
      <c r="AV119" s="1" t="s">
        <v>86</v>
      </c>
      <c r="AW119" s="1" t="s">
        <v>86</v>
      </c>
      <c r="AX119" s="1" t="s">
        <v>86</v>
      </c>
      <c r="AY119" s="1" t="s">
        <v>86</v>
      </c>
      <c r="AZ119" s="1" t="s">
        <v>86</v>
      </c>
      <c r="BA119" s="1" t="s">
        <v>86</v>
      </c>
      <c r="BB119" s="1" t="s">
        <v>86</v>
      </c>
      <c r="BC119" s="1" t="s">
        <v>86</v>
      </c>
      <c r="BD119" s="1" t="s">
        <v>86</v>
      </c>
      <c r="BE119" s="1" t="s">
        <v>86</v>
      </c>
      <c r="BF119" s="1" t="s">
        <v>86</v>
      </c>
      <c r="BG119" s="1" t="s">
        <v>86</v>
      </c>
      <c r="BH119" s="1" t="s">
        <v>142</v>
      </c>
      <c r="BI119" s="1" t="s">
        <v>420</v>
      </c>
      <c r="BJ119" s="1" t="s">
        <v>87</v>
      </c>
      <c r="BK119" s="1">
        <v>0</v>
      </c>
      <c r="BL119" s="1">
        <v>0</v>
      </c>
      <c r="BM119" s="1" t="s">
        <v>398</v>
      </c>
      <c r="BN119" s="1" t="s">
        <v>828</v>
      </c>
      <c r="BO119" s="1" t="s">
        <v>477</v>
      </c>
      <c r="BP119" s="1" t="s">
        <v>86</v>
      </c>
      <c r="BQ119" s="1" t="s">
        <v>86</v>
      </c>
      <c r="BR119" s="1" t="s">
        <v>86</v>
      </c>
      <c r="BS119" s="1" t="s">
        <v>86</v>
      </c>
      <c r="BT119" s="1" t="s">
        <v>86</v>
      </c>
      <c r="BU119" s="1" t="s">
        <v>163</v>
      </c>
      <c r="BV119" s="1" t="s">
        <v>86</v>
      </c>
      <c r="BW119" s="1" t="s">
        <v>101</v>
      </c>
      <c r="BX119" s="1" t="s">
        <v>478</v>
      </c>
      <c r="BY119" s="1" t="s">
        <v>86</v>
      </c>
      <c r="BZ119" s="1" t="s">
        <v>829</v>
      </c>
      <c r="CA119" s="1" t="s">
        <v>830</v>
      </c>
      <c r="CB119" s="1" t="s">
        <v>86</v>
      </c>
      <c r="CC119" s="1" t="s">
        <v>86</v>
      </c>
      <c r="CD119" s="1" t="s">
        <v>86</v>
      </c>
      <c r="CE119" s="1" t="s">
        <v>86</v>
      </c>
    </row>
    <row r="120">
      <c r="A120" s="1">
        <v>118</v>
      </c>
      <c r="B120" s="1" t="s">
        <v>395</v>
      </c>
      <c r="C120" s="2">
        <f>=HYPERLINK("https://i.stonehdfile.com/stoneimage?s=87155f81-b1ef-42ce-a3a9-f9b65d056671","Image")</f>
      </c>
      <c r="D120" s="2">
        <f>=HYPERLINK("https://dna.stonehdfile.com/hd/viewhd.html?d=7f5117e2-b30a-4001-8284-9c82d9eb61f4","View360")</f>
      </c>
      <c r="E120" s="2">
        <f>=HYPERLINK("https://i.stonehdfile.com/Certificate?s=87155f81-b1ef-42ce-a3a9-f9b65d056671","GIA")</f>
      </c>
      <c r="F120" s="2">
        <f>=HYPERLINK("https://i.stonehdfile.com/DNAReport?s=87155f81-b1ef-42ce-a3a9-f9b65d056671","DNA")</f>
      </c>
      <c r="G120" s="2">
        <f>=HYPERLINK("https://www.gia.edu/report-check?reportno=******6805","Verify")</f>
      </c>
      <c r="H120" s="1" t="s">
        <v>831</v>
      </c>
      <c r="I120" s="1" t="s">
        <v>46</v>
      </c>
      <c r="J120" s="1">
        <v>1.5</v>
      </c>
      <c r="K120" s="1">
        <v>3</v>
      </c>
      <c r="L120" s="1">
        <v>7900</v>
      </c>
      <c r="M120" s="1">
        <v>3861</v>
      </c>
      <c r="N120" s="1">
        <v>5791.5</v>
      </c>
      <c r="O120" s="1">
        <v>-51.13</v>
      </c>
      <c r="P120" s="1">
        <v>0</v>
      </c>
      <c r="Q120" s="1" t="s">
        <v>86</v>
      </c>
      <c r="R120" s="1">
        <v>0</v>
      </c>
      <c r="S120" s="1" t="s">
        <v>86</v>
      </c>
      <c r="T120" s="1" t="s">
        <v>86</v>
      </c>
      <c r="U120" s="1" t="s">
        <v>118</v>
      </c>
      <c r="V120" s="1" t="s">
        <v>86</v>
      </c>
      <c r="W120" s="1" t="s">
        <v>107</v>
      </c>
      <c r="X120" s="1" t="s">
        <v>86</v>
      </c>
      <c r="Y120" s="1" t="s">
        <v>89</v>
      </c>
      <c r="Z120" s="1" t="s">
        <v>89</v>
      </c>
      <c r="AA120" s="1" t="s">
        <v>87</v>
      </c>
      <c r="AB120" s="1" t="s">
        <v>86</v>
      </c>
      <c r="AC120" s="1" t="s">
        <v>832</v>
      </c>
      <c r="AD120" s="1">
        <v>71.1</v>
      </c>
      <c r="AE120" s="1">
        <v>64</v>
      </c>
      <c r="AF120" s="1" t="s">
        <v>91</v>
      </c>
      <c r="AG120" s="1">
        <v>4.4</v>
      </c>
      <c r="AH120" s="1">
        <v>37</v>
      </c>
      <c r="AI120" s="1" t="s">
        <v>86</v>
      </c>
      <c r="AJ120" s="1">
        <v>1.21</v>
      </c>
      <c r="AK120" s="1" t="s">
        <v>111</v>
      </c>
      <c r="AL120" s="1" t="s">
        <v>93</v>
      </c>
      <c r="AM120" s="1" t="s">
        <v>93</v>
      </c>
      <c r="AN120" s="1" t="s">
        <v>86</v>
      </c>
      <c r="AO120" s="1" t="s">
        <v>94</v>
      </c>
      <c r="AP120" s="1" t="s">
        <v>95</v>
      </c>
      <c r="AQ120" s="1">
        <v>13.5</v>
      </c>
      <c r="AR120" s="1">
        <v>53</v>
      </c>
      <c r="AS120" s="1">
        <v>37.9</v>
      </c>
      <c r="AT120" s="1" t="s">
        <v>96</v>
      </c>
      <c r="AU120" s="1" t="s">
        <v>86</v>
      </c>
      <c r="AV120" s="1" t="s">
        <v>86</v>
      </c>
      <c r="AW120" s="1" t="s">
        <v>86</v>
      </c>
      <c r="AX120" s="1" t="s">
        <v>86</v>
      </c>
      <c r="AY120" s="1" t="s">
        <v>86</v>
      </c>
      <c r="AZ120" s="1" t="s">
        <v>86</v>
      </c>
      <c r="BA120" s="1" t="s">
        <v>86</v>
      </c>
      <c r="BB120" s="1" t="s">
        <v>86</v>
      </c>
      <c r="BC120" s="1" t="s">
        <v>86</v>
      </c>
      <c r="BD120" s="1" t="s">
        <v>86</v>
      </c>
      <c r="BE120" s="1" t="s">
        <v>86</v>
      </c>
      <c r="BF120" s="1" t="s">
        <v>86</v>
      </c>
      <c r="BG120" s="1" t="s">
        <v>86</v>
      </c>
      <c r="BH120" s="1" t="s">
        <v>129</v>
      </c>
      <c r="BI120" s="1" t="s">
        <v>833</v>
      </c>
      <c r="BJ120" s="1" t="s">
        <v>87</v>
      </c>
      <c r="BK120" s="1">
        <v>0</v>
      </c>
      <c r="BL120" s="1">
        <v>0</v>
      </c>
      <c r="BM120" s="1" t="s">
        <v>398</v>
      </c>
      <c r="BN120" s="1" t="s">
        <v>834</v>
      </c>
      <c r="BO120" s="1" t="s">
        <v>835</v>
      </c>
      <c r="BP120" s="1" t="s">
        <v>86</v>
      </c>
      <c r="BQ120" s="1" t="s">
        <v>86</v>
      </c>
      <c r="BR120" s="1" t="s">
        <v>86</v>
      </c>
      <c r="BS120" s="1" t="s">
        <v>86</v>
      </c>
      <c r="BT120" s="1" t="s">
        <v>86</v>
      </c>
      <c r="BU120" s="1" t="s">
        <v>163</v>
      </c>
      <c r="BV120" s="1" t="s">
        <v>86</v>
      </c>
      <c r="BW120" s="1" t="s">
        <v>101</v>
      </c>
      <c r="BX120" s="1" t="s">
        <v>478</v>
      </c>
      <c r="BY120" s="1" t="s">
        <v>86</v>
      </c>
      <c r="BZ120" s="1" t="s">
        <v>836</v>
      </c>
      <c r="CA120" s="1" t="s">
        <v>203</v>
      </c>
      <c r="CB120" s="1" t="s">
        <v>86</v>
      </c>
      <c r="CC120" s="1" t="s">
        <v>86</v>
      </c>
      <c r="CD120" s="1" t="s">
        <v>86</v>
      </c>
      <c r="CE120" s="1" t="s">
        <v>86</v>
      </c>
    </row>
    <row r="121">
      <c r="A121" s="1">
        <v>119</v>
      </c>
      <c r="B121" s="1" t="s">
        <v>395</v>
      </c>
      <c r="C121" s="2">
        <f>=HYPERLINK("https://i.stonehdfile.com/stoneimage?s=e9cdf96f-f589-4eb7-8bf6-c3965eea1b77","Image")</f>
      </c>
      <c r="D121" s="2">
        <f>=HYPERLINK("https://dna.stonehdfile.com/hd/viewhd.html?d=2aeb750b-e630-471c-ac1b-10ffd916c697","View360")</f>
      </c>
      <c r="E121" s="2">
        <f>=HYPERLINK("https://i.stonehdfile.com/Certificate?s=e9cdf96f-f589-4eb7-8bf6-c3965eea1b77","GIA")</f>
      </c>
      <c r="F121" s="2">
        <f>=HYPERLINK("https://i.stonehdfile.com/DNAReport?s=e9cdf96f-f589-4eb7-8bf6-c3965eea1b77","DNA")</f>
      </c>
      <c r="G121" s="2">
        <f>=HYPERLINK("https://www.gia.edu/report-check?reportno=******7467","Verify")</f>
      </c>
      <c r="H121" s="1" t="s">
        <v>837</v>
      </c>
      <c r="I121" s="1" t="s">
        <v>46</v>
      </c>
      <c r="J121" s="1">
        <v>1.5</v>
      </c>
      <c r="K121" s="1">
        <v>2</v>
      </c>
      <c r="L121" s="1">
        <v>7900</v>
      </c>
      <c r="M121" s="1">
        <v>4176</v>
      </c>
      <c r="N121" s="1">
        <v>6264</v>
      </c>
      <c r="O121" s="1">
        <v>-47.14</v>
      </c>
      <c r="P121" s="1">
        <v>0</v>
      </c>
      <c r="Q121" s="1" t="s">
        <v>86</v>
      </c>
      <c r="R121" s="1">
        <v>0</v>
      </c>
      <c r="S121" s="1" t="s">
        <v>86</v>
      </c>
      <c r="T121" s="1" t="s">
        <v>86</v>
      </c>
      <c r="U121" s="1" t="s">
        <v>118</v>
      </c>
      <c r="V121" s="1" t="s">
        <v>86</v>
      </c>
      <c r="W121" s="1" t="s">
        <v>107</v>
      </c>
      <c r="X121" s="1" t="s">
        <v>86</v>
      </c>
      <c r="Y121" s="1" t="s">
        <v>89</v>
      </c>
      <c r="Z121" s="1" t="s">
        <v>138</v>
      </c>
      <c r="AA121" s="1" t="s">
        <v>119</v>
      </c>
      <c r="AB121" s="1" t="s">
        <v>86</v>
      </c>
      <c r="AC121" s="1" t="s">
        <v>838</v>
      </c>
      <c r="AD121" s="1">
        <v>67.1</v>
      </c>
      <c r="AE121" s="1">
        <v>63</v>
      </c>
      <c r="AF121" s="1" t="s">
        <v>91</v>
      </c>
      <c r="AG121" s="1">
        <v>3.1</v>
      </c>
      <c r="AH121" s="1">
        <v>36.1</v>
      </c>
      <c r="AI121" s="1" t="s">
        <v>86</v>
      </c>
      <c r="AJ121" s="1">
        <v>1.06</v>
      </c>
      <c r="AK121" s="1" t="s">
        <v>190</v>
      </c>
      <c r="AL121" s="1" t="s">
        <v>93</v>
      </c>
      <c r="AM121" s="1" t="s">
        <v>140</v>
      </c>
      <c r="AN121" s="1" t="s">
        <v>86</v>
      </c>
      <c r="AO121" s="1" t="s">
        <v>94</v>
      </c>
      <c r="AP121" s="1" t="s">
        <v>95</v>
      </c>
      <c r="AQ121" s="1">
        <v>13.6</v>
      </c>
      <c r="AR121" s="1">
        <v>50</v>
      </c>
      <c r="AS121" s="1">
        <v>38.8</v>
      </c>
      <c r="AT121" s="1" t="s">
        <v>96</v>
      </c>
      <c r="AU121" s="1" t="s">
        <v>86</v>
      </c>
      <c r="AV121" s="1" t="s">
        <v>86</v>
      </c>
      <c r="AW121" s="1" t="s">
        <v>86</v>
      </c>
      <c r="AX121" s="1" t="s">
        <v>86</v>
      </c>
      <c r="AY121" s="1" t="s">
        <v>86</v>
      </c>
      <c r="AZ121" s="1" t="s">
        <v>86</v>
      </c>
      <c r="BA121" s="1" t="s">
        <v>86</v>
      </c>
      <c r="BB121" s="1" t="s">
        <v>86</v>
      </c>
      <c r="BC121" s="1" t="s">
        <v>86</v>
      </c>
      <c r="BD121" s="1" t="s">
        <v>86</v>
      </c>
      <c r="BE121" s="1" t="s">
        <v>86</v>
      </c>
      <c r="BF121" s="1" t="s">
        <v>86</v>
      </c>
      <c r="BG121" s="1" t="s">
        <v>86</v>
      </c>
      <c r="BH121" s="1" t="s">
        <v>97</v>
      </c>
      <c r="BI121" s="1" t="s">
        <v>174</v>
      </c>
      <c r="BJ121" s="1" t="s">
        <v>87</v>
      </c>
      <c r="BK121" s="1">
        <v>0</v>
      </c>
      <c r="BL121" s="1">
        <v>0</v>
      </c>
      <c r="BM121" s="1" t="s">
        <v>398</v>
      </c>
      <c r="BN121" s="1" t="s">
        <v>839</v>
      </c>
      <c r="BO121" s="1" t="s">
        <v>840</v>
      </c>
      <c r="BP121" s="1" t="s">
        <v>86</v>
      </c>
      <c r="BQ121" s="1" t="s">
        <v>86</v>
      </c>
      <c r="BR121" s="1" t="s">
        <v>86</v>
      </c>
      <c r="BS121" s="1" t="s">
        <v>86</v>
      </c>
      <c r="BT121" s="1" t="s">
        <v>86</v>
      </c>
      <c r="BU121" s="1" t="s">
        <v>163</v>
      </c>
      <c r="BV121" s="1" t="s">
        <v>86</v>
      </c>
      <c r="BW121" s="1" t="s">
        <v>101</v>
      </c>
      <c r="BX121" s="1" t="s">
        <v>478</v>
      </c>
      <c r="BY121" s="1" t="s">
        <v>86</v>
      </c>
      <c r="BZ121" s="1" t="s">
        <v>841</v>
      </c>
      <c r="CA121" s="1" t="s">
        <v>254</v>
      </c>
      <c r="CB121" s="1" t="s">
        <v>86</v>
      </c>
      <c r="CC121" s="1" t="s">
        <v>86</v>
      </c>
      <c r="CD121" s="1" t="s">
        <v>86</v>
      </c>
      <c r="CE121" s="1" t="s">
        <v>86</v>
      </c>
    </row>
    <row r="122">
      <c r="A122" s="1">
        <v>120</v>
      </c>
      <c r="B122" s="1" t="s">
        <v>395</v>
      </c>
      <c r="C122" s="2">
        <f>=HYPERLINK("https://i.stonehdfile.com/stoneimage?s=b1b254f7-c96a-4a7d-837e-b74aed80a385","Image")</f>
      </c>
      <c r="D122" s="2">
        <f>=HYPERLINK("https://dna.stonehdfile.com/hd/viewhd.html?d=f853c029-81a7-4972-b696-eb2d6c43ee34","View360")</f>
      </c>
      <c r="E122" s="2">
        <f>=HYPERLINK("https://i.stonehdfile.com/Certificate?s=b1b254f7-c96a-4a7d-837e-b74aed80a385","GIA")</f>
      </c>
      <c r="F122" s="2">
        <f>=HYPERLINK("https://i.stonehdfile.com/DNAReport?s=b1b254f7-c96a-4a7d-837e-b74aed80a385","DNA")</f>
      </c>
      <c r="G122" s="2">
        <f>=HYPERLINK("https://www.gia.edu/report-check?reportno=******7391","Verify")</f>
      </c>
      <c r="H122" s="1" t="s">
        <v>842</v>
      </c>
      <c r="I122" s="1" t="s">
        <v>46</v>
      </c>
      <c r="J122" s="1">
        <v>1.51</v>
      </c>
      <c r="K122" s="1">
        <v>7</v>
      </c>
      <c r="L122" s="1">
        <v>7900</v>
      </c>
      <c r="M122" s="1">
        <v>4384</v>
      </c>
      <c r="N122" s="1">
        <v>6619.84</v>
      </c>
      <c r="O122" s="1">
        <v>-44.51</v>
      </c>
      <c r="P122" s="1">
        <v>0</v>
      </c>
      <c r="Q122" s="1" t="s">
        <v>86</v>
      </c>
      <c r="R122" s="1">
        <v>0</v>
      </c>
      <c r="S122" s="1" t="s">
        <v>86</v>
      </c>
      <c r="T122" s="1" t="s">
        <v>86</v>
      </c>
      <c r="U122" s="1" t="s">
        <v>118</v>
      </c>
      <c r="V122" s="1" t="s">
        <v>86</v>
      </c>
      <c r="W122" s="1" t="s">
        <v>107</v>
      </c>
      <c r="X122" s="1" t="s">
        <v>86</v>
      </c>
      <c r="Y122" s="1" t="s">
        <v>89</v>
      </c>
      <c r="Z122" s="1" t="s">
        <v>89</v>
      </c>
      <c r="AA122" s="1" t="s">
        <v>119</v>
      </c>
      <c r="AB122" s="1" t="s">
        <v>86</v>
      </c>
      <c r="AC122" s="1" t="s">
        <v>843</v>
      </c>
      <c r="AD122" s="1">
        <v>66.6</v>
      </c>
      <c r="AE122" s="1">
        <v>61</v>
      </c>
      <c r="AF122" s="1" t="s">
        <v>91</v>
      </c>
      <c r="AG122" s="1">
        <v>2.7</v>
      </c>
      <c r="AH122" s="1">
        <v>35.5</v>
      </c>
      <c r="AI122" s="1" t="s">
        <v>86</v>
      </c>
      <c r="AJ122" s="1">
        <v>1.03</v>
      </c>
      <c r="AK122" s="1" t="s">
        <v>190</v>
      </c>
      <c r="AL122" s="1" t="s">
        <v>93</v>
      </c>
      <c r="AM122" s="1" t="s">
        <v>93</v>
      </c>
      <c r="AN122" s="1" t="s">
        <v>86</v>
      </c>
      <c r="AO122" s="1" t="s">
        <v>94</v>
      </c>
      <c r="AP122" s="1" t="s">
        <v>95</v>
      </c>
      <c r="AQ122" s="1">
        <v>13.8</v>
      </c>
      <c r="AR122" s="1">
        <v>49.8</v>
      </c>
      <c r="AS122" s="1">
        <v>38.7</v>
      </c>
      <c r="AT122" s="1" t="s">
        <v>96</v>
      </c>
      <c r="AU122" s="1" t="s">
        <v>86</v>
      </c>
      <c r="AV122" s="1" t="s">
        <v>86</v>
      </c>
      <c r="AW122" s="1" t="s">
        <v>86</v>
      </c>
      <c r="AX122" s="1" t="s">
        <v>86</v>
      </c>
      <c r="AY122" s="1" t="s">
        <v>86</v>
      </c>
      <c r="AZ122" s="1" t="s">
        <v>86</v>
      </c>
      <c r="BA122" s="1" t="s">
        <v>86</v>
      </c>
      <c r="BB122" s="1" t="s">
        <v>86</v>
      </c>
      <c r="BC122" s="1" t="s">
        <v>86</v>
      </c>
      <c r="BD122" s="1" t="s">
        <v>86</v>
      </c>
      <c r="BE122" s="1" t="s">
        <v>86</v>
      </c>
      <c r="BF122" s="1" t="s">
        <v>86</v>
      </c>
      <c r="BG122" s="1" t="s">
        <v>86</v>
      </c>
      <c r="BH122" s="1" t="s">
        <v>97</v>
      </c>
      <c r="BI122" s="1" t="s">
        <v>430</v>
      </c>
      <c r="BJ122" s="1" t="s">
        <v>87</v>
      </c>
      <c r="BK122" s="1">
        <v>0</v>
      </c>
      <c r="BL122" s="1">
        <v>0</v>
      </c>
      <c r="BM122" s="1" t="s">
        <v>398</v>
      </c>
      <c r="BN122" s="1" t="s">
        <v>844</v>
      </c>
      <c r="BO122" s="1" t="s">
        <v>840</v>
      </c>
      <c r="BP122" s="1" t="s">
        <v>86</v>
      </c>
      <c r="BQ122" s="1" t="s">
        <v>86</v>
      </c>
      <c r="BR122" s="1" t="s">
        <v>86</v>
      </c>
      <c r="BS122" s="1" t="s">
        <v>86</v>
      </c>
      <c r="BT122" s="1" t="s">
        <v>86</v>
      </c>
      <c r="BU122" s="1" t="s">
        <v>163</v>
      </c>
      <c r="BV122" s="1" t="s">
        <v>86</v>
      </c>
      <c r="BW122" s="1" t="s">
        <v>101</v>
      </c>
      <c r="BX122" s="1" t="s">
        <v>478</v>
      </c>
      <c r="BY122" s="1" t="s">
        <v>86</v>
      </c>
      <c r="BZ122" s="1" t="s">
        <v>845</v>
      </c>
      <c r="CA122" s="1" t="s">
        <v>728</v>
      </c>
      <c r="CB122" s="1" t="s">
        <v>86</v>
      </c>
      <c r="CC122" s="1" t="s">
        <v>86</v>
      </c>
      <c r="CD122" s="1" t="s">
        <v>86</v>
      </c>
      <c r="CE122" s="1" t="s">
        <v>86</v>
      </c>
    </row>
    <row r="123">
      <c r="A123" s="1">
        <v>121</v>
      </c>
      <c r="B123" s="1" t="s">
        <v>395</v>
      </c>
      <c r="C123" s="2">
        <f>=HYPERLINK("https://i.stonehdfile.com/stoneimage?s=2c08af5f-5798-4a0c-9d0c-9a4b9c9b02c9","Image")</f>
      </c>
      <c r="D123" s="2">
        <f>=HYPERLINK("https://dna.stonehdfile.com/hd/viewhd.html?d=8d4072a1-3066-42f0-9951-4bfdba6614e6","View360")</f>
      </c>
      <c r="E123" s="2">
        <f>=HYPERLINK("https://i.stonehdfile.com/Certificate?s=2c08af5f-5798-4a0c-9d0c-9a4b9c9b02c9","GIA")</f>
      </c>
      <c r="F123" s="2">
        <f>=HYPERLINK("https://i.stonehdfile.com/DNAReport?s=2c08af5f-5798-4a0c-9d0c-9a4b9c9b02c9","DNA")</f>
      </c>
      <c r="G123" s="2">
        <f>=HYPERLINK("https://www.gia.edu/report-check?reportno=******0699","Verify")</f>
      </c>
      <c r="H123" s="1" t="s">
        <v>846</v>
      </c>
      <c r="I123" s="1" t="s">
        <v>46</v>
      </c>
      <c r="J123" s="1">
        <v>1.5</v>
      </c>
      <c r="K123" s="1">
        <v>8</v>
      </c>
      <c r="L123" s="1">
        <v>7900</v>
      </c>
      <c r="M123" s="1">
        <v>3717</v>
      </c>
      <c r="N123" s="1">
        <v>5575.5</v>
      </c>
      <c r="O123" s="1">
        <v>-52.95</v>
      </c>
      <c r="P123" s="1">
        <v>0</v>
      </c>
      <c r="Q123" s="1" t="s">
        <v>86</v>
      </c>
      <c r="R123" s="1">
        <v>0</v>
      </c>
      <c r="S123" s="1" t="s">
        <v>86</v>
      </c>
      <c r="T123" s="1" t="s">
        <v>86</v>
      </c>
      <c r="U123" s="1" t="s">
        <v>159</v>
      </c>
      <c r="V123" s="1" t="s">
        <v>86</v>
      </c>
      <c r="W123" s="1" t="s">
        <v>149</v>
      </c>
      <c r="X123" s="1" t="s">
        <v>86</v>
      </c>
      <c r="Y123" s="1" t="s">
        <v>89</v>
      </c>
      <c r="Z123" s="1" t="s">
        <v>89</v>
      </c>
      <c r="AA123" s="1" t="s">
        <v>87</v>
      </c>
      <c r="AB123" s="1" t="s">
        <v>86</v>
      </c>
      <c r="AC123" s="1" t="s">
        <v>847</v>
      </c>
      <c r="AD123" s="1">
        <v>69.4</v>
      </c>
      <c r="AE123" s="1">
        <v>61</v>
      </c>
      <c r="AF123" s="1" t="s">
        <v>91</v>
      </c>
      <c r="AG123" s="1">
        <v>4</v>
      </c>
      <c r="AH123" s="1">
        <v>35.8</v>
      </c>
      <c r="AI123" s="1" t="s">
        <v>86</v>
      </c>
      <c r="AJ123" s="1">
        <v>1.15</v>
      </c>
      <c r="AK123" s="1" t="s">
        <v>111</v>
      </c>
      <c r="AL123" s="1" t="s">
        <v>93</v>
      </c>
      <c r="AM123" s="1" t="s">
        <v>93</v>
      </c>
      <c r="AN123" s="1" t="s">
        <v>86</v>
      </c>
      <c r="AO123" s="1" t="s">
        <v>94</v>
      </c>
      <c r="AP123" s="1" t="s">
        <v>95</v>
      </c>
      <c r="AQ123" s="1">
        <v>14.2</v>
      </c>
      <c r="AR123" s="1">
        <v>50.7</v>
      </c>
      <c r="AS123" s="1">
        <v>38.2</v>
      </c>
      <c r="AT123" s="1" t="s">
        <v>96</v>
      </c>
      <c r="AU123" s="1" t="s">
        <v>86</v>
      </c>
      <c r="AV123" s="1" t="s">
        <v>86</v>
      </c>
      <c r="AW123" s="1" t="s">
        <v>86</v>
      </c>
      <c r="AX123" s="1" t="s">
        <v>86</v>
      </c>
      <c r="AY123" s="1" t="s">
        <v>86</v>
      </c>
      <c r="AZ123" s="1" t="s">
        <v>86</v>
      </c>
      <c r="BA123" s="1" t="s">
        <v>86</v>
      </c>
      <c r="BB123" s="1" t="s">
        <v>86</v>
      </c>
      <c r="BC123" s="1" t="s">
        <v>86</v>
      </c>
      <c r="BD123" s="1" t="s">
        <v>86</v>
      </c>
      <c r="BE123" s="1" t="s">
        <v>86</v>
      </c>
      <c r="BF123" s="1" t="s">
        <v>86</v>
      </c>
      <c r="BG123" s="1" t="s">
        <v>86</v>
      </c>
      <c r="BH123" s="1" t="s">
        <v>215</v>
      </c>
      <c r="BI123" s="1" t="s">
        <v>225</v>
      </c>
      <c r="BJ123" s="1" t="s">
        <v>87</v>
      </c>
      <c r="BK123" s="1">
        <v>0</v>
      </c>
      <c r="BL123" s="1">
        <v>0</v>
      </c>
      <c r="BM123" s="1" t="s">
        <v>398</v>
      </c>
      <c r="BN123" s="1" t="s">
        <v>848</v>
      </c>
      <c r="BO123" s="1" t="s">
        <v>276</v>
      </c>
      <c r="BP123" s="1" t="s">
        <v>86</v>
      </c>
      <c r="BQ123" s="1" t="s">
        <v>86</v>
      </c>
      <c r="BR123" s="1" t="s">
        <v>86</v>
      </c>
      <c r="BS123" s="1" t="s">
        <v>86</v>
      </c>
      <c r="BT123" s="1" t="s">
        <v>86</v>
      </c>
      <c r="BU123" s="1" t="s">
        <v>163</v>
      </c>
      <c r="BV123" s="1" t="s">
        <v>86</v>
      </c>
      <c r="BW123" s="1" t="s">
        <v>101</v>
      </c>
      <c r="BX123" s="1" t="s">
        <v>470</v>
      </c>
      <c r="BY123" s="1" t="s">
        <v>86</v>
      </c>
      <c r="BZ123" s="1" t="s">
        <v>849</v>
      </c>
      <c r="CA123" s="1" t="s">
        <v>220</v>
      </c>
      <c r="CB123" s="1" t="s">
        <v>269</v>
      </c>
      <c r="CC123" s="1" t="s">
        <v>86</v>
      </c>
      <c r="CD123" s="1" t="s">
        <v>86</v>
      </c>
      <c r="CE123" s="1" t="s">
        <v>86</v>
      </c>
    </row>
    <row r="124">
      <c r="A124" s="1">
        <v>122</v>
      </c>
      <c r="B124" s="1" t="s">
        <v>395</v>
      </c>
      <c r="C124" s="2">
        <f>=HYPERLINK("https://i.stonehdfile.com/stoneimage?s=419a30df-5ef1-49db-87e9-18033a68f573","Image")</f>
      </c>
      <c r="D124" s="2">
        <f>=HYPERLINK("https://dna.stonehdfile.com/hd/viewhd.html?d=3f14f6d7-4746-4b4c-8f6e-c7209fca1c29","View360")</f>
      </c>
      <c r="E124" s="2">
        <f>=HYPERLINK("https://i.stonehdfile.com/Certificate?s=419a30df-5ef1-49db-87e9-18033a68f573","GIA")</f>
      </c>
      <c r="F124" s="2">
        <f>=HYPERLINK("https://i.stonehdfile.com/DNAReport?s=419a30df-5ef1-49db-87e9-18033a68f573","DNA")</f>
      </c>
      <c r="G124" s="2">
        <f>=HYPERLINK("https://www.gia.edu/report-check?reportno=******2738","Verify")</f>
      </c>
      <c r="H124" s="1" t="s">
        <v>850</v>
      </c>
      <c r="I124" s="1" t="s">
        <v>46</v>
      </c>
      <c r="J124" s="1">
        <v>1.5</v>
      </c>
      <c r="K124" s="1">
        <v>1</v>
      </c>
      <c r="L124" s="1">
        <v>7900</v>
      </c>
      <c r="M124" s="1">
        <v>3445</v>
      </c>
      <c r="N124" s="1">
        <v>5167.5</v>
      </c>
      <c r="O124" s="1">
        <v>-56.39</v>
      </c>
      <c r="P124" s="1">
        <v>0</v>
      </c>
      <c r="Q124" s="1" t="s">
        <v>86</v>
      </c>
      <c r="R124" s="1">
        <v>0</v>
      </c>
      <c r="S124" s="1" t="s">
        <v>86</v>
      </c>
      <c r="T124" s="1" t="s">
        <v>86</v>
      </c>
      <c r="U124" s="1" t="s">
        <v>159</v>
      </c>
      <c r="V124" s="1" t="s">
        <v>86</v>
      </c>
      <c r="W124" s="1" t="s">
        <v>149</v>
      </c>
      <c r="X124" s="1" t="s">
        <v>86</v>
      </c>
      <c r="Y124" s="1" t="s">
        <v>89</v>
      </c>
      <c r="Z124" s="1" t="s">
        <v>89</v>
      </c>
      <c r="AA124" s="1" t="s">
        <v>119</v>
      </c>
      <c r="AB124" s="1" t="s">
        <v>86</v>
      </c>
      <c r="AC124" s="1" t="s">
        <v>851</v>
      </c>
      <c r="AD124" s="1">
        <v>70.9</v>
      </c>
      <c r="AE124" s="1">
        <v>59</v>
      </c>
      <c r="AF124" s="1" t="s">
        <v>91</v>
      </c>
      <c r="AG124" s="1">
        <v>3.7</v>
      </c>
      <c r="AH124" s="1">
        <v>36.1</v>
      </c>
      <c r="AI124" s="1" t="s">
        <v>86</v>
      </c>
      <c r="AJ124" s="1">
        <v>1.13</v>
      </c>
      <c r="AK124" s="1" t="s">
        <v>111</v>
      </c>
      <c r="AL124" s="1" t="s">
        <v>93</v>
      </c>
      <c r="AM124" s="1" t="s">
        <v>93</v>
      </c>
      <c r="AN124" s="1" t="s">
        <v>86</v>
      </c>
      <c r="AO124" s="1" t="s">
        <v>94</v>
      </c>
      <c r="AP124" s="1" t="s">
        <v>95</v>
      </c>
      <c r="AQ124" s="1">
        <v>15</v>
      </c>
      <c r="AR124" s="1">
        <v>51.7</v>
      </c>
      <c r="AS124" s="1">
        <v>37.7</v>
      </c>
      <c r="AT124" s="1" t="s">
        <v>96</v>
      </c>
      <c r="AU124" s="1" t="s">
        <v>141</v>
      </c>
      <c r="AV124" s="1" t="s">
        <v>86</v>
      </c>
      <c r="AW124" s="1" t="s">
        <v>86</v>
      </c>
      <c r="AX124" s="1" t="s">
        <v>86</v>
      </c>
      <c r="AY124" s="1" t="s">
        <v>86</v>
      </c>
      <c r="AZ124" s="1" t="s">
        <v>86</v>
      </c>
      <c r="BA124" s="1" t="s">
        <v>86</v>
      </c>
      <c r="BB124" s="1" t="s">
        <v>86</v>
      </c>
      <c r="BC124" s="1" t="s">
        <v>86</v>
      </c>
      <c r="BD124" s="1" t="s">
        <v>86</v>
      </c>
      <c r="BE124" s="1" t="s">
        <v>86</v>
      </c>
      <c r="BF124" s="1" t="s">
        <v>86</v>
      </c>
      <c r="BG124" s="1" t="s">
        <v>86</v>
      </c>
      <c r="BH124" s="1" t="s">
        <v>215</v>
      </c>
      <c r="BI124" s="1" t="s">
        <v>459</v>
      </c>
      <c r="BJ124" s="1" t="s">
        <v>87</v>
      </c>
      <c r="BK124" s="1">
        <v>0</v>
      </c>
      <c r="BL124" s="1">
        <v>0</v>
      </c>
      <c r="BM124" s="1" t="s">
        <v>86</v>
      </c>
      <c r="BN124" s="1" t="s">
        <v>852</v>
      </c>
      <c r="BO124" s="1" t="s">
        <v>853</v>
      </c>
      <c r="BP124" s="1" t="s">
        <v>86</v>
      </c>
      <c r="BQ124" s="1" t="s">
        <v>86</v>
      </c>
      <c r="BR124" s="1" t="s">
        <v>86</v>
      </c>
      <c r="BS124" s="1" t="s">
        <v>86</v>
      </c>
      <c r="BT124" s="1" t="s">
        <v>86</v>
      </c>
      <c r="BU124" s="1" t="s">
        <v>163</v>
      </c>
      <c r="BV124" s="1" t="s">
        <v>86</v>
      </c>
      <c r="BW124" s="1" t="s">
        <v>101</v>
      </c>
      <c r="BX124" s="1" t="s">
        <v>401</v>
      </c>
      <c r="BY124" s="1" t="s">
        <v>86</v>
      </c>
      <c r="BZ124" s="1" t="s">
        <v>854</v>
      </c>
      <c r="CA124" s="1" t="s">
        <v>855</v>
      </c>
      <c r="CB124" s="1" t="s">
        <v>156</v>
      </c>
      <c r="CC124" s="1" t="s">
        <v>86</v>
      </c>
      <c r="CD124" s="1" t="s">
        <v>86</v>
      </c>
      <c r="CE124" s="1" t="s">
        <v>86</v>
      </c>
    </row>
    <row r="125">
      <c r="A125" s="1">
        <v>123</v>
      </c>
      <c r="B125" s="1" t="s">
        <v>395</v>
      </c>
      <c r="C125" s="2">
        <f>=HYPERLINK("https://i.stonehdfile.com/stoneimage?s=94d17b91-fe8e-45f2-b128-782e55adac07","Image")</f>
      </c>
      <c r="D125" s="2">
        <f>=HYPERLINK("https://dna.stonehdfile.com/hd/viewhd.html?d=e6e34b15-5930-443a-8cac-a62464c50175","View360")</f>
      </c>
      <c r="E125" s="2">
        <f>=HYPERLINK("https://i.stonehdfile.com/Certificate?s=94d17b91-fe8e-45f2-b128-782e55adac07","GIA")</f>
      </c>
      <c r="F125" s="2">
        <f>=HYPERLINK("https://i.stonehdfile.com/DNAReport?s=94d17b91-fe8e-45f2-b128-782e55adac07","DNA")</f>
      </c>
      <c r="G125" s="2">
        <f>=HYPERLINK("https://www.gia.edu/report-check?reportno=******7701","Verify")</f>
      </c>
      <c r="H125" s="1" t="s">
        <v>856</v>
      </c>
      <c r="I125" s="1" t="s">
        <v>46</v>
      </c>
      <c r="J125" s="1">
        <v>1.5</v>
      </c>
      <c r="K125" s="1">
        <v>1</v>
      </c>
      <c r="L125" s="1">
        <v>7900</v>
      </c>
      <c r="M125" s="1">
        <v>4559</v>
      </c>
      <c r="N125" s="1">
        <v>6838.5</v>
      </c>
      <c r="O125" s="1">
        <v>-42.29</v>
      </c>
      <c r="P125" s="1">
        <v>0</v>
      </c>
      <c r="Q125" s="1" t="s">
        <v>86</v>
      </c>
      <c r="R125" s="1">
        <v>0</v>
      </c>
      <c r="S125" s="1" t="s">
        <v>86</v>
      </c>
      <c r="T125" s="1" t="s">
        <v>86</v>
      </c>
      <c r="U125" s="1" t="s">
        <v>159</v>
      </c>
      <c r="V125" s="1" t="s">
        <v>86</v>
      </c>
      <c r="W125" s="1" t="s">
        <v>149</v>
      </c>
      <c r="X125" s="1" t="s">
        <v>86</v>
      </c>
      <c r="Y125" s="1" t="s">
        <v>89</v>
      </c>
      <c r="Z125" s="1" t="s">
        <v>89</v>
      </c>
      <c r="AA125" s="1" t="s">
        <v>119</v>
      </c>
      <c r="AB125" s="1" t="s">
        <v>86</v>
      </c>
      <c r="AC125" s="1" t="s">
        <v>857</v>
      </c>
      <c r="AD125" s="1">
        <v>65.1</v>
      </c>
      <c r="AE125" s="1">
        <v>65</v>
      </c>
      <c r="AF125" s="1" t="s">
        <v>91</v>
      </c>
      <c r="AG125" s="1">
        <v>2.6</v>
      </c>
      <c r="AH125" s="1">
        <v>34.4</v>
      </c>
      <c r="AI125" s="1" t="s">
        <v>86</v>
      </c>
      <c r="AJ125" s="1">
        <v>1.22</v>
      </c>
      <c r="AK125" s="1" t="s">
        <v>111</v>
      </c>
      <c r="AL125" s="1" t="s">
        <v>93</v>
      </c>
      <c r="AM125" s="1" t="s">
        <v>93</v>
      </c>
      <c r="AN125" s="1" t="s">
        <v>86</v>
      </c>
      <c r="AO125" s="1" t="s">
        <v>94</v>
      </c>
      <c r="AP125" s="1" t="s">
        <v>95</v>
      </c>
      <c r="AQ125" s="1">
        <v>12.2</v>
      </c>
      <c r="AR125" s="1">
        <v>50.1</v>
      </c>
      <c r="AS125" s="1">
        <v>36.6</v>
      </c>
      <c r="AT125" s="1" t="s">
        <v>96</v>
      </c>
      <c r="AU125" s="1" t="s">
        <v>86</v>
      </c>
      <c r="AV125" s="1" t="s">
        <v>86</v>
      </c>
      <c r="AW125" s="1" t="s">
        <v>86</v>
      </c>
      <c r="AX125" s="1" t="s">
        <v>86</v>
      </c>
      <c r="AY125" s="1" t="s">
        <v>86</v>
      </c>
      <c r="AZ125" s="1" t="s">
        <v>86</v>
      </c>
      <c r="BA125" s="1" t="s">
        <v>86</v>
      </c>
      <c r="BB125" s="1" t="s">
        <v>86</v>
      </c>
      <c r="BC125" s="1" t="s">
        <v>86</v>
      </c>
      <c r="BD125" s="1" t="s">
        <v>86</v>
      </c>
      <c r="BE125" s="1" t="s">
        <v>86</v>
      </c>
      <c r="BF125" s="1" t="s">
        <v>86</v>
      </c>
      <c r="BG125" s="1" t="s">
        <v>172</v>
      </c>
      <c r="BH125" s="1" t="s">
        <v>173</v>
      </c>
      <c r="BI125" s="1" t="s">
        <v>335</v>
      </c>
      <c r="BJ125" s="1" t="s">
        <v>87</v>
      </c>
      <c r="BK125" s="1">
        <v>0</v>
      </c>
      <c r="BL125" s="1">
        <v>0</v>
      </c>
      <c r="BM125" s="1" t="s">
        <v>398</v>
      </c>
      <c r="BN125" s="1" t="s">
        <v>858</v>
      </c>
      <c r="BO125" s="1" t="s">
        <v>176</v>
      </c>
      <c r="BP125" s="1" t="s">
        <v>86</v>
      </c>
      <c r="BQ125" s="1" t="s">
        <v>86</v>
      </c>
      <c r="BR125" s="1" t="s">
        <v>86</v>
      </c>
      <c r="BS125" s="1" t="s">
        <v>86</v>
      </c>
      <c r="BT125" s="1" t="s">
        <v>86</v>
      </c>
      <c r="BU125" s="1" t="s">
        <v>163</v>
      </c>
      <c r="BV125" s="1" t="s">
        <v>86</v>
      </c>
      <c r="BW125" s="1" t="s">
        <v>101</v>
      </c>
      <c r="BX125" s="1" t="s">
        <v>401</v>
      </c>
      <c r="BY125" s="1" t="s">
        <v>86</v>
      </c>
      <c r="BZ125" s="1" t="s">
        <v>859</v>
      </c>
      <c r="CA125" s="1" t="s">
        <v>606</v>
      </c>
      <c r="CB125" s="1" t="s">
        <v>700</v>
      </c>
      <c r="CC125" s="1" t="s">
        <v>86</v>
      </c>
      <c r="CD125" s="1" t="s">
        <v>86</v>
      </c>
      <c r="CE125" s="1" t="s">
        <v>86</v>
      </c>
    </row>
    <row r="126">
      <c r="A126" s="1">
        <v>124</v>
      </c>
      <c r="B126" s="1" t="s">
        <v>395</v>
      </c>
      <c r="C126" s="2">
        <f>=HYPERLINK("https://i.stonehdfile.com/stoneimage?s=1aed41f0-f52a-4afe-b00e-2f1e1183fe3d","Image")</f>
      </c>
      <c r="D126" s="2">
        <f>=HYPERLINK("https://dna.stonehdfile.com/hd/viewhd.html?d=295477a4-321a-4b05-a2ff-e3a0ab7ab061","View360")</f>
      </c>
      <c r="E126" s="2">
        <f>=HYPERLINK("https://i.stonehdfile.com/Certificate?s=1aed41f0-f52a-4afe-b00e-2f1e1183fe3d","GIA")</f>
      </c>
      <c r="F126" s="2">
        <f>=HYPERLINK("https://i.stonehdfile.com/DNAReport?s=1aed41f0-f52a-4afe-b00e-2f1e1183fe3d","DNA")</f>
      </c>
      <c r="G126" s="2">
        <f>=HYPERLINK("https://www.gia.edu/report-check?reportno=******4890","Verify")</f>
      </c>
      <c r="H126" s="1" t="s">
        <v>860</v>
      </c>
      <c r="I126" s="1" t="s">
        <v>46</v>
      </c>
      <c r="J126" s="1">
        <v>1.54</v>
      </c>
      <c r="K126" s="1">
        <v>2</v>
      </c>
      <c r="L126" s="1">
        <v>7900</v>
      </c>
      <c r="M126" s="1">
        <v>4032</v>
      </c>
      <c r="N126" s="1">
        <v>6209.28</v>
      </c>
      <c r="O126" s="1">
        <v>-48.96</v>
      </c>
      <c r="P126" s="1">
        <v>0</v>
      </c>
      <c r="Q126" s="1" t="s">
        <v>86</v>
      </c>
      <c r="R126" s="1">
        <v>0</v>
      </c>
      <c r="S126" s="1" t="s">
        <v>86</v>
      </c>
      <c r="T126" s="1" t="s">
        <v>86</v>
      </c>
      <c r="U126" s="1" t="s">
        <v>118</v>
      </c>
      <c r="V126" s="1" t="s">
        <v>86</v>
      </c>
      <c r="W126" s="1" t="s">
        <v>149</v>
      </c>
      <c r="X126" s="1" t="s">
        <v>86</v>
      </c>
      <c r="Y126" s="1" t="s">
        <v>89</v>
      </c>
      <c r="Z126" s="1" t="s">
        <v>89</v>
      </c>
      <c r="AA126" s="1" t="s">
        <v>119</v>
      </c>
      <c r="AB126" s="1" t="s">
        <v>86</v>
      </c>
      <c r="AC126" s="1" t="s">
        <v>861</v>
      </c>
      <c r="AD126" s="1">
        <v>68.4</v>
      </c>
      <c r="AE126" s="1">
        <v>64</v>
      </c>
      <c r="AF126" s="1" t="s">
        <v>91</v>
      </c>
      <c r="AG126" s="1">
        <v>2.5</v>
      </c>
      <c r="AH126" s="1">
        <v>34.8</v>
      </c>
      <c r="AI126" s="1" t="s">
        <v>86</v>
      </c>
      <c r="AJ126" s="1">
        <v>1.07</v>
      </c>
      <c r="AK126" s="1" t="s">
        <v>111</v>
      </c>
      <c r="AL126" s="1" t="s">
        <v>93</v>
      </c>
      <c r="AM126" s="1" t="s">
        <v>128</v>
      </c>
      <c r="AN126" s="1" t="s">
        <v>86</v>
      </c>
      <c r="AO126" s="1" t="s">
        <v>94</v>
      </c>
      <c r="AP126" s="1" t="s">
        <v>95</v>
      </c>
      <c r="AQ126" s="1">
        <v>12.3</v>
      </c>
      <c r="AR126" s="1">
        <v>53.3</v>
      </c>
      <c r="AS126" s="1">
        <v>40.5</v>
      </c>
      <c r="AT126" s="1" t="s">
        <v>96</v>
      </c>
      <c r="AU126" s="1" t="s">
        <v>86</v>
      </c>
      <c r="AV126" s="1" t="s">
        <v>86</v>
      </c>
      <c r="AW126" s="1" t="s">
        <v>86</v>
      </c>
      <c r="AX126" s="1" t="s">
        <v>86</v>
      </c>
      <c r="AY126" s="1" t="s">
        <v>86</v>
      </c>
      <c r="AZ126" s="1" t="s">
        <v>86</v>
      </c>
      <c r="BA126" s="1" t="s">
        <v>86</v>
      </c>
      <c r="BB126" s="1" t="s">
        <v>86</v>
      </c>
      <c r="BC126" s="1" t="s">
        <v>86</v>
      </c>
      <c r="BD126" s="1" t="s">
        <v>86</v>
      </c>
      <c r="BE126" s="1" t="s">
        <v>86</v>
      </c>
      <c r="BF126" s="1" t="s">
        <v>86</v>
      </c>
      <c r="BG126" s="1" t="s">
        <v>86</v>
      </c>
      <c r="BH126" s="1" t="s">
        <v>142</v>
      </c>
      <c r="BI126" s="1" t="s">
        <v>328</v>
      </c>
      <c r="BJ126" s="1" t="s">
        <v>87</v>
      </c>
      <c r="BK126" s="1">
        <v>0</v>
      </c>
      <c r="BL126" s="1">
        <v>0</v>
      </c>
      <c r="BM126" s="1" t="s">
        <v>398</v>
      </c>
      <c r="BN126" s="1" t="s">
        <v>862</v>
      </c>
      <c r="BO126" s="1" t="s">
        <v>767</v>
      </c>
      <c r="BP126" s="1" t="s">
        <v>86</v>
      </c>
      <c r="BQ126" s="1" t="s">
        <v>86</v>
      </c>
      <c r="BR126" s="1" t="s">
        <v>86</v>
      </c>
      <c r="BS126" s="1" t="s">
        <v>86</v>
      </c>
      <c r="BT126" s="1" t="s">
        <v>86</v>
      </c>
      <c r="BU126" s="1" t="s">
        <v>163</v>
      </c>
      <c r="BV126" s="1" t="s">
        <v>86</v>
      </c>
      <c r="BW126" s="1" t="s">
        <v>101</v>
      </c>
      <c r="BX126" s="1" t="s">
        <v>478</v>
      </c>
      <c r="BY126" s="1" t="s">
        <v>86</v>
      </c>
      <c r="BZ126" s="1" t="s">
        <v>863</v>
      </c>
      <c r="CA126" s="1" t="s">
        <v>278</v>
      </c>
      <c r="CB126" s="1" t="s">
        <v>269</v>
      </c>
      <c r="CC126" s="1" t="s">
        <v>86</v>
      </c>
      <c r="CD126" s="1" t="s">
        <v>86</v>
      </c>
      <c r="CE126" s="1" t="s">
        <v>86</v>
      </c>
    </row>
    <row r="127">
      <c r="A127" s="1">
        <v>125</v>
      </c>
      <c r="B127" s="1" t="s">
        <v>395</v>
      </c>
      <c r="C127" s="2">
        <f>=HYPERLINK("https://i.stonehdfile.com/stoneimage?s=1d57b8aa-dad2-459f-b0e7-be19659b29fd","Image")</f>
      </c>
      <c r="D127" s="2">
        <f>=HYPERLINK("https://dna.stonehdfile.com/hd/viewhd.html?d=d76685c9-5362-480f-a7d5-9bee348c6ea7","View360")</f>
      </c>
      <c r="E127" s="2">
        <f>=HYPERLINK("https://i.stonehdfile.com/Certificate?s=1d57b8aa-dad2-459f-b0e7-be19659b29fd","GIA")</f>
      </c>
      <c r="F127" s="2">
        <f>=HYPERLINK("https://i.stonehdfile.com/DNAReport?s=1d57b8aa-dad2-459f-b0e7-be19659b29fd","DNA")</f>
      </c>
      <c r="G127" s="2">
        <f>=HYPERLINK("https://www.gia.edu/report-check?reportno=******2200","Verify")</f>
      </c>
      <c r="H127" s="1" t="s">
        <v>864</v>
      </c>
      <c r="I127" s="1" t="s">
        <v>46</v>
      </c>
      <c r="J127" s="1">
        <v>1.55</v>
      </c>
      <c r="K127" s="1">
        <v>7</v>
      </c>
      <c r="L127" s="1">
        <v>7900</v>
      </c>
      <c r="M127" s="1">
        <v>3940</v>
      </c>
      <c r="N127" s="1">
        <v>6107</v>
      </c>
      <c r="O127" s="1">
        <v>-50.13</v>
      </c>
      <c r="P127" s="1">
        <v>0</v>
      </c>
      <c r="Q127" s="1" t="s">
        <v>86</v>
      </c>
      <c r="R127" s="1">
        <v>0</v>
      </c>
      <c r="S127" s="1" t="s">
        <v>86</v>
      </c>
      <c r="T127" s="1" t="s">
        <v>86</v>
      </c>
      <c r="U127" s="1" t="s">
        <v>159</v>
      </c>
      <c r="V127" s="1" t="s">
        <v>86</v>
      </c>
      <c r="W127" s="1" t="s">
        <v>149</v>
      </c>
      <c r="X127" s="1" t="s">
        <v>86</v>
      </c>
      <c r="Y127" s="1" t="s">
        <v>138</v>
      </c>
      <c r="Z127" s="1" t="s">
        <v>138</v>
      </c>
      <c r="AA127" s="1" t="s">
        <v>108</v>
      </c>
      <c r="AB127" s="1" t="s">
        <v>109</v>
      </c>
      <c r="AC127" s="1" t="s">
        <v>865</v>
      </c>
      <c r="AD127" s="1">
        <v>67.3</v>
      </c>
      <c r="AE127" s="1">
        <v>63</v>
      </c>
      <c r="AF127" s="1" t="s">
        <v>91</v>
      </c>
      <c r="AG127" s="1">
        <v>2.8</v>
      </c>
      <c r="AH127" s="1">
        <v>34.4</v>
      </c>
      <c r="AI127" s="1" t="s">
        <v>86</v>
      </c>
      <c r="AJ127" s="1">
        <v>1.25</v>
      </c>
      <c r="AK127" s="1" t="s">
        <v>190</v>
      </c>
      <c r="AL127" s="1" t="s">
        <v>93</v>
      </c>
      <c r="AM127" s="1" t="s">
        <v>93</v>
      </c>
      <c r="AN127" s="1" t="s">
        <v>86</v>
      </c>
      <c r="AO127" s="1" t="s">
        <v>94</v>
      </c>
      <c r="AP127" s="1" t="s">
        <v>95</v>
      </c>
      <c r="AQ127" s="1">
        <v>12.6</v>
      </c>
      <c r="AR127" s="1">
        <v>51.8</v>
      </c>
      <c r="AS127" s="1">
        <v>38.2</v>
      </c>
      <c r="AT127" s="1" t="s">
        <v>96</v>
      </c>
      <c r="AU127" s="1" t="s">
        <v>86</v>
      </c>
      <c r="AV127" s="1" t="s">
        <v>86</v>
      </c>
      <c r="AW127" s="1" t="s">
        <v>86</v>
      </c>
      <c r="AX127" s="1" t="s">
        <v>86</v>
      </c>
      <c r="AY127" s="1" t="s">
        <v>86</v>
      </c>
      <c r="AZ127" s="1" t="s">
        <v>86</v>
      </c>
      <c r="BA127" s="1" t="s">
        <v>86</v>
      </c>
      <c r="BB127" s="1" t="s">
        <v>86</v>
      </c>
      <c r="BC127" s="1" t="s">
        <v>86</v>
      </c>
      <c r="BD127" s="1" t="s">
        <v>86</v>
      </c>
      <c r="BE127" s="1" t="s">
        <v>86</v>
      </c>
      <c r="BF127" s="1" t="s">
        <v>86</v>
      </c>
      <c r="BG127" s="1" t="s">
        <v>86</v>
      </c>
      <c r="BH127" s="1" t="s">
        <v>97</v>
      </c>
      <c r="BI127" s="1" t="s">
        <v>322</v>
      </c>
      <c r="BJ127" s="1" t="s">
        <v>87</v>
      </c>
      <c r="BK127" s="1">
        <v>0</v>
      </c>
      <c r="BL127" s="1">
        <v>0</v>
      </c>
      <c r="BM127" s="1" t="s">
        <v>398</v>
      </c>
      <c r="BN127" s="1" t="s">
        <v>866</v>
      </c>
      <c r="BO127" s="1" t="s">
        <v>413</v>
      </c>
      <c r="BP127" s="1" t="s">
        <v>86</v>
      </c>
      <c r="BQ127" s="1" t="s">
        <v>86</v>
      </c>
      <c r="BR127" s="1" t="s">
        <v>86</v>
      </c>
      <c r="BS127" s="1" t="s">
        <v>86</v>
      </c>
      <c r="BT127" s="1" t="s">
        <v>86</v>
      </c>
      <c r="BU127" s="1" t="s">
        <v>163</v>
      </c>
      <c r="BV127" s="1" t="s">
        <v>86</v>
      </c>
      <c r="BW127" s="1" t="s">
        <v>101</v>
      </c>
      <c r="BX127" s="1" t="s">
        <v>867</v>
      </c>
      <c r="BY127" s="1" t="s">
        <v>86</v>
      </c>
      <c r="BZ127" s="1" t="s">
        <v>868</v>
      </c>
      <c r="CA127" s="1" t="s">
        <v>487</v>
      </c>
      <c r="CB127" s="1" t="s">
        <v>156</v>
      </c>
      <c r="CC127" s="1" t="s">
        <v>86</v>
      </c>
      <c r="CD127" s="1" t="s">
        <v>86</v>
      </c>
      <c r="CE127" s="1" t="s">
        <v>86</v>
      </c>
    </row>
    <row r="128">
      <c r="A128" s="1">
        <v>126</v>
      </c>
      <c r="B128" s="1" t="s">
        <v>395</v>
      </c>
      <c r="C128" s="2">
        <f>=HYPERLINK("https://i.stonehdfile.com/stoneimage?s=27d49036-1576-4992-8241-84f75505cbe9","Image")</f>
      </c>
      <c r="D128" s="2">
        <f>=HYPERLINK("https://dna.stonehdfile.com/hd/viewhd.html?d=5fc3a0c5-8700-46be-b828-2d7a72af5692","View360")</f>
      </c>
      <c r="E128" s="2">
        <f>=HYPERLINK("https://i.stonehdfile.com/Certificate?s=27d49036-1576-4992-8241-84f75505cbe9","GIA")</f>
      </c>
      <c r="F128" s="2">
        <f>=HYPERLINK("https://i.stonehdfile.com/DNAReport?s=27d49036-1576-4992-8241-84f75505cbe9","DNA")</f>
      </c>
      <c r="G128" s="2">
        <f>=HYPERLINK("https://www.gia.edu/report-check?reportno=******9816","Verify")</f>
      </c>
      <c r="H128" s="1" t="s">
        <v>869</v>
      </c>
      <c r="I128" s="1" t="s">
        <v>46</v>
      </c>
      <c r="J128" s="1">
        <v>1.6</v>
      </c>
      <c r="K128" s="1">
        <v>2</v>
      </c>
      <c r="L128" s="1">
        <v>7900</v>
      </c>
      <c r="M128" s="1">
        <v>4538</v>
      </c>
      <c r="N128" s="1">
        <v>7260.8</v>
      </c>
      <c r="O128" s="1">
        <v>-42.56</v>
      </c>
      <c r="P128" s="1">
        <v>0</v>
      </c>
      <c r="Q128" s="1" t="s">
        <v>86</v>
      </c>
      <c r="R128" s="1">
        <v>0</v>
      </c>
      <c r="S128" s="1" t="s">
        <v>86</v>
      </c>
      <c r="T128" s="1" t="s">
        <v>86</v>
      </c>
      <c r="U128" s="1" t="s">
        <v>159</v>
      </c>
      <c r="V128" s="1" t="s">
        <v>86</v>
      </c>
      <c r="W128" s="1" t="s">
        <v>149</v>
      </c>
      <c r="X128" s="1" t="s">
        <v>86</v>
      </c>
      <c r="Y128" s="1" t="s">
        <v>89</v>
      </c>
      <c r="Z128" s="1" t="s">
        <v>138</v>
      </c>
      <c r="AA128" s="1" t="s">
        <v>119</v>
      </c>
      <c r="AB128" s="1" t="s">
        <v>86</v>
      </c>
      <c r="AC128" s="1" t="s">
        <v>870</v>
      </c>
      <c r="AD128" s="1">
        <v>67.2</v>
      </c>
      <c r="AE128" s="1">
        <v>63</v>
      </c>
      <c r="AF128" s="1" t="s">
        <v>91</v>
      </c>
      <c r="AG128" s="1">
        <v>2</v>
      </c>
      <c r="AH128" s="1">
        <v>35.3</v>
      </c>
      <c r="AI128" s="1" t="s">
        <v>86</v>
      </c>
      <c r="AJ128" s="1">
        <v>1.18</v>
      </c>
      <c r="AK128" s="1" t="s">
        <v>111</v>
      </c>
      <c r="AL128" s="1" t="s">
        <v>93</v>
      </c>
      <c r="AM128" s="1" t="s">
        <v>140</v>
      </c>
      <c r="AN128" s="1" t="s">
        <v>86</v>
      </c>
      <c r="AO128" s="1" t="s">
        <v>94</v>
      </c>
      <c r="AP128" s="1" t="s">
        <v>95</v>
      </c>
      <c r="AQ128" s="1">
        <v>13.1</v>
      </c>
      <c r="AR128" s="1">
        <v>52.3</v>
      </c>
      <c r="AS128" s="1">
        <v>38.1</v>
      </c>
      <c r="AT128" s="1" t="s">
        <v>96</v>
      </c>
      <c r="AU128" s="1" t="s">
        <v>86</v>
      </c>
      <c r="AV128" s="1" t="s">
        <v>86</v>
      </c>
      <c r="AW128" s="1" t="s">
        <v>86</v>
      </c>
      <c r="AX128" s="1" t="s">
        <v>86</v>
      </c>
      <c r="AY128" s="1" t="s">
        <v>86</v>
      </c>
      <c r="AZ128" s="1" t="s">
        <v>86</v>
      </c>
      <c r="BA128" s="1" t="s">
        <v>86</v>
      </c>
      <c r="BB128" s="1" t="s">
        <v>86</v>
      </c>
      <c r="BC128" s="1" t="s">
        <v>86</v>
      </c>
      <c r="BD128" s="1" t="s">
        <v>86</v>
      </c>
      <c r="BE128" s="1" t="s">
        <v>86</v>
      </c>
      <c r="BF128" s="1" t="s">
        <v>86</v>
      </c>
      <c r="BG128" s="1" t="s">
        <v>86</v>
      </c>
      <c r="BH128" s="1" t="s">
        <v>871</v>
      </c>
      <c r="BI128" s="1" t="s">
        <v>703</v>
      </c>
      <c r="BJ128" s="1" t="s">
        <v>87</v>
      </c>
      <c r="BK128" s="1">
        <v>0</v>
      </c>
      <c r="BL128" s="1">
        <v>0</v>
      </c>
      <c r="BM128" s="1" t="s">
        <v>398</v>
      </c>
      <c r="BN128" s="1" t="s">
        <v>872</v>
      </c>
      <c r="BO128" s="1" t="s">
        <v>317</v>
      </c>
      <c r="BP128" s="1" t="s">
        <v>86</v>
      </c>
      <c r="BQ128" s="1" t="s">
        <v>86</v>
      </c>
      <c r="BR128" s="1" t="s">
        <v>86</v>
      </c>
      <c r="BS128" s="1" t="s">
        <v>86</v>
      </c>
      <c r="BT128" s="1" t="s">
        <v>86</v>
      </c>
      <c r="BU128" s="1" t="s">
        <v>163</v>
      </c>
      <c r="BV128" s="1" t="s">
        <v>86</v>
      </c>
      <c r="BW128" s="1" t="s">
        <v>101</v>
      </c>
      <c r="BX128" s="1" t="s">
        <v>414</v>
      </c>
      <c r="BY128" s="1" t="s">
        <v>86</v>
      </c>
      <c r="BZ128" s="1" t="s">
        <v>873</v>
      </c>
      <c r="CA128" s="1" t="s">
        <v>297</v>
      </c>
      <c r="CB128" s="1" t="s">
        <v>269</v>
      </c>
      <c r="CC128" s="1" t="s">
        <v>86</v>
      </c>
      <c r="CD128" s="1" t="s">
        <v>86</v>
      </c>
      <c r="CE128" s="1" t="s">
        <v>86</v>
      </c>
    </row>
    <row r="129">
      <c r="A129" s="1">
        <v>127</v>
      </c>
      <c r="B129" s="1" t="s">
        <v>395</v>
      </c>
      <c r="C129" s="2">
        <f>=HYPERLINK("https://i.stonehdfile.com/stoneimage?s=3544020b-ca9e-4479-b56c-c2a3693ae62d","Image")</f>
      </c>
      <c r="D129" s="2">
        <f>=HYPERLINK("https://dna.stonehdfile.com/hd/viewhd.html?d=7479d939-89f0-408f-9c98-47a51adfb703","View360")</f>
      </c>
      <c r="E129" s="2">
        <f>=HYPERLINK("https://i.stonehdfile.com/Certificate?s=3544020b-ca9e-4479-b56c-c2a3693ae62d","GIA")</f>
      </c>
      <c r="F129" s="2">
        <f>=HYPERLINK("https://i.stonehdfile.com/DNAReport?s=3544020b-ca9e-4479-b56c-c2a3693ae62d","DNA")</f>
      </c>
      <c r="G129" s="2">
        <f>=HYPERLINK("https://www.gia.edu/report-check?reportno=******2604","Verify")</f>
      </c>
      <c r="H129" s="1" t="s">
        <v>874</v>
      </c>
      <c r="I129" s="1" t="s">
        <v>46</v>
      </c>
      <c r="J129" s="1">
        <v>1.5</v>
      </c>
      <c r="K129" s="1">
        <v>5</v>
      </c>
      <c r="L129" s="1">
        <v>7400</v>
      </c>
      <c r="M129" s="1">
        <v>3693</v>
      </c>
      <c r="N129" s="1">
        <v>5539.5</v>
      </c>
      <c r="O129" s="1">
        <v>-50.09</v>
      </c>
      <c r="P129" s="1">
        <v>0</v>
      </c>
      <c r="Q129" s="1" t="s">
        <v>86</v>
      </c>
      <c r="R129" s="1">
        <v>0</v>
      </c>
      <c r="S129" s="1" t="s">
        <v>86</v>
      </c>
      <c r="T129" s="1" t="s">
        <v>86</v>
      </c>
      <c r="U129" s="1" t="s">
        <v>118</v>
      </c>
      <c r="V129" s="1" t="s">
        <v>86</v>
      </c>
      <c r="W129" s="1" t="s">
        <v>352</v>
      </c>
      <c r="X129" s="1" t="s">
        <v>86</v>
      </c>
      <c r="Y129" s="1" t="s">
        <v>89</v>
      </c>
      <c r="Z129" s="1" t="s">
        <v>89</v>
      </c>
      <c r="AA129" s="1" t="s">
        <v>119</v>
      </c>
      <c r="AB129" s="1" t="s">
        <v>86</v>
      </c>
      <c r="AC129" s="1" t="s">
        <v>875</v>
      </c>
      <c r="AD129" s="1">
        <v>69.2</v>
      </c>
      <c r="AE129" s="1">
        <v>62</v>
      </c>
      <c r="AF129" s="1" t="s">
        <v>91</v>
      </c>
      <c r="AG129" s="1">
        <v>2.7</v>
      </c>
      <c r="AH129" s="1">
        <v>37</v>
      </c>
      <c r="AI129" s="1" t="s">
        <v>86</v>
      </c>
      <c r="AJ129" s="1">
        <v>1.1</v>
      </c>
      <c r="AK129" s="1" t="s">
        <v>111</v>
      </c>
      <c r="AL129" s="1" t="s">
        <v>140</v>
      </c>
      <c r="AM129" s="1" t="s">
        <v>128</v>
      </c>
      <c r="AN129" s="1" t="s">
        <v>171</v>
      </c>
      <c r="AO129" s="1" t="s">
        <v>94</v>
      </c>
      <c r="AP129" s="1" t="s">
        <v>95</v>
      </c>
      <c r="AQ129" s="1">
        <v>14.3</v>
      </c>
      <c r="AR129" s="1">
        <v>51.4</v>
      </c>
      <c r="AS129" s="1">
        <v>38.2</v>
      </c>
      <c r="AT129" s="1" t="s">
        <v>96</v>
      </c>
      <c r="AU129" s="1" t="s">
        <v>86</v>
      </c>
      <c r="AV129" s="1" t="s">
        <v>86</v>
      </c>
      <c r="AW129" s="1" t="s">
        <v>86</v>
      </c>
      <c r="AX129" s="1" t="s">
        <v>86</v>
      </c>
      <c r="AY129" s="1" t="s">
        <v>86</v>
      </c>
      <c r="AZ129" s="1" t="s">
        <v>86</v>
      </c>
      <c r="BA129" s="1" t="s">
        <v>86</v>
      </c>
      <c r="BB129" s="1" t="s">
        <v>86</v>
      </c>
      <c r="BC129" s="1" t="s">
        <v>86</v>
      </c>
      <c r="BD129" s="1" t="s">
        <v>86</v>
      </c>
      <c r="BE129" s="1" t="s">
        <v>86</v>
      </c>
      <c r="BF129" s="1" t="s">
        <v>86</v>
      </c>
      <c r="BG129" s="1" t="s">
        <v>86</v>
      </c>
      <c r="BH129" s="1" t="s">
        <v>97</v>
      </c>
      <c r="BI129" s="1" t="s">
        <v>430</v>
      </c>
      <c r="BJ129" s="1" t="s">
        <v>87</v>
      </c>
      <c r="BK129" s="1">
        <v>0</v>
      </c>
      <c r="BL129" s="1">
        <v>0</v>
      </c>
      <c r="BM129" s="1" t="s">
        <v>398</v>
      </c>
      <c r="BN129" s="1" t="s">
        <v>876</v>
      </c>
      <c r="BO129" s="1" t="s">
        <v>877</v>
      </c>
      <c r="BP129" s="1" t="s">
        <v>86</v>
      </c>
      <c r="BQ129" s="1" t="s">
        <v>86</v>
      </c>
      <c r="BR129" s="1" t="s">
        <v>86</v>
      </c>
      <c r="BS129" s="1" t="s">
        <v>86</v>
      </c>
      <c r="BT129" s="1" t="s">
        <v>86</v>
      </c>
      <c r="BU129" s="1" t="s">
        <v>163</v>
      </c>
      <c r="BV129" s="1" t="s">
        <v>86</v>
      </c>
      <c r="BW129" s="1" t="s">
        <v>101</v>
      </c>
      <c r="BX129" s="1" t="s">
        <v>470</v>
      </c>
      <c r="BY129" s="1" t="s">
        <v>86</v>
      </c>
      <c r="BZ129" s="1" t="s">
        <v>878</v>
      </c>
      <c r="CA129" s="1" t="s">
        <v>879</v>
      </c>
      <c r="CB129" s="1" t="s">
        <v>166</v>
      </c>
      <c r="CC129" s="1" t="s">
        <v>86</v>
      </c>
      <c r="CD129" s="1" t="s">
        <v>86</v>
      </c>
      <c r="CE129" s="1" t="s">
        <v>86</v>
      </c>
    </row>
    <row r="130">
      <c r="A130" s="1">
        <v>128</v>
      </c>
      <c r="B130" s="1" t="s">
        <v>395</v>
      </c>
      <c r="C130" s="2">
        <f>=HYPERLINK("https://i.stonehdfile.com/stoneimage?s=744c8249-8d42-4c05-b6d3-2bfe851835b0","Image")</f>
      </c>
      <c r="D130" s="2">
        <f>=HYPERLINK("https://dna.stonehdfile.com/hd/viewhd.html?d=aa795ee8-6f9e-4690-9b4e-77b7f8a73598","View360")</f>
      </c>
      <c r="E130" s="2">
        <f>=HYPERLINK("https://i.stonehdfile.com/Certificate?s=744c8249-8d42-4c05-b6d3-2bfe851835b0","GIA")</f>
      </c>
      <c r="F130" s="2">
        <f>=HYPERLINK("https://i.stonehdfile.com/DNAReport?s=744c8249-8d42-4c05-b6d3-2bfe851835b0","DNA")</f>
      </c>
      <c r="G130" s="2">
        <f>=HYPERLINK("https://www.gia.edu/report-check?reportno=******9622","Verify")</f>
      </c>
      <c r="H130" s="1" t="s">
        <v>880</v>
      </c>
      <c r="I130" s="1" t="s">
        <v>46</v>
      </c>
      <c r="J130" s="1">
        <v>1.51</v>
      </c>
      <c r="K130" s="1">
        <v>1</v>
      </c>
      <c r="L130" s="1">
        <v>7400</v>
      </c>
      <c r="M130" s="1">
        <v>3351</v>
      </c>
      <c r="N130" s="1">
        <v>5060.01</v>
      </c>
      <c r="O130" s="1">
        <v>-54.72</v>
      </c>
      <c r="P130" s="1">
        <v>0</v>
      </c>
      <c r="Q130" s="1" t="s">
        <v>86</v>
      </c>
      <c r="R130" s="1">
        <v>0</v>
      </c>
      <c r="S130" s="1" t="s">
        <v>86</v>
      </c>
      <c r="T130" s="1" t="s">
        <v>86</v>
      </c>
      <c r="U130" s="1" t="s">
        <v>118</v>
      </c>
      <c r="V130" s="1" t="s">
        <v>86</v>
      </c>
      <c r="W130" s="1" t="s">
        <v>352</v>
      </c>
      <c r="X130" s="1" t="s">
        <v>86</v>
      </c>
      <c r="Y130" s="1" t="s">
        <v>89</v>
      </c>
      <c r="Z130" s="1" t="s">
        <v>89</v>
      </c>
      <c r="AA130" s="1" t="s">
        <v>119</v>
      </c>
      <c r="AB130" s="1" t="s">
        <v>86</v>
      </c>
      <c r="AC130" s="1" t="s">
        <v>881</v>
      </c>
      <c r="AD130" s="1">
        <v>70.2</v>
      </c>
      <c r="AE130" s="1">
        <v>62</v>
      </c>
      <c r="AF130" s="1" t="s">
        <v>91</v>
      </c>
      <c r="AG130" s="1">
        <v>3.8</v>
      </c>
      <c r="AH130" s="1">
        <v>36.9</v>
      </c>
      <c r="AI130" s="1" t="s">
        <v>86</v>
      </c>
      <c r="AJ130" s="1">
        <v>1.03</v>
      </c>
      <c r="AK130" s="1" t="s">
        <v>111</v>
      </c>
      <c r="AL130" s="1" t="s">
        <v>93</v>
      </c>
      <c r="AM130" s="1" t="s">
        <v>128</v>
      </c>
      <c r="AN130" s="1" t="s">
        <v>171</v>
      </c>
      <c r="AO130" s="1" t="s">
        <v>94</v>
      </c>
      <c r="AP130" s="1" t="s">
        <v>95</v>
      </c>
      <c r="AQ130" s="1">
        <v>14.1</v>
      </c>
      <c r="AR130" s="1">
        <v>52.1</v>
      </c>
      <c r="AS130" s="1">
        <v>39.1</v>
      </c>
      <c r="AT130" s="1" t="s">
        <v>96</v>
      </c>
      <c r="AU130" s="1" t="s">
        <v>86</v>
      </c>
      <c r="AV130" s="1" t="s">
        <v>86</v>
      </c>
      <c r="AW130" s="1" t="s">
        <v>86</v>
      </c>
      <c r="AX130" s="1" t="s">
        <v>86</v>
      </c>
      <c r="AY130" s="1" t="s">
        <v>86</v>
      </c>
      <c r="AZ130" s="1" t="s">
        <v>86</v>
      </c>
      <c r="BA130" s="1" t="s">
        <v>86</v>
      </c>
      <c r="BB130" s="1" t="s">
        <v>86</v>
      </c>
      <c r="BC130" s="1" t="s">
        <v>86</v>
      </c>
      <c r="BD130" s="1" t="s">
        <v>86</v>
      </c>
      <c r="BE130" s="1" t="s">
        <v>86</v>
      </c>
      <c r="BF130" s="1" t="s">
        <v>86</v>
      </c>
      <c r="BG130" s="1" t="s">
        <v>86</v>
      </c>
      <c r="BH130" s="1" t="s">
        <v>129</v>
      </c>
      <c r="BI130" s="1" t="s">
        <v>216</v>
      </c>
      <c r="BJ130" s="1" t="s">
        <v>87</v>
      </c>
      <c r="BK130" s="1">
        <v>0</v>
      </c>
      <c r="BL130" s="1">
        <v>0</v>
      </c>
      <c r="BM130" s="1" t="s">
        <v>398</v>
      </c>
      <c r="BN130" s="1" t="s">
        <v>882</v>
      </c>
      <c r="BO130" s="1" t="s">
        <v>185</v>
      </c>
      <c r="BP130" s="1" t="s">
        <v>86</v>
      </c>
      <c r="BQ130" s="1" t="s">
        <v>86</v>
      </c>
      <c r="BR130" s="1" t="s">
        <v>86</v>
      </c>
      <c r="BS130" s="1" t="s">
        <v>86</v>
      </c>
      <c r="BT130" s="1" t="s">
        <v>86</v>
      </c>
      <c r="BU130" s="1" t="s">
        <v>163</v>
      </c>
      <c r="BV130" s="1" t="s">
        <v>86</v>
      </c>
      <c r="BW130" s="1" t="s">
        <v>101</v>
      </c>
      <c r="BX130" s="1" t="s">
        <v>401</v>
      </c>
      <c r="BY130" s="1" t="s">
        <v>86</v>
      </c>
      <c r="BZ130" s="1" t="s">
        <v>883</v>
      </c>
      <c r="CA130" s="1" t="s">
        <v>229</v>
      </c>
      <c r="CB130" s="1" t="s">
        <v>166</v>
      </c>
      <c r="CC130" s="1" t="s">
        <v>86</v>
      </c>
      <c r="CD130" s="1" t="s">
        <v>86</v>
      </c>
      <c r="CE130" s="1" t="s">
        <v>86</v>
      </c>
    </row>
    <row r="131">
      <c r="A131" s="1">
        <v>129</v>
      </c>
      <c r="B131" s="1" t="s">
        <v>395</v>
      </c>
      <c r="C131" s="2">
        <f>=HYPERLINK("https://i.stonehdfile.com/stoneimage?s=eb2cac85-5b72-4eb7-8fc1-7d296fd735d1","Image")</f>
      </c>
      <c r="D131" s="2">
        <f>=HYPERLINK("https://dna.stonehdfile.com/hd/viewhd.html?d=930ca0c8-de34-46f6-96a4-1f7db9c61e5e","View360")</f>
      </c>
      <c r="E131" s="2">
        <f>=HYPERLINK("https://i.stonehdfile.com/Certificate?s=eb2cac85-5b72-4eb7-8fc1-7d296fd735d1","GIA")</f>
      </c>
      <c r="F131" s="2">
        <f>=HYPERLINK("https://i.stonehdfile.com/DNAReport?s=eb2cac85-5b72-4eb7-8fc1-7d296fd735d1","DNA")</f>
      </c>
      <c r="G131" s="2">
        <f>=HYPERLINK("https://www.gia.edu/report-check?reportno=******1229","Verify")</f>
      </c>
      <c r="H131" s="1" t="s">
        <v>884</v>
      </c>
      <c r="I131" s="1" t="s">
        <v>46</v>
      </c>
      <c r="J131" s="1">
        <v>1.5</v>
      </c>
      <c r="K131" s="1">
        <v>3</v>
      </c>
      <c r="L131" s="1">
        <v>7400</v>
      </c>
      <c r="M131" s="1">
        <v>3342</v>
      </c>
      <c r="N131" s="1">
        <v>5013</v>
      </c>
      <c r="O131" s="1">
        <v>-54.84</v>
      </c>
      <c r="P131" s="1">
        <v>0</v>
      </c>
      <c r="Q131" s="1" t="s">
        <v>86</v>
      </c>
      <c r="R131" s="1">
        <v>0</v>
      </c>
      <c r="S131" s="1" t="s">
        <v>86</v>
      </c>
      <c r="T131" s="1" t="s">
        <v>86</v>
      </c>
      <c r="U131" s="1" t="s">
        <v>159</v>
      </c>
      <c r="V131" s="1" t="s">
        <v>86</v>
      </c>
      <c r="W131" s="1" t="s">
        <v>223</v>
      </c>
      <c r="X131" s="1" t="s">
        <v>86</v>
      </c>
      <c r="Y131" s="1" t="s">
        <v>89</v>
      </c>
      <c r="Z131" s="1" t="s">
        <v>89</v>
      </c>
      <c r="AA131" s="1" t="s">
        <v>119</v>
      </c>
      <c r="AB131" s="1" t="s">
        <v>86</v>
      </c>
      <c r="AC131" s="1" t="s">
        <v>885</v>
      </c>
      <c r="AD131" s="1">
        <v>71.1</v>
      </c>
      <c r="AE131" s="1">
        <v>61</v>
      </c>
      <c r="AF131" s="1" t="s">
        <v>91</v>
      </c>
      <c r="AG131" s="1">
        <v>3.6</v>
      </c>
      <c r="AH131" s="1">
        <v>38.1</v>
      </c>
      <c r="AI131" s="1" t="s">
        <v>86</v>
      </c>
      <c r="AJ131" s="1">
        <v>1.01</v>
      </c>
      <c r="AK131" s="1" t="s">
        <v>111</v>
      </c>
      <c r="AL131" s="1" t="s">
        <v>93</v>
      </c>
      <c r="AM131" s="1" t="s">
        <v>128</v>
      </c>
      <c r="AN131" s="1" t="s">
        <v>171</v>
      </c>
      <c r="AO131" s="1" t="s">
        <v>94</v>
      </c>
      <c r="AP131" s="1" t="s">
        <v>95</v>
      </c>
      <c r="AQ131" s="1">
        <v>15.1</v>
      </c>
      <c r="AR131" s="1">
        <v>51.8</v>
      </c>
      <c r="AS131" s="1">
        <v>40</v>
      </c>
      <c r="AT131" s="1" t="s">
        <v>96</v>
      </c>
      <c r="AU131" s="1" t="s">
        <v>86</v>
      </c>
      <c r="AV131" s="1" t="s">
        <v>86</v>
      </c>
      <c r="AW131" s="1" t="s">
        <v>86</v>
      </c>
      <c r="AX131" s="1" t="s">
        <v>86</v>
      </c>
      <c r="AY131" s="1" t="s">
        <v>86</v>
      </c>
      <c r="AZ131" s="1" t="s">
        <v>86</v>
      </c>
      <c r="BA131" s="1" t="s">
        <v>86</v>
      </c>
      <c r="BB131" s="1" t="s">
        <v>86</v>
      </c>
      <c r="BC131" s="1" t="s">
        <v>86</v>
      </c>
      <c r="BD131" s="1" t="s">
        <v>86</v>
      </c>
      <c r="BE131" s="1" t="s">
        <v>86</v>
      </c>
      <c r="BF131" s="1" t="s">
        <v>282</v>
      </c>
      <c r="BG131" s="1" t="s">
        <v>86</v>
      </c>
      <c r="BH131" s="1" t="s">
        <v>129</v>
      </c>
      <c r="BI131" s="1" t="s">
        <v>576</v>
      </c>
      <c r="BJ131" s="1" t="s">
        <v>87</v>
      </c>
      <c r="BK131" s="1">
        <v>0</v>
      </c>
      <c r="BL131" s="1">
        <v>0</v>
      </c>
      <c r="BM131" s="1" t="s">
        <v>398</v>
      </c>
      <c r="BN131" s="1" t="s">
        <v>886</v>
      </c>
      <c r="BO131" s="1" t="s">
        <v>726</v>
      </c>
      <c r="BP131" s="1" t="s">
        <v>86</v>
      </c>
      <c r="BQ131" s="1" t="s">
        <v>86</v>
      </c>
      <c r="BR131" s="1" t="s">
        <v>86</v>
      </c>
      <c r="BS131" s="1" t="s">
        <v>86</v>
      </c>
      <c r="BT131" s="1" t="s">
        <v>86</v>
      </c>
      <c r="BU131" s="1" t="s">
        <v>163</v>
      </c>
      <c r="BV131" s="1" t="s">
        <v>86</v>
      </c>
      <c r="BW131" s="1" t="s">
        <v>101</v>
      </c>
      <c r="BX131" s="1" t="s">
        <v>401</v>
      </c>
      <c r="BY131" s="1" t="s">
        <v>86</v>
      </c>
      <c r="BZ131" s="1" t="s">
        <v>887</v>
      </c>
      <c r="CA131" s="1" t="s">
        <v>220</v>
      </c>
      <c r="CB131" s="1" t="s">
        <v>740</v>
      </c>
      <c r="CC131" s="1" t="s">
        <v>86</v>
      </c>
      <c r="CD131" s="1" t="s">
        <v>86</v>
      </c>
      <c r="CE131" s="1" t="s">
        <v>86</v>
      </c>
    </row>
    <row r="132">
      <c r="A132" s="1">
        <v>130</v>
      </c>
      <c r="B132" s="1" t="s">
        <v>395</v>
      </c>
      <c r="C132" s="2">
        <f>=HYPERLINK("https://i.stonehdfile.com/stoneimage?s=86482359-11d2-4c6f-a4a7-d2c8e5e6afda","Image")</f>
      </c>
      <c r="D132" s="2">
        <f>=HYPERLINK("https://dna.stonehdfile.com/hd/viewhd.html?d=c43d6cce-037d-40bc-93e9-ba291c366487","View360")</f>
      </c>
      <c r="E132" s="2">
        <f>=HYPERLINK("https://i.stonehdfile.com/Certificate?s=86482359-11d2-4c6f-a4a7-d2c8e5e6afda","GIA")</f>
      </c>
      <c r="F132" s="2">
        <f>=HYPERLINK("https://i.stonehdfile.com/DNAReport?s=86482359-11d2-4c6f-a4a7-d2c8e5e6afda","DNA")</f>
      </c>
      <c r="G132" s="2">
        <f>=HYPERLINK("https://www.gia.edu/report-check?reportno=******8214","Verify")</f>
      </c>
      <c r="H132" s="1" t="s">
        <v>888</v>
      </c>
      <c r="I132" s="1" t="s">
        <v>46</v>
      </c>
      <c r="J132" s="1">
        <v>1.5</v>
      </c>
      <c r="K132" s="1">
        <v>8</v>
      </c>
      <c r="L132" s="1">
        <v>7400</v>
      </c>
      <c r="M132" s="1">
        <v>3687</v>
      </c>
      <c r="N132" s="1">
        <v>5530.5</v>
      </c>
      <c r="O132" s="1">
        <v>-50.18</v>
      </c>
      <c r="P132" s="1">
        <v>0</v>
      </c>
      <c r="Q132" s="1" t="s">
        <v>86</v>
      </c>
      <c r="R132" s="1">
        <v>0</v>
      </c>
      <c r="S132" s="1" t="s">
        <v>86</v>
      </c>
      <c r="T132" s="1" t="s">
        <v>86</v>
      </c>
      <c r="U132" s="1" t="s">
        <v>118</v>
      </c>
      <c r="V132" s="1" t="s">
        <v>86</v>
      </c>
      <c r="W132" s="1" t="s">
        <v>223</v>
      </c>
      <c r="X132" s="1" t="s">
        <v>86</v>
      </c>
      <c r="Y132" s="1" t="s">
        <v>89</v>
      </c>
      <c r="Z132" s="1" t="s">
        <v>89</v>
      </c>
      <c r="AA132" s="1" t="s">
        <v>119</v>
      </c>
      <c r="AB132" s="1" t="s">
        <v>86</v>
      </c>
      <c r="AC132" s="1" t="s">
        <v>889</v>
      </c>
      <c r="AD132" s="1">
        <v>69.4</v>
      </c>
      <c r="AE132" s="1">
        <v>63</v>
      </c>
      <c r="AF132" s="1" t="s">
        <v>91</v>
      </c>
      <c r="AG132" s="1">
        <v>2.6</v>
      </c>
      <c r="AH132" s="1">
        <v>33.3</v>
      </c>
      <c r="AI132" s="1" t="s">
        <v>86</v>
      </c>
      <c r="AJ132" s="1">
        <v>1.15</v>
      </c>
      <c r="AK132" s="1" t="s">
        <v>111</v>
      </c>
      <c r="AL132" s="1" t="s">
        <v>93</v>
      </c>
      <c r="AM132" s="1" t="s">
        <v>140</v>
      </c>
      <c r="AN132" s="1" t="s">
        <v>307</v>
      </c>
      <c r="AO132" s="1" t="s">
        <v>94</v>
      </c>
      <c r="AP132" s="1" t="s">
        <v>95</v>
      </c>
      <c r="AQ132" s="1">
        <v>12.3</v>
      </c>
      <c r="AR132" s="1">
        <v>54.1</v>
      </c>
      <c r="AS132" s="1">
        <v>38.9</v>
      </c>
      <c r="AT132" s="1" t="s">
        <v>96</v>
      </c>
      <c r="AU132" s="1" t="s">
        <v>86</v>
      </c>
      <c r="AV132" s="1" t="s">
        <v>86</v>
      </c>
      <c r="AW132" s="1" t="s">
        <v>86</v>
      </c>
      <c r="AX132" s="1" t="s">
        <v>86</v>
      </c>
      <c r="AY132" s="1" t="s">
        <v>86</v>
      </c>
      <c r="AZ132" s="1" t="s">
        <v>86</v>
      </c>
      <c r="BA132" s="1" t="s">
        <v>86</v>
      </c>
      <c r="BB132" s="1" t="s">
        <v>86</v>
      </c>
      <c r="BC132" s="1" t="s">
        <v>86</v>
      </c>
      <c r="BD132" s="1" t="s">
        <v>86</v>
      </c>
      <c r="BE132" s="1" t="s">
        <v>86</v>
      </c>
      <c r="BF132" s="1" t="s">
        <v>86</v>
      </c>
      <c r="BG132" s="1" t="s">
        <v>172</v>
      </c>
      <c r="BH132" s="1" t="s">
        <v>657</v>
      </c>
      <c r="BI132" s="1" t="s">
        <v>335</v>
      </c>
      <c r="BJ132" s="1" t="s">
        <v>87</v>
      </c>
      <c r="BK132" s="1">
        <v>0</v>
      </c>
      <c r="BL132" s="1">
        <v>0</v>
      </c>
      <c r="BM132" s="1" t="s">
        <v>398</v>
      </c>
      <c r="BN132" s="1" t="s">
        <v>890</v>
      </c>
      <c r="BO132" s="1" t="s">
        <v>290</v>
      </c>
      <c r="BP132" s="1" t="s">
        <v>86</v>
      </c>
      <c r="BQ132" s="1" t="s">
        <v>86</v>
      </c>
      <c r="BR132" s="1" t="s">
        <v>86</v>
      </c>
      <c r="BS132" s="1" t="s">
        <v>86</v>
      </c>
      <c r="BT132" s="1" t="s">
        <v>86</v>
      </c>
      <c r="BU132" s="1" t="s">
        <v>163</v>
      </c>
      <c r="BV132" s="1" t="s">
        <v>86</v>
      </c>
      <c r="BW132" s="1" t="s">
        <v>101</v>
      </c>
      <c r="BX132" s="1" t="s">
        <v>470</v>
      </c>
      <c r="BY132" s="1" t="s">
        <v>86</v>
      </c>
      <c r="BZ132" s="1" t="s">
        <v>891</v>
      </c>
      <c r="CA132" s="1" t="s">
        <v>892</v>
      </c>
      <c r="CB132" s="1" t="s">
        <v>179</v>
      </c>
      <c r="CC132" s="1" t="s">
        <v>86</v>
      </c>
      <c r="CD132" s="1" t="s">
        <v>86</v>
      </c>
      <c r="CE132" s="1" t="s">
        <v>86</v>
      </c>
    </row>
    <row r="133">
      <c r="A133" s="1">
        <v>131</v>
      </c>
      <c r="B133" s="1" t="s">
        <v>395</v>
      </c>
      <c r="C133" s="2">
        <f>=HYPERLINK("https://i.stonehdfile.com/stoneimage?s=38f5d593-1fba-43e2-b4d9-f8933926ad58","Image")</f>
      </c>
      <c r="D133" s="2">
        <f>=HYPERLINK("https://dna.stonehdfile.com/hd/viewhd.html?d=27c7dcf0-b50e-4be9-86d3-803635d06017","View360")</f>
      </c>
      <c r="E133" s="2">
        <f>=HYPERLINK("https://i.stonehdfile.com/Certificate?s=38f5d593-1fba-43e2-b4d9-f8933926ad58","GIA")</f>
      </c>
      <c r="F133" s="2">
        <f>=HYPERLINK("https://i.stonehdfile.com/DNAReport?s=38f5d593-1fba-43e2-b4d9-f8933926ad58","DNA")</f>
      </c>
      <c r="G133" s="2">
        <f>=HYPERLINK("https://www.gia.edu/report-check?reportno=******4347","Verify")</f>
      </c>
      <c r="H133" s="1" t="s">
        <v>893</v>
      </c>
      <c r="I133" s="1" t="s">
        <v>46</v>
      </c>
      <c r="J133" s="1">
        <v>1.5</v>
      </c>
      <c r="K133" s="1">
        <v>7</v>
      </c>
      <c r="L133" s="1">
        <v>7400</v>
      </c>
      <c r="M133" s="1">
        <v>3822</v>
      </c>
      <c r="N133" s="1">
        <v>5733</v>
      </c>
      <c r="O133" s="1">
        <v>-48.35</v>
      </c>
      <c r="P133" s="1">
        <v>0</v>
      </c>
      <c r="Q133" s="1" t="s">
        <v>86</v>
      </c>
      <c r="R133" s="1">
        <v>0</v>
      </c>
      <c r="S133" s="1" t="s">
        <v>86</v>
      </c>
      <c r="T133" s="1" t="s">
        <v>86</v>
      </c>
      <c r="U133" s="1" t="s">
        <v>118</v>
      </c>
      <c r="V133" s="1" t="s">
        <v>86</v>
      </c>
      <c r="W133" s="1" t="s">
        <v>223</v>
      </c>
      <c r="X133" s="1" t="s">
        <v>86</v>
      </c>
      <c r="Y133" s="1" t="s">
        <v>89</v>
      </c>
      <c r="Z133" s="1" t="s">
        <v>138</v>
      </c>
      <c r="AA133" s="1" t="s">
        <v>119</v>
      </c>
      <c r="AB133" s="1" t="s">
        <v>86</v>
      </c>
      <c r="AC133" s="1" t="s">
        <v>894</v>
      </c>
      <c r="AD133" s="1">
        <v>68.9</v>
      </c>
      <c r="AE133" s="1">
        <v>63</v>
      </c>
      <c r="AF133" s="1" t="s">
        <v>91</v>
      </c>
      <c r="AG133" s="1">
        <v>2.7</v>
      </c>
      <c r="AH133" s="1">
        <v>35.9</v>
      </c>
      <c r="AI133" s="1" t="s">
        <v>86</v>
      </c>
      <c r="AJ133" s="1">
        <v>1.13</v>
      </c>
      <c r="AK133" s="1" t="s">
        <v>111</v>
      </c>
      <c r="AL133" s="1" t="s">
        <v>93</v>
      </c>
      <c r="AM133" s="1" t="s">
        <v>93</v>
      </c>
      <c r="AN133" s="1" t="s">
        <v>171</v>
      </c>
      <c r="AO133" s="1" t="s">
        <v>94</v>
      </c>
      <c r="AP133" s="1" t="s">
        <v>95</v>
      </c>
      <c r="AQ133" s="1">
        <v>13.3</v>
      </c>
      <c r="AR133" s="1">
        <v>52.7</v>
      </c>
      <c r="AS133" s="1">
        <v>38.7</v>
      </c>
      <c r="AT133" s="1" t="s">
        <v>96</v>
      </c>
      <c r="AU133" s="1" t="s">
        <v>86</v>
      </c>
      <c r="AV133" s="1" t="s">
        <v>86</v>
      </c>
      <c r="AW133" s="1" t="s">
        <v>86</v>
      </c>
      <c r="AX133" s="1" t="s">
        <v>86</v>
      </c>
      <c r="AY133" s="1" t="s">
        <v>86</v>
      </c>
      <c r="AZ133" s="1" t="s">
        <v>86</v>
      </c>
      <c r="BA133" s="1" t="s">
        <v>86</v>
      </c>
      <c r="BB133" s="1" t="s">
        <v>86</v>
      </c>
      <c r="BC133" s="1" t="s">
        <v>86</v>
      </c>
      <c r="BD133" s="1" t="s">
        <v>86</v>
      </c>
      <c r="BE133" s="1" t="s">
        <v>86</v>
      </c>
      <c r="BF133" s="1" t="s">
        <v>282</v>
      </c>
      <c r="BG133" s="1" t="s">
        <v>86</v>
      </c>
      <c r="BH133" s="1" t="s">
        <v>182</v>
      </c>
      <c r="BI133" s="1" t="s">
        <v>430</v>
      </c>
      <c r="BJ133" s="1" t="s">
        <v>87</v>
      </c>
      <c r="BK133" s="1">
        <v>0</v>
      </c>
      <c r="BL133" s="1">
        <v>0</v>
      </c>
      <c r="BM133" s="1" t="s">
        <v>398</v>
      </c>
      <c r="BN133" s="1" t="s">
        <v>895</v>
      </c>
      <c r="BO133" s="1" t="s">
        <v>896</v>
      </c>
      <c r="BP133" s="1" t="s">
        <v>86</v>
      </c>
      <c r="BQ133" s="1" t="s">
        <v>86</v>
      </c>
      <c r="BR133" s="1" t="s">
        <v>86</v>
      </c>
      <c r="BS133" s="1" t="s">
        <v>86</v>
      </c>
      <c r="BT133" s="1" t="s">
        <v>86</v>
      </c>
      <c r="BU133" s="1" t="s">
        <v>163</v>
      </c>
      <c r="BV133" s="1" t="s">
        <v>86</v>
      </c>
      <c r="BW133" s="1" t="s">
        <v>101</v>
      </c>
      <c r="BX133" s="1" t="s">
        <v>478</v>
      </c>
      <c r="BY133" s="1" t="s">
        <v>86</v>
      </c>
      <c r="BZ133" s="1" t="s">
        <v>897</v>
      </c>
      <c r="CA133" s="1" t="s">
        <v>229</v>
      </c>
      <c r="CB133" s="1" t="s">
        <v>286</v>
      </c>
      <c r="CC133" s="1" t="s">
        <v>86</v>
      </c>
      <c r="CD133" s="1" t="s">
        <v>86</v>
      </c>
      <c r="CE133" s="1" t="s">
        <v>86</v>
      </c>
    </row>
    <row r="134">
      <c r="A134" s="1">
        <v>132</v>
      </c>
      <c r="B134" s="1" t="s">
        <v>395</v>
      </c>
      <c r="C134" s="2">
        <f>=HYPERLINK("https://i.stonehdfile.com/stoneimage?s=c0f36998-53ae-45bd-ba93-f55c53c9cb99","Image")</f>
      </c>
      <c r="D134" s="2">
        <f>=HYPERLINK("https://dna.stonehdfile.com/hd/viewhd.html?d=f27b78f7-10ed-431f-bd6b-321ed3f6ca3b","View360")</f>
      </c>
      <c r="E134" s="2">
        <f>=HYPERLINK("https://i.stonehdfile.com/Certificate?s=c0f36998-53ae-45bd-ba93-f55c53c9cb99","GIA")</f>
      </c>
      <c r="F134" s="2">
        <f>=HYPERLINK("https://i.stonehdfile.com/DNAReport?s=c0f36998-53ae-45bd-ba93-f55c53c9cb99","DNA")</f>
      </c>
      <c r="G134" s="2">
        <f>=HYPERLINK("https://www.gia.edu/report-check?reportno=******9471","Verify")</f>
      </c>
      <c r="H134" s="1" t="s">
        <v>898</v>
      </c>
      <c r="I134" s="1" t="s">
        <v>46</v>
      </c>
      <c r="J134" s="1">
        <v>1.52</v>
      </c>
      <c r="K134" s="1">
        <v>3</v>
      </c>
      <c r="L134" s="1">
        <v>7400</v>
      </c>
      <c r="M134" s="1">
        <v>3662</v>
      </c>
      <c r="N134" s="1">
        <v>5566.24</v>
      </c>
      <c r="O134" s="1">
        <v>-50.51</v>
      </c>
      <c r="P134" s="1">
        <v>0</v>
      </c>
      <c r="Q134" s="1" t="s">
        <v>86</v>
      </c>
      <c r="R134" s="1">
        <v>0</v>
      </c>
      <c r="S134" s="1" t="s">
        <v>86</v>
      </c>
      <c r="T134" s="1" t="s">
        <v>86</v>
      </c>
      <c r="U134" s="1" t="s">
        <v>118</v>
      </c>
      <c r="V134" s="1" t="s">
        <v>86</v>
      </c>
      <c r="W134" s="1" t="s">
        <v>223</v>
      </c>
      <c r="X134" s="1" t="s">
        <v>86</v>
      </c>
      <c r="Y134" s="1" t="s">
        <v>89</v>
      </c>
      <c r="Z134" s="1" t="s">
        <v>89</v>
      </c>
      <c r="AA134" s="1" t="s">
        <v>119</v>
      </c>
      <c r="AB134" s="1" t="s">
        <v>86</v>
      </c>
      <c r="AC134" s="1" t="s">
        <v>899</v>
      </c>
      <c r="AD134" s="1">
        <v>68.4</v>
      </c>
      <c r="AE134" s="1">
        <v>57</v>
      </c>
      <c r="AF134" s="1" t="s">
        <v>91</v>
      </c>
      <c r="AG134" s="1">
        <v>1</v>
      </c>
      <c r="AH134" s="1">
        <v>30.1</v>
      </c>
      <c r="AI134" s="1" t="s">
        <v>86</v>
      </c>
      <c r="AJ134" s="1">
        <v>1.13</v>
      </c>
      <c r="AK134" s="1" t="s">
        <v>111</v>
      </c>
      <c r="AL134" s="1" t="s">
        <v>151</v>
      </c>
      <c r="AM134" s="1" t="s">
        <v>128</v>
      </c>
      <c r="AN134" s="1" t="s">
        <v>168</v>
      </c>
      <c r="AO134" s="1" t="s">
        <v>94</v>
      </c>
      <c r="AP134" s="1" t="s">
        <v>95</v>
      </c>
      <c r="AQ134" s="1">
        <v>12.2</v>
      </c>
      <c r="AR134" s="1">
        <v>54.9</v>
      </c>
      <c r="AS134" s="1">
        <v>39.2</v>
      </c>
      <c r="AT134" s="1" t="s">
        <v>96</v>
      </c>
      <c r="AU134" s="1" t="s">
        <v>86</v>
      </c>
      <c r="AV134" s="1" t="s">
        <v>86</v>
      </c>
      <c r="AW134" s="1" t="s">
        <v>86</v>
      </c>
      <c r="AX134" s="1" t="s">
        <v>86</v>
      </c>
      <c r="AY134" s="1" t="s">
        <v>86</v>
      </c>
      <c r="AZ134" s="1" t="s">
        <v>86</v>
      </c>
      <c r="BA134" s="1" t="s">
        <v>86</v>
      </c>
      <c r="BB134" s="1" t="s">
        <v>86</v>
      </c>
      <c r="BC134" s="1" t="s">
        <v>86</v>
      </c>
      <c r="BD134" s="1" t="s">
        <v>86</v>
      </c>
      <c r="BE134" s="1" t="s">
        <v>86</v>
      </c>
      <c r="BF134" s="1" t="s">
        <v>86</v>
      </c>
      <c r="BG134" s="1" t="s">
        <v>86</v>
      </c>
      <c r="BH134" s="1" t="s">
        <v>871</v>
      </c>
      <c r="BI134" s="1" t="s">
        <v>900</v>
      </c>
      <c r="BJ134" s="1" t="s">
        <v>87</v>
      </c>
      <c r="BK134" s="1">
        <v>0</v>
      </c>
      <c r="BL134" s="1">
        <v>0</v>
      </c>
      <c r="BM134" s="1" t="s">
        <v>398</v>
      </c>
      <c r="BN134" s="1" t="s">
        <v>901</v>
      </c>
      <c r="BO134" s="1" t="s">
        <v>389</v>
      </c>
      <c r="BP134" s="1" t="s">
        <v>86</v>
      </c>
      <c r="BQ134" s="1" t="s">
        <v>86</v>
      </c>
      <c r="BR134" s="1" t="s">
        <v>86</v>
      </c>
      <c r="BS134" s="1" t="s">
        <v>86</v>
      </c>
      <c r="BT134" s="1" t="s">
        <v>86</v>
      </c>
      <c r="BU134" s="1" t="s">
        <v>163</v>
      </c>
      <c r="BV134" s="1" t="s">
        <v>86</v>
      </c>
      <c r="BW134" s="1" t="s">
        <v>101</v>
      </c>
      <c r="BX134" s="1" t="s">
        <v>414</v>
      </c>
      <c r="BY134" s="1" t="s">
        <v>86</v>
      </c>
      <c r="BZ134" s="1" t="s">
        <v>902</v>
      </c>
      <c r="CA134" s="1" t="s">
        <v>178</v>
      </c>
      <c r="CB134" s="1" t="s">
        <v>166</v>
      </c>
      <c r="CC134" s="1" t="s">
        <v>86</v>
      </c>
      <c r="CD134" s="1" t="s">
        <v>86</v>
      </c>
      <c r="CE134" s="1" t="s">
        <v>86</v>
      </c>
    </row>
    <row r="135">
      <c r="A135" s="1">
        <v>133</v>
      </c>
      <c r="B135" s="1" t="s">
        <v>395</v>
      </c>
      <c r="C135" s="2">
        <f>=HYPERLINK("https://i.stonehdfile.com/stoneimage?s=3bce2667-df79-470c-b37a-a70898450dc9","Image")</f>
      </c>
      <c r="D135" s="2">
        <f>=HYPERLINK("https://dna.stonehdfile.com/hd/viewhd.html?d=4c3ca036-8769-4c0b-b802-e002c4c3265b","View360")</f>
      </c>
      <c r="E135" s="2">
        <f>=HYPERLINK("https://i.stonehdfile.com/Certificate?s=3bce2667-df79-470c-b37a-a70898450dc9","GIA")</f>
      </c>
      <c r="F135" s="2">
        <f>=HYPERLINK("https://i.stonehdfile.com/DNAReport?s=3bce2667-df79-470c-b37a-a70898450dc9","DNA")</f>
      </c>
      <c r="G135" s="2">
        <f>=HYPERLINK("https://www.gia.edu/report-check?reportno=******6280","Verify")</f>
      </c>
      <c r="H135" s="1" t="s">
        <v>903</v>
      </c>
      <c r="I135" s="1" t="s">
        <v>46</v>
      </c>
      <c r="J135" s="1">
        <v>1.63</v>
      </c>
      <c r="K135" s="1">
        <v>3</v>
      </c>
      <c r="L135" s="1">
        <v>7400</v>
      </c>
      <c r="M135" s="1">
        <v>3399</v>
      </c>
      <c r="N135" s="1">
        <v>5540.37</v>
      </c>
      <c r="O135" s="1">
        <v>-54.07</v>
      </c>
      <c r="P135" s="1">
        <v>0</v>
      </c>
      <c r="Q135" s="1" t="s">
        <v>86</v>
      </c>
      <c r="R135" s="1">
        <v>0</v>
      </c>
      <c r="S135" s="1" t="s">
        <v>86</v>
      </c>
      <c r="T135" s="1" t="s">
        <v>86</v>
      </c>
      <c r="U135" s="1" t="s">
        <v>159</v>
      </c>
      <c r="V135" s="1" t="s">
        <v>86</v>
      </c>
      <c r="W135" s="1" t="s">
        <v>223</v>
      </c>
      <c r="X135" s="1" t="s">
        <v>86</v>
      </c>
      <c r="Y135" s="1" t="s">
        <v>89</v>
      </c>
      <c r="Z135" s="1" t="s">
        <v>89</v>
      </c>
      <c r="AA135" s="1" t="s">
        <v>119</v>
      </c>
      <c r="AB135" s="1" t="s">
        <v>86</v>
      </c>
      <c r="AC135" s="1" t="s">
        <v>904</v>
      </c>
      <c r="AD135" s="1">
        <v>68.9</v>
      </c>
      <c r="AE135" s="1">
        <v>59</v>
      </c>
      <c r="AF135" s="1" t="s">
        <v>91</v>
      </c>
      <c r="AG135" s="1">
        <v>4.2</v>
      </c>
      <c r="AH135" s="1">
        <v>36.4</v>
      </c>
      <c r="AI135" s="1" t="s">
        <v>86</v>
      </c>
      <c r="AJ135" s="1">
        <v>1.09</v>
      </c>
      <c r="AK135" s="1" t="s">
        <v>111</v>
      </c>
      <c r="AL135" s="1" t="s">
        <v>93</v>
      </c>
      <c r="AM135" s="1" t="s">
        <v>151</v>
      </c>
      <c r="AN135" s="1" t="s">
        <v>171</v>
      </c>
      <c r="AO135" s="1" t="s">
        <v>94</v>
      </c>
      <c r="AP135" s="1" t="s">
        <v>95</v>
      </c>
      <c r="AQ135" s="1">
        <v>15.3</v>
      </c>
      <c r="AR135" s="1">
        <v>49.2</v>
      </c>
      <c r="AS135" s="1">
        <v>38.1</v>
      </c>
      <c r="AT135" s="1" t="s">
        <v>96</v>
      </c>
      <c r="AU135" s="1" t="s">
        <v>86</v>
      </c>
      <c r="AV135" s="1" t="s">
        <v>86</v>
      </c>
      <c r="AW135" s="1" t="s">
        <v>86</v>
      </c>
      <c r="AX135" s="1" t="s">
        <v>86</v>
      </c>
      <c r="AY135" s="1" t="s">
        <v>86</v>
      </c>
      <c r="AZ135" s="1" t="s">
        <v>86</v>
      </c>
      <c r="BA135" s="1" t="s">
        <v>86</v>
      </c>
      <c r="BB135" s="1" t="s">
        <v>86</v>
      </c>
      <c r="BC135" s="1" t="s">
        <v>86</v>
      </c>
      <c r="BD135" s="1" t="s">
        <v>86</v>
      </c>
      <c r="BE135" s="1" t="s">
        <v>86</v>
      </c>
      <c r="BF135" s="1" t="s">
        <v>282</v>
      </c>
      <c r="BG135" s="1" t="s">
        <v>172</v>
      </c>
      <c r="BH135" s="1" t="s">
        <v>97</v>
      </c>
      <c r="BI135" s="1" t="s">
        <v>257</v>
      </c>
      <c r="BJ135" s="1" t="s">
        <v>87</v>
      </c>
      <c r="BK135" s="1">
        <v>0</v>
      </c>
      <c r="BL135" s="1">
        <v>0</v>
      </c>
      <c r="BM135" s="1" t="s">
        <v>398</v>
      </c>
      <c r="BN135" s="1" t="s">
        <v>905</v>
      </c>
      <c r="BO135" s="1" t="s">
        <v>259</v>
      </c>
      <c r="BP135" s="1" t="s">
        <v>86</v>
      </c>
      <c r="BQ135" s="1" t="s">
        <v>86</v>
      </c>
      <c r="BR135" s="1" t="s">
        <v>86</v>
      </c>
      <c r="BS135" s="1" t="s">
        <v>86</v>
      </c>
      <c r="BT135" s="1" t="s">
        <v>86</v>
      </c>
      <c r="BU135" s="1" t="s">
        <v>163</v>
      </c>
      <c r="BV135" s="1" t="s">
        <v>86</v>
      </c>
      <c r="BW135" s="1" t="s">
        <v>101</v>
      </c>
      <c r="BX135" s="1" t="s">
        <v>401</v>
      </c>
      <c r="BY135" s="1" t="s">
        <v>86</v>
      </c>
      <c r="BZ135" s="1" t="s">
        <v>906</v>
      </c>
      <c r="CA135" s="1" t="s">
        <v>416</v>
      </c>
      <c r="CB135" s="1" t="s">
        <v>907</v>
      </c>
      <c r="CC135" s="1" t="s">
        <v>86</v>
      </c>
      <c r="CD135" s="1" t="s">
        <v>86</v>
      </c>
      <c r="CE135" s="1" t="s">
        <v>86</v>
      </c>
    </row>
    <row r="136">
      <c r="A136" s="1">
        <v>134</v>
      </c>
      <c r="B136" s="1" t="s">
        <v>395</v>
      </c>
      <c r="C136" s="2">
        <f>=HYPERLINK("https://i.stonehdfile.com/stoneimage?s=6605b8a3-ddce-4408-883c-b5320b7b7aca","Image")</f>
      </c>
      <c r="D136" s="2">
        <f>=HYPERLINK("https://dna.stonehdfile.com/hd/viewhd.html?d=1ed864f2-2ba8-4a6d-bef8-9c6d87428460","View360")</f>
      </c>
      <c r="E136" s="2">
        <f>=HYPERLINK("https://i.stonehdfile.com/Certificate?s=6605b8a3-ddce-4408-883c-b5320b7b7aca","GIA")</f>
      </c>
      <c r="F136" s="2">
        <f>=HYPERLINK("https://i.stonehdfile.com/DNAReport?s=6605b8a3-ddce-4408-883c-b5320b7b7aca","DNA")</f>
      </c>
      <c r="G136" s="2">
        <f>=HYPERLINK("https://www.gia.edu/report-check?reportno=******9894","Verify")</f>
      </c>
      <c r="H136" s="1" t="s">
        <v>908</v>
      </c>
      <c r="I136" s="1" t="s">
        <v>46</v>
      </c>
      <c r="J136" s="1">
        <v>1.5</v>
      </c>
      <c r="K136" s="1">
        <v>6</v>
      </c>
      <c r="L136" s="1">
        <v>7000</v>
      </c>
      <c r="M136" s="1">
        <v>3245</v>
      </c>
      <c r="N136" s="1">
        <v>4867.5</v>
      </c>
      <c r="O136" s="1">
        <v>-53.64</v>
      </c>
      <c r="P136" s="1">
        <v>0</v>
      </c>
      <c r="Q136" s="1" t="s">
        <v>86</v>
      </c>
      <c r="R136" s="1">
        <v>0</v>
      </c>
      <c r="S136" s="1" t="s">
        <v>86</v>
      </c>
      <c r="T136" s="1" t="s">
        <v>86</v>
      </c>
      <c r="U136" s="1" t="s">
        <v>118</v>
      </c>
      <c r="V136" s="1" t="s">
        <v>86</v>
      </c>
      <c r="W136" s="1" t="s">
        <v>169</v>
      </c>
      <c r="X136" s="1" t="s">
        <v>86</v>
      </c>
      <c r="Y136" s="1" t="s">
        <v>89</v>
      </c>
      <c r="Z136" s="1" t="s">
        <v>138</v>
      </c>
      <c r="AA136" s="1" t="s">
        <v>119</v>
      </c>
      <c r="AB136" s="1" t="s">
        <v>86</v>
      </c>
      <c r="AC136" s="1" t="s">
        <v>909</v>
      </c>
      <c r="AD136" s="1">
        <v>66.9</v>
      </c>
      <c r="AE136" s="1">
        <v>64</v>
      </c>
      <c r="AF136" s="1" t="s">
        <v>91</v>
      </c>
      <c r="AG136" s="1">
        <v>2.6</v>
      </c>
      <c r="AH136" s="1">
        <v>35.2</v>
      </c>
      <c r="AI136" s="1" t="s">
        <v>86</v>
      </c>
      <c r="AJ136" s="1">
        <v>1.05</v>
      </c>
      <c r="AK136" s="1" t="s">
        <v>111</v>
      </c>
      <c r="AL136" s="1" t="s">
        <v>140</v>
      </c>
      <c r="AM136" s="1" t="s">
        <v>140</v>
      </c>
      <c r="AN136" s="1" t="s">
        <v>171</v>
      </c>
      <c r="AO136" s="1" t="s">
        <v>94</v>
      </c>
      <c r="AP136" s="1" t="s">
        <v>95</v>
      </c>
      <c r="AQ136" s="1">
        <v>12.6</v>
      </c>
      <c r="AR136" s="1">
        <v>51.6</v>
      </c>
      <c r="AS136" s="1">
        <v>39.4</v>
      </c>
      <c r="AT136" s="1" t="s">
        <v>96</v>
      </c>
      <c r="AU136" s="1" t="s">
        <v>86</v>
      </c>
      <c r="AV136" s="1" t="s">
        <v>86</v>
      </c>
      <c r="AW136" s="1" t="s">
        <v>86</v>
      </c>
      <c r="AX136" s="1" t="s">
        <v>86</v>
      </c>
      <c r="AY136" s="1" t="s">
        <v>86</v>
      </c>
      <c r="AZ136" s="1" t="s">
        <v>86</v>
      </c>
      <c r="BA136" s="1" t="s">
        <v>86</v>
      </c>
      <c r="BB136" s="1" t="s">
        <v>86</v>
      </c>
      <c r="BC136" s="1" t="s">
        <v>86</v>
      </c>
      <c r="BD136" s="1" t="s">
        <v>86</v>
      </c>
      <c r="BE136" s="1" t="s">
        <v>86</v>
      </c>
      <c r="BF136" s="1" t="s">
        <v>86</v>
      </c>
      <c r="BG136" s="1" t="s">
        <v>86</v>
      </c>
      <c r="BH136" s="1" t="s">
        <v>448</v>
      </c>
      <c r="BI136" s="1" t="s">
        <v>335</v>
      </c>
      <c r="BJ136" s="1" t="s">
        <v>87</v>
      </c>
      <c r="BK136" s="1">
        <v>0</v>
      </c>
      <c r="BL136" s="1">
        <v>0</v>
      </c>
      <c r="BM136" s="1" t="s">
        <v>398</v>
      </c>
      <c r="BN136" s="1" t="s">
        <v>910</v>
      </c>
      <c r="BO136" s="1" t="s">
        <v>506</v>
      </c>
      <c r="BP136" s="1" t="s">
        <v>86</v>
      </c>
      <c r="BQ136" s="1" t="s">
        <v>86</v>
      </c>
      <c r="BR136" s="1" t="s">
        <v>86</v>
      </c>
      <c r="BS136" s="1" t="s">
        <v>86</v>
      </c>
      <c r="BT136" s="1" t="s">
        <v>86</v>
      </c>
      <c r="BU136" s="1" t="s">
        <v>163</v>
      </c>
      <c r="BV136" s="1" t="s">
        <v>86</v>
      </c>
      <c r="BW136" s="1" t="s">
        <v>101</v>
      </c>
      <c r="BX136" s="1" t="s">
        <v>401</v>
      </c>
      <c r="BY136" s="1" t="s">
        <v>86</v>
      </c>
      <c r="BZ136" s="1" t="s">
        <v>911</v>
      </c>
      <c r="CA136" s="1" t="s">
        <v>297</v>
      </c>
      <c r="CB136" s="1" t="s">
        <v>269</v>
      </c>
      <c r="CC136" s="1" t="s">
        <v>86</v>
      </c>
      <c r="CD136" s="1" t="s">
        <v>86</v>
      </c>
      <c r="CE136" s="1" t="s">
        <v>86</v>
      </c>
    </row>
    <row r="137">
      <c r="A137" s="1">
        <v>135</v>
      </c>
      <c r="B137" s="1" t="s">
        <v>395</v>
      </c>
      <c r="C137" s="2">
        <f>=HYPERLINK("https://i.stonehdfile.com/stoneimage?s=e02bb766-5aa1-4a6c-94ee-58eb5bfc1abd","Image")</f>
      </c>
      <c r="D137" s="2">
        <f>=HYPERLINK("https://dna.stonehdfile.com/hd/viewhd.html?d=f8d4d4e8-9205-4fed-aef2-53e30946c2cf","View360")</f>
      </c>
      <c r="E137" s="2">
        <f>=HYPERLINK("https://i.stonehdfile.com/Certificate?s=e02bb766-5aa1-4a6c-94ee-58eb5bfc1abd","GIA")</f>
      </c>
      <c r="F137" s="2">
        <f>=HYPERLINK("https://i.stonehdfile.com/DNAReport?s=e02bb766-5aa1-4a6c-94ee-58eb5bfc1abd","DNA")</f>
      </c>
      <c r="G137" s="2">
        <f>=HYPERLINK("https://www.gia.edu/report-check?reportno=******9890","Verify")</f>
      </c>
      <c r="H137" s="1" t="s">
        <v>912</v>
      </c>
      <c r="I137" s="1" t="s">
        <v>46</v>
      </c>
      <c r="J137" s="1">
        <v>1.5</v>
      </c>
      <c r="K137" s="1">
        <v>0</v>
      </c>
      <c r="L137" s="1">
        <v>7000</v>
      </c>
      <c r="M137" s="1">
        <v>2748</v>
      </c>
      <c r="N137" s="1">
        <v>4122</v>
      </c>
      <c r="O137" s="1">
        <v>-60.74</v>
      </c>
      <c r="P137" s="1">
        <v>0</v>
      </c>
      <c r="Q137" s="1" t="s">
        <v>86</v>
      </c>
      <c r="R137" s="1">
        <v>0</v>
      </c>
      <c r="S137" s="1" t="s">
        <v>86</v>
      </c>
      <c r="T137" s="1" t="s">
        <v>86</v>
      </c>
      <c r="U137" s="1" t="s">
        <v>118</v>
      </c>
      <c r="V137" s="1" t="s">
        <v>86</v>
      </c>
      <c r="W137" s="1" t="s">
        <v>169</v>
      </c>
      <c r="X137" s="1" t="s">
        <v>86</v>
      </c>
      <c r="Y137" s="1" t="s">
        <v>89</v>
      </c>
      <c r="Z137" s="1" t="s">
        <v>138</v>
      </c>
      <c r="AA137" s="1" t="s">
        <v>119</v>
      </c>
      <c r="AB137" s="1" t="s">
        <v>86</v>
      </c>
      <c r="AC137" s="1" t="s">
        <v>913</v>
      </c>
      <c r="AD137" s="1">
        <v>71.2</v>
      </c>
      <c r="AE137" s="1">
        <v>61</v>
      </c>
      <c r="AF137" s="1" t="s">
        <v>91</v>
      </c>
      <c r="AG137" s="1">
        <v>3.8</v>
      </c>
      <c r="AH137" s="1">
        <v>37</v>
      </c>
      <c r="AI137" s="1" t="s">
        <v>86</v>
      </c>
      <c r="AJ137" s="1">
        <v>1.02</v>
      </c>
      <c r="AK137" s="1" t="s">
        <v>111</v>
      </c>
      <c r="AL137" s="1" t="s">
        <v>93</v>
      </c>
      <c r="AM137" s="1" t="s">
        <v>128</v>
      </c>
      <c r="AN137" s="1" t="s">
        <v>171</v>
      </c>
      <c r="AO137" s="1" t="s">
        <v>94</v>
      </c>
      <c r="AP137" s="1" t="s">
        <v>95</v>
      </c>
      <c r="AQ137" s="1">
        <v>14.6</v>
      </c>
      <c r="AR137" s="1">
        <v>52.4</v>
      </c>
      <c r="AS137" s="1">
        <v>38.4</v>
      </c>
      <c r="AT137" s="1" t="s">
        <v>96</v>
      </c>
      <c r="AU137" s="1" t="s">
        <v>86</v>
      </c>
      <c r="AV137" s="1" t="s">
        <v>86</v>
      </c>
      <c r="AW137" s="1" t="s">
        <v>86</v>
      </c>
      <c r="AX137" s="1" t="s">
        <v>86</v>
      </c>
      <c r="AY137" s="1" t="s">
        <v>86</v>
      </c>
      <c r="AZ137" s="1" t="s">
        <v>86</v>
      </c>
      <c r="BA137" s="1" t="s">
        <v>86</v>
      </c>
      <c r="BB137" s="1" t="s">
        <v>86</v>
      </c>
      <c r="BC137" s="1" t="s">
        <v>86</v>
      </c>
      <c r="BD137" s="1" t="s">
        <v>86</v>
      </c>
      <c r="BE137" s="1" t="s">
        <v>86</v>
      </c>
      <c r="BF137" s="1" t="s">
        <v>86</v>
      </c>
      <c r="BG137" s="1" t="s">
        <v>86</v>
      </c>
      <c r="BH137" s="1" t="s">
        <v>129</v>
      </c>
      <c r="BI137" s="1" t="s">
        <v>216</v>
      </c>
      <c r="BJ137" s="1" t="s">
        <v>87</v>
      </c>
      <c r="BK137" s="1">
        <v>0</v>
      </c>
      <c r="BL137" s="1">
        <v>0</v>
      </c>
      <c r="BM137" s="1" t="s">
        <v>398</v>
      </c>
      <c r="BN137" s="1" t="s">
        <v>914</v>
      </c>
      <c r="BO137" s="1" t="s">
        <v>185</v>
      </c>
      <c r="BP137" s="1" t="s">
        <v>86</v>
      </c>
      <c r="BQ137" s="1" t="s">
        <v>86</v>
      </c>
      <c r="BR137" s="1" t="s">
        <v>86</v>
      </c>
      <c r="BS137" s="1" t="s">
        <v>86</v>
      </c>
      <c r="BT137" s="1" t="s">
        <v>86</v>
      </c>
      <c r="BU137" s="1" t="s">
        <v>163</v>
      </c>
      <c r="BV137" s="1" t="s">
        <v>86</v>
      </c>
      <c r="BW137" s="1" t="s">
        <v>101</v>
      </c>
      <c r="BX137" s="1" t="s">
        <v>414</v>
      </c>
      <c r="BY137" s="1" t="s">
        <v>86</v>
      </c>
      <c r="BZ137" s="1" t="s">
        <v>915</v>
      </c>
      <c r="CA137" s="1" t="s">
        <v>297</v>
      </c>
      <c r="CB137" s="1" t="s">
        <v>166</v>
      </c>
      <c r="CC137" s="1" t="s">
        <v>86</v>
      </c>
      <c r="CD137" s="1" t="s">
        <v>86</v>
      </c>
      <c r="CE137" s="1" t="s">
        <v>86</v>
      </c>
    </row>
    <row r="138">
      <c r="A138" s="1">
        <v>136</v>
      </c>
      <c r="B138" s="1" t="s">
        <v>395</v>
      </c>
      <c r="C138" s="2">
        <f>=HYPERLINK("https://i.stonehdfile.com/stoneimage?s=98f335b9-43bf-4a5d-9b48-4c322c4c0b82","Image")</f>
      </c>
      <c r="D138" s="2">
        <f>=HYPERLINK("https://dna.stonehdfile.com/hd/viewhd.html?d=c52a75b5-4f40-4ccd-a13a-cc305039f6e6","View360")</f>
      </c>
      <c r="E138" s="2">
        <f>=HYPERLINK("https://i.stonehdfile.com/Certificate?s=98f335b9-43bf-4a5d-9b48-4c322c4c0b82","GIA")</f>
      </c>
      <c r="F138" s="2">
        <f>=HYPERLINK("https://i.stonehdfile.com/DNAReport?s=98f335b9-43bf-4a5d-9b48-4c322c4c0b82","DNA")</f>
      </c>
      <c r="G138" s="2">
        <f>=HYPERLINK("https://www.gia.edu/report-check?reportno=******0596","Verify")</f>
      </c>
      <c r="H138" s="1" t="s">
        <v>916</v>
      </c>
      <c r="I138" s="1" t="s">
        <v>46</v>
      </c>
      <c r="J138" s="1">
        <v>1.5</v>
      </c>
      <c r="K138" s="1">
        <v>5</v>
      </c>
      <c r="L138" s="1">
        <v>7000</v>
      </c>
      <c r="M138" s="1">
        <v>2995</v>
      </c>
      <c r="N138" s="1">
        <v>4492.5</v>
      </c>
      <c r="O138" s="1">
        <v>-57.21</v>
      </c>
      <c r="P138" s="1">
        <v>0</v>
      </c>
      <c r="Q138" s="1" t="s">
        <v>86</v>
      </c>
      <c r="R138" s="1">
        <v>0</v>
      </c>
      <c r="S138" s="1" t="s">
        <v>86</v>
      </c>
      <c r="T138" s="1" t="s">
        <v>86</v>
      </c>
      <c r="U138" s="1" t="s">
        <v>118</v>
      </c>
      <c r="V138" s="1" t="s">
        <v>86</v>
      </c>
      <c r="W138" s="1" t="s">
        <v>169</v>
      </c>
      <c r="X138" s="1" t="s">
        <v>86</v>
      </c>
      <c r="Y138" s="1" t="s">
        <v>89</v>
      </c>
      <c r="Z138" s="1" t="s">
        <v>138</v>
      </c>
      <c r="AA138" s="1" t="s">
        <v>119</v>
      </c>
      <c r="AB138" s="1" t="s">
        <v>86</v>
      </c>
      <c r="AC138" s="1" t="s">
        <v>917</v>
      </c>
      <c r="AD138" s="1">
        <v>70.8</v>
      </c>
      <c r="AE138" s="1">
        <v>61</v>
      </c>
      <c r="AF138" s="1" t="s">
        <v>91</v>
      </c>
      <c r="AG138" s="1">
        <v>4.2</v>
      </c>
      <c r="AH138" s="1">
        <v>36.6</v>
      </c>
      <c r="AI138" s="1" t="s">
        <v>86</v>
      </c>
      <c r="AJ138" s="1">
        <v>1.02</v>
      </c>
      <c r="AK138" s="1" t="s">
        <v>111</v>
      </c>
      <c r="AL138" s="1" t="s">
        <v>93</v>
      </c>
      <c r="AM138" s="1" t="s">
        <v>140</v>
      </c>
      <c r="AN138" s="1" t="s">
        <v>171</v>
      </c>
      <c r="AO138" s="1" t="s">
        <v>94</v>
      </c>
      <c r="AP138" s="1" t="s">
        <v>95</v>
      </c>
      <c r="AQ138" s="1">
        <v>14.7</v>
      </c>
      <c r="AR138" s="1">
        <v>52</v>
      </c>
      <c r="AS138" s="1">
        <v>40.5</v>
      </c>
      <c r="AT138" s="1" t="s">
        <v>96</v>
      </c>
      <c r="AU138" s="1" t="s">
        <v>86</v>
      </c>
      <c r="AV138" s="1" t="s">
        <v>86</v>
      </c>
      <c r="AW138" s="1" t="s">
        <v>86</v>
      </c>
      <c r="AX138" s="1" t="s">
        <v>86</v>
      </c>
      <c r="AY138" s="1" t="s">
        <v>86</v>
      </c>
      <c r="AZ138" s="1" t="s">
        <v>86</v>
      </c>
      <c r="BA138" s="1" t="s">
        <v>86</v>
      </c>
      <c r="BB138" s="1" t="s">
        <v>86</v>
      </c>
      <c r="BC138" s="1" t="s">
        <v>86</v>
      </c>
      <c r="BD138" s="1" t="s">
        <v>86</v>
      </c>
      <c r="BE138" s="1" t="s">
        <v>86</v>
      </c>
      <c r="BF138" s="1" t="s">
        <v>86</v>
      </c>
      <c r="BG138" s="1" t="s">
        <v>86</v>
      </c>
      <c r="BH138" s="1" t="s">
        <v>215</v>
      </c>
      <c r="BI138" s="1" t="s">
        <v>257</v>
      </c>
      <c r="BJ138" s="1" t="s">
        <v>87</v>
      </c>
      <c r="BK138" s="1">
        <v>0</v>
      </c>
      <c r="BL138" s="1">
        <v>0</v>
      </c>
      <c r="BM138" s="1" t="s">
        <v>398</v>
      </c>
      <c r="BN138" s="1" t="s">
        <v>918</v>
      </c>
      <c r="BO138" s="1" t="s">
        <v>636</v>
      </c>
      <c r="BP138" s="1" t="s">
        <v>86</v>
      </c>
      <c r="BQ138" s="1" t="s">
        <v>86</v>
      </c>
      <c r="BR138" s="1" t="s">
        <v>86</v>
      </c>
      <c r="BS138" s="1" t="s">
        <v>86</v>
      </c>
      <c r="BT138" s="1" t="s">
        <v>86</v>
      </c>
      <c r="BU138" s="1" t="s">
        <v>163</v>
      </c>
      <c r="BV138" s="1" t="s">
        <v>86</v>
      </c>
      <c r="BW138" s="1" t="s">
        <v>101</v>
      </c>
      <c r="BX138" s="1" t="s">
        <v>401</v>
      </c>
      <c r="BY138" s="1" t="s">
        <v>86</v>
      </c>
      <c r="BZ138" s="1" t="s">
        <v>919</v>
      </c>
      <c r="CA138" s="1" t="s">
        <v>645</v>
      </c>
      <c r="CB138" s="1" t="s">
        <v>166</v>
      </c>
      <c r="CC138" s="1" t="s">
        <v>86</v>
      </c>
      <c r="CD138" s="1" t="s">
        <v>86</v>
      </c>
      <c r="CE138" s="1" t="s">
        <v>86</v>
      </c>
    </row>
    <row r="139">
      <c r="A139" s="1">
        <v>137</v>
      </c>
      <c r="B139" s="1" t="s">
        <v>395</v>
      </c>
      <c r="C139" s="2">
        <f>=HYPERLINK("https://i.stonehdfile.com/stoneimage?s=3893dbe2-5648-4091-a10a-934fa1a98af4","Image")</f>
      </c>
      <c r="D139" s="2">
        <f>=HYPERLINK("https://dna.stonehdfile.com/hd/viewhd.html?d=515970f2-14b3-4f36-a7ed-5837dad05c2c","View360")</f>
      </c>
      <c r="E139" s="2">
        <f>=HYPERLINK("https://i.stonehdfile.com/Certificate?s=3893dbe2-5648-4091-a10a-934fa1a98af4","GIA")</f>
      </c>
      <c r="F139" s="2">
        <f>=HYPERLINK("https://i.stonehdfile.com/DNAReport?s=3893dbe2-5648-4091-a10a-934fa1a98af4","DNA")</f>
      </c>
      <c r="G139" s="2">
        <f>=HYPERLINK("https://www.gia.edu/report-check?reportno=******9360","Verify")</f>
      </c>
      <c r="H139" s="1" t="s">
        <v>920</v>
      </c>
      <c r="I139" s="1" t="s">
        <v>46</v>
      </c>
      <c r="J139" s="1">
        <v>1.5</v>
      </c>
      <c r="K139" s="1">
        <v>3</v>
      </c>
      <c r="L139" s="1">
        <v>7000</v>
      </c>
      <c r="M139" s="1">
        <v>2325</v>
      </c>
      <c r="N139" s="1">
        <v>3487.5</v>
      </c>
      <c r="O139" s="1">
        <v>-66.79</v>
      </c>
      <c r="P139" s="1">
        <v>0</v>
      </c>
      <c r="Q139" s="1" t="s">
        <v>86</v>
      </c>
      <c r="R139" s="1">
        <v>0</v>
      </c>
      <c r="S139" s="1" t="s">
        <v>86</v>
      </c>
      <c r="T139" s="1" t="s">
        <v>86</v>
      </c>
      <c r="U139" s="1" t="s">
        <v>118</v>
      </c>
      <c r="V139" s="1" t="s">
        <v>86</v>
      </c>
      <c r="W139" s="1" t="s">
        <v>206</v>
      </c>
      <c r="X139" s="1" t="s">
        <v>86</v>
      </c>
      <c r="Y139" s="1" t="s">
        <v>89</v>
      </c>
      <c r="Z139" s="1" t="s">
        <v>138</v>
      </c>
      <c r="AA139" s="1" t="s">
        <v>119</v>
      </c>
      <c r="AB139" s="1" t="s">
        <v>86</v>
      </c>
      <c r="AC139" s="1" t="s">
        <v>921</v>
      </c>
      <c r="AD139" s="1">
        <v>71.2</v>
      </c>
      <c r="AE139" s="1">
        <v>59</v>
      </c>
      <c r="AF139" s="1" t="s">
        <v>91</v>
      </c>
      <c r="AG139" s="1">
        <v>3.7</v>
      </c>
      <c r="AH139" s="1">
        <v>37</v>
      </c>
      <c r="AI139" s="1" t="s">
        <v>86</v>
      </c>
      <c r="AJ139" s="1">
        <v>1.03</v>
      </c>
      <c r="AK139" s="1" t="s">
        <v>198</v>
      </c>
      <c r="AL139" s="1" t="s">
        <v>93</v>
      </c>
      <c r="AM139" s="1" t="s">
        <v>128</v>
      </c>
      <c r="AN139" s="1" t="s">
        <v>168</v>
      </c>
      <c r="AO139" s="1" t="s">
        <v>208</v>
      </c>
      <c r="AP139" s="1" t="s">
        <v>95</v>
      </c>
      <c r="AQ139" s="1">
        <v>15.4</v>
      </c>
      <c r="AR139" s="1">
        <v>51.9</v>
      </c>
      <c r="AS139" s="1">
        <v>37.4</v>
      </c>
      <c r="AT139" s="1" t="s">
        <v>96</v>
      </c>
      <c r="AU139" s="1" t="s">
        <v>86</v>
      </c>
      <c r="AV139" s="1" t="s">
        <v>86</v>
      </c>
      <c r="AW139" s="1" t="s">
        <v>86</v>
      </c>
      <c r="AX139" s="1" t="s">
        <v>86</v>
      </c>
      <c r="AY139" s="1" t="s">
        <v>86</v>
      </c>
      <c r="AZ139" s="1" t="s">
        <v>112</v>
      </c>
      <c r="BA139" s="1" t="s">
        <v>86</v>
      </c>
      <c r="BB139" s="1" t="s">
        <v>86</v>
      </c>
      <c r="BC139" s="1" t="s">
        <v>112</v>
      </c>
      <c r="BD139" s="1" t="s">
        <v>86</v>
      </c>
      <c r="BE139" s="1" t="s">
        <v>86</v>
      </c>
      <c r="BF139" s="1" t="s">
        <v>282</v>
      </c>
      <c r="BG139" s="1" t="s">
        <v>86</v>
      </c>
      <c r="BH139" s="1" t="s">
        <v>129</v>
      </c>
      <c r="BI139" s="1" t="s">
        <v>459</v>
      </c>
      <c r="BJ139" s="1" t="s">
        <v>87</v>
      </c>
      <c r="BK139" s="1">
        <v>0</v>
      </c>
      <c r="BL139" s="1">
        <v>0</v>
      </c>
      <c r="BM139" s="1" t="s">
        <v>86</v>
      </c>
      <c r="BN139" s="1" t="s">
        <v>329</v>
      </c>
      <c r="BO139" s="1" t="s">
        <v>922</v>
      </c>
      <c r="BP139" s="1" t="s">
        <v>86</v>
      </c>
      <c r="BQ139" s="1" t="s">
        <v>86</v>
      </c>
      <c r="BR139" s="1" t="s">
        <v>86</v>
      </c>
      <c r="BS139" s="1" t="s">
        <v>86</v>
      </c>
      <c r="BT139" s="1" t="s">
        <v>86</v>
      </c>
      <c r="BU139" s="1" t="s">
        <v>163</v>
      </c>
      <c r="BV139" s="1" t="s">
        <v>86</v>
      </c>
      <c r="BW139" s="1" t="s">
        <v>101</v>
      </c>
      <c r="BX139" s="1" t="s">
        <v>414</v>
      </c>
      <c r="BY139" s="1" t="s">
        <v>86</v>
      </c>
      <c r="BZ139" s="1" t="s">
        <v>923</v>
      </c>
      <c r="CA139" s="1" t="s">
        <v>924</v>
      </c>
      <c r="CB139" s="1" t="s">
        <v>286</v>
      </c>
      <c r="CC139" s="1" t="s">
        <v>86</v>
      </c>
      <c r="CD139" s="1" t="s">
        <v>86</v>
      </c>
      <c r="CE139" s="1" t="s">
        <v>86</v>
      </c>
    </row>
    <row r="140">
      <c r="A140" s="1">
        <v>138</v>
      </c>
      <c r="B140" s="1" t="s">
        <v>395</v>
      </c>
      <c r="C140" s="2">
        <f>=HYPERLINK("https://i.stonehdfile.com/stoneimage?s=51455c2e-859f-4119-9f62-40a950116721","Image")</f>
      </c>
      <c r="D140" s="2">
        <f>=HYPERLINK("https://dna.stonehdfile.com/hd/viewhd.html?d=8b1ebd4f-634b-4297-a5b8-d0da17cebfc0","View360")</f>
      </c>
      <c r="E140" s="2">
        <f>=HYPERLINK("https://i.stonehdfile.com/Certificate?s=51455c2e-859f-4119-9f62-40a950116721","GIA")</f>
      </c>
      <c r="F140" s="2">
        <f>=HYPERLINK("https://i.stonehdfile.com/DNAReport?s=51455c2e-859f-4119-9f62-40a950116721","DNA")</f>
      </c>
      <c r="G140" s="2">
        <f>=HYPERLINK("https://www.gia.edu/report-check?reportno=******6237","Verify")</f>
      </c>
      <c r="H140" s="1" t="s">
        <v>925</v>
      </c>
      <c r="I140" s="1" t="s">
        <v>46</v>
      </c>
      <c r="J140" s="1">
        <v>1.5</v>
      </c>
      <c r="K140" s="1">
        <v>5</v>
      </c>
      <c r="L140" s="1">
        <v>6000</v>
      </c>
      <c r="M140" s="1">
        <v>2482</v>
      </c>
      <c r="N140" s="1">
        <v>3723</v>
      </c>
      <c r="O140" s="1">
        <v>-58.63</v>
      </c>
      <c r="P140" s="1">
        <v>0</v>
      </c>
      <c r="Q140" s="1" t="s">
        <v>86</v>
      </c>
      <c r="R140" s="1">
        <v>0</v>
      </c>
      <c r="S140" s="1" t="s">
        <v>86</v>
      </c>
      <c r="T140" s="1" t="s">
        <v>86</v>
      </c>
      <c r="U140" s="1" t="s">
        <v>159</v>
      </c>
      <c r="V140" s="1" t="s">
        <v>86</v>
      </c>
      <c r="W140" s="1" t="s">
        <v>213</v>
      </c>
      <c r="X140" s="1" t="s">
        <v>86</v>
      </c>
      <c r="Y140" s="1" t="s">
        <v>89</v>
      </c>
      <c r="Z140" s="1" t="s">
        <v>138</v>
      </c>
      <c r="AA140" s="1" t="s">
        <v>119</v>
      </c>
      <c r="AB140" s="1" t="s">
        <v>86</v>
      </c>
      <c r="AC140" s="1" t="s">
        <v>926</v>
      </c>
      <c r="AD140" s="1">
        <v>70.8</v>
      </c>
      <c r="AE140" s="1">
        <v>64</v>
      </c>
      <c r="AF140" s="1" t="s">
        <v>91</v>
      </c>
      <c r="AG140" s="1">
        <v>2.8</v>
      </c>
      <c r="AH140" s="1">
        <v>35.5</v>
      </c>
      <c r="AI140" s="1" t="s">
        <v>86</v>
      </c>
      <c r="AJ140" s="1">
        <v>1.12</v>
      </c>
      <c r="AK140" s="1" t="s">
        <v>198</v>
      </c>
      <c r="AL140" s="1" t="s">
        <v>93</v>
      </c>
      <c r="AM140" s="1" t="s">
        <v>140</v>
      </c>
      <c r="AN140" s="1" t="s">
        <v>168</v>
      </c>
      <c r="AO140" s="1" t="s">
        <v>208</v>
      </c>
      <c r="AP140" s="1" t="s">
        <v>95</v>
      </c>
      <c r="AQ140" s="1">
        <v>12.9</v>
      </c>
      <c r="AR140" s="1">
        <v>54.7</v>
      </c>
      <c r="AS140" s="1">
        <v>39.4</v>
      </c>
      <c r="AT140" s="1" t="s">
        <v>96</v>
      </c>
      <c r="AU140" s="1" t="s">
        <v>86</v>
      </c>
      <c r="AV140" s="1" t="s">
        <v>86</v>
      </c>
      <c r="AW140" s="1" t="s">
        <v>141</v>
      </c>
      <c r="AX140" s="1" t="s">
        <v>86</v>
      </c>
      <c r="AY140" s="1" t="s">
        <v>86</v>
      </c>
      <c r="AZ140" s="1" t="s">
        <v>86</v>
      </c>
      <c r="BA140" s="1" t="s">
        <v>86</v>
      </c>
      <c r="BB140" s="1" t="s">
        <v>86</v>
      </c>
      <c r="BC140" s="1" t="s">
        <v>86</v>
      </c>
      <c r="BD140" s="1" t="s">
        <v>86</v>
      </c>
      <c r="BE140" s="1" t="s">
        <v>86</v>
      </c>
      <c r="BF140" s="1" t="s">
        <v>86</v>
      </c>
      <c r="BG140" s="1" t="s">
        <v>172</v>
      </c>
      <c r="BH140" s="1" t="s">
        <v>97</v>
      </c>
      <c r="BI140" s="1" t="s">
        <v>322</v>
      </c>
      <c r="BJ140" s="1" t="s">
        <v>87</v>
      </c>
      <c r="BK140" s="1">
        <v>0</v>
      </c>
      <c r="BL140" s="1">
        <v>0</v>
      </c>
      <c r="BM140" s="1" t="s">
        <v>86</v>
      </c>
      <c r="BN140" s="1" t="s">
        <v>927</v>
      </c>
      <c r="BO140" s="1" t="s">
        <v>928</v>
      </c>
      <c r="BP140" s="1" t="s">
        <v>86</v>
      </c>
      <c r="BQ140" s="1" t="s">
        <v>86</v>
      </c>
      <c r="BR140" s="1" t="s">
        <v>86</v>
      </c>
      <c r="BS140" s="1" t="s">
        <v>86</v>
      </c>
      <c r="BT140" s="1" t="s">
        <v>86</v>
      </c>
      <c r="BU140" s="1" t="s">
        <v>163</v>
      </c>
      <c r="BV140" s="1" t="s">
        <v>86</v>
      </c>
      <c r="BW140" s="1" t="s">
        <v>101</v>
      </c>
      <c r="BX140" s="1" t="s">
        <v>414</v>
      </c>
      <c r="BY140" s="1" t="s">
        <v>86</v>
      </c>
      <c r="BZ140" s="1" t="s">
        <v>929</v>
      </c>
      <c r="CA140" s="1" t="s">
        <v>645</v>
      </c>
      <c r="CB140" s="1" t="s">
        <v>179</v>
      </c>
      <c r="CC140" s="1" t="s">
        <v>86</v>
      </c>
      <c r="CD140" s="1" t="s">
        <v>86</v>
      </c>
      <c r="CE140" s="1" t="s">
        <v>86</v>
      </c>
    </row>
    <row r="141">
      <c r="A141" s="1">
        <v>139</v>
      </c>
      <c r="B141" s="1" t="s">
        <v>395</v>
      </c>
      <c r="C141" s="2">
        <f>=HYPERLINK("https://i.stonehdfile.com/stoneimage?s=bcc35e73-c3a7-48d0-99a4-45f927c2b9d8","Image")</f>
      </c>
      <c r="D141" s="2">
        <f>=HYPERLINK("https://dna.stonehdfile.com/hd/viewhd.html?d=22526b0f-6141-4192-8088-52565cca7e57","View360")</f>
      </c>
      <c r="E141" s="2">
        <f>=HYPERLINK("https://i.stonehdfile.com/Certificate?s=bcc35e73-c3a7-48d0-99a4-45f927c2b9d8","GIA")</f>
      </c>
      <c r="F141" s="2">
        <f>=HYPERLINK("https://i.stonehdfile.com/DNAReport?s=bcc35e73-c3a7-48d0-99a4-45f927c2b9d8","DNA")</f>
      </c>
      <c r="G141" s="2">
        <f>=HYPERLINK("https://www.gia.edu/report-check?reportno=******1167","Verify")</f>
      </c>
      <c r="H141" s="1" t="s">
        <v>930</v>
      </c>
      <c r="I141" s="1" t="s">
        <v>46</v>
      </c>
      <c r="J141" s="1">
        <v>1.5</v>
      </c>
      <c r="K141" s="1">
        <v>1</v>
      </c>
      <c r="L141" s="1">
        <v>6000</v>
      </c>
      <c r="M141" s="1">
        <v>2487</v>
      </c>
      <c r="N141" s="1">
        <v>3730.5</v>
      </c>
      <c r="O141" s="1">
        <v>-58.55</v>
      </c>
      <c r="P141" s="1">
        <v>0</v>
      </c>
      <c r="Q141" s="1" t="s">
        <v>86</v>
      </c>
      <c r="R141" s="1">
        <v>0</v>
      </c>
      <c r="S141" s="1" t="s">
        <v>86</v>
      </c>
      <c r="T141" s="1" t="s">
        <v>86</v>
      </c>
      <c r="U141" s="1" t="s">
        <v>159</v>
      </c>
      <c r="V141" s="1" t="s">
        <v>86</v>
      </c>
      <c r="W141" s="1" t="s">
        <v>213</v>
      </c>
      <c r="X141" s="1" t="s">
        <v>86</v>
      </c>
      <c r="Y141" s="1" t="s">
        <v>89</v>
      </c>
      <c r="Z141" s="1" t="s">
        <v>89</v>
      </c>
      <c r="AA141" s="1" t="s">
        <v>119</v>
      </c>
      <c r="AB141" s="1" t="s">
        <v>86</v>
      </c>
      <c r="AC141" s="1" t="s">
        <v>931</v>
      </c>
      <c r="AD141" s="1">
        <v>69.7</v>
      </c>
      <c r="AE141" s="1">
        <v>60</v>
      </c>
      <c r="AF141" s="1" t="s">
        <v>91</v>
      </c>
      <c r="AG141" s="1">
        <v>3.2</v>
      </c>
      <c r="AH141" s="1">
        <v>36.4</v>
      </c>
      <c r="AI141" s="1" t="s">
        <v>86</v>
      </c>
      <c r="AJ141" s="1">
        <v>1.07</v>
      </c>
      <c r="AK141" s="1" t="s">
        <v>111</v>
      </c>
      <c r="AL141" s="1" t="s">
        <v>128</v>
      </c>
      <c r="AM141" s="1" t="s">
        <v>151</v>
      </c>
      <c r="AN141" s="1" t="s">
        <v>168</v>
      </c>
      <c r="AO141" s="1" t="s">
        <v>208</v>
      </c>
      <c r="AP141" s="1" t="s">
        <v>95</v>
      </c>
      <c r="AQ141" s="1">
        <v>14.9</v>
      </c>
      <c r="AR141" s="1">
        <v>50.7</v>
      </c>
      <c r="AS141" s="1">
        <v>38.1</v>
      </c>
      <c r="AT141" s="1" t="s">
        <v>96</v>
      </c>
      <c r="AU141" s="1" t="s">
        <v>86</v>
      </c>
      <c r="AV141" s="1" t="s">
        <v>86</v>
      </c>
      <c r="AW141" s="1" t="s">
        <v>86</v>
      </c>
      <c r="AX141" s="1" t="s">
        <v>86</v>
      </c>
      <c r="AY141" s="1" t="s">
        <v>86</v>
      </c>
      <c r="AZ141" s="1" t="s">
        <v>112</v>
      </c>
      <c r="BA141" s="1" t="s">
        <v>86</v>
      </c>
      <c r="BB141" s="1" t="s">
        <v>86</v>
      </c>
      <c r="BC141" s="1" t="s">
        <v>86</v>
      </c>
      <c r="BD141" s="1" t="s">
        <v>86</v>
      </c>
      <c r="BE141" s="1" t="s">
        <v>86</v>
      </c>
      <c r="BF141" s="1" t="s">
        <v>86</v>
      </c>
      <c r="BG141" s="1" t="s">
        <v>172</v>
      </c>
      <c r="BH141" s="1" t="s">
        <v>173</v>
      </c>
      <c r="BI141" s="1" t="s">
        <v>199</v>
      </c>
      <c r="BJ141" s="1" t="s">
        <v>87</v>
      </c>
      <c r="BK141" s="1">
        <v>0</v>
      </c>
      <c r="BL141" s="1">
        <v>0</v>
      </c>
      <c r="BM141" s="1" t="s">
        <v>398</v>
      </c>
      <c r="BN141" s="1" t="s">
        <v>932</v>
      </c>
      <c r="BO141" s="1" t="s">
        <v>444</v>
      </c>
      <c r="BP141" s="1" t="s">
        <v>86</v>
      </c>
      <c r="BQ141" s="1" t="s">
        <v>86</v>
      </c>
      <c r="BR141" s="1" t="s">
        <v>86</v>
      </c>
      <c r="BS141" s="1" t="s">
        <v>86</v>
      </c>
      <c r="BT141" s="1" t="s">
        <v>86</v>
      </c>
      <c r="BU141" s="1" t="s">
        <v>163</v>
      </c>
      <c r="BV141" s="1" t="s">
        <v>86</v>
      </c>
      <c r="BW141" s="1" t="s">
        <v>101</v>
      </c>
      <c r="BX141" s="1" t="s">
        <v>401</v>
      </c>
      <c r="BY141" s="1" t="s">
        <v>86</v>
      </c>
      <c r="BZ141" s="1" t="s">
        <v>933</v>
      </c>
      <c r="CA141" s="1" t="s">
        <v>934</v>
      </c>
      <c r="CB141" s="1" t="s">
        <v>179</v>
      </c>
      <c r="CC141" s="1" t="s">
        <v>86</v>
      </c>
      <c r="CD141" s="1" t="s">
        <v>86</v>
      </c>
      <c r="CE141" s="1" t="s">
        <v>86</v>
      </c>
    </row>
    <row r="142">
      <c r="A142" s="1">
        <v>140</v>
      </c>
      <c r="B142" s="1" t="s">
        <v>395</v>
      </c>
      <c r="C142" s="2">
        <f>=HYPERLINK("https://i.stonehdfile.com/stoneimage?s=c719dd60-6efa-4301-bf53-e01368600c44","Image")</f>
      </c>
      <c r="D142" s="2">
        <f>=HYPERLINK("https://dna.stonehdfile.com/hd/viewhd.html?d=e52360f1-c812-4bd9-bfbc-ca63fe097386","View360")</f>
      </c>
      <c r="E142" s="2">
        <f>=HYPERLINK("https://i.stonehdfile.com/Certificate?s=c719dd60-6efa-4301-bf53-e01368600c44","GIA")</f>
      </c>
      <c r="F142" s="2">
        <f>=HYPERLINK("https://i.stonehdfile.com/DNAReport?s=c719dd60-6efa-4301-bf53-e01368600c44","DNA")</f>
      </c>
      <c r="G142" s="2">
        <f>=HYPERLINK("https://www.gia.edu/report-check?reportno=******9907","Verify")</f>
      </c>
      <c r="H142" s="1" t="s">
        <v>935</v>
      </c>
      <c r="I142" s="1" t="s">
        <v>46</v>
      </c>
      <c r="J142" s="1">
        <v>1.51</v>
      </c>
      <c r="K142" s="1">
        <v>1</v>
      </c>
      <c r="L142" s="1">
        <v>6000</v>
      </c>
      <c r="M142" s="1">
        <v>2553</v>
      </c>
      <c r="N142" s="1">
        <v>3855.03</v>
      </c>
      <c r="O142" s="1">
        <v>-57.45</v>
      </c>
      <c r="P142" s="1">
        <v>0</v>
      </c>
      <c r="Q142" s="1" t="s">
        <v>86</v>
      </c>
      <c r="R142" s="1">
        <v>0</v>
      </c>
      <c r="S142" s="1" t="s">
        <v>86</v>
      </c>
      <c r="T142" s="1" t="s">
        <v>86</v>
      </c>
      <c r="U142" s="1" t="s">
        <v>118</v>
      </c>
      <c r="V142" s="1" t="s">
        <v>86</v>
      </c>
      <c r="W142" s="1" t="s">
        <v>213</v>
      </c>
      <c r="X142" s="1" t="s">
        <v>86</v>
      </c>
      <c r="Y142" s="1" t="s">
        <v>138</v>
      </c>
      <c r="Z142" s="1" t="s">
        <v>89</v>
      </c>
      <c r="AA142" s="1" t="s">
        <v>119</v>
      </c>
      <c r="AB142" s="1" t="s">
        <v>86</v>
      </c>
      <c r="AC142" s="1" t="s">
        <v>936</v>
      </c>
      <c r="AD142" s="1">
        <v>70.4</v>
      </c>
      <c r="AE142" s="1">
        <v>67</v>
      </c>
      <c r="AF142" s="1" t="s">
        <v>91</v>
      </c>
      <c r="AG142" s="1">
        <v>1.5</v>
      </c>
      <c r="AH142" s="1">
        <v>34.3</v>
      </c>
      <c r="AI142" s="1" t="s">
        <v>86</v>
      </c>
      <c r="AJ142" s="1">
        <v>1.21</v>
      </c>
      <c r="AK142" s="1" t="s">
        <v>111</v>
      </c>
      <c r="AL142" s="1" t="s">
        <v>93</v>
      </c>
      <c r="AM142" s="1" t="s">
        <v>140</v>
      </c>
      <c r="AN142" s="1" t="s">
        <v>171</v>
      </c>
      <c r="AO142" s="1" t="s">
        <v>208</v>
      </c>
      <c r="AP142" s="1" t="s">
        <v>95</v>
      </c>
      <c r="AQ142" s="1">
        <v>11</v>
      </c>
      <c r="AR142" s="1">
        <v>57.7</v>
      </c>
      <c r="AS142" s="1">
        <v>40.4</v>
      </c>
      <c r="AT142" s="1" t="s">
        <v>96</v>
      </c>
      <c r="AU142" s="1" t="s">
        <v>86</v>
      </c>
      <c r="AV142" s="1" t="s">
        <v>86</v>
      </c>
      <c r="AW142" s="1" t="s">
        <v>937</v>
      </c>
      <c r="AX142" s="1" t="s">
        <v>86</v>
      </c>
      <c r="AY142" s="1" t="s">
        <v>86</v>
      </c>
      <c r="AZ142" s="1" t="s">
        <v>86</v>
      </c>
      <c r="BA142" s="1" t="s">
        <v>86</v>
      </c>
      <c r="BB142" s="1" t="s">
        <v>86</v>
      </c>
      <c r="BC142" s="1" t="s">
        <v>86</v>
      </c>
      <c r="BD142" s="1" t="s">
        <v>86</v>
      </c>
      <c r="BE142" s="1" t="s">
        <v>86</v>
      </c>
      <c r="BF142" s="1" t="s">
        <v>86</v>
      </c>
      <c r="BG142" s="1" t="s">
        <v>172</v>
      </c>
      <c r="BH142" s="1" t="s">
        <v>142</v>
      </c>
      <c r="BI142" s="1" t="s">
        <v>938</v>
      </c>
      <c r="BJ142" s="1" t="s">
        <v>87</v>
      </c>
      <c r="BK142" s="1">
        <v>0</v>
      </c>
      <c r="BL142" s="1">
        <v>0</v>
      </c>
      <c r="BM142" s="1" t="s">
        <v>398</v>
      </c>
      <c r="BN142" s="1" t="s">
        <v>939</v>
      </c>
      <c r="BO142" s="1" t="s">
        <v>940</v>
      </c>
      <c r="BP142" s="1" t="s">
        <v>86</v>
      </c>
      <c r="BQ142" s="1" t="s">
        <v>86</v>
      </c>
      <c r="BR142" s="1" t="s">
        <v>86</v>
      </c>
      <c r="BS142" s="1" t="s">
        <v>86</v>
      </c>
      <c r="BT142" s="1" t="s">
        <v>86</v>
      </c>
      <c r="BU142" s="1" t="s">
        <v>163</v>
      </c>
      <c r="BV142" s="1" t="s">
        <v>86</v>
      </c>
      <c r="BW142" s="1" t="s">
        <v>101</v>
      </c>
      <c r="BX142" s="1" t="s">
        <v>414</v>
      </c>
      <c r="BY142" s="1" t="s">
        <v>86</v>
      </c>
      <c r="BZ142" s="1" t="s">
        <v>941</v>
      </c>
      <c r="CA142" s="1" t="s">
        <v>671</v>
      </c>
      <c r="CB142" s="1" t="s">
        <v>425</v>
      </c>
      <c r="CC142" s="1" t="s">
        <v>86</v>
      </c>
      <c r="CD142" s="1" t="s">
        <v>86</v>
      </c>
      <c r="CE142" s="1" t="s">
        <v>86</v>
      </c>
    </row>
    <row r="143">
      <c r="A143" s="1">
        <v>141</v>
      </c>
      <c r="B143" s="1" t="s">
        <v>395</v>
      </c>
      <c r="C143" s="2">
        <f>=HYPERLINK("https://i.stonehdfile.com/stoneimage?s=e036753e-3037-4bbd-b6c5-902f0c6bcb2a","Image")</f>
      </c>
      <c r="D143" s="2">
        <f>=HYPERLINK("https://dna.stonehdfile.com/hd/viewhd.html?d=c5ea8ae7-b28c-48be-88fa-02a39068151e","View360")</f>
      </c>
      <c r="E143" s="2">
        <f>=HYPERLINK("https://i.stonehdfile.com/Certificate?s=e036753e-3037-4bbd-b6c5-902f0c6bcb2a","GIA")</f>
      </c>
      <c r="F143" s="2">
        <f>=HYPERLINK("https://i.stonehdfile.com/DNAReport?s=e036753e-3037-4bbd-b6c5-902f0c6bcb2a","DNA")</f>
      </c>
      <c r="G143" s="2">
        <f>=HYPERLINK("https://www.gia.edu/report-check?reportno=******2453","Verify")</f>
      </c>
      <c r="H143" s="1" t="s">
        <v>942</v>
      </c>
      <c r="I143" s="1" t="s">
        <v>46</v>
      </c>
      <c r="J143" s="1">
        <v>1.7</v>
      </c>
      <c r="K143" s="1">
        <v>3</v>
      </c>
      <c r="L143" s="1">
        <v>10300</v>
      </c>
      <c r="M143" s="1">
        <v>5082</v>
      </c>
      <c r="N143" s="1">
        <v>8639.4</v>
      </c>
      <c r="O143" s="1">
        <v>-50.66</v>
      </c>
      <c r="P143" s="1">
        <v>0</v>
      </c>
      <c r="Q143" s="1" t="s">
        <v>86</v>
      </c>
      <c r="R143" s="1">
        <v>0</v>
      </c>
      <c r="S143" s="1" t="s">
        <v>86</v>
      </c>
      <c r="T143" s="1" t="s">
        <v>86</v>
      </c>
      <c r="U143" s="1" t="s">
        <v>168</v>
      </c>
      <c r="V143" s="1" t="s">
        <v>86</v>
      </c>
      <c r="W143" s="1" t="s">
        <v>137</v>
      </c>
      <c r="X143" s="1" t="s">
        <v>86</v>
      </c>
      <c r="Y143" s="1" t="s">
        <v>89</v>
      </c>
      <c r="Z143" s="1" t="s">
        <v>138</v>
      </c>
      <c r="AA143" s="1" t="s">
        <v>119</v>
      </c>
      <c r="AB143" s="1" t="s">
        <v>86</v>
      </c>
      <c r="AC143" s="1" t="s">
        <v>943</v>
      </c>
      <c r="AD143" s="1">
        <v>66.5</v>
      </c>
      <c r="AE143" s="1">
        <v>61</v>
      </c>
      <c r="AF143" s="1" t="s">
        <v>91</v>
      </c>
      <c r="AG143" s="1">
        <v>2.2</v>
      </c>
      <c r="AH143" s="1">
        <v>35.4</v>
      </c>
      <c r="AI143" s="1" t="s">
        <v>86</v>
      </c>
      <c r="AJ143" s="1">
        <v>1.12</v>
      </c>
      <c r="AK143" s="1" t="s">
        <v>111</v>
      </c>
      <c r="AL143" s="1" t="s">
        <v>93</v>
      </c>
      <c r="AM143" s="1" t="s">
        <v>128</v>
      </c>
      <c r="AN143" s="1" t="s">
        <v>168</v>
      </c>
      <c r="AO143" s="1" t="s">
        <v>94</v>
      </c>
      <c r="AP143" s="1" t="s">
        <v>95</v>
      </c>
      <c r="AQ143" s="1">
        <v>13.6</v>
      </c>
      <c r="AR143" s="1">
        <v>50.7</v>
      </c>
      <c r="AS143" s="1">
        <v>38.6</v>
      </c>
      <c r="AT143" s="1" t="s">
        <v>96</v>
      </c>
      <c r="AU143" s="1" t="s">
        <v>86</v>
      </c>
      <c r="AV143" s="1" t="s">
        <v>86</v>
      </c>
      <c r="AW143" s="1" t="s">
        <v>86</v>
      </c>
      <c r="AX143" s="1" t="s">
        <v>86</v>
      </c>
      <c r="AY143" s="1" t="s">
        <v>86</v>
      </c>
      <c r="AZ143" s="1" t="s">
        <v>86</v>
      </c>
      <c r="BA143" s="1" t="s">
        <v>86</v>
      </c>
      <c r="BB143" s="1" t="s">
        <v>86</v>
      </c>
      <c r="BC143" s="1" t="s">
        <v>86</v>
      </c>
      <c r="BD143" s="1" t="s">
        <v>86</v>
      </c>
      <c r="BE143" s="1" t="s">
        <v>86</v>
      </c>
      <c r="BF143" s="1" t="s">
        <v>86</v>
      </c>
      <c r="BG143" s="1" t="s">
        <v>86</v>
      </c>
      <c r="BH143" s="1" t="s">
        <v>142</v>
      </c>
      <c r="BI143" s="1" t="s">
        <v>420</v>
      </c>
      <c r="BJ143" s="1" t="s">
        <v>87</v>
      </c>
      <c r="BK143" s="1">
        <v>0</v>
      </c>
      <c r="BL143" s="1">
        <v>0</v>
      </c>
      <c r="BM143" s="1" t="s">
        <v>398</v>
      </c>
      <c r="BN143" s="1" t="s">
        <v>944</v>
      </c>
      <c r="BO143" s="1" t="s">
        <v>506</v>
      </c>
      <c r="BP143" s="1" t="s">
        <v>86</v>
      </c>
      <c r="BQ143" s="1" t="s">
        <v>86</v>
      </c>
      <c r="BR143" s="1" t="s">
        <v>86</v>
      </c>
      <c r="BS143" s="1" t="s">
        <v>86</v>
      </c>
      <c r="BT143" s="1" t="s">
        <v>86</v>
      </c>
      <c r="BU143" s="1" t="s">
        <v>163</v>
      </c>
      <c r="BV143" s="1" t="s">
        <v>86</v>
      </c>
      <c r="BW143" s="1" t="s">
        <v>101</v>
      </c>
      <c r="BX143" s="1" t="s">
        <v>414</v>
      </c>
      <c r="BY143" s="1" t="s">
        <v>86</v>
      </c>
      <c r="BZ143" s="1" t="s">
        <v>945</v>
      </c>
      <c r="CA143" s="1" t="s">
        <v>946</v>
      </c>
      <c r="CB143" s="1" t="s">
        <v>166</v>
      </c>
      <c r="CC143" s="1" t="s">
        <v>86</v>
      </c>
      <c r="CD143" s="1" t="s">
        <v>86</v>
      </c>
      <c r="CE143" s="1" t="s">
        <v>86</v>
      </c>
    </row>
    <row r="144">
      <c r="A144" s="1">
        <v>142</v>
      </c>
      <c r="B144" s="1" t="s">
        <v>395</v>
      </c>
      <c r="C144" s="2">
        <f>=HYPERLINK("https://i.stonehdfile.com/stoneimage?s=ef4df195-3829-44a3-aaf2-1ea27da4ed95","Image")</f>
      </c>
      <c r="D144" s="2">
        <f>=HYPERLINK("https://dna.stonehdfile.com/hd/viewhd.html?d=6b26676f-3851-469e-8368-f1ca93716c05","View360")</f>
      </c>
      <c r="E144" s="2">
        <f>=HYPERLINK("https://i.stonehdfile.com/Certificate?s=ef4df195-3829-44a3-aaf2-1ea27da4ed95","GIA")</f>
      </c>
      <c r="F144" s="2">
        <f>=HYPERLINK("https://i.stonehdfile.com/DNAReport?s=ef4df195-3829-44a3-aaf2-1ea27da4ed95","DNA")</f>
      </c>
      <c r="G144" s="2">
        <f>=HYPERLINK("https://www.gia.edu/report-check?reportno=******6774","Verify")</f>
      </c>
      <c r="H144" s="1" t="s">
        <v>947</v>
      </c>
      <c r="I144" s="1" t="s">
        <v>46</v>
      </c>
      <c r="J144" s="1">
        <v>1.7</v>
      </c>
      <c r="K144" s="1">
        <v>7</v>
      </c>
      <c r="L144" s="1">
        <v>8100</v>
      </c>
      <c r="M144" s="1">
        <v>3426</v>
      </c>
      <c r="N144" s="1">
        <v>5824.2</v>
      </c>
      <c r="O144" s="1">
        <v>-57.7</v>
      </c>
      <c r="P144" s="1">
        <v>0</v>
      </c>
      <c r="Q144" s="1" t="s">
        <v>86</v>
      </c>
      <c r="R144" s="1">
        <v>0</v>
      </c>
      <c r="S144" s="1" t="s">
        <v>86</v>
      </c>
      <c r="T144" s="1" t="s">
        <v>86</v>
      </c>
      <c r="U144" s="1" t="s">
        <v>168</v>
      </c>
      <c r="V144" s="1" t="s">
        <v>86</v>
      </c>
      <c r="W144" s="1" t="s">
        <v>213</v>
      </c>
      <c r="X144" s="1" t="s">
        <v>86</v>
      </c>
      <c r="Y144" s="1" t="s">
        <v>138</v>
      </c>
      <c r="Z144" s="1" t="s">
        <v>138</v>
      </c>
      <c r="AA144" s="1" t="s">
        <v>87</v>
      </c>
      <c r="AB144" s="1" t="s">
        <v>86</v>
      </c>
      <c r="AC144" s="1" t="s">
        <v>948</v>
      </c>
      <c r="AD144" s="1">
        <v>71.2</v>
      </c>
      <c r="AE144" s="1">
        <v>58</v>
      </c>
      <c r="AF144" s="1" t="s">
        <v>91</v>
      </c>
      <c r="AG144" s="1">
        <v>4.5</v>
      </c>
      <c r="AH144" s="1">
        <v>36</v>
      </c>
      <c r="AI144" s="1" t="s">
        <v>86</v>
      </c>
      <c r="AJ144" s="1">
        <v>1.01</v>
      </c>
      <c r="AK144" s="1" t="s">
        <v>198</v>
      </c>
      <c r="AL144" s="1" t="s">
        <v>140</v>
      </c>
      <c r="AM144" s="1" t="s">
        <v>128</v>
      </c>
      <c r="AN144" s="1" t="s">
        <v>168</v>
      </c>
      <c r="AO144" s="1" t="s">
        <v>208</v>
      </c>
      <c r="AP144" s="1" t="s">
        <v>95</v>
      </c>
      <c r="AQ144" s="1">
        <v>15.1</v>
      </c>
      <c r="AR144" s="1">
        <v>51.3</v>
      </c>
      <c r="AS144" s="1">
        <v>39.5</v>
      </c>
      <c r="AT144" s="1" t="s">
        <v>96</v>
      </c>
      <c r="AU144" s="1" t="s">
        <v>86</v>
      </c>
      <c r="AV144" s="1" t="s">
        <v>86</v>
      </c>
      <c r="AW144" s="1" t="s">
        <v>86</v>
      </c>
      <c r="AX144" s="1" t="s">
        <v>86</v>
      </c>
      <c r="AY144" s="1" t="s">
        <v>86</v>
      </c>
      <c r="AZ144" s="1" t="s">
        <v>112</v>
      </c>
      <c r="BA144" s="1" t="s">
        <v>86</v>
      </c>
      <c r="BB144" s="1" t="s">
        <v>86</v>
      </c>
      <c r="BC144" s="1" t="s">
        <v>86</v>
      </c>
      <c r="BD144" s="1" t="s">
        <v>86</v>
      </c>
      <c r="BE144" s="1" t="s">
        <v>86</v>
      </c>
      <c r="BF144" s="1" t="s">
        <v>86</v>
      </c>
      <c r="BG144" s="1" t="s">
        <v>172</v>
      </c>
      <c r="BH144" s="1" t="s">
        <v>129</v>
      </c>
      <c r="BI144" s="1" t="s">
        <v>813</v>
      </c>
      <c r="BJ144" s="1" t="s">
        <v>87</v>
      </c>
      <c r="BK144" s="1">
        <v>0</v>
      </c>
      <c r="BL144" s="1">
        <v>0</v>
      </c>
      <c r="BM144" s="1" t="s">
        <v>398</v>
      </c>
      <c r="BN144" s="1" t="s">
        <v>949</v>
      </c>
      <c r="BO144" s="1" t="s">
        <v>604</v>
      </c>
      <c r="BP144" s="1" t="s">
        <v>86</v>
      </c>
      <c r="BQ144" s="1" t="s">
        <v>86</v>
      </c>
      <c r="BR144" s="1" t="s">
        <v>86</v>
      </c>
      <c r="BS144" s="1" t="s">
        <v>86</v>
      </c>
      <c r="BT144" s="1" t="s">
        <v>86</v>
      </c>
      <c r="BU144" s="1" t="s">
        <v>163</v>
      </c>
      <c r="BV144" s="1" t="s">
        <v>86</v>
      </c>
      <c r="BW144" s="1" t="s">
        <v>101</v>
      </c>
      <c r="BX144" s="1" t="s">
        <v>414</v>
      </c>
      <c r="BY144" s="1" t="s">
        <v>86</v>
      </c>
      <c r="BZ144" s="1" t="s">
        <v>950</v>
      </c>
      <c r="CA144" s="1" t="s">
        <v>951</v>
      </c>
      <c r="CB144" s="1" t="s">
        <v>952</v>
      </c>
      <c r="CC144" s="1" t="s">
        <v>86</v>
      </c>
      <c r="CD144" s="1" t="s">
        <v>86</v>
      </c>
      <c r="CE144" s="1" t="s">
        <v>86</v>
      </c>
    </row>
    <row r="145">
      <c r="A145" s="1">
        <v>143</v>
      </c>
      <c r="B145" s="1" t="s">
        <v>395</v>
      </c>
      <c r="C145" s="2">
        <f>=HYPERLINK("https://i.stonehdfile.com/stoneimage?s=c93df165-f07c-4918-9140-44a18b68d046","Image")</f>
      </c>
      <c r="D145" s="2">
        <f>=HYPERLINK("https://dna.stonehdfile.com/hd/viewhd.html?d=6f4be5f1-9018-45d5-8a9b-61f126cc9455","View360")</f>
      </c>
      <c r="E145" s="2">
        <f>=HYPERLINK("https://i.stonehdfile.com/Certificate?s=c93df165-f07c-4918-9140-44a18b68d046","GIA")</f>
      </c>
      <c r="F145" s="2">
        <f>=HYPERLINK("https://i.stonehdfile.com/DNAReport?s=c93df165-f07c-4918-9140-44a18b68d046","DNA")</f>
      </c>
      <c r="G145" s="2">
        <f>=HYPERLINK("https://www.gia.edu/report-check?reportno=******8743","Verify")</f>
      </c>
      <c r="H145" s="1" t="s">
        <v>953</v>
      </c>
      <c r="I145" s="1" t="s">
        <v>46</v>
      </c>
      <c r="J145" s="1">
        <v>1.71</v>
      </c>
      <c r="K145" s="1">
        <v>0</v>
      </c>
      <c r="L145" s="1">
        <v>8100</v>
      </c>
      <c r="M145" s="1">
        <v>4495</v>
      </c>
      <c r="N145" s="1">
        <v>7686.45</v>
      </c>
      <c r="O145" s="1">
        <v>-44.51</v>
      </c>
      <c r="P145" s="1">
        <v>0</v>
      </c>
      <c r="Q145" s="1" t="s">
        <v>86</v>
      </c>
      <c r="R145" s="1">
        <v>0</v>
      </c>
      <c r="S145" s="1" t="s">
        <v>86</v>
      </c>
      <c r="T145" s="1" t="s">
        <v>86</v>
      </c>
      <c r="U145" s="1" t="s">
        <v>168</v>
      </c>
      <c r="V145" s="1" t="s">
        <v>86</v>
      </c>
      <c r="W145" s="1" t="s">
        <v>213</v>
      </c>
      <c r="X145" s="1" t="s">
        <v>86</v>
      </c>
      <c r="Y145" s="1" t="s">
        <v>89</v>
      </c>
      <c r="Z145" s="1" t="s">
        <v>89</v>
      </c>
      <c r="AA145" s="1" t="s">
        <v>119</v>
      </c>
      <c r="AB145" s="1" t="s">
        <v>86</v>
      </c>
      <c r="AC145" s="1" t="s">
        <v>954</v>
      </c>
      <c r="AD145" s="1">
        <v>71.4</v>
      </c>
      <c r="AE145" s="1">
        <v>63</v>
      </c>
      <c r="AF145" s="1" t="s">
        <v>91</v>
      </c>
      <c r="AG145" s="1">
        <v>3.6</v>
      </c>
      <c r="AH145" s="1">
        <v>33.7</v>
      </c>
      <c r="AI145" s="1" t="s">
        <v>86</v>
      </c>
      <c r="AJ145" s="1">
        <v>1.09</v>
      </c>
      <c r="AK145" s="1" t="s">
        <v>111</v>
      </c>
      <c r="AL145" s="1" t="s">
        <v>93</v>
      </c>
      <c r="AM145" s="1" t="s">
        <v>140</v>
      </c>
      <c r="AN145" s="1" t="s">
        <v>171</v>
      </c>
      <c r="AO145" s="1" t="s">
        <v>208</v>
      </c>
      <c r="AP145" s="1" t="s">
        <v>95</v>
      </c>
      <c r="AQ145" s="1">
        <v>12.3</v>
      </c>
      <c r="AR145" s="1">
        <v>55.1</v>
      </c>
      <c r="AS145" s="1">
        <v>40.6</v>
      </c>
      <c r="AT145" s="1" t="s">
        <v>96</v>
      </c>
      <c r="AU145" s="1" t="s">
        <v>141</v>
      </c>
      <c r="AV145" s="1" t="s">
        <v>86</v>
      </c>
      <c r="AW145" s="1" t="s">
        <v>141</v>
      </c>
      <c r="AX145" s="1" t="s">
        <v>86</v>
      </c>
      <c r="AY145" s="1" t="s">
        <v>86</v>
      </c>
      <c r="AZ145" s="1" t="s">
        <v>86</v>
      </c>
      <c r="BA145" s="1" t="s">
        <v>86</v>
      </c>
      <c r="BB145" s="1" t="s">
        <v>86</v>
      </c>
      <c r="BC145" s="1" t="s">
        <v>86</v>
      </c>
      <c r="BD145" s="1" t="s">
        <v>86</v>
      </c>
      <c r="BE145" s="1" t="s">
        <v>86</v>
      </c>
      <c r="BF145" s="1" t="s">
        <v>86</v>
      </c>
      <c r="BG145" s="1" t="s">
        <v>172</v>
      </c>
      <c r="BH145" s="1" t="s">
        <v>97</v>
      </c>
      <c r="BI145" s="1" t="s">
        <v>576</v>
      </c>
      <c r="BJ145" s="1" t="s">
        <v>87</v>
      </c>
      <c r="BK145" s="1">
        <v>0</v>
      </c>
      <c r="BL145" s="1">
        <v>0</v>
      </c>
      <c r="BM145" s="1" t="s">
        <v>398</v>
      </c>
      <c r="BN145" s="1" t="s">
        <v>955</v>
      </c>
      <c r="BO145" s="1" t="s">
        <v>956</v>
      </c>
      <c r="BP145" s="1" t="s">
        <v>86</v>
      </c>
      <c r="BQ145" s="1" t="s">
        <v>86</v>
      </c>
      <c r="BR145" s="1" t="s">
        <v>86</v>
      </c>
      <c r="BS145" s="1" t="s">
        <v>86</v>
      </c>
      <c r="BT145" s="1" t="s">
        <v>86</v>
      </c>
      <c r="BU145" s="1" t="s">
        <v>163</v>
      </c>
      <c r="BV145" s="1" t="s">
        <v>86</v>
      </c>
      <c r="BW145" s="1" t="s">
        <v>101</v>
      </c>
      <c r="BX145" s="1" t="s">
        <v>423</v>
      </c>
      <c r="BY145" s="1" t="s">
        <v>86</v>
      </c>
      <c r="BZ145" s="1" t="s">
        <v>957</v>
      </c>
      <c r="CA145" s="1" t="s">
        <v>958</v>
      </c>
      <c r="CB145" s="1" t="s">
        <v>959</v>
      </c>
      <c r="CC145" s="1" t="s">
        <v>86</v>
      </c>
      <c r="CD145" s="1" t="s">
        <v>86</v>
      </c>
      <c r="CE145" s="1" t="s">
        <v>86</v>
      </c>
    </row>
    <row r="146">
      <c r="A146" s="1">
        <v>144</v>
      </c>
      <c r="B146" s="1" t="s">
        <v>395</v>
      </c>
      <c r="C146" s="2">
        <f>=HYPERLINK("https://i.stonehdfile.com/stoneimage?s=8a6d7ed0-ed96-4884-b052-68ace02da218","Image")</f>
      </c>
      <c r="D146" s="2">
        <f>=HYPERLINK("https://dna.stonehdfile.com/hd/viewhd.html?d=23c63c2f-42e4-468b-8808-f8aa7132521d","View360")</f>
      </c>
      <c r="E146" s="2">
        <f>=HYPERLINK("https://i.stonehdfile.com/Certificate?s=8a6d7ed0-ed96-4884-b052-68ace02da218","GIA")</f>
      </c>
      <c r="F146" s="2">
        <f>=HYPERLINK("https://i.stonehdfile.com/DNAReport?s=8a6d7ed0-ed96-4884-b052-68ace02da218","DNA")</f>
      </c>
      <c r="G146" s="2">
        <f>=HYPERLINK("https://www.gia.edu/report-check?reportno=******1140","Verify")</f>
      </c>
      <c r="H146" s="1" t="s">
        <v>960</v>
      </c>
      <c r="I146" s="1" t="s">
        <v>46</v>
      </c>
      <c r="J146" s="1">
        <v>1.7</v>
      </c>
      <c r="K146" s="1">
        <v>2</v>
      </c>
      <c r="L146" s="1">
        <v>13600</v>
      </c>
      <c r="M146" s="1">
        <v>8736</v>
      </c>
      <c r="N146" s="1">
        <v>14851.2</v>
      </c>
      <c r="O146" s="1">
        <v>-35.76</v>
      </c>
      <c r="P146" s="1">
        <v>0</v>
      </c>
      <c r="Q146" s="1" t="s">
        <v>86</v>
      </c>
      <c r="R146" s="1">
        <v>0</v>
      </c>
      <c r="S146" s="1" t="s">
        <v>86</v>
      </c>
      <c r="T146" s="1" t="s">
        <v>86</v>
      </c>
      <c r="U146" s="1" t="s">
        <v>136</v>
      </c>
      <c r="V146" s="1" t="s">
        <v>86</v>
      </c>
      <c r="W146" s="1" t="s">
        <v>474</v>
      </c>
      <c r="X146" s="1" t="s">
        <v>86</v>
      </c>
      <c r="Y146" s="1" t="s">
        <v>89</v>
      </c>
      <c r="Z146" s="1" t="s">
        <v>89</v>
      </c>
      <c r="AA146" s="1" t="s">
        <v>119</v>
      </c>
      <c r="AB146" s="1" t="s">
        <v>86</v>
      </c>
      <c r="AC146" s="1" t="s">
        <v>961</v>
      </c>
      <c r="AD146" s="1">
        <v>68.4</v>
      </c>
      <c r="AE146" s="1">
        <v>61</v>
      </c>
      <c r="AF146" s="1" t="s">
        <v>91</v>
      </c>
      <c r="AG146" s="1">
        <v>2.4</v>
      </c>
      <c r="AH146" s="1">
        <v>35.9</v>
      </c>
      <c r="AI146" s="1" t="s">
        <v>86</v>
      </c>
      <c r="AJ146" s="1">
        <v>1.01</v>
      </c>
      <c r="AK146" s="1" t="s">
        <v>190</v>
      </c>
      <c r="AL146" s="1" t="s">
        <v>93</v>
      </c>
      <c r="AM146" s="1" t="s">
        <v>93</v>
      </c>
      <c r="AN146" s="1" t="s">
        <v>86</v>
      </c>
      <c r="AO146" s="1" t="s">
        <v>94</v>
      </c>
      <c r="AP146" s="1" t="s">
        <v>95</v>
      </c>
      <c r="AQ146" s="1">
        <v>13.9</v>
      </c>
      <c r="AR146" s="1">
        <v>51.6</v>
      </c>
      <c r="AS146" s="1">
        <v>40.3</v>
      </c>
      <c r="AT146" s="1" t="s">
        <v>96</v>
      </c>
      <c r="AU146" s="1" t="s">
        <v>86</v>
      </c>
      <c r="AV146" s="1" t="s">
        <v>86</v>
      </c>
      <c r="AW146" s="1" t="s">
        <v>86</v>
      </c>
      <c r="AX146" s="1" t="s">
        <v>86</v>
      </c>
      <c r="AY146" s="1" t="s">
        <v>86</v>
      </c>
      <c r="AZ146" s="1" t="s">
        <v>86</v>
      </c>
      <c r="BA146" s="1" t="s">
        <v>86</v>
      </c>
      <c r="BB146" s="1" t="s">
        <v>86</v>
      </c>
      <c r="BC146" s="1" t="s">
        <v>86</v>
      </c>
      <c r="BD146" s="1" t="s">
        <v>86</v>
      </c>
      <c r="BE146" s="1" t="s">
        <v>86</v>
      </c>
      <c r="BF146" s="1" t="s">
        <v>86</v>
      </c>
      <c r="BG146" s="1" t="s">
        <v>86</v>
      </c>
      <c r="BH146" s="1" t="s">
        <v>97</v>
      </c>
      <c r="BI146" s="1" t="s">
        <v>354</v>
      </c>
      <c r="BJ146" s="1" t="s">
        <v>87</v>
      </c>
      <c r="BK146" s="1">
        <v>0</v>
      </c>
      <c r="BL146" s="1">
        <v>0</v>
      </c>
      <c r="BM146" s="1" t="s">
        <v>398</v>
      </c>
      <c r="BN146" s="1" t="s">
        <v>962</v>
      </c>
      <c r="BO146" s="1" t="s">
        <v>444</v>
      </c>
      <c r="BP146" s="1" t="s">
        <v>86</v>
      </c>
      <c r="BQ146" s="1" t="s">
        <v>86</v>
      </c>
      <c r="BR146" s="1" t="s">
        <v>86</v>
      </c>
      <c r="BS146" s="1" t="s">
        <v>86</v>
      </c>
      <c r="BT146" s="1" t="s">
        <v>86</v>
      </c>
      <c r="BU146" s="1" t="s">
        <v>163</v>
      </c>
      <c r="BV146" s="1" t="s">
        <v>86</v>
      </c>
      <c r="BW146" s="1" t="s">
        <v>101</v>
      </c>
      <c r="BX146" s="1" t="s">
        <v>414</v>
      </c>
      <c r="BY146" s="1" t="s">
        <v>86</v>
      </c>
      <c r="BZ146" s="1" t="s">
        <v>963</v>
      </c>
      <c r="CA146" s="1" t="s">
        <v>103</v>
      </c>
      <c r="CB146" s="1" t="s">
        <v>156</v>
      </c>
      <c r="CC146" s="1" t="s">
        <v>86</v>
      </c>
      <c r="CD146" s="1" t="s">
        <v>86</v>
      </c>
      <c r="CE146" s="1" t="s">
        <v>86</v>
      </c>
    </row>
    <row r="147">
      <c r="A147" s="1">
        <v>145</v>
      </c>
      <c r="B147" s="1" t="s">
        <v>395</v>
      </c>
      <c r="C147" s="2">
        <f>=HYPERLINK("https://i.stonehdfile.com/stoneimage?s=57b6ffc2-8095-4b47-aa67-6922ed14a752","Image")</f>
      </c>
      <c r="D147" s="2">
        <f>=HYPERLINK("https://dna.stonehdfile.com/hd/viewhd.html?d=0d5297ea-5dff-48eb-be6d-a7b5a08ad198","View360")</f>
      </c>
      <c r="E147" s="2">
        <f>=HYPERLINK("https://i.stonehdfile.com/Certificate?s=57b6ffc2-8095-4b47-aa67-6922ed14a752","GIA")</f>
      </c>
      <c r="F147" s="2">
        <f>=HYPERLINK("https://i.stonehdfile.com/DNAReport?s=57b6ffc2-8095-4b47-aa67-6922ed14a752","DNA")</f>
      </c>
      <c r="G147" s="2">
        <f>=HYPERLINK("https://www.gia.edu/report-check?reportno=******2266","Verify")</f>
      </c>
      <c r="H147" s="1" t="s">
        <v>964</v>
      </c>
      <c r="I147" s="1" t="s">
        <v>46</v>
      </c>
      <c r="J147" s="1">
        <v>1.7</v>
      </c>
      <c r="K147" s="1">
        <v>1</v>
      </c>
      <c r="L147" s="1">
        <v>13600</v>
      </c>
      <c r="M147" s="1">
        <v>7633</v>
      </c>
      <c r="N147" s="1">
        <v>12976.1</v>
      </c>
      <c r="O147" s="1">
        <v>-43.88</v>
      </c>
      <c r="P147" s="1">
        <v>0</v>
      </c>
      <c r="Q147" s="1" t="s">
        <v>86</v>
      </c>
      <c r="R147" s="1">
        <v>0</v>
      </c>
      <c r="S147" s="1" t="s">
        <v>86</v>
      </c>
      <c r="T147" s="1" t="s">
        <v>86</v>
      </c>
      <c r="U147" s="1" t="s">
        <v>136</v>
      </c>
      <c r="V147" s="1" t="s">
        <v>86</v>
      </c>
      <c r="W147" s="1" t="s">
        <v>88</v>
      </c>
      <c r="X147" s="1" t="s">
        <v>86</v>
      </c>
      <c r="Y147" s="1" t="s">
        <v>89</v>
      </c>
      <c r="Z147" s="1" t="s">
        <v>89</v>
      </c>
      <c r="AA147" s="1" t="s">
        <v>119</v>
      </c>
      <c r="AB147" s="1" t="s">
        <v>86</v>
      </c>
      <c r="AC147" s="1" t="s">
        <v>965</v>
      </c>
      <c r="AD147" s="1">
        <v>71.7</v>
      </c>
      <c r="AE147" s="1">
        <v>61</v>
      </c>
      <c r="AF147" s="1" t="s">
        <v>91</v>
      </c>
      <c r="AG147" s="1">
        <v>4.9</v>
      </c>
      <c r="AH147" s="1">
        <v>37</v>
      </c>
      <c r="AI147" s="1" t="s">
        <v>86</v>
      </c>
      <c r="AJ147" s="1">
        <v>1.08</v>
      </c>
      <c r="AK147" s="1" t="s">
        <v>92</v>
      </c>
      <c r="AL147" s="1" t="s">
        <v>93</v>
      </c>
      <c r="AM147" s="1" t="s">
        <v>93</v>
      </c>
      <c r="AN147" s="1" t="s">
        <v>86</v>
      </c>
      <c r="AO147" s="1" t="s">
        <v>94</v>
      </c>
      <c r="AP147" s="1" t="s">
        <v>95</v>
      </c>
      <c r="AQ147" s="1">
        <v>14.9</v>
      </c>
      <c r="AR147" s="1">
        <v>51.4</v>
      </c>
      <c r="AS147" s="1">
        <v>37.8</v>
      </c>
      <c r="AT147" s="1" t="s">
        <v>96</v>
      </c>
      <c r="AU147" s="1" t="s">
        <v>86</v>
      </c>
      <c r="AV147" s="1" t="s">
        <v>86</v>
      </c>
      <c r="AW147" s="1" t="s">
        <v>86</v>
      </c>
      <c r="AX147" s="1" t="s">
        <v>86</v>
      </c>
      <c r="AY147" s="1" t="s">
        <v>86</v>
      </c>
      <c r="AZ147" s="1" t="s">
        <v>86</v>
      </c>
      <c r="BA147" s="1" t="s">
        <v>86</v>
      </c>
      <c r="BB147" s="1" t="s">
        <v>86</v>
      </c>
      <c r="BC147" s="1" t="s">
        <v>86</v>
      </c>
      <c r="BD147" s="1" t="s">
        <v>86</v>
      </c>
      <c r="BE147" s="1" t="s">
        <v>86</v>
      </c>
      <c r="BF147" s="1" t="s">
        <v>86</v>
      </c>
      <c r="BG147" s="1" t="s">
        <v>86</v>
      </c>
      <c r="BH147" s="1" t="s">
        <v>121</v>
      </c>
      <c r="BI147" s="1" t="s">
        <v>244</v>
      </c>
      <c r="BJ147" s="1" t="s">
        <v>87</v>
      </c>
      <c r="BK147" s="1">
        <v>0</v>
      </c>
      <c r="BL147" s="1">
        <v>0</v>
      </c>
      <c r="BM147" s="1" t="s">
        <v>398</v>
      </c>
      <c r="BN147" s="1" t="s">
        <v>966</v>
      </c>
      <c r="BO147" s="1" t="s">
        <v>511</v>
      </c>
      <c r="BP147" s="1" t="s">
        <v>86</v>
      </c>
      <c r="BQ147" s="1" t="s">
        <v>86</v>
      </c>
      <c r="BR147" s="1" t="s">
        <v>86</v>
      </c>
      <c r="BS147" s="1" t="s">
        <v>86</v>
      </c>
      <c r="BT147" s="1" t="s">
        <v>86</v>
      </c>
      <c r="BU147" s="1" t="s">
        <v>163</v>
      </c>
      <c r="BV147" s="1" t="s">
        <v>86</v>
      </c>
      <c r="BW147" s="1" t="s">
        <v>101</v>
      </c>
      <c r="BX147" s="1" t="s">
        <v>423</v>
      </c>
      <c r="BY147" s="1" t="s">
        <v>86</v>
      </c>
      <c r="BZ147" s="1" t="s">
        <v>967</v>
      </c>
      <c r="CA147" s="1" t="s">
        <v>968</v>
      </c>
      <c r="CB147" s="1" t="s">
        <v>86</v>
      </c>
      <c r="CC147" s="1" t="s">
        <v>86</v>
      </c>
      <c r="CD147" s="1" t="s">
        <v>86</v>
      </c>
      <c r="CE147" s="1" t="s">
        <v>86</v>
      </c>
    </row>
    <row r="148">
      <c r="A148" s="1">
        <v>146</v>
      </c>
      <c r="B148" s="1" t="s">
        <v>395</v>
      </c>
      <c r="C148" s="2">
        <f>=HYPERLINK("https://i.stonehdfile.com/stoneimage?s=ad9cc274-a8d0-42f2-b28a-723d869f40be","Image")</f>
      </c>
      <c r="D148" s="2">
        <f>=HYPERLINK("https://dna.stonehdfile.com/hd/viewhd.html?d=e662be3e-3c16-4e93-8e47-3cbc57ff5653","View360")</f>
      </c>
      <c r="E148" s="2">
        <f>=HYPERLINK("https://i.stonehdfile.com/Certificate?s=ad9cc274-a8d0-42f2-b28a-723d869f40be","GIA")</f>
      </c>
      <c r="F148" s="2">
        <f>=HYPERLINK("https://i.stonehdfile.com/DNAReport?s=ad9cc274-a8d0-42f2-b28a-723d869f40be","DNA")</f>
      </c>
      <c r="G148" s="2">
        <f>=HYPERLINK("https://www.gia.edu/report-check?reportno=******8586","Verify")</f>
      </c>
      <c r="H148" s="1" t="s">
        <v>969</v>
      </c>
      <c r="I148" s="1" t="s">
        <v>46</v>
      </c>
      <c r="J148" s="1">
        <v>1.75</v>
      </c>
      <c r="K148" s="1">
        <v>8</v>
      </c>
      <c r="L148" s="1">
        <v>12800</v>
      </c>
      <c r="M148" s="1">
        <v>8571</v>
      </c>
      <c r="N148" s="1">
        <v>14999.25</v>
      </c>
      <c r="O148" s="1">
        <v>-33.04</v>
      </c>
      <c r="P148" s="1">
        <v>0</v>
      </c>
      <c r="Q148" s="1" t="s">
        <v>86</v>
      </c>
      <c r="R148" s="1">
        <v>0</v>
      </c>
      <c r="S148" s="1" t="s">
        <v>86</v>
      </c>
      <c r="T148" s="1" t="s">
        <v>86</v>
      </c>
      <c r="U148" s="1" t="s">
        <v>136</v>
      </c>
      <c r="V148" s="1" t="s">
        <v>86</v>
      </c>
      <c r="W148" s="1" t="s">
        <v>107</v>
      </c>
      <c r="X148" s="1" t="s">
        <v>86</v>
      </c>
      <c r="Y148" s="1" t="s">
        <v>89</v>
      </c>
      <c r="Z148" s="1" t="s">
        <v>89</v>
      </c>
      <c r="AA148" s="1" t="s">
        <v>119</v>
      </c>
      <c r="AB148" s="1" t="s">
        <v>86</v>
      </c>
      <c r="AC148" s="1" t="s">
        <v>970</v>
      </c>
      <c r="AD148" s="1">
        <v>67.4</v>
      </c>
      <c r="AE148" s="1">
        <v>61</v>
      </c>
      <c r="AF148" s="1" t="s">
        <v>91</v>
      </c>
      <c r="AG148" s="1">
        <v>2.8</v>
      </c>
      <c r="AH148" s="1">
        <v>35.5</v>
      </c>
      <c r="AI148" s="1" t="s">
        <v>86</v>
      </c>
      <c r="AJ148" s="1">
        <v>1.19</v>
      </c>
      <c r="AK148" s="1" t="s">
        <v>190</v>
      </c>
      <c r="AL148" s="1" t="s">
        <v>140</v>
      </c>
      <c r="AM148" s="1" t="s">
        <v>93</v>
      </c>
      <c r="AN148" s="1" t="s">
        <v>86</v>
      </c>
      <c r="AO148" s="1" t="s">
        <v>94</v>
      </c>
      <c r="AP148" s="1" t="s">
        <v>95</v>
      </c>
      <c r="AQ148" s="1">
        <v>13.8</v>
      </c>
      <c r="AR148" s="1">
        <v>50.4</v>
      </c>
      <c r="AS148" s="1">
        <v>38.2</v>
      </c>
      <c r="AT148" s="1" t="s">
        <v>96</v>
      </c>
      <c r="AU148" s="1" t="s">
        <v>86</v>
      </c>
      <c r="AV148" s="1" t="s">
        <v>86</v>
      </c>
      <c r="AW148" s="1" t="s">
        <v>86</v>
      </c>
      <c r="AX148" s="1" t="s">
        <v>86</v>
      </c>
      <c r="AY148" s="1" t="s">
        <v>86</v>
      </c>
      <c r="AZ148" s="1" t="s">
        <v>86</v>
      </c>
      <c r="BA148" s="1" t="s">
        <v>86</v>
      </c>
      <c r="BB148" s="1" t="s">
        <v>86</v>
      </c>
      <c r="BC148" s="1" t="s">
        <v>86</v>
      </c>
      <c r="BD148" s="1" t="s">
        <v>86</v>
      </c>
      <c r="BE148" s="1" t="s">
        <v>86</v>
      </c>
      <c r="BF148" s="1" t="s">
        <v>86</v>
      </c>
      <c r="BG148" s="1" t="s">
        <v>86</v>
      </c>
      <c r="BH148" s="1" t="s">
        <v>182</v>
      </c>
      <c r="BI148" s="1" t="s">
        <v>322</v>
      </c>
      <c r="BJ148" s="1" t="s">
        <v>87</v>
      </c>
      <c r="BK148" s="1">
        <v>0</v>
      </c>
      <c r="BL148" s="1">
        <v>0</v>
      </c>
      <c r="BM148" s="1" t="s">
        <v>398</v>
      </c>
      <c r="BN148" s="1" t="s">
        <v>971</v>
      </c>
      <c r="BO148" s="1" t="s">
        <v>518</v>
      </c>
      <c r="BP148" s="1" t="s">
        <v>86</v>
      </c>
      <c r="BQ148" s="1" t="s">
        <v>86</v>
      </c>
      <c r="BR148" s="1" t="s">
        <v>86</v>
      </c>
      <c r="BS148" s="1" t="s">
        <v>86</v>
      </c>
      <c r="BT148" s="1" t="s">
        <v>86</v>
      </c>
      <c r="BU148" s="1" t="s">
        <v>163</v>
      </c>
      <c r="BV148" s="1" t="s">
        <v>86</v>
      </c>
      <c r="BW148" s="1" t="s">
        <v>101</v>
      </c>
      <c r="BX148" s="1" t="s">
        <v>414</v>
      </c>
      <c r="BY148" s="1" t="s">
        <v>86</v>
      </c>
      <c r="BZ148" s="1" t="s">
        <v>972</v>
      </c>
      <c r="CA148" s="1" t="s">
        <v>973</v>
      </c>
      <c r="CB148" s="1" t="s">
        <v>156</v>
      </c>
      <c r="CC148" s="1" t="s">
        <v>86</v>
      </c>
      <c r="CD148" s="1" t="s">
        <v>86</v>
      </c>
      <c r="CE148" s="1" t="s">
        <v>86</v>
      </c>
    </row>
    <row r="149">
      <c r="A149" s="1">
        <v>147</v>
      </c>
      <c r="B149" s="1" t="s">
        <v>395</v>
      </c>
      <c r="C149" s="2">
        <f>=HYPERLINK("https://i.stonehdfile.com/stoneimage?s=229356c3-0690-46ae-9315-5d34355a1f2d","Image")</f>
      </c>
      <c r="D149" s="2">
        <f>=HYPERLINK("https://dna.stonehdfile.com/hd/viewhd.html?d=81ff98f3-0cda-42a0-ac24-0221dd57b226","View360")</f>
      </c>
      <c r="E149" s="2">
        <f>=HYPERLINK("https://i.stonehdfile.com/Certificate?s=229356c3-0690-46ae-9315-5d34355a1f2d","GIA")</f>
      </c>
      <c r="F149" s="2">
        <f>=HYPERLINK("https://i.stonehdfile.com/DNAReport?s=229356c3-0690-46ae-9315-5d34355a1f2d","DNA")</f>
      </c>
      <c r="G149" s="2">
        <f>=HYPERLINK("https://www.gia.edu/report-check?reportno=******0812","Verify")</f>
      </c>
      <c r="H149" s="1" t="s">
        <v>974</v>
      </c>
      <c r="I149" s="1" t="s">
        <v>46</v>
      </c>
      <c r="J149" s="1">
        <v>1.81</v>
      </c>
      <c r="K149" s="1">
        <v>1</v>
      </c>
      <c r="L149" s="1">
        <v>12800</v>
      </c>
      <c r="M149" s="1">
        <v>7676</v>
      </c>
      <c r="N149" s="1">
        <v>13893.56</v>
      </c>
      <c r="O149" s="1">
        <v>-40.03</v>
      </c>
      <c r="P149" s="1">
        <v>0</v>
      </c>
      <c r="Q149" s="1" t="s">
        <v>86</v>
      </c>
      <c r="R149" s="1">
        <v>0</v>
      </c>
      <c r="S149" s="1" t="s">
        <v>86</v>
      </c>
      <c r="T149" s="1" t="s">
        <v>86</v>
      </c>
      <c r="U149" s="1" t="s">
        <v>136</v>
      </c>
      <c r="V149" s="1" t="s">
        <v>86</v>
      </c>
      <c r="W149" s="1" t="s">
        <v>149</v>
      </c>
      <c r="X149" s="1" t="s">
        <v>86</v>
      </c>
      <c r="Y149" s="1" t="s">
        <v>89</v>
      </c>
      <c r="Z149" s="1" t="s">
        <v>89</v>
      </c>
      <c r="AA149" s="1" t="s">
        <v>119</v>
      </c>
      <c r="AB149" s="1" t="s">
        <v>86</v>
      </c>
      <c r="AC149" s="1" t="s">
        <v>975</v>
      </c>
      <c r="AD149" s="1">
        <v>68.2</v>
      </c>
      <c r="AE149" s="1">
        <v>64</v>
      </c>
      <c r="AF149" s="1" t="s">
        <v>91</v>
      </c>
      <c r="AG149" s="1">
        <v>3.4</v>
      </c>
      <c r="AH149" s="1">
        <v>35.9</v>
      </c>
      <c r="AI149" s="1" t="s">
        <v>86</v>
      </c>
      <c r="AJ149" s="1">
        <v>1</v>
      </c>
      <c r="AK149" s="1" t="s">
        <v>111</v>
      </c>
      <c r="AL149" s="1" t="s">
        <v>93</v>
      </c>
      <c r="AM149" s="1" t="s">
        <v>128</v>
      </c>
      <c r="AN149" s="1" t="s">
        <v>86</v>
      </c>
      <c r="AO149" s="1" t="s">
        <v>94</v>
      </c>
      <c r="AP149" s="1" t="s">
        <v>95</v>
      </c>
      <c r="AQ149" s="1">
        <v>12.8</v>
      </c>
      <c r="AR149" s="1">
        <v>51.9</v>
      </c>
      <c r="AS149" s="1">
        <v>39.9</v>
      </c>
      <c r="AT149" s="1" t="s">
        <v>96</v>
      </c>
      <c r="AU149" s="1" t="s">
        <v>86</v>
      </c>
      <c r="AV149" s="1" t="s">
        <v>86</v>
      </c>
      <c r="AW149" s="1" t="s">
        <v>86</v>
      </c>
      <c r="AX149" s="1" t="s">
        <v>86</v>
      </c>
      <c r="AY149" s="1" t="s">
        <v>86</v>
      </c>
      <c r="AZ149" s="1" t="s">
        <v>86</v>
      </c>
      <c r="BA149" s="1" t="s">
        <v>86</v>
      </c>
      <c r="BB149" s="1" t="s">
        <v>86</v>
      </c>
      <c r="BC149" s="1" t="s">
        <v>86</v>
      </c>
      <c r="BD149" s="1" t="s">
        <v>86</v>
      </c>
      <c r="BE149" s="1" t="s">
        <v>86</v>
      </c>
      <c r="BF149" s="1" t="s">
        <v>86</v>
      </c>
      <c r="BG149" s="1" t="s">
        <v>86</v>
      </c>
      <c r="BH149" s="1" t="s">
        <v>97</v>
      </c>
      <c r="BI149" s="1" t="s">
        <v>191</v>
      </c>
      <c r="BJ149" s="1" t="s">
        <v>87</v>
      </c>
      <c r="BK149" s="1">
        <v>0</v>
      </c>
      <c r="BL149" s="1">
        <v>0</v>
      </c>
      <c r="BM149" s="1" t="s">
        <v>398</v>
      </c>
      <c r="BN149" s="1" t="s">
        <v>976</v>
      </c>
      <c r="BO149" s="1" t="s">
        <v>977</v>
      </c>
      <c r="BP149" s="1" t="s">
        <v>86</v>
      </c>
      <c r="BQ149" s="1" t="s">
        <v>86</v>
      </c>
      <c r="BR149" s="1" t="s">
        <v>86</v>
      </c>
      <c r="BS149" s="1" t="s">
        <v>86</v>
      </c>
      <c r="BT149" s="1" t="s">
        <v>86</v>
      </c>
      <c r="BU149" s="1" t="s">
        <v>163</v>
      </c>
      <c r="BV149" s="1" t="s">
        <v>86</v>
      </c>
      <c r="BW149" s="1" t="s">
        <v>101</v>
      </c>
      <c r="BX149" s="1" t="s">
        <v>439</v>
      </c>
      <c r="BY149" s="1" t="s">
        <v>86</v>
      </c>
      <c r="BZ149" s="1" t="s">
        <v>978</v>
      </c>
      <c r="CA149" s="1" t="s">
        <v>979</v>
      </c>
      <c r="CB149" s="1" t="s">
        <v>156</v>
      </c>
      <c r="CC149" s="1" t="s">
        <v>86</v>
      </c>
      <c r="CD149" s="1" t="s">
        <v>86</v>
      </c>
      <c r="CE149" s="1" t="s">
        <v>86</v>
      </c>
    </row>
    <row r="150">
      <c r="A150" s="1">
        <v>148</v>
      </c>
      <c r="B150" s="1" t="s">
        <v>395</v>
      </c>
      <c r="C150" s="2">
        <f>=HYPERLINK("https://i.stonehdfile.com/stoneimage?s=53d44bb2-a4b4-437f-a826-8ee9e9d597fe","Image")</f>
      </c>
      <c r="D150" s="2">
        <f>=HYPERLINK("https://dna.stonehdfile.com/hd/viewhd.html?d=d85b2545-847e-4b03-9910-912b06ad6afc","View360")</f>
      </c>
      <c r="E150" s="2">
        <f>=HYPERLINK("https://i.stonehdfile.com/Certificate?s=53d44bb2-a4b4-437f-a826-8ee9e9d597fe","GIA")</f>
      </c>
      <c r="F150" s="2">
        <f>=HYPERLINK("https://i.stonehdfile.com/DNAReport?s=53d44bb2-a4b4-437f-a826-8ee9e9d597fe","DNA")</f>
      </c>
      <c r="G150" s="2">
        <f>=HYPERLINK("https://www.gia.edu/report-check?reportno=******1323","Verify")</f>
      </c>
      <c r="H150" s="1" t="s">
        <v>980</v>
      </c>
      <c r="I150" s="1" t="s">
        <v>46</v>
      </c>
      <c r="J150" s="1">
        <v>1.7</v>
      </c>
      <c r="K150" s="1">
        <v>3</v>
      </c>
      <c r="L150" s="1">
        <v>11400</v>
      </c>
      <c r="M150" s="1">
        <v>6631</v>
      </c>
      <c r="N150" s="1">
        <v>11272.7</v>
      </c>
      <c r="O150" s="1">
        <v>-41.83</v>
      </c>
      <c r="P150" s="1">
        <v>0</v>
      </c>
      <c r="Q150" s="1" t="s">
        <v>86</v>
      </c>
      <c r="R150" s="1">
        <v>0</v>
      </c>
      <c r="S150" s="1" t="s">
        <v>86</v>
      </c>
      <c r="T150" s="1" t="s">
        <v>86</v>
      </c>
      <c r="U150" s="1" t="s">
        <v>427</v>
      </c>
      <c r="V150" s="1" t="s">
        <v>86</v>
      </c>
      <c r="W150" s="1" t="s">
        <v>352</v>
      </c>
      <c r="X150" s="1" t="s">
        <v>86</v>
      </c>
      <c r="Y150" s="1" t="s">
        <v>89</v>
      </c>
      <c r="Z150" s="1" t="s">
        <v>89</v>
      </c>
      <c r="AA150" s="1" t="s">
        <v>119</v>
      </c>
      <c r="AB150" s="1" t="s">
        <v>86</v>
      </c>
      <c r="AC150" s="1" t="s">
        <v>981</v>
      </c>
      <c r="AD150" s="1">
        <v>70.7</v>
      </c>
      <c r="AE150" s="1">
        <v>60</v>
      </c>
      <c r="AF150" s="1" t="s">
        <v>91</v>
      </c>
      <c r="AG150" s="1">
        <v>3.5</v>
      </c>
      <c r="AH150" s="1">
        <v>35.6</v>
      </c>
      <c r="AI150" s="1" t="s">
        <v>86</v>
      </c>
      <c r="AJ150" s="1">
        <v>1.15</v>
      </c>
      <c r="AK150" s="1" t="s">
        <v>111</v>
      </c>
      <c r="AL150" s="1" t="s">
        <v>93</v>
      </c>
      <c r="AM150" s="1" t="s">
        <v>140</v>
      </c>
      <c r="AN150" s="1" t="s">
        <v>171</v>
      </c>
      <c r="AO150" s="1" t="s">
        <v>94</v>
      </c>
      <c r="AP150" s="1" t="s">
        <v>95</v>
      </c>
      <c r="AQ150" s="1">
        <v>14.2</v>
      </c>
      <c r="AR150" s="1">
        <v>52.7</v>
      </c>
      <c r="AS150" s="1">
        <v>38.3</v>
      </c>
      <c r="AT150" s="1" t="s">
        <v>96</v>
      </c>
      <c r="AU150" s="1" t="s">
        <v>86</v>
      </c>
      <c r="AV150" s="1" t="s">
        <v>86</v>
      </c>
      <c r="AW150" s="1" t="s">
        <v>86</v>
      </c>
      <c r="AX150" s="1" t="s">
        <v>86</v>
      </c>
      <c r="AY150" s="1" t="s">
        <v>86</v>
      </c>
      <c r="AZ150" s="1" t="s">
        <v>86</v>
      </c>
      <c r="BA150" s="1" t="s">
        <v>86</v>
      </c>
      <c r="BB150" s="1" t="s">
        <v>86</v>
      </c>
      <c r="BC150" s="1" t="s">
        <v>86</v>
      </c>
      <c r="BD150" s="1" t="s">
        <v>86</v>
      </c>
      <c r="BE150" s="1" t="s">
        <v>86</v>
      </c>
      <c r="BF150" s="1" t="s">
        <v>86</v>
      </c>
      <c r="BG150" s="1" t="s">
        <v>86</v>
      </c>
      <c r="BH150" s="1" t="s">
        <v>97</v>
      </c>
      <c r="BI150" s="1" t="s">
        <v>183</v>
      </c>
      <c r="BJ150" s="1" t="s">
        <v>87</v>
      </c>
      <c r="BK150" s="1">
        <v>0</v>
      </c>
      <c r="BL150" s="1">
        <v>0</v>
      </c>
      <c r="BM150" s="1" t="s">
        <v>398</v>
      </c>
      <c r="BN150" s="1" t="s">
        <v>982</v>
      </c>
      <c r="BO150" s="1" t="s">
        <v>726</v>
      </c>
      <c r="BP150" s="1" t="s">
        <v>86</v>
      </c>
      <c r="BQ150" s="1" t="s">
        <v>86</v>
      </c>
      <c r="BR150" s="1" t="s">
        <v>86</v>
      </c>
      <c r="BS150" s="1" t="s">
        <v>86</v>
      </c>
      <c r="BT150" s="1" t="s">
        <v>86</v>
      </c>
      <c r="BU150" s="1" t="s">
        <v>163</v>
      </c>
      <c r="BV150" s="1" t="s">
        <v>86</v>
      </c>
      <c r="BW150" s="1" t="s">
        <v>101</v>
      </c>
      <c r="BX150" s="1" t="s">
        <v>478</v>
      </c>
      <c r="BY150" s="1" t="s">
        <v>86</v>
      </c>
      <c r="BZ150" s="1" t="s">
        <v>983</v>
      </c>
      <c r="CA150" s="1" t="s">
        <v>254</v>
      </c>
      <c r="CB150" s="1" t="s">
        <v>86</v>
      </c>
      <c r="CC150" s="1" t="s">
        <v>86</v>
      </c>
      <c r="CD150" s="1" t="s">
        <v>86</v>
      </c>
      <c r="CE150" s="1" t="s">
        <v>86</v>
      </c>
    </row>
    <row r="151">
      <c r="A151" s="1">
        <v>149</v>
      </c>
      <c r="B151" s="1" t="s">
        <v>395</v>
      </c>
      <c r="C151" s="2">
        <f>=HYPERLINK("https://i.stonehdfile.com/stoneimage?s=d401ba70-ce0f-4c4e-a983-f789d5d4b962","Image")</f>
      </c>
      <c r="D151" s="2">
        <f>=HYPERLINK("https://dna.stonehdfile.com/hd/viewhd.html?d=7b256ae9-62d0-47ef-a83e-bcf9532aad56","View360")</f>
      </c>
      <c r="E151" s="2">
        <f>=HYPERLINK("https://i.stonehdfile.com/Certificate?s=d401ba70-ce0f-4c4e-a983-f789d5d4b962","GIA")</f>
      </c>
      <c r="F151" s="2">
        <f>=HYPERLINK("https://i.stonehdfile.com/DNAReport?s=d401ba70-ce0f-4c4e-a983-f789d5d4b962","DNA")</f>
      </c>
      <c r="G151" s="2">
        <f>=HYPERLINK("https://www.gia.edu/report-check?reportno=******4103","Verify")</f>
      </c>
      <c r="H151" s="1" t="s">
        <v>984</v>
      </c>
      <c r="I151" s="1" t="s">
        <v>46</v>
      </c>
      <c r="J151" s="1">
        <v>1.7</v>
      </c>
      <c r="K151" s="1">
        <v>2</v>
      </c>
      <c r="L151" s="1">
        <v>11400</v>
      </c>
      <c r="M151" s="1">
        <v>4934</v>
      </c>
      <c r="N151" s="1">
        <v>8387.8</v>
      </c>
      <c r="O151" s="1">
        <v>-56.72</v>
      </c>
      <c r="P151" s="1">
        <v>0</v>
      </c>
      <c r="Q151" s="1" t="s">
        <v>86</v>
      </c>
      <c r="R151" s="1">
        <v>0</v>
      </c>
      <c r="S151" s="1" t="s">
        <v>86</v>
      </c>
      <c r="T151" s="1" t="s">
        <v>86</v>
      </c>
      <c r="U151" s="1" t="s">
        <v>427</v>
      </c>
      <c r="V151" s="1" t="s">
        <v>86</v>
      </c>
      <c r="W151" s="1" t="s">
        <v>223</v>
      </c>
      <c r="X151" s="1" t="s">
        <v>86</v>
      </c>
      <c r="Y151" s="1" t="s">
        <v>89</v>
      </c>
      <c r="Z151" s="1" t="s">
        <v>89</v>
      </c>
      <c r="AA151" s="1" t="s">
        <v>108</v>
      </c>
      <c r="AB151" s="1" t="s">
        <v>109</v>
      </c>
      <c r="AC151" s="1" t="s">
        <v>985</v>
      </c>
      <c r="AD151" s="1">
        <v>68.8</v>
      </c>
      <c r="AE151" s="1">
        <v>59</v>
      </c>
      <c r="AF151" s="1" t="s">
        <v>91</v>
      </c>
      <c r="AG151" s="1">
        <v>3.8</v>
      </c>
      <c r="AH151" s="1">
        <v>36.6</v>
      </c>
      <c r="AI151" s="1" t="s">
        <v>86</v>
      </c>
      <c r="AJ151" s="1">
        <v>1.01</v>
      </c>
      <c r="AK151" s="1" t="s">
        <v>111</v>
      </c>
      <c r="AL151" s="1" t="s">
        <v>93</v>
      </c>
      <c r="AM151" s="1" t="s">
        <v>140</v>
      </c>
      <c r="AN151" s="1" t="s">
        <v>171</v>
      </c>
      <c r="AO151" s="1" t="s">
        <v>94</v>
      </c>
      <c r="AP151" s="1" t="s">
        <v>95</v>
      </c>
      <c r="AQ151" s="1">
        <v>15.1</v>
      </c>
      <c r="AR151" s="1">
        <v>49.1</v>
      </c>
      <c r="AS151" s="1">
        <v>37.6</v>
      </c>
      <c r="AT151" s="1" t="s">
        <v>96</v>
      </c>
      <c r="AU151" s="1" t="s">
        <v>86</v>
      </c>
      <c r="AV151" s="1" t="s">
        <v>86</v>
      </c>
      <c r="AW151" s="1" t="s">
        <v>86</v>
      </c>
      <c r="AX151" s="1" t="s">
        <v>86</v>
      </c>
      <c r="AY151" s="1" t="s">
        <v>86</v>
      </c>
      <c r="AZ151" s="1" t="s">
        <v>86</v>
      </c>
      <c r="BA151" s="1" t="s">
        <v>86</v>
      </c>
      <c r="BB151" s="1" t="s">
        <v>86</v>
      </c>
      <c r="BC151" s="1" t="s">
        <v>86</v>
      </c>
      <c r="BD151" s="1" t="s">
        <v>86</v>
      </c>
      <c r="BE151" s="1" t="s">
        <v>86</v>
      </c>
      <c r="BF151" s="1" t="s">
        <v>86</v>
      </c>
      <c r="BG151" s="1" t="s">
        <v>86</v>
      </c>
      <c r="BH151" s="1" t="s">
        <v>215</v>
      </c>
      <c r="BI151" s="1" t="s">
        <v>216</v>
      </c>
      <c r="BJ151" s="1" t="s">
        <v>87</v>
      </c>
      <c r="BK151" s="1">
        <v>0</v>
      </c>
      <c r="BL151" s="1">
        <v>0</v>
      </c>
      <c r="BM151" s="1" t="s">
        <v>398</v>
      </c>
      <c r="BN151" s="1" t="s">
        <v>986</v>
      </c>
      <c r="BO151" s="1" t="s">
        <v>987</v>
      </c>
      <c r="BP151" s="1" t="s">
        <v>86</v>
      </c>
      <c r="BQ151" s="1" t="s">
        <v>86</v>
      </c>
      <c r="BR151" s="1" t="s">
        <v>86</v>
      </c>
      <c r="BS151" s="1" t="s">
        <v>86</v>
      </c>
      <c r="BT151" s="1" t="s">
        <v>86</v>
      </c>
      <c r="BU151" s="1" t="s">
        <v>590</v>
      </c>
      <c r="BV151" s="1" t="s">
        <v>86</v>
      </c>
      <c r="BW151" s="1" t="s">
        <v>101</v>
      </c>
      <c r="BX151" s="1" t="s">
        <v>439</v>
      </c>
      <c r="BY151" s="1" t="s">
        <v>86</v>
      </c>
      <c r="BZ151" s="1" t="s">
        <v>988</v>
      </c>
      <c r="CA151" s="1" t="s">
        <v>297</v>
      </c>
      <c r="CB151" s="1" t="s">
        <v>269</v>
      </c>
      <c r="CC151" s="1" t="s">
        <v>86</v>
      </c>
      <c r="CD151" s="1" t="s">
        <v>86</v>
      </c>
      <c r="CE151" s="1" t="s">
        <v>86</v>
      </c>
    </row>
    <row r="152">
      <c r="A152" s="1">
        <v>150</v>
      </c>
      <c r="B152" s="1" t="s">
        <v>395</v>
      </c>
      <c r="C152" s="2">
        <f>=HYPERLINK("https://i.stonehdfile.com/stoneimage?s=3f99b7e1-ad33-4b8a-84dd-711d2e6a9b0d","Image")</f>
      </c>
      <c r="D152" s="2">
        <f>=HYPERLINK("https://dna.stonehdfile.com/hd/viewhd.html?d=caa73f14-9252-43d6-a161-f9fe86838590","View360")</f>
      </c>
      <c r="E152" s="2">
        <f>=HYPERLINK("https://i.stonehdfile.com/Certificate?s=3f99b7e1-ad33-4b8a-84dd-711d2e6a9b0d","GIA")</f>
      </c>
      <c r="F152" s="2">
        <f>=HYPERLINK("https://i.stonehdfile.com/DNAReport?s=3f99b7e1-ad33-4b8a-84dd-711d2e6a9b0d","DNA")</f>
      </c>
      <c r="G152" s="2">
        <f>=HYPERLINK("https://www.gia.edu/report-check?reportno=******7103","Verify")</f>
      </c>
      <c r="H152" s="1" t="s">
        <v>989</v>
      </c>
      <c r="I152" s="1" t="s">
        <v>46</v>
      </c>
      <c r="J152" s="1">
        <v>1.7</v>
      </c>
      <c r="K152" s="1">
        <v>0</v>
      </c>
      <c r="L152" s="1">
        <v>11400</v>
      </c>
      <c r="M152" s="1">
        <v>5519</v>
      </c>
      <c r="N152" s="1">
        <v>9382.3</v>
      </c>
      <c r="O152" s="1">
        <v>-51.59</v>
      </c>
      <c r="P152" s="1">
        <v>0</v>
      </c>
      <c r="Q152" s="1" t="s">
        <v>86</v>
      </c>
      <c r="R152" s="1">
        <v>0</v>
      </c>
      <c r="S152" s="1" t="s">
        <v>86</v>
      </c>
      <c r="T152" s="1" t="s">
        <v>86</v>
      </c>
      <c r="U152" s="1" t="s">
        <v>136</v>
      </c>
      <c r="V152" s="1" t="s">
        <v>86</v>
      </c>
      <c r="W152" s="1" t="s">
        <v>223</v>
      </c>
      <c r="X152" s="1" t="s">
        <v>86</v>
      </c>
      <c r="Y152" s="1" t="s">
        <v>89</v>
      </c>
      <c r="Z152" s="1" t="s">
        <v>89</v>
      </c>
      <c r="AA152" s="1" t="s">
        <v>119</v>
      </c>
      <c r="AB152" s="1" t="s">
        <v>86</v>
      </c>
      <c r="AC152" s="1" t="s">
        <v>990</v>
      </c>
      <c r="AD152" s="1">
        <v>68.2</v>
      </c>
      <c r="AE152" s="1">
        <v>61</v>
      </c>
      <c r="AF152" s="1" t="s">
        <v>91</v>
      </c>
      <c r="AG152" s="1">
        <v>4</v>
      </c>
      <c r="AH152" s="1">
        <v>36.5</v>
      </c>
      <c r="AI152" s="1" t="s">
        <v>86</v>
      </c>
      <c r="AJ152" s="1">
        <v>1.13</v>
      </c>
      <c r="AK152" s="1" t="s">
        <v>111</v>
      </c>
      <c r="AL152" s="1" t="s">
        <v>93</v>
      </c>
      <c r="AM152" s="1" t="s">
        <v>151</v>
      </c>
      <c r="AN152" s="1" t="s">
        <v>171</v>
      </c>
      <c r="AO152" s="1" t="s">
        <v>94</v>
      </c>
      <c r="AP152" s="1" t="s">
        <v>95</v>
      </c>
      <c r="AQ152" s="1">
        <v>14.6</v>
      </c>
      <c r="AR152" s="1">
        <v>49.1</v>
      </c>
      <c r="AS152" s="1">
        <v>37.2</v>
      </c>
      <c r="AT152" s="1" t="s">
        <v>96</v>
      </c>
      <c r="AU152" s="1" t="s">
        <v>86</v>
      </c>
      <c r="AV152" s="1" t="s">
        <v>86</v>
      </c>
      <c r="AW152" s="1" t="s">
        <v>141</v>
      </c>
      <c r="AX152" s="1" t="s">
        <v>86</v>
      </c>
      <c r="AY152" s="1" t="s">
        <v>86</v>
      </c>
      <c r="AZ152" s="1" t="s">
        <v>86</v>
      </c>
      <c r="BA152" s="1" t="s">
        <v>86</v>
      </c>
      <c r="BB152" s="1" t="s">
        <v>86</v>
      </c>
      <c r="BC152" s="1" t="s">
        <v>86</v>
      </c>
      <c r="BD152" s="1" t="s">
        <v>86</v>
      </c>
      <c r="BE152" s="1" t="s">
        <v>86</v>
      </c>
      <c r="BF152" s="1" t="s">
        <v>282</v>
      </c>
      <c r="BG152" s="1" t="s">
        <v>86</v>
      </c>
      <c r="BH152" s="1" t="s">
        <v>215</v>
      </c>
      <c r="BI152" s="1" t="s">
        <v>225</v>
      </c>
      <c r="BJ152" s="1" t="s">
        <v>87</v>
      </c>
      <c r="BK152" s="1">
        <v>0</v>
      </c>
      <c r="BL152" s="1">
        <v>0</v>
      </c>
      <c r="BM152" s="1" t="s">
        <v>398</v>
      </c>
      <c r="BN152" s="1" t="s">
        <v>991</v>
      </c>
      <c r="BO152" s="1" t="s">
        <v>276</v>
      </c>
      <c r="BP152" s="1" t="s">
        <v>86</v>
      </c>
      <c r="BQ152" s="1" t="s">
        <v>86</v>
      </c>
      <c r="BR152" s="1" t="s">
        <v>86</v>
      </c>
      <c r="BS152" s="1" t="s">
        <v>86</v>
      </c>
      <c r="BT152" s="1" t="s">
        <v>86</v>
      </c>
      <c r="BU152" s="1" t="s">
        <v>163</v>
      </c>
      <c r="BV152" s="1" t="s">
        <v>86</v>
      </c>
      <c r="BW152" s="1" t="s">
        <v>101</v>
      </c>
      <c r="BX152" s="1" t="s">
        <v>423</v>
      </c>
      <c r="BY152" s="1" t="s">
        <v>86</v>
      </c>
      <c r="BZ152" s="1" t="s">
        <v>992</v>
      </c>
      <c r="CA152" s="1" t="s">
        <v>946</v>
      </c>
      <c r="CB152" s="1" t="s">
        <v>286</v>
      </c>
      <c r="CC152" s="1" t="s">
        <v>86</v>
      </c>
      <c r="CD152" s="1" t="s">
        <v>86</v>
      </c>
      <c r="CE152" s="1" t="s">
        <v>86</v>
      </c>
    </row>
    <row r="153">
      <c r="A153" s="1">
        <v>151</v>
      </c>
      <c r="B153" s="1" t="s">
        <v>395</v>
      </c>
      <c r="C153" s="2">
        <f>=HYPERLINK("https://i.stonehdfile.com/stoneimage?s=7b2cc2a5-581f-489c-b8ca-e51c90dc8466","Image")</f>
      </c>
      <c r="D153" s="2">
        <f>=HYPERLINK("https://dna.stonehdfile.com/hd/viewhd.html?d=820d388e-c95c-4760-887e-8dda9b1bf631","View360")</f>
      </c>
      <c r="E153" s="2">
        <f>=HYPERLINK("https://i.stonehdfile.com/Certificate?s=7b2cc2a5-581f-489c-b8ca-e51c90dc8466","GIA")</f>
      </c>
      <c r="F153" s="2">
        <f>=HYPERLINK("https://i.stonehdfile.com/DNAReport?s=7b2cc2a5-581f-489c-b8ca-e51c90dc8466","DNA")</f>
      </c>
      <c r="G153" s="2">
        <f>=HYPERLINK("https://www.gia.edu/report-check?reportno=******7868","Verify")</f>
      </c>
      <c r="H153" s="1" t="s">
        <v>993</v>
      </c>
      <c r="I153" s="1" t="s">
        <v>46</v>
      </c>
      <c r="J153" s="1">
        <v>1.7</v>
      </c>
      <c r="K153" s="1">
        <v>3</v>
      </c>
      <c r="L153" s="1">
        <v>9800</v>
      </c>
      <c r="M153" s="1">
        <v>4291</v>
      </c>
      <c r="N153" s="1">
        <v>7294.7</v>
      </c>
      <c r="O153" s="1">
        <v>-56.21</v>
      </c>
      <c r="P153" s="1">
        <v>0</v>
      </c>
      <c r="Q153" s="1" t="s">
        <v>86</v>
      </c>
      <c r="R153" s="1">
        <v>0</v>
      </c>
      <c r="S153" s="1" t="s">
        <v>86</v>
      </c>
      <c r="T153" s="1" t="s">
        <v>86</v>
      </c>
      <c r="U153" s="1" t="s">
        <v>136</v>
      </c>
      <c r="V153" s="1" t="s">
        <v>86</v>
      </c>
      <c r="W153" s="1" t="s">
        <v>137</v>
      </c>
      <c r="X153" s="1" t="s">
        <v>86</v>
      </c>
      <c r="Y153" s="1" t="s">
        <v>89</v>
      </c>
      <c r="Z153" s="1" t="s">
        <v>89</v>
      </c>
      <c r="AA153" s="1" t="s">
        <v>119</v>
      </c>
      <c r="AB153" s="1" t="s">
        <v>86</v>
      </c>
      <c r="AC153" s="1" t="s">
        <v>994</v>
      </c>
      <c r="AD153" s="1">
        <v>69.6</v>
      </c>
      <c r="AE153" s="1">
        <v>60</v>
      </c>
      <c r="AF153" s="1" t="s">
        <v>91</v>
      </c>
      <c r="AG153" s="1">
        <v>2.9</v>
      </c>
      <c r="AH153" s="1">
        <v>36.4</v>
      </c>
      <c r="AI153" s="1" t="s">
        <v>86</v>
      </c>
      <c r="AJ153" s="1">
        <v>1</v>
      </c>
      <c r="AK153" s="1" t="s">
        <v>111</v>
      </c>
      <c r="AL153" s="1" t="s">
        <v>151</v>
      </c>
      <c r="AM153" s="1" t="s">
        <v>151</v>
      </c>
      <c r="AN153" s="1" t="s">
        <v>168</v>
      </c>
      <c r="AO153" s="1" t="s">
        <v>94</v>
      </c>
      <c r="AP153" s="1" t="s">
        <v>95</v>
      </c>
      <c r="AQ153" s="1">
        <v>14.5</v>
      </c>
      <c r="AR153" s="1">
        <v>51.8</v>
      </c>
      <c r="AS153" s="1">
        <v>40</v>
      </c>
      <c r="AT153" s="1" t="s">
        <v>96</v>
      </c>
      <c r="AU153" s="1" t="s">
        <v>86</v>
      </c>
      <c r="AV153" s="1" t="s">
        <v>86</v>
      </c>
      <c r="AW153" s="1" t="s">
        <v>86</v>
      </c>
      <c r="AX153" s="1" t="s">
        <v>86</v>
      </c>
      <c r="AY153" s="1" t="s">
        <v>86</v>
      </c>
      <c r="AZ153" s="1" t="s">
        <v>86</v>
      </c>
      <c r="BA153" s="1" t="s">
        <v>86</v>
      </c>
      <c r="BB153" s="1" t="s">
        <v>86</v>
      </c>
      <c r="BC153" s="1" t="s">
        <v>86</v>
      </c>
      <c r="BD153" s="1" t="s">
        <v>86</v>
      </c>
      <c r="BE153" s="1" t="s">
        <v>86</v>
      </c>
      <c r="BF153" s="1" t="s">
        <v>282</v>
      </c>
      <c r="BG153" s="1" t="s">
        <v>172</v>
      </c>
      <c r="BH153" s="1" t="s">
        <v>429</v>
      </c>
      <c r="BI153" s="1" t="s">
        <v>387</v>
      </c>
      <c r="BJ153" s="1" t="s">
        <v>87</v>
      </c>
      <c r="BK153" s="1">
        <v>0</v>
      </c>
      <c r="BL153" s="1">
        <v>0</v>
      </c>
      <c r="BM153" s="1" t="s">
        <v>86</v>
      </c>
      <c r="BN153" s="1" t="s">
        <v>995</v>
      </c>
      <c r="BO153" s="1" t="s">
        <v>330</v>
      </c>
      <c r="BP153" s="1" t="s">
        <v>86</v>
      </c>
      <c r="BQ153" s="1" t="s">
        <v>86</v>
      </c>
      <c r="BR153" s="1" t="s">
        <v>86</v>
      </c>
      <c r="BS153" s="1" t="s">
        <v>86</v>
      </c>
      <c r="BT153" s="1" t="s">
        <v>86</v>
      </c>
      <c r="BU153" s="1" t="s">
        <v>163</v>
      </c>
      <c r="BV153" s="1" t="s">
        <v>86</v>
      </c>
      <c r="BW153" s="1" t="s">
        <v>101</v>
      </c>
      <c r="BX153" s="1" t="s">
        <v>461</v>
      </c>
      <c r="BY153" s="1" t="s">
        <v>86</v>
      </c>
      <c r="BZ153" s="1" t="s">
        <v>996</v>
      </c>
      <c r="CA153" s="1" t="s">
        <v>278</v>
      </c>
      <c r="CB153" s="1" t="s">
        <v>997</v>
      </c>
      <c r="CC153" s="1" t="s">
        <v>86</v>
      </c>
      <c r="CD153" s="1" t="s">
        <v>86</v>
      </c>
      <c r="CE153" s="1" t="s">
        <v>86</v>
      </c>
    </row>
    <row r="154">
      <c r="A154" s="1">
        <v>152</v>
      </c>
      <c r="B154" s="1" t="s">
        <v>395</v>
      </c>
      <c r="C154" s="2">
        <f>=HYPERLINK("https://i.stonehdfile.com/stoneimage?s=7363f7ea-4cf9-4ade-98c4-0a8817d0ef1d","Image")</f>
      </c>
      <c r="D154" s="2">
        <f>=HYPERLINK("https://dna.stonehdfile.com/hd/viewhd.html?d=fbfe25c4-1e17-4cc5-9f28-67696017fa58","View360")</f>
      </c>
      <c r="E154" s="2">
        <f>=HYPERLINK("https://i.stonehdfile.com/Certificate?s=7363f7ea-4cf9-4ade-98c4-0a8817d0ef1d","GIA")</f>
      </c>
      <c r="F154" s="2">
        <f>=HYPERLINK("https://i.stonehdfile.com/DNAReport?s=7363f7ea-4cf9-4ade-98c4-0a8817d0ef1d","DNA")</f>
      </c>
      <c r="G154" s="2">
        <f>=HYPERLINK("https://www.gia.edu/report-check?reportno=******4415","Verify")</f>
      </c>
      <c r="H154" s="1" t="s">
        <v>998</v>
      </c>
      <c r="I154" s="1" t="s">
        <v>46</v>
      </c>
      <c r="J154" s="1">
        <v>1.7</v>
      </c>
      <c r="K154" s="1">
        <v>6</v>
      </c>
      <c r="L154" s="1">
        <v>9800</v>
      </c>
      <c r="M154" s="1">
        <v>5085</v>
      </c>
      <c r="N154" s="1">
        <v>8644.5</v>
      </c>
      <c r="O154" s="1">
        <v>-48.11</v>
      </c>
      <c r="P154" s="1">
        <v>0</v>
      </c>
      <c r="Q154" s="1" t="s">
        <v>86</v>
      </c>
      <c r="R154" s="1">
        <v>0</v>
      </c>
      <c r="S154" s="1" t="s">
        <v>86</v>
      </c>
      <c r="T154" s="1" t="s">
        <v>86</v>
      </c>
      <c r="U154" s="1" t="s">
        <v>427</v>
      </c>
      <c r="V154" s="1" t="s">
        <v>86</v>
      </c>
      <c r="W154" s="1" t="s">
        <v>137</v>
      </c>
      <c r="X154" s="1" t="s">
        <v>86</v>
      </c>
      <c r="Y154" s="1" t="s">
        <v>89</v>
      </c>
      <c r="Z154" s="1" t="s">
        <v>89</v>
      </c>
      <c r="AA154" s="1" t="s">
        <v>119</v>
      </c>
      <c r="AB154" s="1" t="s">
        <v>86</v>
      </c>
      <c r="AC154" s="1" t="s">
        <v>999</v>
      </c>
      <c r="AD154" s="1">
        <v>68.8</v>
      </c>
      <c r="AE154" s="1">
        <v>60</v>
      </c>
      <c r="AF154" s="1" t="s">
        <v>91</v>
      </c>
      <c r="AG154" s="1">
        <v>3.9</v>
      </c>
      <c r="AH154" s="1">
        <v>35.9</v>
      </c>
      <c r="AI154" s="1" t="s">
        <v>86</v>
      </c>
      <c r="AJ154" s="1">
        <v>1.11</v>
      </c>
      <c r="AK154" s="1" t="s">
        <v>111</v>
      </c>
      <c r="AL154" s="1" t="s">
        <v>93</v>
      </c>
      <c r="AM154" s="1" t="s">
        <v>140</v>
      </c>
      <c r="AN154" s="1" t="s">
        <v>171</v>
      </c>
      <c r="AO154" s="1" t="s">
        <v>94</v>
      </c>
      <c r="AP154" s="1" t="s">
        <v>95</v>
      </c>
      <c r="AQ154" s="1">
        <v>14.9</v>
      </c>
      <c r="AR154" s="1">
        <v>49.7</v>
      </c>
      <c r="AS154" s="1">
        <v>38.1</v>
      </c>
      <c r="AT154" s="1" t="s">
        <v>96</v>
      </c>
      <c r="AU154" s="1" t="s">
        <v>86</v>
      </c>
      <c r="AV154" s="1" t="s">
        <v>86</v>
      </c>
      <c r="AW154" s="1" t="s">
        <v>86</v>
      </c>
      <c r="AX154" s="1" t="s">
        <v>86</v>
      </c>
      <c r="AY154" s="1" t="s">
        <v>86</v>
      </c>
      <c r="AZ154" s="1" t="s">
        <v>86</v>
      </c>
      <c r="BA154" s="1" t="s">
        <v>86</v>
      </c>
      <c r="BB154" s="1" t="s">
        <v>86</v>
      </c>
      <c r="BC154" s="1" t="s">
        <v>86</v>
      </c>
      <c r="BD154" s="1" t="s">
        <v>86</v>
      </c>
      <c r="BE154" s="1" t="s">
        <v>86</v>
      </c>
      <c r="BF154" s="1" t="s">
        <v>282</v>
      </c>
      <c r="BG154" s="1" t="s">
        <v>172</v>
      </c>
      <c r="BH154" s="1" t="s">
        <v>215</v>
      </c>
      <c r="BI154" s="1" t="s">
        <v>562</v>
      </c>
      <c r="BJ154" s="1" t="s">
        <v>87</v>
      </c>
      <c r="BK154" s="1">
        <v>0</v>
      </c>
      <c r="BL154" s="1">
        <v>0</v>
      </c>
      <c r="BM154" s="1" t="s">
        <v>398</v>
      </c>
      <c r="BN154" s="1" t="s">
        <v>1000</v>
      </c>
      <c r="BO154" s="1" t="s">
        <v>1001</v>
      </c>
      <c r="BP154" s="1" t="s">
        <v>86</v>
      </c>
      <c r="BQ154" s="1" t="s">
        <v>86</v>
      </c>
      <c r="BR154" s="1" t="s">
        <v>86</v>
      </c>
      <c r="BS154" s="1" t="s">
        <v>86</v>
      </c>
      <c r="BT154" s="1" t="s">
        <v>86</v>
      </c>
      <c r="BU154" s="1" t="s">
        <v>163</v>
      </c>
      <c r="BV154" s="1" t="s">
        <v>86</v>
      </c>
      <c r="BW154" s="1" t="s">
        <v>101</v>
      </c>
      <c r="BX154" s="1" t="s">
        <v>423</v>
      </c>
      <c r="BY154" s="1" t="s">
        <v>86</v>
      </c>
      <c r="BZ154" s="1" t="s">
        <v>1002</v>
      </c>
      <c r="CA154" s="1" t="s">
        <v>178</v>
      </c>
      <c r="CB154" s="1" t="s">
        <v>358</v>
      </c>
      <c r="CC154" s="1" t="s">
        <v>86</v>
      </c>
      <c r="CD154" s="1" t="s">
        <v>86</v>
      </c>
      <c r="CE154" s="1" t="s">
        <v>86</v>
      </c>
    </row>
    <row r="155">
      <c r="A155" s="1">
        <v>153</v>
      </c>
      <c r="B155" s="1" t="s">
        <v>395</v>
      </c>
      <c r="C155" s="2">
        <f>=HYPERLINK("https://i.stonehdfile.com/stoneimage?s=750075b0-d0f5-44df-873b-acbb3828c11a","Image")</f>
      </c>
      <c r="D155" s="2">
        <f>=HYPERLINK("https://dna.stonehdfile.com/hd/viewhd.html?d=8f7b0fb3-4cd3-4215-a213-dc11e0f33ddf","View360")</f>
      </c>
      <c r="E155" s="2">
        <f>=HYPERLINK("https://i.stonehdfile.com/Certificate?s=750075b0-d0f5-44df-873b-acbb3828c11a","GIA")</f>
      </c>
      <c r="F155" s="2">
        <f>=HYPERLINK("https://i.stonehdfile.com/DNAReport?s=750075b0-d0f5-44df-873b-acbb3828c11a","DNA")</f>
      </c>
      <c r="G155" s="2">
        <f>=HYPERLINK("https://www.gia.edu/report-check?reportno=******0734","Verify")</f>
      </c>
      <c r="H155" s="1" t="s">
        <v>1003</v>
      </c>
      <c r="I155" s="1" t="s">
        <v>46</v>
      </c>
      <c r="J155" s="1">
        <v>1.72</v>
      </c>
      <c r="K155" s="1">
        <v>3</v>
      </c>
      <c r="L155" s="1">
        <v>7700</v>
      </c>
      <c r="M155" s="1">
        <v>3796</v>
      </c>
      <c r="N155" s="1">
        <v>6529.12</v>
      </c>
      <c r="O155" s="1">
        <v>-50.7</v>
      </c>
      <c r="P155" s="1">
        <v>0</v>
      </c>
      <c r="Q155" s="1" t="s">
        <v>86</v>
      </c>
      <c r="R155" s="1">
        <v>0</v>
      </c>
      <c r="S155" s="1" t="s">
        <v>86</v>
      </c>
      <c r="T155" s="1" t="s">
        <v>86</v>
      </c>
      <c r="U155" s="1" t="s">
        <v>136</v>
      </c>
      <c r="V155" s="1" t="s">
        <v>86</v>
      </c>
      <c r="W155" s="1" t="s">
        <v>213</v>
      </c>
      <c r="X155" s="1" t="s">
        <v>86</v>
      </c>
      <c r="Y155" s="1" t="s">
        <v>89</v>
      </c>
      <c r="Z155" s="1" t="s">
        <v>89</v>
      </c>
      <c r="AA155" s="1" t="s">
        <v>119</v>
      </c>
      <c r="AB155" s="1" t="s">
        <v>86</v>
      </c>
      <c r="AC155" s="1" t="s">
        <v>1004</v>
      </c>
      <c r="AD155" s="1">
        <v>70.2</v>
      </c>
      <c r="AE155" s="1">
        <v>57</v>
      </c>
      <c r="AF155" s="1" t="s">
        <v>91</v>
      </c>
      <c r="AG155" s="1">
        <v>4.4</v>
      </c>
      <c r="AH155" s="1">
        <v>37.6</v>
      </c>
      <c r="AI155" s="1" t="s">
        <v>86</v>
      </c>
      <c r="AJ155" s="1">
        <v>1.05</v>
      </c>
      <c r="AK155" s="1" t="s">
        <v>190</v>
      </c>
      <c r="AL155" s="1" t="s">
        <v>467</v>
      </c>
      <c r="AM155" s="1" t="s">
        <v>93</v>
      </c>
      <c r="AN155" s="1" t="s">
        <v>168</v>
      </c>
      <c r="AO155" s="1" t="s">
        <v>208</v>
      </c>
      <c r="AP155" s="1" t="s">
        <v>95</v>
      </c>
      <c r="AQ155" s="1">
        <v>16.8</v>
      </c>
      <c r="AR155" s="1">
        <v>49</v>
      </c>
      <c r="AS155" s="1">
        <v>37.8</v>
      </c>
      <c r="AT155" s="1" t="s">
        <v>96</v>
      </c>
      <c r="AU155" s="1" t="s">
        <v>141</v>
      </c>
      <c r="AV155" s="1" t="s">
        <v>86</v>
      </c>
      <c r="AW155" s="1" t="s">
        <v>86</v>
      </c>
      <c r="AX155" s="1" t="s">
        <v>86</v>
      </c>
      <c r="AY155" s="1" t="s">
        <v>86</v>
      </c>
      <c r="AZ155" s="1" t="s">
        <v>86</v>
      </c>
      <c r="BA155" s="1" t="s">
        <v>86</v>
      </c>
      <c r="BB155" s="1" t="s">
        <v>86</v>
      </c>
      <c r="BC155" s="1" t="s">
        <v>86</v>
      </c>
      <c r="BD155" s="1" t="s">
        <v>86</v>
      </c>
      <c r="BE155" s="1" t="s">
        <v>86</v>
      </c>
      <c r="BF155" s="1" t="s">
        <v>282</v>
      </c>
      <c r="BG155" s="1" t="s">
        <v>172</v>
      </c>
      <c r="BH155" s="1" t="s">
        <v>215</v>
      </c>
      <c r="BI155" s="1" t="s">
        <v>833</v>
      </c>
      <c r="BJ155" s="1" t="s">
        <v>87</v>
      </c>
      <c r="BK155" s="1">
        <v>0</v>
      </c>
      <c r="BL155" s="1">
        <v>0</v>
      </c>
      <c r="BM155" s="1" t="s">
        <v>398</v>
      </c>
      <c r="BN155" s="1" t="s">
        <v>1005</v>
      </c>
      <c r="BO155" s="1" t="s">
        <v>153</v>
      </c>
      <c r="BP155" s="1" t="s">
        <v>86</v>
      </c>
      <c r="BQ155" s="1" t="s">
        <v>86</v>
      </c>
      <c r="BR155" s="1" t="s">
        <v>86</v>
      </c>
      <c r="BS155" s="1" t="s">
        <v>86</v>
      </c>
      <c r="BT155" s="1" t="s">
        <v>86</v>
      </c>
      <c r="BU155" s="1" t="s">
        <v>163</v>
      </c>
      <c r="BV155" s="1" t="s">
        <v>86</v>
      </c>
      <c r="BW155" s="1" t="s">
        <v>101</v>
      </c>
      <c r="BX155" s="1" t="s">
        <v>461</v>
      </c>
      <c r="BY155" s="1" t="s">
        <v>86</v>
      </c>
      <c r="BZ155" s="1" t="s">
        <v>1006</v>
      </c>
      <c r="CA155" s="1" t="s">
        <v>254</v>
      </c>
      <c r="CB155" s="1" t="s">
        <v>907</v>
      </c>
      <c r="CC155" s="1" t="s">
        <v>86</v>
      </c>
      <c r="CD155" s="1" t="s">
        <v>86</v>
      </c>
      <c r="CE155" s="1" t="s">
        <v>86</v>
      </c>
    </row>
    <row r="156">
      <c r="A156" s="1">
        <v>154</v>
      </c>
      <c r="B156" s="1" t="s">
        <v>395</v>
      </c>
      <c r="C156" s="2">
        <f>=HYPERLINK("https://i.stonehdfile.com/stoneimage?s=ea755f33-de5e-4b45-b250-a563eb8ad648","Image")</f>
      </c>
      <c r="D156" s="2">
        <f>=HYPERLINK("https://dna.stonehdfile.com/hd/viewhd.html?d=8483216a-74fe-4e10-bb76-88c006b068d6","View360")</f>
      </c>
      <c r="E156" s="2">
        <f>=HYPERLINK("https://i.stonehdfile.com/Certificate?s=ea755f33-de5e-4b45-b250-a563eb8ad648","GIA")</f>
      </c>
      <c r="F156" s="2">
        <f>=HYPERLINK("https://i.stonehdfile.com/DNAReport?s=ea755f33-de5e-4b45-b250-a563eb8ad648","DNA")</f>
      </c>
      <c r="G156" s="2">
        <f>=HYPERLINK("https://www.gia.edu/report-check?reportno=******3684","Verify")</f>
      </c>
      <c r="H156" s="1" t="s">
        <v>1007</v>
      </c>
      <c r="I156" s="1" t="s">
        <v>46</v>
      </c>
      <c r="J156" s="1">
        <v>1.7</v>
      </c>
      <c r="K156" s="1">
        <v>2</v>
      </c>
      <c r="L156" s="1">
        <v>12700</v>
      </c>
      <c r="M156" s="1">
        <v>7715</v>
      </c>
      <c r="N156" s="1">
        <v>13115.5</v>
      </c>
      <c r="O156" s="1">
        <v>-39.25</v>
      </c>
      <c r="P156" s="1">
        <v>0</v>
      </c>
      <c r="Q156" s="1" t="s">
        <v>86</v>
      </c>
      <c r="R156" s="1">
        <v>0</v>
      </c>
      <c r="S156" s="1" t="s">
        <v>86</v>
      </c>
      <c r="T156" s="1" t="s">
        <v>86</v>
      </c>
      <c r="U156" s="1" t="s">
        <v>87</v>
      </c>
      <c r="V156" s="1" t="s">
        <v>86</v>
      </c>
      <c r="W156" s="1" t="s">
        <v>88</v>
      </c>
      <c r="X156" s="1" t="s">
        <v>86</v>
      </c>
      <c r="Y156" s="1" t="s">
        <v>89</v>
      </c>
      <c r="Z156" s="1" t="s">
        <v>89</v>
      </c>
      <c r="AA156" s="1" t="s">
        <v>119</v>
      </c>
      <c r="AB156" s="1" t="s">
        <v>86</v>
      </c>
      <c r="AC156" s="1" t="s">
        <v>1008</v>
      </c>
      <c r="AD156" s="1">
        <v>68.6</v>
      </c>
      <c r="AE156" s="1">
        <v>61</v>
      </c>
      <c r="AF156" s="1" t="s">
        <v>91</v>
      </c>
      <c r="AG156" s="1">
        <v>3</v>
      </c>
      <c r="AH156" s="1">
        <v>36.4</v>
      </c>
      <c r="AI156" s="1" t="s">
        <v>86</v>
      </c>
      <c r="AJ156" s="1">
        <v>1.15</v>
      </c>
      <c r="AK156" s="1" t="s">
        <v>190</v>
      </c>
      <c r="AL156" s="1" t="s">
        <v>93</v>
      </c>
      <c r="AM156" s="1" t="s">
        <v>93</v>
      </c>
      <c r="AN156" s="1" t="s">
        <v>86</v>
      </c>
      <c r="AO156" s="1" t="s">
        <v>94</v>
      </c>
      <c r="AP156" s="1" t="s">
        <v>95</v>
      </c>
      <c r="AQ156" s="1">
        <v>14.6</v>
      </c>
      <c r="AR156" s="1">
        <v>51.1</v>
      </c>
      <c r="AS156" s="1">
        <v>38.3</v>
      </c>
      <c r="AT156" s="1" t="s">
        <v>96</v>
      </c>
      <c r="AU156" s="1" t="s">
        <v>86</v>
      </c>
      <c r="AV156" s="1" t="s">
        <v>86</v>
      </c>
      <c r="AW156" s="1" t="s">
        <v>86</v>
      </c>
      <c r="AX156" s="1" t="s">
        <v>86</v>
      </c>
      <c r="AY156" s="1" t="s">
        <v>86</v>
      </c>
      <c r="AZ156" s="1" t="s">
        <v>86</v>
      </c>
      <c r="BA156" s="1" t="s">
        <v>86</v>
      </c>
      <c r="BB156" s="1" t="s">
        <v>86</v>
      </c>
      <c r="BC156" s="1" t="s">
        <v>86</v>
      </c>
      <c r="BD156" s="1" t="s">
        <v>86</v>
      </c>
      <c r="BE156" s="1" t="s">
        <v>86</v>
      </c>
      <c r="BF156" s="1" t="s">
        <v>86</v>
      </c>
      <c r="BG156" s="1" t="s">
        <v>86</v>
      </c>
      <c r="BH156" s="1" t="s">
        <v>97</v>
      </c>
      <c r="BI156" s="1" t="s">
        <v>315</v>
      </c>
      <c r="BJ156" s="1" t="s">
        <v>87</v>
      </c>
      <c r="BK156" s="1">
        <v>0</v>
      </c>
      <c r="BL156" s="1">
        <v>0</v>
      </c>
      <c r="BM156" s="1" t="s">
        <v>398</v>
      </c>
      <c r="BN156" s="1" t="s">
        <v>1009</v>
      </c>
      <c r="BO156" s="1" t="s">
        <v>1010</v>
      </c>
      <c r="BP156" s="1" t="s">
        <v>86</v>
      </c>
      <c r="BQ156" s="1" t="s">
        <v>86</v>
      </c>
      <c r="BR156" s="1" t="s">
        <v>86</v>
      </c>
      <c r="BS156" s="1" t="s">
        <v>86</v>
      </c>
      <c r="BT156" s="1" t="s">
        <v>86</v>
      </c>
      <c r="BU156" s="1" t="s">
        <v>163</v>
      </c>
      <c r="BV156" s="1" t="s">
        <v>86</v>
      </c>
      <c r="BW156" s="1" t="s">
        <v>101</v>
      </c>
      <c r="BX156" s="1" t="s">
        <v>439</v>
      </c>
      <c r="BY156" s="1" t="s">
        <v>86</v>
      </c>
      <c r="BZ156" s="1" t="s">
        <v>1011</v>
      </c>
      <c r="CA156" s="1" t="s">
        <v>1012</v>
      </c>
      <c r="CB156" s="1" t="s">
        <v>156</v>
      </c>
      <c r="CC156" s="1" t="s">
        <v>86</v>
      </c>
      <c r="CD156" s="1" t="s">
        <v>86</v>
      </c>
      <c r="CE156" s="1" t="s">
        <v>86</v>
      </c>
    </row>
    <row r="157">
      <c r="A157" s="1">
        <v>155</v>
      </c>
      <c r="B157" s="1" t="s">
        <v>395</v>
      </c>
      <c r="C157" s="2">
        <f>=HYPERLINK("https://i.stonehdfile.com/stoneimage?s=c57e918c-c2f6-4aab-8f1f-fa03a54d4bc6","Image")</f>
      </c>
      <c r="D157" s="2">
        <f>=HYPERLINK("https://dna.stonehdfile.com/hd/viewhd.html?d=b9e3fb2f-72fe-409c-a326-458717aa54e3","View360")</f>
      </c>
      <c r="E157" s="2">
        <f>=HYPERLINK("https://i.stonehdfile.com/Certificate?s=c57e918c-c2f6-4aab-8f1f-fa03a54d4bc6","GIA")</f>
      </c>
      <c r="F157" s="2">
        <f>=HYPERLINK("https://i.stonehdfile.com/DNAReport?s=c57e918c-c2f6-4aab-8f1f-fa03a54d4bc6","DNA")</f>
      </c>
      <c r="G157" s="2">
        <f>=HYPERLINK("https://www.gia.edu/report-check?reportno=******4341","Verify")</f>
      </c>
      <c r="H157" s="1" t="s">
        <v>1013</v>
      </c>
      <c r="I157" s="1" t="s">
        <v>46</v>
      </c>
      <c r="J157" s="1">
        <v>1.8</v>
      </c>
      <c r="K157" s="1">
        <v>8</v>
      </c>
      <c r="L157" s="1">
        <v>12700</v>
      </c>
      <c r="M157" s="1">
        <v>8051</v>
      </c>
      <c r="N157" s="1">
        <v>14491.8</v>
      </c>
      <c r="O157" s="1">
        <v>-36.61</v>
      </c>
      <c r="P157" s="1">
        <v>0</v>
      </c>
      <c r="Q157" s="1" t="s">
        <v>86</v>
      </c>
      <c r="R157" s="1">
        <v>0</v>
      </c>
      <c r="S157" s="1" t="s">
        <v>86</v>
      </c>
      <c r="T157" s="1" t="s">
        <v>86</v>
      </c>
      <c r="U157" s="1" t="s">
        <v>87</v>
      </c>
      <c r="V157" s="1" t="s">
        <v>86</v>
      </c>
      <c r="W157" s="1" t="s">
        <v>88</v>
      </c>
      <c r="X157" s="1" t="s">
        <v>86</v>
      </c>
      <c r="Y157" s="1" t="s">
        <v>89</v>
      </c>
      <c r="Z157" s="1" t="s">
        <v>89</v>
      </c>
      <c r="AA157" s="1" t="s">
        <v>119</v>
      </c>
      <c r="AB157" s="1" t="s">
        <v>86</v>
      </c>
      <c r="AC157" s="1" t="s">
        <v>1014</v>
      </c>
      <c r="AD157" s="1">
        <v>68.2</v>
      </c>
      <c r="AE157" s="1">
        <v>60</v>
      </c>
      <c r="AF157" s="1" t="s">
        <v>91</v>
      </c>
      <c r="AG157" s="1">
        <v>3.1</v>
      </c>
      <c r="AH157" s="1">
        <v>35.3</v>
      </c>
      <c r="AI157" s="1" t="s">
        <v>86</v>
      </c>
      <c r="AJ157" s="1">
        <v>1</v>
      </c>
      <c r="AK157" s="1" t="s">
        <v>92</v>
      </c>
      <c r="AL157" s="1" t="s">
        <v>93</v>
      </c>
      <c r="AM157" s="1" t="s">
        <v>93</v>
      </c>
      <c r="AN157" s="1" t="s">
        <v>86</v>
      </c>
      <c r="AO157" s="1" t="s">
        <v>94</v>
      </c>
      <c r="AP157" s="1" t="s">
        <v>95</v>
      </c>
      <c r="AQ157" s="1">
        <v>14.1</v>
      </c>
      <c r="AR157" s="1">
        <v>51</v>
      </c>
      <c r="AS157" s="1">
        <v>39.6</v>
      </c>
      <c r="AT157" s="1" t="s">
        <v>96</v>
      </c>
      <c r="AU157" s="1" t="s">
        <v>86</v>
      </c>
      <c r="AV157" s="1" t="s">
        <v>86</v>
      </c>
      <c r="AW157" s="1" t="s">
        <v>86</v>
      </c>
      <c r="AX157" s="1" t="s">
        <v>86</v>
      </c>
      <c r="AY157" s="1" t="s">
        <v>86</v>
      </c>
      <c r="AZ157" s="1" t="s">
        <v>86</v>
      </c>
      <c r="BA157" s="1" t="s">
        <v>86</v>
      </c>
      <c r="BB157" s="1" t="s">
        <v>86</v>
      </c>
      <c r="BC157" s="1" t="s">
        <v>86</v>
      </c>
      <c r="BD157" s="1" t="s">
        <v>86</v>
      </c>
      <c r="BE157" s="1" t="s">
        <v>86</v>
      </c>
      <c r="BF157" s="1" t="s">
        <v>86</v>
      </c>
      <c r="BG157" s="1" t="s">
        <v>172</v>
      </c>
      <c r="BH157" s="1" t="s">
        <v>97</v>
      </c>
      <c r="BI157" s="1" t="s">
        <v>174</v>
      </c>
      <c r="BJ157" s="1" t="s">
        <v>87</v>
      </c>
      <c r="BK157" s="1">
        <v>0</v>
      </c>
      <c r="BL157" s="1">
        <v>0</v>
      </c>
      <c r="BM157" s="1" t="s">
        <v>398</v>
      </c>
      <c r="BN157" s="1" t="s">
        <v>1015</v>
      </c>
      <c r="BO157" s="1" t="s">
        <v>536</v>
      </c>
      <c r="BP157" s="1" t="s">
        <v>86</v>
      </c>
      <c r="BQ157" s="1" t="s">
        <v>86</v>
      </c>
      <c r="BR157" s="1" t="s">
        <v>86</v>
      </c>
      <c r="BS157" s="1" t="s">
        <v>86</v>
      </c>
      <c r="BT157" s="1" t="s">
        <v>86</v>
      </c>
      <c r="BU157" s="1" t="s">
        <v>163</v>
      </c>
      <c r="BV157" s="1" t="s">
        <v>86</v>
      </c>
      <c r="BW157" s="1" t="s">
        <v>101</v>
      </c>
      <c r="BX157" s="1" t="s">
        <v>478</v>
      </c>
      <c r="BY157" s="1" t="s">
        <v>86</v>
      </c>
      <c r="BZ157" s="1" t="s">
        <v>1016</v>
      </c>
      <c r="CA157" s="1" t="s">
        <v>1017</v>
      </c>
      <c r="CB157" s="1" t="s">
        <v>700</v>
      </c>
      <c r="CC157" s="1" t="s">
        <v>86</v>
      </c>
      <c r="CD157" s="1" t="s">
        <v>86</v>
      </c>
      <c r="CE157" s="1" t="s">
        <v>86</v>
      </c>
    </row>
    <row r="158">
      <c r="A158" s="1">
        <v>156</v>
      </c>
      <c r="B158" s="1" t="s">
        <v>395</v>
      </c>
      <c r="C158" s="2">
        <f>=HYPERLINK("https://i.stonehdfile.com/stoneimage?s=842e5e70-3d8d-4400-9df1-2869f91ad97c","Image")</f>
      </c>
      <c r="D158" s="2">
        <f>=HYPERLINK("https://dna.stonehdfile.com/hd/viewhd.html?d=b65d11ce-cc6d-4a25-970d-883c52d55cc9","View360")</f>
      </c>
      <c r="E158" s="2">
        <f>=HYPERLINK("https://i.stonehdfile.com/Certificate?s=842e5e70-3d8d-4400-9df1-2869f91ad97c","GIA")</f>
      </c>
      <c r="F158" s="2">
        <f>=HYPERLINK("https://i.stonehdfile.com/DNAReport?s=842e5e70-3d8d-4400-9df1-2869f91ad97c","DNA")</f>
      </c>
      <c r="G158" s="2">
        <f>=HYPERLINK("https://www.gia.edu/report-check?reportno=******4390","Verify")</f>
      </c>
      <c r="H158" s="1" t="s">
        <v>1018</v>
      </c>
      <c r="I158" s="1" t="s">
        <v>46</v>
      </c>
      <c r="J158" s="1">
        <v>1.8</v>
      </c>
      <c r="K158" s="1">
        <v>3</v>
      </c>
      <c r="L158" s="1">
        <v>12200</v>
      </c>
      <c r="M158" s="1">
        <v>7248</v>
      </c>
      <c r="N158" s="1">
        <v>13046.4</v>
      </c>
      <c r="O158" s="1">
        <v>-40.59</v>
      </c>
      <c r="P158" s="1">
        <v>0</v>
      </c>
      <c r="Q158" s="1" t="s">
        <v>86</v>
      </c>
      <c r="R158" s="1">
        <v>0</v>
      </c>
      <c r="S158" s="1" t="s">
        <v>86</v>
      </c>
      <c r="T158" s="1" t="s">
        <v>86</v>
      </c>
      <c r="U158" s="1" t="s">
        <v>87</v>
      </c>
      <c r="V158" s="1" t="s">
        <v>86</v>
      </c>
      <c r="W158" s="1" t="s">
        <v>149</v>
      </c>
      <c r="X158" s="1" t="s">
        <v>86</v>
      </c>
      <c r="Y158" s="1" t="s">
        <v>89</v>
      </c>
      <c r="Z158" s="1" t="s">
        <v>89</v>
      </c>
      <c r="AA158" s="1" t="s">
        <v>119</v>
      </c>
      <c r="AB158" s="1" t="s">
        <v>86</v>
      </c>
      <c r="AC158" s="1" t="s">
        <v>1019</v>
      </c>
      <c r="AD158" s="1">
        <v>69.1</v>
      </c>
      <c r="AE158" s="1">
        <v>62</v>
      </c>
      <c r="AF158" s="1" t="s">
        <v>91</v>
      </c>
      <c r="AG158" s="1">
        <v>3.9</v>
      </c>
      <c r="AH158" s="1">
        <v>33</v>
      </c>
      <c r="AI158" s="1" t="s">
        <v>86</v>
      </c>
      <c r="AJ158" s="1">
        <v>1.02</v>
      </c>
      <c r="AK158" s="1" t="s">
        <v>111</v>
      </c>
      <c r="AL158" s="1" t="s">
        <v>93</v>
      </c>
      <c r="AM158" s="1" t="s">
        <v>93</v>
      </c>
      <c r="AN158" s="1" t="s">
        <v>86</v>
      </c>
      <c r="AO158" s="1" t="s">
        <v>94</v>
      </c>
      <c r="AP158" s="1" t="s">
        <v>95</v>
      </c>
      <c r="AQ158" s="1">
        <v>12.4</v>
      </c>
      <c r="AR158" s="1">
        <v>52.3</v>
      </c>
      <c r="AS158" s="1">
        <v>39.7</v>
      </c>
      <c r="AT158" s="1" t="s">
        <v>96</v>
      </c>
      <c r="AU158" s="1" t="s">
        <v>141</v>
      </c>
      <c r="AV158" s="1" t="s">
        <v>86</v>
      </c>
      <c r="AW158" s="1" t="s">
        <v>86</v>
      </c>
      <c r="AX158" s="1" t="s">
        <v>86</v>
      </c>
      <c r="AY158" s="1" t="s">
        <v>86</v>
      </c>
      <c r="AZ158" s="1" t="s">
        <v>86</v>
      </c>
      <c r="BA158" s="1" t="s">
        <v>86</v>
      </c>
      <c r="BB158" s="1" t="s">
        <v>86</v>
      </c>
      <c r="BC158" s="1" t="s">
        <v>86</v>
      </c>
      <c r="BD158" s="1" t="s">
        <v>86</v>
      </c>
      <c r="BE158" s="1" t="s">
        <v>86</v>
      </c>
      <c r="BF158" s="1" t="s">
        <v>86</v>
      </c>
      <c r="BG158" s="1" t="s">
        <v>86</v>
      </c>
      <c r="BH158" s="1" t="s">
        <v>129</v>
      </c>
      <c r="BI158" s="1" t="s">
        <v>562</v>
      </c>
      <c r="BJ158" s="1" t="s">
        <v>87</v>
      </c>
      <c r="BK158" s="1">
        <v>0</v>
      </c>
      <c r="BL158" s="1">
        <v>0</v>
      </c>
      <c r="BM158" s="1" t="s">
        <v>398</v>
      </c>
      <c r="BN158" s="1" t="s">
        <v>1020</v>
      </c>
      <c r="BO158" s="1" t="s">
        <v>518</v>
      </c>
      <c r="BP158" s="1" t="s">
        <v>86</v>
      </c>
      <c r="BQ158" s="1" t="s">
        <v>86</v>
      </c>
      <c r="BR158" s="1" t="s">
        <v>86</v>
      </c>
      <c r="BS158" s="1" t="s">
        <v>86</v>
      </c>
      <c r="BT158" s="1" t="s">
        <v>86</v>
      </c>
      <c r="BU158" s="1" t="s">
        <v>163</v>
      </c>
      <c r="BV158" s="1" t="s">
        <v>86</v>
      </c>
      <c r="BW158" s="1" t="s">
        <v>101</v>
      </c>
      <c r="BX158" s="1" t="s">
        <v>545</v>
      </c>
      <c r="BY158" s="1" t="s">
        <v>86</v>
      </c>
      <c r="BZ158" s="1" t="s">
        <v>1021</v>
      </c>
      <c r="CA158" s="1" t="s">
        <v>1022</v>
      </c>
      <c r="CB158" s="1" t="s">
        <v>269</v>
      </c>
      <c r="CC158" s="1" t="s">
        <v>86</v>
      </c>
      <c r="CD158" s="1" t="s">
        <v>86</v>
      </c>
      <c r="CE158" s="1" t="s">
        <v>86</v>
      </c>
    </row>
    <row r="159">
      <c r="A159" s="1">
        <v>157</v>
      </c>
      <c r="B159" s="1" t="s">
        <v>395</v>
      </c>
      <c r="C159" s="2">
        <f>=HYPERLINK("https://i.stonehdfile.com/stoneimage?s=bbc2fb51-bca7-4ffb-ba09-e0c51aee4166","Image")</f>
      </c>
      <c r="D159" s="2">
        <f>=HYPERLINK("https://dna.stonehdfile.com/hd/viewhd.html?d=c8138b6f-221d-4027-98bf-95f351784606","View360")</f>
      </c>
      <c r="E159" s="2">
        <f>=HYPERLINK("https://i.stonehdfile.com/Certificate?s=bbc2fb51-bca7-4ffb-ba09-e0c51aee4166","GIA")</f>
      </c>
      <c r="F159" s="2">
        <f>=HYPERLINK("https://i.stonehdfile.com/DNAReport?s=bbc2fb51-bca7-4ffb-ba09-e0c51aee4166","DNA")</f>
      </c>
      <c r="G159" s="2">
        <f>=HYPERLINK("https://www.gia.edu/report-check?reportno=******2309","Verify")</f>
      </c>
      <c r="H159" s="1" t="s">
        <v>1023</v>
      </c>
      <c r="I159" s="1" t="s">
        <v>46</v>
      </c>
      <c r="J159" s="1">
        <v>1.85</v>
      </c>
      <c r="K159" s="1">
        <v>5</v>
      </c>
      <c r="L159" s="1">
        <v>12200</v>
      </c>
      <c r="M159" s="1">
        <v>8211</v>
      </c>
      <c r="N159" s="1">
        <v>15190.35</v>
      </c>
      <c r="O159" s="1">
        <v>-32.7</v>
      </c>
      <c r="P159" s="1">
        <v>0</v>
      </c>
      <c r="Q159" s="1" t="s">
        <v>86</v>
      </c>
      <c r="R159" s="1">
        <v>0</v>
      </c>
      <c r="S159" s="1" t="s">
        <v>86</v>
      </c>
      <c r="T159" s="1" t="s">
        <v>86</v>
      </c>
      <c r="U159" s="1" t="s">
        <v>87</v>
      </c>
      <c r="V159" s="1" t="s">
        <v>86</v>
      </c>
      <c r="W159" s="1" t="s">
        <v>149</v>
      </c>
      <c r="X159" s="1" t="s">
        <v>86</v>
      </c>
      <c r="Y159" s="1" t="s">
        <v>89</v>
      </c>
      <c r="Z159" s="1" t="s">
        <v>89</v>
      </c>
      <c r="AA159" s="1" t="s">
        <v>119</v>
      </c>
      <c r="AB159" s="1" t="s">
        <v>86</v>
      </c>
      <c r="AC159" s="1" t="s">
        <v>1024</v>
      </c>
      <c r="AD159" s="1">
        <v>68.6</v>
      </c>
      <c r="AE159" s="1">
        <v>62</v>
      </c>
      <c r="AF159" s="1" t="s">
        <v>91</v>
      </c>
      <c r="AG159" s="1">
        <v>3.4</v>
      </c>
      <c r="AH159" s="1">
        <v>35.8</v>
      </c>
      <c r="AI159" s="1" t="s">
        <v>86</v>
      </c>
      <c r="AJ159" s="1">
        <v>1.07</v>
      </c>
      <c r="AK159" s="1" t="s">
        <v>190</v>
      </c>
      <c r="AL159" s="1" t="s">
        <v>93</v>
      </c>
      <c r="AM159" s="1" t="s">
        <v>93</v>
      </c>
      <c r="AN159" s="1" t="s">
        <v>86</v>
      </c>
      <c r="AO159" s="1" t="s">
        <v>94</v>
      </c>
      <c r="AP159" s="1" t="s">
        <v>95</v>
      </c>
      <c r="AQ159" s="1">
        <v>14</v>
      </c>
      <c r="AR159" s="1">
        <v>51.1</v>
      </c>
      <c r="AS159" s="1">
        <v>38.9</v>
      </c>
      <c r="AT159" s="1" t="s">
        <v>96</v>
      </c>
      <c r="AU159" s="1" t="s">
        <v>86</v>
      </c>
      <c r="AV159" s="1" t="s">
        <v>86</v>
      </c>
      <c r="AW159" s="1" t="s">
        <v>86</v>
      </c>
      <c r="AX159" s="1" t="s">
        <v>86</v>
      </c>
      <c r="AY159" s="1" t="s">
        <v>86</v>
      </c>
      <c r="AZ159" s="1" t="s">
        <v>86</v>
      </c>
      <c r="BA159" s="1" t="s">
        <v>86</v>
      </c>
      <c r="BB159" s="1" t="s">
        <v>86</v>
      </c>
      <c r="BC159" s="1" t="s">
        <v>86</v>
      </c>
      <c r="BD159" s="1" t="s">
        <v>86</v>
      </c>
      <c r="BE159" s="1" t="s">
        <v>86</v>
      </c>
      <c r="BF159" s="1" t="s">
        <v>86</v>
      </c>
      <c r="BG159" s="1" t="s">
        <v>86</v>
      </c>
      <c r="BH159" s="1" t="s">
        <v>97</v>
      </c>
      <c r="BI159" s="1" t="s">
        <v>191</v>
      </c>
      <c r="BJ159" s="1" t="s">
        <v>87</v>
      </c>
      <c r="BK159" s="1">
        <v>0</v>
      </c>
      <c r="BL159" s="1">
        <v>0</v>
      </c>
      <c r="BM159" s="1" t="s">
        <v>398</v>
      </c>
      <c r="BN159" s="1" t="s">
        <v>1025</v>
      </c>
      <c r="BO159" s="1" t="s">
        <v>551</v>
      </c>
      <c r="BP159" s="1" t="s">
        <v>86</v>
      </c>
      <c r="BQ159" s="1" t="s">
        <v>86</v>
      </c>
      <c r="BR159" s="1" t="s">
        <v>86</v>
      </c>
      <c r="BS159" s="1" t="s">
        <v>86</v>
      </c>
      <c r="BT159" s="1" t="s">
        <v>86</v>
      </c>
      <c r="BU159" s="1" t="s">
        <v>163</v>
      </c>
      <c r="BV159" s="1" t="s">
        <v>86</v>
      </c>
      <c r="BW159" s="1" t="s">
        <v>101</v>
      </c>
      <c r="BX159" s="1" t="s">
        <v>470</v>
      </c>
      <c r="BY159" s="1" t="s">
        <v>86</v>
      </c>
      <c r="BZ159" s="1" t="s">
        <v>1026</v>
      </c>
      <c r="CA159" s="1" t="s">
        <v>165</v>
      </c>
      <c r="CB159" s="1" t="s">
        <v>86</v>
      </c>
      <c r="CC159" s="1" t="s">
        <v>86</v>
      </c>
      <c r="CD159" s="1" t="s">
        <v>86</v>
      </c>
      <c r="CE159" s="1" t="s">
        <v>86</v>
      </c>
    </row>
    <row r="160">
      <c r="A160" s="3">
        <v>158</v>
      </c>
      <c r="B160" s="3" t="s">
        <v>395</v>
      </c>
      <c r="C160" s="2">
        <f>=HYPERLINK("https://i.stonehdfile.com/stoneimage?s=f92e7d54-2b53-4808-b651-f08fda33e772","Image")</f>
      </c>
      <c r="D160" s="2">
        <f>=HYPERLINK("https://dna.stonehdfile.com/hd/viewhd.html?d=53971f51-ae52-4604-b850-a8df3fa8672e","View360")</f>
      </c>
      <c r="E160" s="2">
        <f>=HYPERLINK("https://i.stonehdfile.com/Certificate?s=f92e7d54-2b53-4808-b651-f08fda33e772","GIA")</f>
      </c>
      <c r="F160" s="2">
        <f>=HYPERLINK("https://i.stonehdfile.com/DNAReport?s=f92e7d54-2b53-4808-b651-f08fda33e772","DNA")</f>
      </c>
      <c r="G160" s="2">
        <f>=HYPERLINK("https://www.gia.edu/report-check?reportno=******4842","Verify")</f>
      </c>
      <c r="H160" s="3" t="s">
        <v>1027</v>
      </c>
      <c r="I160" s="3" t="s">
        <v>46</v>
      </c>
      <c r="J160" s="3">
        <v>1.9</v>
      </c>
      <c r="K160" s="3">
        <v>5</v>
      </c>
      <c r="L160" s="3">
        <v>12200</v>
      </c>
      <c r="M160" s="3">
        <v>7406</v>
      </c>
      <c r="N160" s="3">
        <v>14071.4</v>
      </c>
      <c r="O160" s="3">
        <v>-39.3</v>
      </c>
      <c r="P160" s="3">
        <v>0</v>
      </c>
      <c r="Q160" s="3" t="s">
        <v>86</v>
      </c>
      <c r="R160" s="3">
        <v>0</v>
      </c>
      <c r="S160" s="3" t="s">
        <v>86</v>
      </c>
      <c r="T160" s="3" t="s">
        <v>86</v>
      </c>
      <c r="U160" s="3" t="s">
        <v>87</v>
      </c>
      <c r="V160" s="3" t="s">
        <v>86</v>
      </c>
      <c r="W160" s="3" t="s">
        <v>149</v>
      </c>
      <c r="X160" s="3" t="s">
        <v>86</v>
      </c>
      <c r="Y160" s="3" t="s">
        <v>89</v>
      </c>
      <c r="Z160" s="3" t="s">
        <v>89</v>
      </c>
      <c r="AA160" s="3" t="s">
        <v>119</v>
      </c>
      <c r="AB160" s="3" t="s">
        <v>86</v>
      </c>
      <c r="AC160" s="3" t="s">
        <v>1028</v>
      </c>
      <c r="AD160" s="3">
        <v>69.2</v>
      </c>
      <c r="AE160" s="3">
        <v>62</v>
      </c>
      <c r="AF160" s="3" t="s">
        <v>91</v>
      </c>
      <c r="AG160" s="3">
        <v>3.8</v>
      </c>
      <c r="AH160" s="3">
        <v>37</v>
      </c>
      <c r="AI160" s="3" t="s">
        <v>86</v>
      </c>
      <c r="AJ160" s="3">
        <v>1</v>
      </c>
      <c r="AK160" s="3" t="s">
        <v>111</v>
      </c>
      <c r="AL160" s="3" t="s">
        <v>140</v>
      </c>
      <c r="AM160" s="3" t="s">
        <v>128</v>
      </c>
      <c r="AN160" s="3" t="s">
        <v>86</v>
      </c>
      <c r="AO160" s="3" t="s">
        <v>94</v>
      </c>
      <c r="AP160" s="3" t="s">
        <v>95</v>
      </c>
      <c r="AQ160" s="3">
        <v>14.1</v>
      </c>
      <c r="AR160" s="3">
        <v>50.6</v>
      </c>
      <c r="AS160" s="3">
        <v>37.9</v>
      </c>
      <c r="AT160" s="3" t="s">
        <v>96</v>
      </c>
      <c r="AU160" s="3" t="s">
        <v>86</v>
      </c>
      <c r="AV160" s="3" t="s">
        <v>86</v>
      </c>
      <c r="AW160" s="3" t="s">
        <v>86</v>
      </c>
      <c r="AX160" s="3" t="s">
        <v>86</v>
      </c>
      <c r="AY160" s="3" t="s">
        <v>86</v>
      </c>
      <c r="AZ160" s="3" t="s">
        <v>86</v>
      </c>
      <c r="BA160" s="3" t="s">
        <v>86</v>
      </c>
      <c r="BB160" s="3" t="s">
        <v>86</v>
      </c>
      <c r="BC160" s="3" t="s">
        <v>86</v>
      </c>
      <c r="BD160" s="3" t="s">
        <v>86</v>
      </c>
      <c r="BE160" s="3" t="s">
        <v>86</v>
      </c>
      <c r="BF160" s="3" t="s">
        <v>282</v>
      </c>
      <c r="BG160" s="3" t="s">
        <v>86</v>
      </c>
      <c r="BH160" s="3" t="s">
        <v>215</v>
      </c>
      <c r="BI160" s="3" t="s">
        <v>216</v>
      </c>
      <c r="BJ160" s="3" t="s">
        <v>87</v>
      </c>
      <c r="BK160" s="3">
        <v>0</v>
      </c>
      <c r="BL160" s="3">
        <v>0</v>
      </c>
      <c r="BM160" s="3" t="s">
        <v>398</v>
      </c>
      <c r="BN160" s="3" t="s">
        <v>1029</v>
      </c>
      <c r="BO160" s="3" t="s">
        <v>767</v>
      </c>
      <c r="BP160" s="3" t="s">
        <v>86</v>
      </c>
      <c r="BQ160" s="3" t="s">
        <v>86</v>
      </c>
      <c r="BR160" s="3" t="s">
        <v>86</v>
      </c>
      <c r="BS160" s="3" t="s">
        <v>86</v>
      </c>
      <c r="BT160" s="3" t="s">
        <v>86</v>
      </c>
      <c r="BU160" s="3" t="s">
        <v>590</v>
      </c>
      <c r="BV160" s="3" t="s">
        <v>86</v>
      </c>
      <c r="BW160" s="3" t="s">
        <v>101</v>
      </c>
      <c r="BX160" s="3" t="s">
        <v>439</v>
      </c>
      <c r="BY160" s="3" t="s">
        <v>86</v>
      </c>
      <c r="BZ160" s="3" t="s">
        <v>1030</v>
      </c>
      <c r="CA160" s="3" t="s">
        <v>178</v>
      </c>
      <c r="CB160" s="3" t="s">
        <v>286</v>
      </c>
      <c r="CC160" s="3" t="s">
        <v>86</v>
      </c>
      <c r="CD160" s="3" t="s">
        <v>86</v>
      </c>
      <c r="CE160" s="3" t="s">
        <v>86</v>
      </c>
    </row>
    <row r="161">
      <c r="A161" s="1">
        <v>159</v>
      </c>
      <c r="B161" s="1" t="s">
        <v>395</v>
      </c>
      <c r="C161" s="2">
        <f>=HYPERLINK("https://i.stonehdfile.com/stoneimage?s=861fb477-e6d5-4abe-8f59-30c3f564b306","Image")</f>
      </c>
      <c r="D161" s="2">
        <f>=HYPERLINK("https://dna.stonehdfile.com/hd/viewhd.html?d=20fe45d2-5c82-4dda-92fa-aa8ac35b9547","View360")</f>
      </c>
      <c r="E161" s="2">
        <f>=HYPERLINK("https://i.stonehdfile.com/Certificate?s=861fb477-e6d5-4abe-8f59-30c3f564b306","GIA")</f>
      </c>
      <c r="F161" s="2">
        <f>=HYPERLINK("https://i.stonehdfile.com/DNAReport?s=861fb477-e6d5-4abe-8f59-30c3f564b306","DNA")</f>
      </c>
      <c r="G161" s="2">
        <f>=HYPERLINK("https://www.gia.edu/report-check?reportno=******6923","Verify")</f>
      </c>
      <c r="H161" s="1" t="s">
        <v>1031</v>
      </c>
      <c r="I161" s="1" t="s">
        <v>46</v>
      </c>
      <c r="J161" s="1">
        <v>1.7</v>
      </c>
      <c r="K161" s="1">
        <v>3</v>
      </c>
      <c r="L161" s="1">
        <v>10900</v>
      </c>
      <c r="M161" s="1">
        <v>5121</v>
      </c>
      <c r="N161" s="1">
        <v>8705.7</v>
      </c>
      <c r="O161" s="1">
        <v>-53.02</v>
      </c>
      <c r="P161" s="1">
        <v>0</v>
      </c>
      <c r="Q161" s="1" t="s">
        <v>86</v>
      </c>
      <c r="R161" s="1">
        <v>0</v>
      </c>
      <c r="S161" s="1" t="s">
        <v>86</v>
      </c>
      <c r="T161" s="1" t="s">
        <v>86</v>
      </c>
      <c r="U161" s="1" t="s">
        <v>87</v>
      </c>
      <c r="V161" s="1" t="s">
        <v>86</v>
      </c>
      <c r="W161" s="1" t="s">
        <v>223</v>
      </c>
      <c r="X161" s="1" t="s">
        <v>86</v>
      </c>
      <c r="Y161" s="1" t="s">
        <v>138</v>
      </c>
      <c r="Z161" s="1" t="s">
        <v>89</v>
      </c>
      <c r="AA161" s="1" t="s">
        <v>119</v>
      </c>
      <c r="AB161" s="1" t="s">
        <v>86</v>
      </c>
      <c r="AC161" s="1" t="s">
        <v>1032</v>
      </c>
      <c r="AD161" s="1">
        <v>70.5</v>
      </c>
      <c r="AE161" s="1">
        <v>63</v>
      </c>
      <c r="AF161" s="1" t="s">
        <v>91</v>
      </c>
      <c r="AG161" s="1">
        <v>3.5</v>
      </c>
      <c r="AH161" s="1">
        <v>36</v>
      </c>
      <c r="AI161" s="1" t="s">
        <v>86</v>
      </c>
      <c r="AJ161" s="1">
        <v>1.09</v>
      </c>
      <c r="AK161" s="1" t="s">
        <v>111</v>
      </c>
      <c r="AL161" s="1" t="s">
        <v>93</v>
      </c>
      <c r="AM161" s="1" t="s">
        <v>140</v>
      </c>
      <c r="AN161" s="1" t="s">
        <v>171</v>
      </c>
      <c r="AO161" s="1" t="s">
        <v>94</v>
      </c>
      <c r="AP161" s="1" t="s">
        <v>95</v>
      </c>
      <c r="AQ161" s="1">
        <v>13.3</v>
      </c>
      <c r="AR161" s="1">
        <v>53.1</v>
      </c>
      <c r="AS161" s="1">
        <v>39.1</v>
      </c>
      <c r="AT161" s="1" t="s">
        <v>96</v>
      </c>
      <c r="AU161" s="1" t="s">
        <v>86</v>
      </c>
      <c r="AV161" s="1" t="s">
        <v>86</v>
      </c>
      <c r="AW161" s="1" t="s">
        <v>86</v>
      </c>
      <c r="AX161" s="1" t="s">
        <v>86</v>
      </c>
      <c r="AY161" s="1" t="s">
        <v>86</v>
      </c>
      <c r="AZ161" s="1" t="s">
        <v>86</v>
      </c>
      <c r="BA161" s="1" t="s">
        <v>86</v>
      </c>
      <c r="BB161" s="1" t="s">
        <v>86</v>
      </c>
      <c r="BC161" s="1" t="s">
        <v>86</v>
      </c>
      <c r="BD161" s="1" t="s">
        <v>86</v>
      </c>
      <c r="BE161" s="1" t="s">
        <v>86</v>
      </c>
      <c r="BF161" s="1" t="s">
        <v>282</v>
      </c>
      <c r="BG161" s="1" t="s">
        <v>86</v>
      </c>
      <c r="BH161" s="1" t="s">
        <v>97</v>
      </c>
      <c r="BI161" s="1" t="s">
        <v>183</v>
      </c>
      <c r="BJ161" s="1" t="s">
        <v>87</v>
      </c>
      <c r="BK161" s="1">
        <v>0</v>
      </c>
      <c r="BL161" s="1">
        <v>0</v>
      </c>
      <c r="BM161" s="1" t="s">
        <v>398</v>
      </c>
      <c r="BN161" s="1" t="s">
        <v>1033</v>
      </c>
      <c r="BO161" s="1" t="s">
        <v>1034</v>
      </c>
      <c r="BP161" s="1" t="s">
        <v>86</v>
      </c>
      <c r="BQ161" s="1" t="s">
        <v>86</v>
      </c>
      <c r="BR161" s="1" t="s">
        <v>86</v>
      </c>
      <c r="BS161" s="1" t="s">
        <v>86</v>
      </c>
      <c r="BT161" s="1" t="s">
        <v>86</v>
      </c>
      <c r="BU161" s="1" t="s">
        <v>163</v>
      </c>
      <c r="BV161" s="1" t="s">
        <v>86</v>
      </c>
      <c r="BW161" s="1" t="s">
        <v>101</v>
      </c>
      <c r="BX161" s="1" t="s">
        <v>545</v>
      </c>
      <c r="BY161" s="1" t="s">
        <v>86</v>
      </c>
      <c r="BZ161" s="1" t="s">
        <v>1035</v>
      </c>
      <c r="CA161" s="1" t="s">
        <v>220</v>
      </c>
      <c r="CB161" s="1" t="s">
        <v>740</v>
      </c>
      <c r="CC161" s="1" t="s">
        <v>86</v>
      </c>
      <c r="CD161" s="1" t="s">
        <v>86</v>
      </c>
      <c r="CE161" s="1" t="s">
        <v>86</v>
      </c>
    </row>
    <row r="162">
      <c r="A162" s="1">
        <v>160</v>
      </c>
      <c r="B162" s="1" t="s">
        <v>395</v>
      </c>
      <c r="C162" s="2">
        <f>=HYPERLINK("https://i.stonehdfile.com/stoneimage?s=20b13649-0930-4f91-a2c2-79d953749cd7","Image")</f>
      </c>
      <c r="D162" s="2">
        <f>=HYPERLINK("https://dna.stonehdfile.com/hd/viewhd.html?d=b58c56ad-5c5f-41c0-bc1f-f300696f4e25","View360")</f>
      </c>
      <c r="E162" s="2">
        <f>=HYPERLINK("https://i.stonehdfile.com/Certificate?s=20b13649-0930-4f91-a2c2-79d953749cd7","GIA")</f>
      </c>
      <c r="F162" s="2">
        <f>=HYPERLINK("https://i.stonehdfile.com/DNAReport?s=20b13649-0930-4f91-a2c2-79d953749cd7","DNA")</f>
      </c>
      <c r="G162" s="2">
        <f>=HYPERLINK("https://www.gia.edu/report-check?reportno=******2219","Verify")</f>
      </c>
      <c r="H162" s="1" t="s">
        <v>1036</v>
      </c>
      <c r="I162" s="1" t="s">
        <v>46</v>
      </c>
      <c r="J162" s="1">
        <v>1.7</v>
      </c>
      <c r="K162" s="1">
        <v>3</v>
      </c>
      <c r="L162" s="1">
        <v>10900</v>
      </c>
      <c r="M162" s="1">
        <v>6311</v>
      </c>
      <c r="N162" s="1">
        <v>10728.7</v>
      </c>
      <c r="O162" s="1">
        <v>-42.1</v>
      </c>
      <c r="P162" s="1">
        <v>0</v>
      </c>
      <c r="Q162" s="1" t="s">
        <v>86</v>
      </c>
      <c r="R162" s="1">
        <v>0</v>
      </c>
      <c r="S162" s="1" t="s">
        <v>86</v>
      </c>
      <c r="T162" s="1" t="s">
        <v>86</v>
      </c>
      <c r="U162" s="1" t="s">
        <v>87</v>
      </c>
      <c r="V162" s="1" t="s">
        <v>86</v>
      </c>
      <c r="W162" s="1" t="s">
        <v>223</v>
      </c>
      <c r="X162" s="1" t="s">
        <v>86</v>
      </c>
      <c r="Y162" s="1" t="s">
        <v>89</v>
      </c>
      <c r="Z162" s="1" t="s">
        <v>89</v>
      </c>
      <c r="AA162" s="1" t="s">
        <v>119</v>
      </c>
      <c r="AB162" s="1" t="s">
        <v>86</v>
      </c>
      <c r="AC162" s="1" t="s">
        <v>1037</v>
      </c>
      <c r="AD162" s="1">
        <v>68.3</v>
      </c>
      <c r="AE162" s="1">
        <v>65</v>
      </c>
      <c r="AF162" s="1" t="s">
        <v>91</v>
      </c>
      <c r="AG162" s="1">
        <v>1.7</v>
      </c>
      <c r="AH162" s="1">
        <v>35.4</v>
      </c>
      <c r="AI162" s="1" t="s">
        <v>86</v>
      </c>
      <c r="AJ162" s="1">
        <v>1.17</v>
      </c>
      <c r="AK162" s="1" t="s">
        <v>111</v>
      </c>
      <c r="AL162" s="1" t="s">
        <v>140</v>
      </c>
      <c r="AM162" s="1" t="s">
        <v>128</v>
      </c>
      <c r="AN162" s="1" t="s">
        <v>171</v>
      </c>
      <c r="AO162" s="1" t="s">
        <v>94</v>
      </c>
      <c r="AP162" s="1" t="s">
        <v>95</v>
      </c>
      <c r="AQ162" s="1">
        <v>12.6</v>
      </c>
      <c r="AR162" s="1">
        <v>53.7</v>
      </c>
      <c r="AS162" s="1">
        <v>38.9</v>
      </c>
      <c r="AT162" s="1" t="s">
        <v>96</v>
      </c>
      <c r="AU162" s="1" t="s">
        <v>86</v>
      </c>
      <c r="AV162" s="1" t="s">
        <v>86</v>
      </c>
      <c r="AW162" s="1" t="s">
        <v>86</v>
      </c>
      <c r="AX162" s="1" t="s">
        <v>86</v>
      </c>
      <c r="AY162" s="1" t="s">
        <v>86</v>
      </c>
      <c r="AZ162" s="1" t="s">
        <v>86</v>
      </c>
      <c r="BA162" s="1" t="s">
        <v>86</v>
      </c>
      <c r="BB162" s="1" t="s">
        <v>86</v>
      </c>
      <c r="BC162" s="1" t="s">
        <v>86</v>
      </c>
      <c r="BD162" s="1" t="s">
        <v>86</v>
      </c>
      <c r="BE162" s="1" t="s">
        <v>86</v>
      </c>
      <c r="BF162" s="1" t="s">
        <v>86</v>
      </c>
      <c r="BG162" s="1" t="s">
        <v>86</v>
      </c>
      <c r="BH162" s="1" t="s">
        <v>142</v>
      </c>
      <c r="BI162" s="1" t="s">
        <v>265</v>
      </c>
      <c r="BJ162" s="1" t="s">
        <v>87</v>
      </c>
      <c r="BK162" s="1">
        <v>0</v>
      </c>
      <c r="BL162" s="1">
        <v>0</v>
      </c>
      <c r="BM162" s="1" t="s">
        <v>398</v>
      </c>
      <c r="BN162" s="1" t="s">
        <v>1038</v>
      </c>
      <c r="BO162" s="1" t="s">
        <v>477</v>
      </c>
      <c r="BP162" s="1" t="s">
        <v>86</v>
      </c>
      <c r="BQ162" s="1" t="s">
        <v>86</v>
      </c>
      <c r="BR162" s="1" t="s">
        <v>86</v>
      </c>
      <c r="BS162" s="1" t="s">
        <v>86</v>
      </c>
      <c r="BT162" s="1" t="s">
        <v>86</v>
      </c>
      <c r="BU162" s="1" t="s">
        <v>163</v>
      </c>
      <c r="BV162" s="1" t="s">
        <v>86</v>
      </c>
      <c r="BW162" s="1" t="s">
        <v>101</v>
      </c>
      <c r="BX162" s="1" t="s">
        <v>478</v>
      </c>
      <c r="BY162" s="1" t="s">
        <v>86</v>
      </c>
      <c r="BZ162" s="1" t="s">
        <v>1039</v>
      </c>
      <c r="CA162" s="1" t="s">
        <v>178</v>
      </c>
      <c r="CB162" s="1" t="s">
        <v>166</v>
      </c>
      <c r="CC162" s="1" t="s">
        <v>86</v>
      </c>
      <c r="CD162" s="1" t="s">
        <v>86</v>
      </c>
      <c r="CE162" s="1" t="s">
        <v>86</v>
      </c>
    </row>
    <row r="163">
      <c r="A163" s="1">
        <v>161</v>
      </c>
      <c r="B163" s="1" t="s">
        <v>395</v>
      </c>
      <c r="C163" s="2">
        <f>=HYPERLINK("https://i.stonehdfile.com/stoneimage?s=b2346781-05a8-4bcb-b5db-32875881f117","Image")</f>
      </c>
      <c r="D163" s="2">
        <f>=HYPERLINK("https://dna.stonehdfile.com/hd/viewhd.html?d=cc8cfca2-0a5a-4b78-a0d9-8f0fd9ae5549","View360")</f>
      </c>
      <c r="E163" s="2">
        <f>=HYPERLINK("https://i.stonehdfile.com/Certificate?s=b2346781-05a8-4bcb-b5db-32875881f117","GIA")</f>
      </c>
      <c r="F163" s="2">
        <f>=HYPERLINK("https://i.stonehdfile.com/DNAReport?s=b2346781-05a8-4bcb-b5db-32875881f117","DNA")</f>
      </c>
      <c r="G163" s="2">
        <f>=HYPERLINK("https://www.gia.edu/report-check?reportno=******4395","Verify")</f>
      </c>
      <c r="H163" s="1" t="s">
        <v>1040</v>
      </c>
      <c r="I163" s="1" t="s">
        <v>46</v>
      </c>
      <c r="J163" s="1">
        <v>1.73</v>
      </c>
      <c r="K163" s="1">
        <v>3</v>
      </c>
      <c r="L163" s="1">
        <v>10900</v>
      </c>
      <c r="M163" s="1">
        <v>6413</v>
      </c>
      <c r="N163" s="1">
        <v>11094.49</v>
      </c>
      <c r="O163" s="1">
        <v>-41.17</v>
      </c>
      <c r="P163" s="1">
        <v>0</v>
      </c>
      <c r="Q163" s="1" t="s">
        <v>86</v>
      </c>
      <c r="R163" s="1">
        <v>0</v>
      </c>
      <c r="S163" s="1" t="s">
        <v>86</v>
      </c>
      <c r="T163" s="1" t="s">
        <v>86</v>
      </c>
      <c r="U163" s="1" t="s">
        <v>87</v>
      </c>
      <c r="V163" s="1" t="s">
        <v>86</v>
      </c>
      <c r="W163" s="1" t="s">
        <v>223</v>
      </c>
      <c r="X163" s="1" t="s">
        <v>86</v>
      </c>
      <c r="Y163" s="1" t="s">
        <v>89</v>
      </c>
      <c r="Z163" s="1" t="s">
        <v>89</v>
      </c>
      <c r="AA163" s="1" t="s">
        <v>119</v>
      </c>
      <c r="AB163" s="1" t="s">
        <v>86</v>
      </c>
      <c r="AC163" s="1" t="s">
        <v>1041</v>
      </c>
      <c r="AD163" s="1">
        <v>68.4</v>
      </c>
      <c r="AE163" s="1">
        <v>59</v>
      </c>
      <c r="AF163" s="1" t="s">
        <v>91</v>
      </c>
      <c r="AG163" s="1">
        <v>2.5</v>
      </c>
      <c r="AH163" s="1">
        <v>35.8</v>
      </c>
      <c r="AI163" s="1" t="s">
        <v>86</v>
      </c>
      <c r="AJ163" s="1">
        <v>1.03</v>
      </c>
      <c r="AK163" s="1" t="s">
        <v>111</v>
      </c>
      <c r="AL163" s="1" t="s">
        <v>93</v>
      </c>
      <c r="AM163" s="1" t="s">
        <v>128</v>
      </c>
      <c r="AN163" s="1" t="s">
        <v>307</v>
      </c>
      <c r="AO163" s="1" t="s">
        <v>94</v>
      </c>
      <c r="AP163" s="1" t="s">
        <v>95</v>
      </c>
      <c r="AQ163" s="1">
        <v>14.5</v>
      </c>
      <c r="AR163" s="1">
        <v>51.5</v>
      </c>
      <c r="AS163" s="1">
        <v>39.8</v>
      </c>
      <c r="AT163" s="1" t="s">
        <v>96</v>
      </c>
      <c r="AU163" s="1" t="s">
        <v>86</v>
      </c>
      <c r="AV163" s="1" t="s">
        <v>86</v>
      </c>
      <c r="AW163" s="1" t="s">
        <v>86</v>
      </c>
      <c r="AX163" s="1" t="s">
        <v>86</v>
      </c>
      <c r="AY163" s="1" t="s">
        <v>86</v>
      </c>
      <c r="AZ163" s="1" t="s">
        <v>86</v>
      </c>
      <c r="BA163" s="1" t="s">
        <v>86</v>
      </c>
      <c r="BB163" s="1" t="s">
        <v>86</v>
      </c>
      <c r="BC163" s="1" t="s">
        <v>86</v>
      </c>
      <c r="BD163" s="1" t="s">
        <v>86</v>
      </c>
      <c r="BE163" s="1" t="s">
        <v>86</v>
      </c>
      <c r="BF163" s="1" t="s">
        <v>86</v>
      </c>
      <c r="BG163" s="1" t="s">
        <v>86</v>
      </c>
      <c r="BH163" s="1" t="s">
        <v>429</v>
      </c>
      <c r="BI163" s="1" t="s">
        <v>328</v>
      </c>
      <c r="BJ163" s="1" t="s">
        <v>87</v>
      </c>
      <c r="BK163" s="1">
        <v>0</v>
      </c>
      <c r="BL163" s="1">
        <v>0</v>
      </c>
      <c r="BM163" s="1" t="s">
        <v>398</v>
      </c>
      <c r="BN163" s="1" t="s">
        <v>1042</v>
      </c>
      <c r="BO163" s="1" t="s">
        <v>643</v>
      </c>
      <c r="BP163" s="1" t="s">
        <v>86</v>
      </c>
      <c r="BQ163" s="1" t="s">
        <v>86</v>
      </c>
      <c r="BR163" s="1" t="s">
        <v>86</v>
      </c>
      <c r="BS163" s="1" t="s">
        <v>86</v>
      </c>
      <c r="BT163" s="1" t="s">
        <v>86</v>
      </c>
      <c r="BU163" s="1" t="s">
        <v>163</v>
      </c>
      <c r="BV163" s="1" t="s">
        <v>86</v>
      </c>
      <c r="BW163" s="1" t="s">
        <v>101</v>
      </c>
      <c r="BX163" s="1" t="s">
        <v>439</v>
      </c>
      <c r="BY163" s="1" t="s">
        <v>86</v>
      </c>
      <c r="BZ163" s="1" t="s">
        <v>1043</v>
      </c>
      <c r="CA163" s="1" t="s">
        <v>626</v>
      </c>
      <c r="CB163" s="1" t="s">
        <v>166</v>
      </c>
      <c r="CC163" s="1" t="s">
        <v>86</v>
      </c>
      <c r="CD163" s="1" t="s">
        <v>86</v>
      </c>
      <c r="CE163" s="1" t="s">
        <v>86</v>
      </c>
    </row>
    <row r="164">
      <c r="A164" s="1">
        <v>162</v>
      </c>
      <c r="B164" s="1" t="s">
        <v>395</v>
      </c>
      <c r="C164" s="2">
        <f>=HYPERLINK("https://i.stonehdfile.com/stoneimage?s=0f767e29-8573-4794-adcb-7590d5d954a0","Image")</f>
      </c>
      <c r="D164" s="2">
        <f>=HYPERLINK("https://dna.stonehdfile.com/hd/viewhd.html?d=3a1645cb-6410-46d5-83db-d33fbaf3e716","View360")</f>
      </c>
      <c r="E164" s="2">
        <f>=HYPERLINK("https://i.stonehdfile.com/Certificate?s=0f767e29-8573-4794-adcb-7590d5d954a0","GIA")</f>
      </c>
      <c r="F164" s="2">
        <f>=HYPERLINK("https://i.stonehdfile.com/DNAReport?s=0f767e29-8573-4794-adcb-7590d5d954a0","DNA")</f>
      </c>
      <c r="G164" s="2">
        <f>=HYPERLINK("https://www.gia.edu/report-check?reportno=******4826","Verify")</f>
      </c>
      <c r="H164" s="1" t="s">
        <v>1044</v>
      </c>
      <c r="I164" s="1" t="s">
        <v>46</v>
      </c>
      <c r="J164" s="1">
        <v>1.71</v>
      </c>
      <c r="K164" s="1">
        <v>6</v>
      </c>
      <c r="L164" s="1">
        <v>9300</v>
      </c>
      <c r="M164" s="1">
        <v>5358</v>
      </c>
      <c r="N164" s="1">
        <v>9162.18</v>
      </c>
      <c r="O164" s="1">
        <v>-42.39</v>
      </c>
      <c r="P164" s="1">
        <v>0</v>
      </c>
      <c r="Q164" s="1" t="s">
        <v>86</v>
      </c>
      <c r="R164" s="1">
        <v>0</v>
      </c>
      <c r="S164" s="1" t="s">
        <v>86</v>
      </c>
      <c r="T164" s="1" t="s">
        <v>86</v>
      </c>
      <c r="U164" s="1" t="s">
        <v>87</v>
      </c>
      <c r="V164" s="1" t="s">
        <v>86</v>
      </c>
      <c r="W164" s="1" t="s">
        <v>169</v>
      </c>
      <c r="X164" s="1" t="s">
        <v>86</v>
      </c>
      <c r="Y164" s="1" t="s">
        <v>89</v>
      </c>
      <c r="Z164" s="1" t="s">
        <v>89</v>
      </c>
      <c r="AA164" s="1" t="s">
        <v>119</v>
      </c>
      <c r="AB164" s="1" t="s">
        <v>86</v>
      </c>
      <c r="AC164" s="1" t="s">
        <v>1045</v>
      </c>
      <c r="AD164" s="1">
        <v>69.1</v>
      </c>
      <c r="AE164" s="1">
        <v>60</v>
      </c>
      <c r="AF164" s="1" t="s">
        <v>91</v>
      </c>
      <c r="AG164" s="1">
        <v>3.1</v>
      </c>
      <c r="AH164" s="1">
        <v>36.2</v>
      </c>
      <c r="AI164" s="1" t="s">
        <v>86</v>
      </c>
      <c r="AJ164" s="1">
        <v>1.05</v>
      </c>
      <c r="AK164" s="1" t="s">
        <v>111</v>
      </c>
      <c r="AL164" s="1" t="s">
        <v>93</v>
      </c>
      <c r="AM164" s="1" t="s">
        <v>140</v>
      </c>
      <c r="AN164" s="1" t="s">
        <v>307</v>
      </c>
      <c r="AO164" s="1" t="s">
        <v>94</v>
      </c>
      <c r="AP164" s="1" t="s">
        <v>95</v>
      </c>
      <c r="AQ164" s="1">
        <v>14.6</v>
      </c>
      <c r="AR164" s="1">
        <v>51.2</v>
      </c>
      <c r="AS164" s="1">
        <v>38.7</v>
      </c>
      <c r="AT164" s="1" t="s">
        <v>96</v>
      </c>
      <c r="AU164" s="1" t="s">
        <v>86</v>
      </c>
      <c r="AV164" s="1" t="s">
        <v>86</v>
      </c>
      <c r="AW164" s="1" t="s">
        <v>86</v>
      </c>
      <c r="AX164" s="1" t="s">
        <v>86</v>
      </c>
      <c r="AY164" s="1" t="s">
        <v>86</v>
      </c>
      <c r="AZ164" s="1" t="s">
        <v>86</v>
      </c>
      <c r="BA164" s="1" t="s">
        <v>86</v>
      </c>
      <c r="BB164" s="1" t="s">
        <v>86</v>
      </c>
      <c r="BC164" s="1" t="s">
        <v>86</v>
      </c>
      <c r="BD164" s="1" t="s">
        <v>86</v>
      </c>
      <c r="BE164" s="1" t="s">
        <v>86</v>
      </c>
      <c r="BF164" s="1" t="s">
        <v>86</v>
      </c>
      <c r="BG164" s="1" t="s">
        <v>86</v>
      </c>
      <c r="BH164" s="1" t="s">
        <v>97</v>
      </c>
      <c r="BI164" s="1" t="s">
        <v>174</v>
      </c>
      <c r="BJ164" s="1" t="s">
        <v>87</v>
      </c>
      <c r="BK164" s="1">
        <v>0</v>
      </c>
      <c r="BL164" s="1">
        <v>0</v>
      </c>
      <c r="BM164" s="1" t="s">
        <v>398</v>
      </c>
      <c r="BN164" s="1" t="s">
        <v>1046</v>
      </c>
      <c r="BO164" s="1" t="s">
        <v>1047</v>
      </c>
      <c r="BP164" s="1" t="s">
        <v>86</v>
      </c>
      <c r="BQ164" s="1" t="s">
        <v>86</v>
      </c>
      <c r="BR164" s="1" t="s">
        <v>86</v>
      </c>
      <c r="BS164" s="1" t="s">
        <v>86</v>
      </c>
      <c r="BT164" s="1" t="s">
        <v>86</v>
      </c>
      <c r="BU164" s="1" t="s">
        <v>163</v>
      </c>
      <c r="BV164" s="1" t="s">
        <v>86</v>
      </c>
      <c r="BW164" s="1" t="s">
        <v>101</v>
      </c>
      <c r="BX164" s="1" t="s">
        <v>470</v>
      </c>
      <c r="BY164" s="1" t="s">
        <v>86</v>
      </c>
      <c r="BZ164" s="1" t="s">
        <v>1048</v>
      </c>
      <c r="CA164" s="1" t="s">
        <v>525</v>
      </c>
      <c r="CB164" s="1" t="s">
        <v>166</v>
      </c>
      <c r="CC164" s="1" t="s">
        <v>86</v>
      </c>
      <c r="CD164" s="1" t="s">
        <v>86</v>
      </c>
      <c r="CE164" s="1" t="s">
        <v>86</v>
      </c>
    </row>
    <row r="165">
      <c r="A165" s="1">
        <v>163</v>
      </c>
      <c r="B165" s="1" t="s">
        <v>395</v>
      </c>
      <c r="C165" s="2">
        <f>=HYPERLINK("https://i.stonehdfile.com/stoneimage?s=e0af0320-8528-4774-b126-6e516fa2fd8f","Image")</f>
      </c>
      <c r="D165" s="2">
        <f>=HYPERLINK("https://dna.stonehdfile.com/hd/viewhd.html?d=624e5b5b-ceda-4809-83c1-6ea9c9db3bd7","View360")</f>
      </c>
      <c r="E165" s="2">
        <f>=HYPERLINK("https://i.stonehdfile.com/Certificate?s=e0af0320-8528-4774-b126-6e516fa2fd8f","GIA")</f>
      </c>
      <c r="F165" s="2">
        <f>=HYPERLINK("https://i.stonehdfile.com/DNAReport?s=e0af0320-8528-4774-b126-6e516fa2fd8f","DNA")</f>
      </c>
      <c r="G165" s="2">
        <f>=HYPERLINK("https://www.gia.edu/report-check?reportno=******2130","Verify")</f>
      </c>
      <c r="H165" s="1" t="s">
        <v>1049</v>
      </c>
      <c r="I165" s="1" t="s">
        <v>46</v>
      </c>
      <c r="J165" s="1">
        <v>1.7</v>
      </c>
      <c r="K165" s="1">
        <v>0</v>
      </c>
      <c r="L165" s="1">
        <v>9300</v>
      </c>
      <c r="M165" s="1">
        <v>4199</v>
      </c>
      <c r="N165" s="1">
        <v>7138.3</v>
      </c>
      <c r="O165" s="1">
        <v>-54.85</v>
      </c>
      <c r="P165" s="1">
        <v>0</v>
      </c>
      <c r="Q165" s="1" t="s">
        <v>86</v>
      </c>
      <c r="R165" s="1">
        <v>0</v>
      </c>
      <c r="S165" s="1" t="s">
        <v>86</v>
      </c>
      <c r="T165" s="1" t="s">
        <v>86</v>
      </c>
      <c r="U165" s="1" t="s">
        <v>482</v>
      </c>
      <c r="V165" s="1" t="s">
        <v>86</v>
      </c>
      <c r="W165" s="1" t="s">
        <v>137</v>
      </c>
      <c r="X165" s="1" t="s">
        <v>86</v>
      </c>
      <c r="Y165" s="1" t="s">
        <v>89</v>
      </c>
      <c r="Z165" s="1" t="s">
        <v>138</v>
      </c>
      <c r="AA165" s="1" t="s">
        <v>119</v>
      </c>
      <c r="AB165" s="1" t="s">
        <v>86</v>
      </c>
      <c r="AC165" s="1" t="s">
        <v>1050</v>
      </c>
      <c r="AD165" s="1">
        <v>70.6</v>
      </c>
      <c r="AE165" s="1">
        <v>58</v>
      </c>
      <c r="AF165" s="1" t="s">
        <v>91</v>
      </c>
      <c r="AG165" s="1">
        <v>3.2</v>
      </c>
      <c r="AH165" s="1">
        <v>36.4</v>
      </c>
      <c r="AI165" s="1" t="s">
        <v>86</v>
      </c>
      <c r="AJ165" s="1">
        <v>1.09</v>
      </c>
      <c r="AK165" s="1" t="s">
        <v>111</v>
      </c>
      <c r="AL165" s="1" t="s">
        <v>93</v>
      </c>
      <c r="AM165" s="1" t="s">
        <v>128</v>
      </c>
      <c r="AN165" s="1" t="s">
        <v>171</v>
      </c>
      <c r="AO165" s="1" t="s">
        <v>94</v>
      </c>
      <c r="AP165" s="1" t="s">
        <v>95</v>
      </c>
      <c r="AQ165" s="1">
        <v>15.4</v>
      </c>
      <c r="AR165" s="1">
        <v>51.8</v>
      </c>
      <c r="AS165" s="1">
        <v>39</v>
      </c>
      <c r="AT165" s="1" t="s">
        <v>96</v>
      </c>
      <c r="AU165" s="1" t="s">
        <v>86</v>
      </c>
      <c r="AV165" s="1" t="s">
        <v>86</v>
      </c>
      <c r="AW165" s="1" t="s">
        <v>86</v>
      </c>
      <c r="AX165" s="1" t="s">
        <v>86</v>
      </c>
      <c r="AY165" s="1" t="s">
        <v>86</v>
      </c>
      <c r="AZ165" s="1" t="s">
        <v>86</v>
      </c>
      <c r="BA165" s="1" t="s">
        <v>86</v>
      </c>
      <c r="BB165" s="1" t="s">
        <v>86</v>
      </c>
      <c r="BC165" s="1" t="s">
        <v>86</v>
      </c>
      <c r="BD165" s="1" t="s">
        <v>86</v>
      </c>
      <c r="BE165" s="1" t="s">
        <v>86</v>
      </c>
      <c r="BF165" s="1" t="s">
        <v>86</v>
      </c>
      <c r="BG165" s="1" t="s">
        <v>86</v>
      </c>
      <c r="BH165" s="1" t="s">
        <v>97</v>
      </c>
      <c r="BI165" s="1" t="s">
        <v>199</v>
      </c>
      <c r="BJ165" s="1" t="s">
        <v>87</v>
      </c>
      <c r="BK165" s="1">
        <v>0</v>
      </c>
      <c r="BL165" s="1">
        <v>0</v>
      </c>
      <c r="BM165" s="1" t="s">
        <v>398</v>
      </c>
      <c r="BN165" s="1" t="s">
        <v>1051</v>
      </c>
      <c r="BO165" s="1" t="s">
        <v>1052</v>
      </c>
      <c r="BP165" s="1" t="s">
        <v>86</v>
      </c>
      <c r="BQ165" s="1" t="s">
        <v>86</v>
      </c>
      <c r="BR165" s="1" t="s">
        <v>86</v>
      </c>
      <c r="BS165" s="1" t="s">
        <v>86</v>
      </c>
      <c r="BT165" s="1" t="s">
        <v>86</v>
      </c>
      <c r="BU165" s="1" t="s">
        <v>163</v>
      </c>
      <c r="BV165" s="1" t="s">
        <v>86</v>
      </c>
      <c r="BW165" s="1" t="s">
        <v>101</v>
      </c>
      <c r="BX165" s="1" t="s">
        <v>439</v>
      </c>
      <c r="BY165" s="1" t="s">
        <v>86</v>
      </c>
      <c r="BZ165" s="1" t="s">
        <v>1053</v>
      </c>
      <c r="CA165" s="1" t="s">
        <v>1054</v>
      </c>
      <c r="CB165" s="1" t="s">
        <v>269</v>
      </c>
      <c r="CC165" s="1" t="s">
        <v>86</v>
      </c>
      <c r="CD165" s="1" t="s">
        <v>86</v>
      </c>
      <c r="CE165" s="1" t="s">
        <v>86</v>
      </c>
    </row>
    <row r="166">
      <c r="A166" s="1">
        <v>164</v>
      </c>
      <c r="B166" s="1" t="s">
        <v>395</v>
      </c>
      <c r="C166" s="2">
        <f>=HYPERLINK("https://i.stonehdfile.com/stoneimage?s=e239c884-60b3-45dc-a312-945eed80162c","Image")</f>
      </c>
      <c r="D166" s="2">
        <f>=HYPERLINK("https://dna.stonehdfile.com/hd/viewhd.html?d=37d2fd30-9a5c-43e1-b816-9faee1404688","View360")</f>
      </c>
      <c r="E166" s="2">
        <f>=HYPERLINK("https://i.stonehdfile.com/Certificate?s=e239c884-60b3-45dc-a312-945eed80162c","GIA")</f>
      </c>
      <c r="F166" s="2">
        <f>=HYPERLINK("https://i.stonehdfile.com/DNAReport?s=e239c884-60b3-45dc-a312-945eed80162c","DNA")</f>
      </c>
      <c r="G166" s="2">
        <f>=HYPERLINK("https://www.gia.edu/report-check?reportno=******3338","Verify")</f>
      </c>
      <c r="H166" s="1" t="s">
        <v>1055</v>
      </c>
      <c r="I166" s="1" t="s">
        <v>46</v>
      </c>
      <c r="J166" s="1">
        <v>1.7</v>
      </c>
      <c r="K166" s="1">
        <v>8</v>
      </c>
      <c r="L166" s="1">
        <v>7400</v>
      </c>
      <c r="M166" s="1">
        <v>3790</v>
      </c>
      <c r="N166" s="1">
        <v>6443</v>
      </c>
      <c r="O166" s="1">
        <v>-48.78</v>
      </c>
      <c r="P166" s="1">
        <v>0</v>
      </c>
      <c r="Q166" s="1" t="s">
        <v>86</v>
      </c>
      <c r="R166" s="1">
        <v>0</v>
      </c>
      <c r="S166" s="1" t="s">
        <v>86</v>
      </c>
      <c r="T166" s="1" t="s">
        <v>86</v>
      </c>
      <c r="U166" s="1" t="s">
        <v>87</v>
      </c>
      <c r="V166" s="1" t="s">
        <v>86</v>
      </c>
      <c r="W166" s="1" t="s">
        <v>1056</v>
      </c>
      <c r="X166" s="1" t="s">
        <v>86</v>
      </c>
      <c r="Y166" s="1" t="s">
        <v>89</v>
      </c>
      <c r="Z166" s="1" t="s">
        <v>89</v>
      </c>
      <c r="AA166" s="1" t="s">
        <v>108</v>
      </c>
      <c r="AB166" s="1" t="s">
        <v>109</v>
      </c>
      <c r="AC166" s="1" t="s">
        <v>1057</v>
      </c>
      <c r="AD166" s="1">
        <v>68.6</v>
      </c>
      <c r="AE166" s="1">
        <v>61</v>
      </c>
      <c r="AF166" s="1" t="s">
        <v>91</v>
      </c>
      <c r="AG166" s="1">
        <v>3.3</v>
      </c>
      <c r="AH166" s="1">
        <v>33.1</v>
      </c>
      <c r="AI166" s="1" t="s">
        <v>86</v>
      </c>
      <c r="AJ166" s="1">
        <v>1.15</v>
      </c>
      <c r="AK166" s="1" t="s">
        <v>198</v>
      </c>
      <c r="AL166" s="1" t="s">
        <v>93</v>
      </c>
      <c r="AM166" s="1" t="s">
        <v>93</v>
      </c>
      <c r="AN166" s="1" t="s">
        <v>168</v>
      </c>
      <c r="AO166" s="1" t="s">
        <v>208</v>
      </c>
      <c r="AP166" s="1" t="s">
        <v>95</v>
      </c>
      <c r="AQ166" s="1">
        <v>12.8</v>
      </c>
      <c r="AR166" s="1">
        <v>52.4</v>
      </c>
      <c r="AS166" s="1">
        <v>38.4</v>
      </c>
      <c r="AT166" s="1" t="s">
        <v>96</v>
      </c>
      <c r="AU166" s="1" t="s">
        <v>86</v>
      </c>
      <c r="AV166" s="1" t="s">
        <v>86</v>
      </c>
      <c r="AW166" s="1" t="s">
        <v>86</v>
      </c>
      <c r="AX166" s="1" t="s">
        <v>86</v>
      </c>
      <c r="AY166" s="1" t="s">
        <v>86</v>
      </c>
      <c r="AZ166" s="1" t="s">
        <v>86</v>
      </c>
      <c r="BA166" s="1" t="s">
        <v>86</v>
      </c>
      <c r="BB166" s="1" t="s">
        <v>86</v>
      </c>
      <c r="BC166" s="1" t="s">
        <v>86</v>
      </c>
      <c r="BD166" s="1" t="s">
        <v>86</v>
      </c>
      <c r="BE166" s="1" t="s">
        <v>86</v>
      </c>
      <c r="BF166" s="1" t="s">
        <v>86</v>
      </c>
      <c r="BG166" s="1" t="s">
        <v>86</v>
      </c>
      <c r="BH166" s="1" t="s">
        <v>97</v>
      </c>
      <c r="BI166" s="1" t="s">
        <v>232</v>
      </c>
      <c r="BJ166" s="1" t="s">
        <v>87</v>
      </c>
      <c r="BK166" s="1">
        <v>0</v>
      </c>
      <c r="BL166" s="1">
        <v>0</v>
      </c>
      <c r="BM166" s="1" t="s">
        <v>398</v>
      </c>
      <c r="BN166" s="1" t="s">
        <v>1058</v>
      </c>
      <c r="BO166" s="1" t="s">
        <v>422</v>
      </c>
      <c r="BP166" s="1" t="s">
        <v>86</v>
      </c>
      <c r="BQ166" s="1" t="s">
        <v>86</v>
      </c>
      <c r="BR166" s="1" t="s">
        <v>86</v>
      </c>
      <c r="BS166" s="1" t="s">
        <v>438</v>
      </c>
      <c r="BT166" s="1" t="s">
        <v>86</v>
      </c>
      <c r="BU166" s="1" t="s">
        <v>163</v>
      </c>
      <c r="BV166" s="1" t="s">
        <v>86</v>
      </c>
      <c r="BW166" s="1" t="s">
        <v>101</v>
      </c>
      <c r="BX166" s="1" t="s">
        <v>401</v>
      </c>
      <c r="BY166" s="1" t="s">
        <v>86</v>
      </c>
      <c r="BZ166" s="1" t="s">
        <v>1059</v>
      </c>
      <c r="CA166" s="1" t="s">
        <v>268</v>
      </c>
      <c r="CB166" s="1" t="s">
        <v>269</v>
      </c>
      <c r="CC166" s="1" t="s">
        <v>86</v>
      </c>
      <c r="CD166" s="1" t="s">
        <v>86</v>
      </c>
      <c r="CE166" s="1" t="s">
        <v>86</v>
      </c>
    </row>
    <row r="167">
      <c r="A167" s="1">
        <v>165</v>
      </c>
      <c r="B167" s="1" t="s">
        <v>395</v>
      </c>
      <c r="C167" s="2">
        <f>=HYPERLINK("https://i.stonehdfile.com/stoneimage?s=dd65e5c9-1424-4d4d-86ce-90ac5261d902","Image")</f>
      </c>
      <c r="D167" s="2">
        <f>=HYPERLINK("https://dna.stonehdfile.com/hd/viewhd.html?d=cc619fb5-6289-4180-8eeb-3e9c5710d698","View360")</f>
      </c>
      <c r="E167" s="2">
        <f>=HYPERLINK("https://i.stonehdfile.com/Certificate?s=dd65e5c9-1424-4d4d-86ce-90ac5261d902","GIA")</f>
      </c>
      <c r="F167" s="2">
        <f>=HYPERLINK("https://i.stonehdfile.com/DNAReport?s=dd65e5c9-1424-4d4d-86ce-90ac5261d902","DNA")</f>
      </c>
      <c r="G167" s="2">
        <f>=HYPERLINK("https://www.gia.edu/report-check?reportno=******9627","Verify")</f>
      </c>
      <c r="H167" s="1" t="s">
        <v>1060</v>
      </c>
      <c r="I167" s="1" t="s">
        <v>46</v>
      </c>
      <c r="J167" s="1">
        <v>1.7</v>
      </c>
      <c r="K167" s="1">
        <v>1</v>
      </c>
      <c r="L167" s="1">
        <v>7400</v>
      </c>
      <c r="M167" s="1">
        <v>3068</v>
      </c>
      <c r="N167" s="1">
        <v>5215.6</v>
      </c>
      <c r="O167" s="1">
        <v>-58.54</v>
      </c>
      <c r="P167" s="1">
        <v>0</v>
      </c>
      <c r="Q167" s="1" t="s">
        <v>86</v>
      </c>
      <c r="R167" s="1">
        <v>0</v>
      </c>
      <c r="S167" s="1" t="s">
        <v>86</v>
      </c>
      <c r="T167" s="1" t="s">
        <v>86</v>
      </c>
      <c r="U167" s="1" t="s">
        <v>87</v>
      </c>
      <c r="V167" s="1" t="s">
        <v>86</v>
      </c>
      <c r="W167" s="1" t="s">
        <v>1056</v>
      </c>
      <c r="X167" s="1" t="s">
        <v>86</v>
      </c>
      <c r="Y167" s="1" t="s">
        <v>138</v>
      </c>
      <c r="Z167" s="1" t="s">
        <v>89</v>
      </c>
      <c r="AA167" s="1" t="s">
        <v>119</v>
      </c>
      <c r="AB167" s="1" t="s">
        <v>86</v>
      </c>
      <c r="AC167" s="1" t="s">
        <v>1061</v>
      </c>
      <c r="AD167" s="1">
        <v>71.8</v>
      </c>
      <c r="AE167" s="1">
        <v>57</v>
      </c>
      <c r="AF167" s="1" t="s">
        <v>91</v>
      </c>
      <c r="AG167" s="1">
        <v>5.5</v>
      </c>
      <c r="AH167" s="1">
        <v>37.4</v>
      </c>
      <c r="AI167" s="1" t="s">
        <v>86</v>
      </c>
      <c r="AJ167" s="1">
        <v>1.16</v>
      </c>
      <c r="AK167" s="1" t="s">
        <v>198</v>
      </c>
      <c r="AL167" s="1" t="s">
        <v>93</v>
      </c>
      <c r="AM167" s="1" t="s">
        <v>467</v>
      </c>
      <c r="AN167" s="1" t="s">
        <v>168</v>
      </c>
      <c r="AO167" s="1" t="s">
        <v>208</v>
      </c>
      <c r="AP167" s="1" t="s">
        <v>95</v>
      </c>
      <c r="AQ167" s="1">
        <v>16.5</v>
      </c>
      <c r="AR167" s="1">
        <v>49.9</v>
      </c>
      <c r="AS167" s="1">
        <v>37.1</v>
      </c>
      <c r="AT167" s="1" t="s">
        <v>96</v>
      </c>
      <c r="AU167" s="1" t="s">
        <v>86</v>
      </c>
      <c r="AV167" s="1" t="s">
        <v>86</v>
      </c>
      <c r="AW167" s="1" t="s">
        <v>86</v>
      </c>
      <c r="AX167" s="1" t="s">
        <v>86</v>
      </c>
      <c r="AY167" s="1" t="s">
        <v>86</v>
      </c>
      <c r="AZ167" s="1" t="s">
        <v>86</v>
      </c>
      <c r="BA167" s="1" t="s">
        <v>86</v>
      </c>
      <c r="BB167" s="1" t="s">
        <v>86</v>
      </c>
      <c r="BC167" s="1" t="s">
        <v>86</v>
      </c>
      <c r="BD167" s="1" t="s">
        <v>86</v>
      </c>
      <c r="BE167" s="1" t="s">
        <v>86</v>
      </c>
      <c r="BF167" s="1" t="s">
        <v>86</v>
      </c>
      <c r="BG167" s="1" t="s">
        <v>172</v>
      </c>
      <c r="BH167" s="1" t="s">
        <v>243</v>
      </c>
      <c r="BI167" s="1" t="s">
        <v>1062</v>
      </c>
      <c r="BJ167" s="1" t="s">
        <v>87</v>
      </c>
      <c r="BK167" s="1">
        <v>0</v>
      </c>
      <c r="BL167" s="1">
        <v>0</v>
      </c>
      <c r="BM167" s="1" t="s">
        <v>398</v>
      </c>
      <c r="BN167" s="1" t="s">
        <v>1063</v>
      </c>
      <c r="BO167" s="1" t="s">
        <v>956</v>
      </c>
      <c r="BP167" s="1" t="s">
        <v>86</v>
      </c>
      <c r="BQ167" s="1" t="s">
        <v>86</v>
      </c>
      <c r="BR167" s="1" t="s">
        <v>86</v>
      </c>
      <c r="BS167" s="1" t="s">
        <v>86</v>
      </c>
      <c r="BT167" s="1" t="s">
        <v>86</v>
      </c>
      <c r="BU167" s="1" t="s">
        <v>163</v>
      </c>
      <c r="BV167" s="1" t="s">
        <v>86</v>
      </c>
      <c r="BW167" s="1" t="s">
        <v>101</v>
      </c>
      <c r="BX167" s="1" t="s">
        <v>423</v>
      </c>
      <c r="BY167" s="1" t="s">
        <v>86</v>
      </c>
      <c r="BZ167" s="1" t="s">
        <v>1064</v>
      </c>
      <c r="CA167" s="1" t="s">
        <v>645</v>
      </c>
      <c r="CB167" s="1" t="s">
        <v>179</v>
      </c>
      <c r="CC167" s="1" t="s">
        <v>86</v>
      </c>
      <c r="CD167" s="1" t="s">
        <v>86</v>
      </c>
      <c r="CE167" s="1" t="s">
        <v>86</v>
      </c>
    </row>
    <row r="168">
      <c r="A168" s="1">
        <v>166</v>
      </c>
      <c r="B168" s="1" t="s">
        <v>395</v>
      </c>
      <c r="C168" s="2">
        <f>=HYPERLINK("https://i.stonehdfile.com/stoneimage?s=db991272-5f47-422c-8d74-3cbd09500ad1","Image")</f>
      </c>
      <c r="D168" s="2">
        <f>=HYPERLINK("https://dna.stonehdfile.com/hd/viewhd.html?d=c915efcb-d3dd-43cc-aaf5-a245b4f1d45f","View360")</f>
      </c>
      <c r="E168" s="2">
        <f>=HYPERLINK("https://i.stonehdfile.com/Certificate?s=db991272-5f47-422c-8d74-3cbd09500ad1","GIA")</f>
      </c>
      <c r="F168" s="2">
        <f>=HYPERLINK("https://i.stonehdfile.com/DNAReport?s=db991272-5f47-422c-8d74-3cbd09500ad1","DNA")</f>
      </c>
      <c r="G168" s="2">
        <f>=HYPERLINK("https://www.gia.edu/report-check?reportno=******6471","Verify")</f>
      </c>
      <c r="H168" s="1" t="s">
        <v>1065</v>
      </c>
      <c r="I168" s="1" t="s">
        <v>46</v>
      </c>
      <c r="J168" s="1">
        <v>1.7</v>
      </c>
      <c r="K168" s="1">
        <v>0</v>
      </c>
      <c r="L168" s="1">
        <v>11700</v>
      </c>
      <c r="M168" s="1">
        <v>6831</v>
      </c>
      <c r="N168" s="1">
        <v>11612.7</v>
      </c>
      <c r="O168" s="1">
        <v>-41.62</v>
      </c>
      <c r="P168" s="1">
        <v>0</v>
      </c>
      <c r="Q168" s="1" t="s">
        <v>86</v>
      </c>
      <c r="R168" s="1">
        <v>0</v>
      </c>
      <c r="S168" s="1" t="s">
        <v>86</v>
      </c>
      <c r="T168" s="1" t="s">
        <v>86</v>
      </c>
      <c r="U168" s="1" t="s">
        <v>106</v>
      </c>
      <c r="V168" s="1" t="s">
        <v>86</v>
      </c>
      <c r="W168" s="1" t="s">
        <v>88</v>
      </c>
      <c r="X168" s="1" t="s">
        <v>86</v>
      </c>
      <c r="Y168" s="1" t="s">
        <v>89</v>
      </c>
      <c r="Z168" s="1" t="s">
        <v>89</v>
      </c>
      <c r="AA168" s="1" t="s">
        <v>119</v>
      </c>
      <c r="AB168" s="1" t="s">
        <v>86</v>
      </c>
      <c r="AC168" s="1" t="s">
        <v>1066</v>
      </c>
      <c r="AD168" s="1">
        <v>68.4</v>
      </c>
      <c r="AE168" s="1">
        <v>62</v>
      </c>
      <c r="AF168" s="1" t="s">
        <v>91</v>
      </c>
      <c r="AG168" s="1">
        <v>3</v>
      </c>
      <c r="AH168" s="1">
        <v>36</v>
      </c>
      <c r="AI168" s="1" t="s">
        <v>86</v>
      </c>
      <c r="AJ168" s="1">
        <v>1.01</v>
      </c>
      <c r="AK168" s="1" t="s">
        <v>111</v>
      </c>
      <c r="AL168" s="1" t="s">
        <v>93</v>
      </c>
      <c r="AM168" s="1" t="s">
        <v>140</v>
      </c>
      <c r="AN168" s="1" t="s">
        <v>86</v>
      </c>
      <c r="AO168" s="1" t="s">
        <v>94</v>
      </c>
      <c r="AP168" s="1" t="s">
        <v>95</v>
      </c>
      <c r="AQ168" s="1">
        <v>13.8</v>
      </c>
      <c r="AR168" s="1">
        <v>51</v>
      </c>
      <c r="AS168" s="1">
        <v>39.2</v>
      </c>
      <c r="AT168" s="1" t="s">
        <v>96</v>
      </c>
      <c r="AU168" s="1" t="s">
        <v>86</v>
      </c>
      <c r="AV168" s="1" t="s">
        <v>86</v>
      </c>
      <c r="AW168" s="1" t="s">
        <v>86</v>
      </c>
      <c r="AX168" s="1" t="s">
        <v>86</v>
      </c>
      <c r="AY168" s="1" t="s">
        <v>86</v>
      </c>
      <c r="AZ168" s="1" t="s">
        <v>86</v>
      </c>
      <c r="BA168" s="1" t="s">
        <v>86</v>
      </c>
      <c r="BB168" s="1" t="s">
        <v>86</v>
      </c>
      <c r="BC168" s="1" t="s">
        <v>86</v>
      </c>
      <c r="BD168" s="1" t="s">
        <v>86</v>
      </c>
      <c r="BE168" s="1" t="s">
        <v>86</v>
      </c>
      <c r="BF168" s="1" t="s">
        <v>86</v>
      </c>
      <c r="BG168" s="1" t="s">
        <v>86</v>
      </c>
      <c r="BH168" s="1" t="s">
        <v>182</v>
      </c>
      <c r="BI168" s="1" t="s">
        <v>315</v>
      </c>
      <c r="BJ168" s="1" t="s">
        <v>87</v>
      </c>
      <c r="BK168" s="1">
        <v>0</v>
      </c>
      <c r="BL168" s="1">
        <v>0</v>
      </c>
      <c r="BM168" s="1" t="s">
        <v>398</v>
      </c>
      <c r="BN168" s="1" t="s">
        <v>1067</v>
      </c>
      <c r="BO168" s="1" t="s">
        <v>1010</v>
      </c>
      <c r="BP168" s="1" t="s">
        <v>86</v>
      </c>
      <c r="BQ168" s="1" t="s">
        <v>86</v>
      </c>
      <c r="BR168" s="1" t="s">
        <v>86</v>
      </c>
      <c r="BS168" s="1" t="s">
        <v>86</v>
      </c>
      <c r="BT168" s="1" t="s">
        <v>86</v>
      </c>
      <c r="BU168" s="1" t="s">
        <v>163</v>
      </c>
      <c r="BV168" s="1" t="s">
        <v>86</v>
      </c>
      <c r="BW168" s="1" t="s">
        <v>101</v>
      </c>
      <c r="BX168" s="1" t="s">
        <v>423</v>
      </c>
      <c r="BY168" s="1" t="s">
        <v>86</v>
      </c>
      <c r="BZ168" s="1" t="s">
        <v>1068</v>
      </c>
      <c r="CA168" s="1" t="s">
        <v>1069</v>
      </c>
      <c r="CB168" s="1" t="s">
        <v>639</v>
      </c>
      <c r="CC168" s="1" t="s">
        <v>86</v>
      </c>
      <c r="CD168" s="1" t="s">
        <v>86</v>
      </c>
      <c r="CE168" s="1" t="s">
        <v>86</v>
      </c>
    </row>
    <row r="169">
      <c r="A169" s="1">
        <v>167</v>
      </c>
      <c r="B169" s="1" t="s">
        <v>395</v>
      </c>
      <c r="C169" s="2">
        <f>=HYPERLINK("https://i.stonehdfile.com/stoneimage?s=63f728cf-7fcf-4371-9912-eb8930b75716","Image")</f>
      </c>
      <c r="D169" s="2">
        <f>=HYPERLINK("https://dna.stonehdfile.com/hd/viewhd.html?d=25bf40c6-83c1-426e-bac2-b43d6337107f","View360")</f>
      </c>
      <c r="E169" s="2">
        <f>=HYPERLINK("https://i.stonehdfile.com/Certificate?s=63f728cf-7fcf-4371-9912-eb8930b75716","GIA")</f>
      </c>
      <c r="F169" s="2">
        <f>=HYPERLINK("https://i.stonehdfile.com/DNAReport?s=63f728cf-7fcf-4371-9912-eb8930b75716","DNA")</f>
      </c>
      <c r="G169" s="2">
        <f>=HYPERLINK("https://www.gia.edu/report-check?reportno=******0243","Verify")</f>
      </c>
      <c r="H169" s="1" t="s">
        <v>1070</v>
      </c>
      <c r="I169" s="1" t="s">
        <v>46</v>
      </c>
      <c r="J169" s="1">
        <v>1.71</v>
      </c>
      <c r="K169" s="1">
        <v>7</v>
      </c>
      <c r="L169" s="1">
        <v>11200</v>
      </c>
      <c r="M169" s="1">
        <v>5334</v>
      </c>
      <c r="N169" s="1">
        <v>9121.14</v>
      </c>
      <c r="O169" s="1">
        <v>-52.38</v>
      </c>
      <c r="P169" s="1">
        <v>0</v>
      </c>
      <c r="Q169" s="1" t="s">
        <v>86</v>
      </c>
      <c r="R169" s="1">
        <v>0</v>
      </c>
      <c r="S169" s="1" t="s">
        <v>86</v>
      </c>
      <c r="T169" s="1" t="s">
        <v>86</v>
      </c>
      <c r="U169" s="1" t="s">
        <v>106</v>
      </c>
      <c r="V169" s="1" t="s">
        <v>86</v>
      </c>
      <c r="W169" s="1" t="s">
        <v>107</v>
      </c>
      <c r="X169" s="1" t="s">
        <v>86</v>
      </c>
      <c r="Y169" s="1" t="s">
        <v>89</v>
      </c>
      <c r="Z169" s="1" t="s">
        <v>89</v>
      </c>
      <c r="AA169" s="1" t="s">
        <v>119</v>
      </c>
      <c r="AB169" s="1" t="s">
        <v>86</v>
      </c>
      <c r="AC169" s="1" t="s">
        <v>1071</v>
      </c>
      <c r="AD169" s="1">
        <v>70.6</v>
      </c>
      <c r="AE169" s="1">
        <v>60</v>
      </c>
      <c r="AF169" s="1" t="s">
        <v>91</v>
      </c>
      <c r="AG169" s="1">
        <v>3.8</v>
      </c>
      <c r="AH169" s="1">
        <v>36.2</v>
      </c>
      <c r="AI169" s="1" t="s">
        <v>86</v>
      </c>
      <c r="AJ169" s="1">
        <v>1.13</v>
      </c>
      <c r="AK169" s="1" t="s">
        <v>111</v>
      </c>
      <c r="AL169" s="1" t="s">
        <v>93</v>
      </c>
      <c r="AM169" s="1" t="s">
        <v>93</v>
      </c>
      <c r="AN169" s="1" t="s">
        <v>86</v>
      </c>
      <c r="AO169" s="1" t="s">
        <v>94</v>
      </c>
      <c r="AP169" s="1" t="s">
        <v>95</v>
      </c>
      <c r="AQ169" s="1">
        <v>14.4</v>
      </c>
      <c r="AR169" s="1">
        <v>52</v>
      </c>
      <c r="AS169" s="1">
        <v>37.8</v>
      </c>
      <c r="AT169" s="1" t="s">
        <v>96</v>
      </c>
      <c r="AU169" s="1" t="s">
        <v>86</v>
      </c>
      <c r="AV169" s="1" t="s">
        <v>86</v>
      </c>
      <c r="AW169" s="1" t="s">
        <v>86</v>
      </c>
      <c r="AX169" s="1" t="s">
        <v>86</v>
      </c>
      <c r="AY169" s="1" t="s">
        <v>86</v>
      </c>
      <c r="AZ169" s="1" t="s">
        <v>86</v>
      </c>
      <c r="BA169" s="1" t="s">
        <v>86</v>
      </c>
      <c r="BB169" s="1" t="s">
        <v>86</v>
      </c>
      <c r="BC169" s="1" t="s">
        <v>86</v>
      </c>
      <c r="BD169" s="1" t="s">
        <v>86</v>
      </c>
      <c r="BE169" s="1" t="s">
        <v>86</v>
      </c>
      <c r="BF169" s="1" t="s">
        <v>86</v>
      </c>
      <c r="BG169" s="1" t="s">
        <v>86</v>
      </c>
      <c r="BH169" s="1" t="s">
        <v>215</v>
      </c>
      <c r="BI169" s="1" t="s">
        <v>216</v>
      </c>
      <c r="BJ169" s="1" t="s">
        <v>87</v>
      </c>
      <c r="BK169" s="1">
        <v>0</v>
      </c>
      <c r="BL169" s="1">
        <v>0</v>
      </c>
      <c r="BM169" s="1" t="s">
        <v>86</v>
      </c>
      <c r="BN169" s="1" t="s">
        <v>1072</v>
      </c>
      <c r="BO169" s="1" t="s">
        <v>853</v>
      </c>
      <c r="BP169" s="1" t="s">
        <v>86</v>
      </c>
      <c r="BQ169" s="1" t="s">
        <v>86</v>
      </c>
      <c r="BR169" s="1" t="s">
        <v>86</v>
      </c>
      <c r="BS169" s="1" t="s">
        <v>86</v>
      </c>
      <c r="BT169" s="1" t="s">
        <v>86</v>
      </c>
      <c r="BU169" s="1" t="s">
        <v>163</v>
      </c>
      <c r="BV169" s="1" t="s">
        <v>86</v>
      </c>
      <c r="BW169" s="1" t="s">
        <v>101</v>
      </c>
      <c r="BX169" s="1" t="s">
        <v>401</v>
      </c>
      <c r="BY169" s="1" t="s">
        <v>86</v>
      </c>
      <c r="BZ169" s="1" t="s">
        <v>1073</v>
      </c>
      <c r="CA169" s="1" t="s">
        <v>165</v>
      </c>
      <c r="CB169" s="1" t="s">
        <v>166</v>
      </c>
      <c r="CC169" s="1" t="s">
        <v>86</v>
      </c>
      <c r="CD169" s="1" t="s">
        <v>86</v>
      </c>
      <c r="CE169" s="1" t="s">
        <v>86</v>
      </c>
    </row>
    <row r="170">
      <c r="A170" s="1">
        <v>168</v>
      </c>
      <c r="B170" s="1" t="s">
        <v>395</v>
      </c>
      <c r="C170" s="2">
        <f>=HYPERLINK("https://i.stonehdfile.com/stoneimage?s=ad983013-36c6-4ef1-b494-c167e0be5092","Image")</f>
      </c>
      <c r="D170" s="2">
        <f>=HYPERLINK("https://dna.stonehdfile.com/hd/viewhd.html?d=95e3c104-7384-44a5-aede-50187e2fb7c7","View360")</f>
      </c>
      <c r="E170" s="2">
        <f>=HYPERLINK("https://i.stonehdfile.com/Certificate?s=ad983013-36c6-4ef1-b494-c167e0be5092","GIA")</f>
      </c>
      <c r="F170" s="2">
        <f>=HYPERLINK("https://i.stonehdfile.com/DNAReport?s=ad983013-36c6-4ef1-b494-c167e0be5092","DNA")</f>
      </c>
      <c r="G170" s="2">
        <f>=HYPERLINK("https://www.gia.edu/report-check?reportno=******9930","Verify")</f>
      </c>
      <c r="H170" s="1" t="s">
        <v>1074</v>
      </c>
      <c r="I170" s="1" t="s">
        <v>46</v>
      </c>
      <c r="J170" s="1">
        <v>1.7</v>
      </c>
      <c r="K170" s="1">
        <v>3</v>
      </c>
      <c r="L170" s="1">
        <v>11200</v>
      </c>
      <c r="M170" s="1">
        <v>6275</v>
      </c>
      <c r="N170" s="1">
        <v>10667.5</v>
      </c>
      <c r="O170" s="1">
        <v>-43.97</v>
      </c>
      <c r="P170" s="1">
        <v>0</v>
      </c>
      <c r="Q170" s="1" t="s">
        <v>86</v>
      </c>
      <c r="R170" s="1">
        <v>0</v>
      </c>
      <c r="S170" s="1" t="s">
        <v>86</v>
      </c>
      <c r="T170" s="1" t="s">
        <v>86</v>
      </c>
      <c r="U170" s="1" t="s">
        <v>106</v>
      </c>
      <c r="V170" s="1" t="s">
        <v>86</v>
      </c>
      <c r="W170" s="1" t="s">
        <v>149</v>
      </c>
      <c r="X170" s="1" t="s">
        <v>86</v>
      </c>
      <c r="Y170" s="1" t="s">
        <v>89</v>
      </c>
      <c r="Z170" s="1" t="s">
        <v>138</v>
      </c>
      <c r="AA170" s="1" t="s">
        <v>119</v>
      </c>
      <c r="AB170" s="1" t="s">
        <v>86</v>
      </c>
      <c r="AC170" s="1" t="s">
        <v>1075</v>
      </c>
      <c r="AD170" s="1">
        <v>69.1</v>
      </c>
      <c r="AE170" s="1">
        <v>64</v>
      </c>
      <c r="AF170" s="1" t="s">
        <v>91</v>
      </c>
      <c r="AG170" s="1">
        <v>2</v>
      </c>
      <c r="AH170" s="1">
        <v>34.1</v>
      </c>
      <c r="AI170" s="1" t="s">
        <v>86</v>
      </c>
      <c r="AJ170" s="1">
        <v>1.12</v>
      </c>
      <c r="AK170" s="1" t="s">
        <v>111</v>
      </c>
      <c r="AL170" s="1" t="s">
        <v>93</v>
      </c>
      <c r="AM170" s="1" t="s">
        <v>140</v>
      </c>
      <c r="AN170" s="1" t="s">
        <v>86</v>
      </c>
      <c r="AO170" s="1" t="s">
        <v>94</v>
      </c>
      <c r="AP170" s="1" t="s">
        <v>95</v>
      </c>
      <c r="AQ170" s="1">
        <v>12.1</v>
      </c>
      <c r="AR170" s="1">
        <v>54.9</v>
      </c>
      <c r="AS170" s="1">
        <v>39.1</v>
      </c>
      <c r="AT170" s="1" t="s">
        <v>96</v>
      </c>
      <c r="AU170" s="1" t="s">
        <v>86</v>
      </c>
      <c r="AV170" s="1" t="s">
        <v>86</v>
      </c>
      <c r="AW170" s="1" t="s">
        <v>86</v>
      </c>
      <c r="AX170" s="1" t="s">
        <v>86</v>
      </c>
      <c r="AY170" s="1" t="s">
        <v>86</v>
      </c>
      <c r="AZ170" s="1" t="s">
        <v>86</v>
      </c>
      <c r="BA170" s="1" t="s">
        <v>86</v>
      </c>
      <c r="BB170" s="1" t="s">
        <v>86</v>
      </c>
      <c r="BC170" s="1" t="s">
        <v>86</v>
      </c>
      <c r="BD170" s="1" t="s">
        <v>86</v>
      </c>
      <c r="BE170" s="1" t="s">
        <v>86</v>
      </c>
      <c r="BF170" s="1" t="s">
        <v>86</v>
      </c>
      <c r="BG170" s="1" t="s">
        <v>172</v>
      </c>
      <c r="BH170" s="1" t="s">
        <v>429</v>
      </c>
      <c r="BI170" s="1" t="s">
        <v>703</v>
      </c>
      <c r="BJ170" s="1" t="s">
        <v>87</v>
      </c>
      <c r="BK170" s="1">
        <v>0</v>
      </c>
      <c r="BL170" s="1">
        <v>0</v>
      </c>
      <c r="BM170" s="1" t="s">
        <v>398</v>
      </c>
      <c r="BN170" s="1" t="s">
        <v>1076</v>
      </c>
      <c r="BO170" s="1" t="s">
        <v>389</v>
      </c>
      <c r="BP170" s="1" t="s">
        <v>86</v>
      </c>
      <c r="BQ170" s="1" t="s">
        <v>86</v>
      </c>
      <c r="BR170" s="1" t="s">
        <v>86</v>
      </c>
      <c r="BS170" s="1" t="s">
        <v>86</v>
      </c>
      <c r="BT170" s="1" t="s">
        <v>86</v>
      </c>
      <c r="BU170" s="1" t="s">
        <v>163</v>
      </c>
      <c r="BV170" s="1" t="s">
        <v>86</v>
      </c>
      <c r="BW170" s="1" t="s">
        <v>101</v>
      </c>
      <c r="BX170" s="1" t="s">
        <v>565</v>
      </c>
      <c r="BY170" s="1" t="s">
        <v>86</v>
      </c>
      <c r="BZ170" s="1" t="s">
        <v>1077</v>
      </c>
      <c r="CA170" s="1" t="s">
        <v>195</v>
      </c>
      <c r="CB170" s="1" t="s">
        <v>179</v>
      </c>
      <c r="CC170" s="1" t="s">
        <v>86</v>
      </c>
      <c r="CD170" s="1" t="s">
        <v>86</v>
      </c>
      <c r="CE170" s="1" t="s">
        <v>86</v>
      </c>
    </row>
    <row r="171">
      <c r="A171" s="1">
        <v>169</v>
      </c>
      <c r="B171" s="1" t="s">
        <v>395</v>
      </c>
      <c r="C171" s="2">
        <f>=HYPERLINK("https://i.stonehdfile.com/stoneimage?s=daec272c-f1df-42b8-9859-7adda22e471b","Image")</f>
      </c>
      <c r="D171" s="2">
        <f>=HYPERLINK("https://dna.stonehdfile.com/hd/viewhd.html?d=b0a355ee-76ea-4724-a4a9-80fbaa241e28","View360")</f>
      </c>
      <c r="E171" s="2">
        <f>=HYPERLINK("https://i.stonehdfile.com/Certificate?s=daec272c-f1df-42b8-9859-7adda22e471b","GIA")</f>
      </c>
      <c r="F171" s="2">
        <f>=HYPERLINK("https://i.stonehdfile.com/DNAReport?s=daec272c-f1df-42b8-9859-7adda22e471b","DNA")</f>
      </c>
      <c r="G171" s="2">
        <f>=HYPERLINK("https://www.gia.edu/report-check?reportno=******8036","Verify")</f>
      </c>
      <c r="H171" s="1" t="s">
        <v>1078</v>
      </c>
      <c r="I171" s="1" t="s">
        <v>46</v>
      </c>
      <c r="J171" s="1">
        <v>1.7</v>
      </c>
      <c r="K171" s="1">
        <v>6</v>
      </c>
      <c r="L171" s="1">
        <v>11200</v>
      </c>
      <c r="M171" s="1">
        <v>6458</v>
      </c>
      <c r="N171" s="1">
        <v>10978.6</v>
      </c>
      <c r="O171" s="1">
        <v>-42.34</v>
      </c>
      <c r="P171" s="1">
        <v>0</v>
      </c>
      <c r="Q171" s="1" t="s">
        <v>86</v>
      </c>
      <c r="R171" s="1">
        <v>0</v>
      </c>
      <c r="S171" s="1" t="s">
        <v>86</v>
      </c>
      <c r="T171" s="1" t="s">
        <v>86</v>
      </c>
      <c r="U171" s="1" t="s">
        <v>106</v>
      </c>
      <c r="V171" s="1" t="s">
        <v>86</v>
      </c>
      <c r="W171" s="1" t="s">
        <v>149</v>
      </c>
      <c r="X171" s="1" t="s">
        <v>86</v>
      </c>
      <c r="Y171" s="1" t="s">
        <v>89</v>
      </c>
      <c r="Z171" s="1" t="s">
        <v>138</v>
      </c>
      <c r="AA171" s="1" t="s">
        <v>119</v>
      </c>
      <c r="AB171" s="1" t="s">
        <v>86</v>
      </c>
      <c r="AC171" s="1" t="s">
        <v>1079</v>
      </c>
      <c r="AD171" s="1">
        <v>67.2</v>
      </c>
      <c r="AE171" s="1">
        <v>64</v>
      </c>
      <c r="AF171" s="1" t="s">
        <v>91</v>
      </c>
      <c r="AG171" s="1">
        <v>1.8</v>
      </c>
      <c r="AH171" s="1">
        <v>35.7</v>
      </c>
      <c r="AI171" s="1" t="s">
        <v>86</v>
      </c>
      <c r="AJ171" s="1">
        <v>1.01</v>
      </c>
      <c r="AK171" s="1" t="s">
        <v>111</v>
      </c>
      <c r="AL171" s="1" t="s">
        <v>93</v>
      </c>
      <c r="AM171" s="1" t="s">
        <v>140</v>
      </c>
      <c r="AN171" s="1" t="s">
        <v>86</v>
      </c>
      <c r="AO171" s="1" t="s">
        <v>94</v>
      </c>
      <c r="AP171" s="1" t="s">
        <v>95</v>
      </c>
      <c r="AQ171" s="1">
        <v>12.9</v>
      </c>
      <c r="AR171" s="1">
        <v>52.1</v>
      </c>
      <c r="AS171" s="1">
        <v>40.4</v>
      </c>
      <c r="AT171" s="1" t="s">
        <v>96</v>
      </c>
      <c r="AU171" s="1" t="s">
        <v>86</v>
      </c>
      <c r="AV171" s="1" t="s">
        <v>86</v>
      </c>
      <c r="AW171" s="1" t="s">
        <v>86</v>
      </c>
      <c r="AX171" s="1" t="s">
        <v>86</v>
      </c>
      <c r="AY171" s="1" t="s">
        <v>86</v>
      </c>
      <c r="AZ171" s="1" t="s">
        <v>86</v>
      </c>
      <c r="BA171" s="1" t="s">
        <v>86</v>
      </c>
      <c r="BB171" s="1" t="s">
        <v>86</v>
      </c>
      <c r="BC171" s="1" t="s">
        <v>86</v>
      </c>
      <c r="BD171" s="1" t="s">
        <v>86</v>
      </c>
      <c r="BE171" s="1" t="s">
        <v>86</v>
      </c>
      <c r="BF171" s="1" t="s">
        <v>86</v>
      </c>
      <c r="BG171" s="1" t="s">
        <v>86</v>
      </c>
      <c r="BH171" s="1" t="s">
        <v>871</v>
      </c>
      <c r="BI171" s="1" t="s">
        <v>570</v>
      </c>
      <c r="BJ171" s="1" t="s">
        <v>87</v>
      </c>
      <c r="BK171" s="1">
        <v>0</v>
      </c>
      <c r="BL171" s="1">
        <v>0</v>
      </c>
      <c r="BM171" s="1" t="s">
        <v>398</v>
      </c>
      <c r="BN171" s="1" t="s">
        <v>1080</v>
      </c>
      <c r="BO171" s="1" t="s">
        <v>1081</v>
      </c>
      <c r="BP171" s="1" t="s">
        <v>86</v>
      </c>
      <c r="BQ171" s="1" t="s">
        <v>86</v>
      </c>
      <c r="BR171" s="1" t="s">
        <v>86</v>
      </c>
      <c r="BS171" s="1" t="s">
        <v>86</v>
      </c>
      <c r="BT171" s="1" t="s">
        <v>86</v>
      </c>
      <c r="BU171" s="1" t="s">
        <v>163</v>
      </c>
      <c r="BV171" s="1" t="s">
        <v>86</v>
      </c>
      <c r="BW171" s="1" t="s">
        <v>101</v>
      </c>
      <c r="BX171" s="1" t="s">
        <v>439</v>
      </c>
      <c r="BY171" s="1" t="s">
        <v>86</v>
      </c>
      <c r="BZ171" s="1" t="s">
        <v>1082</v>
      </c>
      <c r="CA171" s="1" t="s">
        <v>297</v>
      </c>
      <c r="CB171" s="1" t="s">
        <v>269</v>
      </c>
      <c r="CC171" s="1" t="s">
        <v>86</v>
      </c>
      <c r="CD171" s="1" t="s">
        <v>86</v>
      </c>
      <c r="CE171" s="1" t="s">
        <v>86</v>
      </c>
    </row>
    <row r="172">
      <c r="A172" s="1">
        <v>170</v>
      </c>
      <c r="B172" s="1" t="s">
        <v>395</v>
      </c>
      <c r="C172" s="2">
        <f>=HYPERLINK("https://i.stonehdfile.com/stoneimage?s=fd2d1759-945f-4dc6-ae02-8352a86ff8b9","Image")</f>
      </c>
      <c r="D172" s="2">
        <f>=HYPERLINK("https://dna.stonehdfile.com/hd/viewhd.html?d=51f6eee9-f6fa-4851-bb2e-c4fcbfd1dfec","View360")</f>
      </c>
      <c r="E172" s="2">
        <f>=HYPERLINK("https://i.stonehdfile.com/Certificate?s=fd2d1759-945f-4dc6-ae02-8352a86ff8b9","GIA")</f>
      </c>
      <c r="F172" s="2">
        <f>=HYPERLINK("https://i.stonehdfile.com/DNAReport?s=fd2d1759-945f-4dc6-ae02-8352a86ff8b9","DNA")</f>
      </c>
      <c r="G172" s="2">
        <f>=HYPERLINK("https://www.gia.edu/report-check?reportno=******9246","Verify")</f>
      </c>
      <c r="H172" s="1" t="s">
        <v>1083</v>
      </c>
      <c r="I172" s="1" t="s">
        <v>46</v>
      </c>
      <c r="J172" s="1">
        <v>1.71</v>
      </c>
      <c r="K172" s="1">
        <v>0</v>
      </c>
      <c r="L172" s="1">
        <v>11200</v>
      </c>
      <c r="M172" s="1">
        <v>6557</v>
      </c>
      <c r="N172" s="1">
        <v>11212.47</v>
      </c>
      <c r="O172" s="1">
        <v>-41.46</v>
      </c>
      <c r="P172" s="1">
        <v>0</v>
      </c>
      <c r="Q172" s="1" t="s">
        <v>86</v>
      </c>
      <c r="R172" s="1">
        <v>0</v>
      </c>
      <c r="S172" s="1" t="s">
        <v>86</v>
      </c>
      <c r="T172" s="1" t="s">
        <v>86</v>
      </c>
      <c r="U172" s="1" t="s">
        <v>106</v>
      </c>
      <c r="V172" s="1" t="s">
        <v>86</v>
      </c>
      <c r="W172" s="1" t="s">
        <v>149</v>
      </c>
      <c r="X172" s="1" t="s">
        <v>86</v>
      </c>
      <c r="Y172" s="1" t="s">
        <v>89</v>
      </c>
      <c r="Z172" s="1" t="s">
        <v>89</v>
      </c>
      <c r="AA172" s="1" t="s">
        <v>119</v>
      </c>
      <c r="AB172" s="1" t="s">
        <v>86</v>
      </c>
      <c r="AC172" s="1" t="s">
        <v>1084</v>
      </c>
      <c r="AD172" s="1">
        <v>69.2</v>
      </c>
      <c r="AE172" s="1">
        <v>63</v>
      </c>
      <c r="AF172" s="1" t="s">
        <v>91</v>
      </c>
      <c r="AG172" s="1">
        <v>2.4</v>
      </c>
      <c r="AH172" s="1">
        <v>33.6</v>
      </c>
      <c r="AI172" s="1" t="s">
        <v>86</v>
      </c>
      <c r="AJ172" s="1">
        <v>1.02</v>
      </c>
      <c r="AK172" s="1" t="s">
        <v>111</v>
      </c>
      <c r="AL172" s="1" t="s">
        <v>93</v>
      </c>
      <c r="AM172" s="1" t="s">
        <v>93</v>
      </c>
      <c r="AN172" s="1" t="s">
        <v>86</v>
      </c>
      <c r="AO172" s="1" t="s">
        <v>94</v>
      </c>
      <c r="AP172" s="1" t="s">
        <v>95</v>
      </c>
      <c r="AQ172" s="1">
        <v>12.4</v>
      </c>
      <c r="AR172" s="1">
        <v>54.1</v>
      </c>
      <c r="AS172" s="1">
        <v>40.1</v>
      </c>
      <c r="AT172" s="1" t="s">
        <v>96</v>
      </c>
      <c r="AU172" s="1" t="s">
        <v>86</v>
      </c>
      <c r="AV172" s="1" t="s">
        <v>86</v>
      </c>
      <c r="AW172" s="1" t="s">
        <v>86</v>
      </c>
      <c r="AX172" s="1" t="s">
        <v>86</v>
      </c>
      <c r="AY172" s="1" t="s">
        <v>86</v>
      </c>
      <c r="AZ172" s="1" t="s">
        <v>86</v>
      </c>
      <c r="BA172" s="1" t="s">
        <v>86</v>
      </c>
      <c r="BB172" s="1" t="s">
        <v>86</v>
      </c>
      <c r="BC172" s="1" t="s">
        <v>86</v>
      </c>
      <c r="BD172" s="1" t="s">
        <v>86</v>
      </c>
      <c r="BE172" s="1" t="s">
        <v>86</v>
      </c>
      <c r="BF172" s="1" t="s">
        <v>86</v>
      </c>
      <c r="BG172" s="1" t="s">
        <v>86</v>
      </c>
      <c r="BH172" s="1" t="s">
        <v>429</v>
      </c>
      <c r="BI172" s="1" t="s">
        <v>354</v>
      </c>
      <c r="BJ172" s="1" t="s">
        <v>87</v>
      </c>
      <c r="BK172" s="1">
        <v>0</v>
      </c>
      <c r="BL172" s="1">
        <v>0</v>
      </c>
      <c r="BM172" s="1" t="s">
        <v>398</v>
      </c>
      <c r="BN172" s="1" t="s">
        <v>1085</v>
      </c>
      <c r="BO172" s="1" t="s">
        <v>956</v>
      </c>
      <c r="BP172" s="1" t="s">
        <v>86</v>
      </c>
      <c r="BQ172" s="1" t="s">
        <v>86</v>
      </c>
      <c r="BR172" s="1" t="s">
        <v>86</v>
      </c>
      <c r="BS172" s="1" t="s">
        <v>86</v>
      </c>
      <c r="BT172" s="1" t="s">
        <v>86</v>
      </c>
      <c r="BU172" s="1" t="s">
        <v>163</v>
      </c>
      <c r="BV172" s="1" t="s">
        <v>86</v>
      </c>
      <c r="BW172" s="1" t="s">
        <v>101</v>
      </c>
      <c r="BX172" s="1" t="s">
        <v>414</v>
      </c>
      <c r="BY172" s="1" t="s">
        <v>86</v>
      </c>
      <c r="BZ172" s="1" t="s">
        <v>1086</v>
      </c>
      <c r="CA172" s="1" t="s">
        <v>606</v>
      </c>
      <c r="CB172" s="1" t="s">
        <v>156</v>
      </c>
      <c r="CC172" s="1" t="s">
        <v>86</v>
      </c>
      <c r="CD172" s="1" t="s">
        <v>86</v>
      </c>
      <c r="CE172" s="1" t="s">
        <v>86</v>
      </c>
    </row>
    <row r="173">
      <c r="A173" s="1">
        <v>171</v>
      </c>
      <c r="B173" s="1" t="s">
        <v>395</v>
      </c>
      <c r="C173" s="2">
        <f>=HYPERLINK("https://i.stonehdfile.com/stoneimage?s=07d9261c-8a73-4559-8f32-57fc34a14848","Image")</f>
      </c>
      <c r="D173" s="2">
        <f>=HYPERLINK("https://dna.stonehdfile.com/hd/viewhd.html?d=5b8bf2b6-4336-4b94-948f-6dd201a963ed","View360")</f>
      </c>
      <c r="E173" s="2">
        <f>=HYPERLINK("https://i.stonehdfile.com/Certificate?s=07d9261c-8a73-4559-8f32-57fc34a14848","GIA")</f>
      </c>
      <c r="F173" s="2">
        <f>=HYPERLINK("https://i.stonehdfile.com/DNAReport?s=07d9261c-8a73-4559-8f32-57fc34a14848","DNA")</f>
      </c>
      <c r="G173" s="2">
        <f>=HYPERLINK("https://www.gia.edu/report-check?reportno=******1122","Verify")</f>
      </c>
      <c r="H173" s="1" t="s">
        <v>1087</v>
      </c>
      <c r="I173" s="1" t="s">
        <v>46</v>
      </c>
      <c r="J173" s="1">
        <v>1.8</v>
      </c>
      <c r="K173" s="1">
        <v>3</v>
      </c>
      <c r="L173" s="1">
        <v>11200</v>
      </c>
      <c r="M173" s="1">
        <v>6703</v>
      </c>
      <c r="N173" s="1">
        <v>12065.4</v>
      </c>
      <c r="O173" s="1">
        <v>-40.15</v>
      </c>
      <c r="P173" s="1">
        <v>0</v>
      </c>
      <c r="Q173" s="1" t="s">
        <v>86</v>
      </c>
      <c r="R173" s="1">
        <v>0</v>
      </c>
      <c r="S173" s="1" t="s">
        <v>86</v>
      </c>
      <c r="T173" s="1" t="s">
        <v>86</v>
      </c>
      <c r="U173" s="1" t="s">
        <v>106</v>
      </c>
      <c r="V173" s="1" t="s">
        <v>86</v>
      </c>
      <c r="W173" s="1" t="s">
        <v>149</v>
      </c>
      <c r="X173" s="1" t="s">
        <v>86</v>
      </c>
      <c r="Y173" s="1" t="s">
        <v>89</v>
      </c>
      <c r="Z173" s="1" t="s">
        <v>89</v>
      </c>
      <c r="AA173" s="1" t="s">
        <v>119</v>
      </c>
      <c r="AB173" s="1" t="s">
        <v>86</v>
      </c>
      <c r="AC173" s="1" t="s">
        <v>1088</v>
      </c>
      <c r="AD173" s="1">
        <v>68.2</v>
      </c>
      <c r="AE173" s="1">
        <v>62</v>
      </c>
      <c r="AF173" s="1" t="s">
        <v>91</v>
      </c>
      <c r="AG173" s="1">
        <v>3.2</v>
      </c>
      <c r="AH173" s="1">
        <v>35.6</v>
      </c>
      <c r="AI173" s="1" t="s">
        <v>86</v>
      </c>
      <c r="AJ173" s="1">
        <v>1.07</v>
      </c>
      <c r="AK173" s="1" t="s">
        <v>111</v>
      </c>
      <c r="AL173" s="1" t="s">
        <v>93</v>
      </c>
      <c r="AM173" s="1" t="s">
        <v>128</v>
      </c>
      <c r="AN173" s="1" t="s">
        <v>86</v>
      </c>
      <c r="AO173" s="1" t="s">
        <v>94</v>
      </c>
      <c r="AP173" s="1" t="s">
        <v>95</v>
      </c>
      <c r="AQ173" s="1">
        <v>13.8</v>
      </c>
      <c r="AR173" s="1">
        <v>50.8</v>
      </c>
      <c r="AS173" s="1">
        <v>39.7</v>
      </c>
      <c r="AT173" s="1" t="s">
        <v>96</v>
      </c>
      <c r="AU173" s="1" t="s">
        <v>86</v>
      </c>
      <c r="AV173" s="1" t="s">
        <v>86</v>
      </c>
      <c r="AW173" s="1" t="s">
        <v>86</v>
      </c>
      <c r="AX173" s="1" t="s">
        <v>86</v>
      </c>
      <c r="AY173" s="1" t="s">
        <v>86</v>
      </c>
      <c r="AZ173" s="1" t="s">
        <v>86</v>
      </c>
      <c r="BA173" s="1" t="s">
        <v>86</v>
      </c>
      <c r="BB173" s="1" t="s">
        <v>86</v>
      </c>
      <c r="BC173" s="1" t="s">
        <v>86</v>
      </c>
      <c r="BD173" s="1" t="s">
        <v>86</v>
      </c>
      <c r="BE173" s="1" t="s">
        <v>86</v>
      </c>
      <c r="BF173" s="1" t="s">
        <v>86</v>
      </c>
      <c r="BG173" s="1" t="s">
        <v>86</v>
      </c>
      <c r="BH173" s="1" t="s">
        <v>182</v>
      </c>
      <c r="BI173" s="1" t="s">
        <v>199</v>
      </c>
      <c r="BJ173" s="1" t="s">
        <v>87</v>
      </c>
      <c r="BK173" s="1">
        <v>0</v>
      </c>
      <c r="BL173" s="1">
        <v>0</v>
      </c>
      <c r="BM173" s="1" t="s">
        <v>398</v>
      </c>
      <c r="BN173" s="1" t="s">
        <v>1089</v>
      </c>
      <c r="BO173" s="1" t="s">
        <v>726</v>
      </c>
      <c r="BP173" s="1" t="s">
        <v>86</v>
      </c>
      <c r="BQ173" s="1" t="s">
        <v>86</v>
      </c>
      <c r="BR173" s="1" t="s">
        <v>86</v>
      </c>
      <c r="BS173" s="1" t="s">
        <v>86</v>
      </c>
      <c r="BT173" s="1" t="s">
        <v>86</v>
      </c>
      <c r="BU173" s="1" t="s">
        <v>163</v>
      </c>
      <c r="BV173" s="1" t="s">
        <v>86</v>
      </c>
      <c r="BW173" s="1" t="s">
        <v>101</v>
      </c>
      <c r="BX173" s="1" t="s">
        <v>470</v>
      </c>
      <c r="BY173" s="1" t="s">
        <v>86</v>
      </c>
      <c r="BZ173" s="1" t="s">
        <v>1090</v>
      </c>
      <c r="CA173" s="1" t="s">
        <v>178</v>
      </c>
      <c r="CB173" s="1" t="s">
        <v>269</v>
      </c>
      <c r="CC173" s="1" t="s">
        <v>86</v>
      </c>
      <c r="CD173" s="1" t="s">
        <v>86</v>
      </c>
      <c r="CE173" s="1" t="s">
        <v>86</v>
      </c>
    </row>
    <row r="174">
      <c r="A174" s="1">
        <v>172</v>
      </c>
      <c r="B174" s="1" t="s">
        <v>395</v>
      </c>
      <c r="C174" s="2">
        <f>=HYPERLINK("https://i.stonehdfile.com/stoneimage?s=65959761-b793-4c3c-a99d-0b9a7bc3af9b","Image")</f>
      </c>
      <c r="D174" s="2">
        <f>=HYPERLINK("https://dna.stonehdfile.com/hd/viewhd.html?d=8e1021cc-e0f5-4f0b-9268-d7cfb7dc3a22","View360")</f>
      </c>
      <c r="E174" s="2">
        <f>=HYPERLINK("https://i.stonehdfile.com/Certificate?s=65959761-b793-4c3c-a99d-0b9a7bc3af9b","GIA")</f>
      </c>
      <c r="F174" s="2">
        <f>=HYPERLINK("https://i.stonehdfile.com/DNAReport?s=65959761-b793-4c3c-a99d-0b9a7bc3af9b","DNA")</f>
      </c>
      <c r="G174" s="2">
        <f>=HYPERLINK("https://www.gia.edu/report-check?reportno=******0963","Verify")</f>
      </c>
      <c r="H174" s="1" t="s">
        <v>1091</v>
      </c>
      <c r="I174" s="1" t="s">
        <v>46</v>
      </c>
      <c r="J174" s="1">
        <v>1.7</v>
      </c>
      <c r="K174" s="1">
        <v>3</v>
      </c>
      <c r="L174" s="1">
        <v>10100</v>
      </c>
      <c r="M174" s="1">
        <v>6380</v>
      </c>
      <c r="N174" s="1">
        <v>10846</v>
      </c>
      <c r="O174" s="1">
        <v>-36.83</v>
      </c>
      <c r="P174" s="1">
        <v>0</v>
      </c>
      <c r="Q174" s="1" t="s">
        <v>86</v>
      </c>
      <c r="R174" s="1">
        <v>0</v>
      </c>
      <c r="S174" s="1" t="s">
        <v>86</v>
      </c>
      <c r="T174" s="1" t="s">
        <v>86</v>
      </c>
      <c r="U174" s="1" t="s">
        <v>241</v>
      </c>
      <c r="V174" s="1" t="s">
        <v>86</v>
      </c>
      <c r="W174" s="1" t="s">
        <v>352</v>
      </c>
      <c r="X174" s="1" t="s">
        <v>86</v>
      </c>
      <c r="Y174" s="1" t="s">
        <v>89</v>
      </c>
      <c r="Z174" s="1" t="s">
        <v>89</v>
      </c>
      <c r="AA174" s="1" t="s">
        <v>119</v>
      </c>
      <c r="AB174" s="1" t="s">
        <v>86</v>
      </c>
      <c r="AC174" s="1" t="s">
        <v>1092</v>
      </c>
      <c r="AD174" s="1">
        <v>69.3</v>
      </c>
      <c r="AE174" s="1">
        <v>61</v>
      </c>
      <c r="AF174" s="1" t="s">
        <v>91</v>
      </c>
      <c r="AG174" s="1">
        <v>3.3</v>
      </c>
      <c r="AH174" s="1">
        <v>36.1</v>
      </c>
      <c r="AI174" s="1" t="s">
        <v>86</v>
      </c>
      <c r="AJ174" s="1">
        <v>1</v>
      </c>
      <c r="AK174" s="1" t="s">
        <v>190</v>
      </c>
      <c r="AL174" s="1" t="s">
        <v>140</v>
      </c>
      <c r="AM174" s="1" t="s">
        <v>140</v>
      </c>
      <c r="AN174" s="1" t="s">
        <v>307</v>
      </c>
      <c r="AO174" s="1" t="s">
        <v>94</v>
      </c>
      <c r="AP174" s="1" t="s">
        <v>95</v>
      </c>
      <c r="AQ174" s="1">
        <v>14.3</v>
      </c>
      <c r="AR174" s="1">
        <v>51.4</v>
      </c>
      <c r="AS174" s="1">
        <v>40.1</v>
      </c>
      <c r="AT174" s="1" t="s">
        <v>96</v>
      </c>
      <c r="AU174" s="1" t="s">
        <v>86</v>
      </c>
      <c r="AV174" s="1" t="s">
        <v>86</v>
      </c>
      <c r="AW174" s="1" t="s">
        <v>86</v>
      </c>
      <c r="AX174" s="1" t="s">
        <v>86</v>
      </c>
      <c r="AY174" s="1" t="s">
        <v>86</v>
      </c>
      <c r="AZ174" s="1" t="s">
        <v>86</v>
      </c>
      <c r="BA174" s="1" t="s">
        <v>86</v>
      </c>
      <c r="BB174" s="1" t="s">
        <v>86</v>
      </c>
      <c r="BC174" s="1" t="s">
        <v>86</v>
      </c>
      <c r="BD174" s="1" t="s">
        <v>86</v>
      </c>
      <c r="BE174" s="1" t="s">
        <v>86</v>
      </c>
      <c r="BF174" s="1" t="s">
        <v>86</v>
      </c>
      <c r="BG174" s="1" t="s">
        <v>86</v>
      </c>
      <c r="BH174" s="1" t="s">
        <v>182</v>
      </c>
      <c r="BI174" s="1" t="s">
        <v>232</v>
      </c>
      <c r="BJ174" s="1" t="s">
        <v>87</v>
      </c>
      <c r="BK174" s="1">
        <v>0</v>
      </c>
      <c r="BL174" s="1">
        <v>0</v>
      </c>
      <c r="BM174" s="1" t="s">
        <v>398</v>
      </c>
      <c r="BN174" s="1" t="s">
        <v>1093</v>
      </c>
      <c r="BO174" s="1" t="s">
        <v>726</v>
      </c>
      <c r="BP174" s="1" t="s">
        <v>86</v>
      </c>
      <c r="BQ174" s="1" t="s">
        <v>86</v>
      </c>
      <c r="BR174" s="1" t="s">
        <v>86</v>
      </c>
      <c r="BS174" s="1" t="s">
        <v>86</v>
      </c>
      <c r="BT174" s="1" t="s">
        <v>86</v>
      </c>
      <c r="BU174" s="1" t="s">
        <v>163</v>
      </c>
      <c r="BV174" s="1" t="s">
        <v>86</v>
      </c>
      <c r="BW174" s="1" t="s">
        <v>101</v>
      </c>
      <c r="BX174" s="1" t="s">
        <v>478</v>
      </c>
      <c r="BY174" s="1" t="s">
        <v>86</v>
      </c>
      <c r="BZ174" s="1" t="s">
        <v>1094</v>
      </c>
      <c r="CA174" s="1" t="s">
        <v>1095</v>
      </c>
      <c r="CB174" s="1" t="s">
        <v>156</v>
      </c>
      <c r="CC174" s="1" t="s">
        <v>86</v>
      </c>
      <c r="CD174" s="1" t="s">
        <v>86</v>
      </c>
      <c r="CE174" s="1" t="s">
        <v>86</v>
      </c>
    </row>
    <row r="175">
      <c r="A175" s="4">
        <v>173</v>
      </c>
      <c r="B175" s="4" t="s">
        <v>395</v>
      </c>
      <c r="C175" s="2">
        <f>=HYPERLINK("https://i.stonehdfile.com/stoneimage?s=92ef34ea-042d-46d0-ab8b-b7f0bf2438c7","Image")</f>
      </c>
      <c r="D175" s="2">
        <f>=HYPERLINK("https://dna.stonehdfile.com/hd/viewhd.html?d=5fedb7e4-6f9b-4a97-a83b-f172dd0c3280","View360")</f>
      </c>
      <c r="E175" s="2">
        <f>=HYPERLINK("https://i.stonehdfile.com/Certificate?s=92ef34ea-042d-46d0-ab8b-b7f0bf2438c7","GIA")</f>
      </c>
      <c r="F175" s="2">
        <f>=HYPERLINK("https://i.stonehdfile.com/DNAReport?s=92ef34ea-042d-46d0-ab8b-b7f0bf2438c7","DNA")</f>
      </c>
      <c r="G175" s="2">
        <f>=HYPERLINK("https://www.gia.edu/report-check?reportno=******4588","Verify")</f>
      </c>
      <c r="H175" s="4" t="s">
        <v>1096</v>
      </c>
      <c r="I175" s="4" t="s">
        <v>46</v>
      </c>
      <c r="J175" s="4">
        <v>1.7</v>
      </c>
      <c r="K175" s="4">
        <v>6</v>
      </c>
      <c r="L175" s="4">
        <v>10100</v>
      </c>
      <c r="M175" s="4">
        <v>6186</v>
      </c>
      <c r="N175" s="4">
        <v>10516.2</v>
      </c>
      <c r="O175" s="4">
        <v>-38.75</v>
      </c>
      <c r="P175" s="4">
        <v>0</v>
      </c>
      <c r="Q175" s="4" t="s">
        <v>1097</v>
      </c>
      <c r="R175" s="4">
        <v>0</v>
      </c>
      <c r="S175" s="4" t="s">
        <v>86</v>
      </c>
      <c r="T175" s="4" t="s">
        <v>1098</v>
      </c>
      <c r="U175" s="4" t="s">
        <v>106</v>
      </c>
      <c r="V175" s="4" t="s">
        <v>86</v>
      </c>
      <c r="W175" s="4" t="s">
        <v>352</v>
      </c>
      <c r="X175" s="4" t="s">
        <v>86</v>
      </c>
      <c r="Y175" s="4" t="s">
        <v>89</v>
      </c>
      <c r="Z175" s="4" t="s">
        <v>89</v>
      </c>
      <c r="AA175" s="4" t="s">
        <v>119</v>
      </c>
      <c r="AB175" s="4" t="s">
        <v>86</v>
      </c>
      <c r="AC175" s="4" t="s">
        <v>1099</v>
      </c>
      <c r="AD175" s="4">
        <v>68.6</v>
      </c>
      <c r="AE175" s="4">
        <v>62</v>
      </c>
      <c r="AF175" s="4" t="s">
        <v>91</v>
      </c>
      <c r="AG175" s="4">
        <v>3.7</v>
      </c>
      <c r="AH175" s="4">
        <v>36</v>
      </c>
      <c r="AI175" s="4" t="s">
        <v>86</v>
      </c>
      <c r="AJ175" s="4">
        <v>1.04</v>
      </c>
      <c r="AK175" s="4" t="s">
        <v>111</v>
      </c>
      <c r="AL175" s="4" t="s">
        <v>93</v>
      </c>
      <c r="AM175" s="4" t="s">
        <v>93</v>
      </c>
      <c r="AN175" s="4" t="s">
        <v>307</v>
      </c>
      <c r="AO175" s="4" t="s">
        <v>94</v>
      </c>
      <c r="AP175" s="4" t="s">
        <v>95</v>
      </c>
      <c r="AQ175" s="4">
        <v>13.9</v>
      </c>
      <c r="AR175" s="4">
        <v>50.7</v>
      </c>
      <c r="AS175" s="4">
        <v>38.8</v>
      </c>
      <c r="AT175" s="4" t="s">
        <v>96</v>
      </c>
      <c r="AU175" s="4" t="s">
        <v>86</v>
      </c>
      <c r="AV175" s="4" t="s">
        <v>86</v>
      </c>
      <c r="AW175" s="4" t="s">
        <v>86</v>
      </c>
      <c r="AX175" s="4" t="s">
        <v>86</v>
      </c>
      <c r="AY175" s="4" t="s">
        <v>86</v>
      </c>
      <c r="AZ175" s="4" t="s">
        <v>86</v>
      </c>
      <c r="BA175" s="4" t="s">
        <v>86</v>
      </c>
      <c r="BB175" s="4" t="s">
        <v>86</v>
      </c>
      <c r="BC175" s="4" t="s">
        <v>86</v>
      </c>
      <c r="BD175" s="4" t="s">
        <v>86</v>
      </c>
      <c r="BE175" s="4" t="s">
        <v>86</v>
      </c>
      <c r="BF175" s="4" t="s">
        <v>86</v>
      </c>
      <c r="BG175" s="4" t="s">
        <v>86</v>
      </c>
      <c r="BH175" s="4" t="s">
        <v>215</v>
      </c>
      <c r="BI175" s="4" t="s">
        <v>459</v>
      </c>
      <c r="BJ175" s="4" t="s">
        <v>87</v>
      </c>
      <c r="BK175" s="4">
        <v>0</v>
      </c>
      <c r="BL175" s="4">
        <v>0</v>
      </c>
      <c r="BM175" s="4" t="s">
        <v>398</v>
      </c>
      <c r="BN175" s="4" t="s">
        <v>1100</v>
      </c>
      <c r="BO175" s="4" t="s">
        <v>485</v>
      </c>
      <c r="BP175" s="4" t="s">
        <v>86</v>
      </c>
      <c r="BQ175" s="4" t="s">
        <v>86</v>
      </c>
      <c r="BR175" s="4" t="s">
        <v>86</v>
      </c>
      <c r="BS175" s="4" t="s">
        <v>86</v>
      </c>
      <c r="BT175" s="4" t="s">
        <v>86</v>
      </c>
      <c r="BU175" s="4" t="s">
        <v>163</v>
      </c>
      <c r="BV175" s="4" t="s">
        <v>86</v>
      </c>
      <c r="BW175" s="4" t="s">
        <v>101</v>
      </c>
      <c r="BX175" s="4" t="s">
        <v>414</v>
      </c>
      <c r="BY175" s="4" t="s">
        <v>86</v>
      </c>
      <c r="BZ175" s="4" t="s">
        <v>1101</v>
      </c>
      <c r="CA175" s="4" t="s">
        <v>297</v>
      </c>
      <c r="CB175" s="4" t="s">
        <v>166</v>
      </c>
      <c r="CC175" s="4" t="s">
        <v>86</v>
      </c>
      <c r="CD175" s="4" t="s">
        <v>86</v>
      </c>
      <c r="CE175" s="4" t="s">
        <v>86</v>
      </c>
    </row>
    <row r="176">
      <c r="A176" s="1">
        <v>174</v>
      </c>
      <c r="B176" s="1" t="s">
        <v>395</v>
      </c>
      <c r="C176" s="2">
        <f>=HYPERLINK("https://i.stonehdfile.com/stoneimage?s=2c51a40a-9df5-4a67-a53e-ff19b54d7ea0","Image")</f>
      </c>
      <c r="D176" s="2">
        <f>=HYPERLINK("https://dna.stonehdfile.com/hd/viewhd.html?d=e2caed51-7292-47ac-932c-1af4891b989d","View360")</f>
      </c>
      <c r="E176" s="2">
        <f>=HYPERLINK("https://i.stonehdfile.com/Certificate?s=2c51a40a-9df5-4a67-a53e-ff19b54d7ea0","GIA")</f>
      </c>
      <c r="F176" s="2">
        <f>=HYPERLINK("https://i.stonehdfile.com/DNAReport?s=2c51a40a-9df5-4a67-a53e-ff19b54d7ea0","DNA")</f>
      </c>
      <c r="G176" s="2">
        <f>=HYPERLINK("https://www.gia.edu/report-check?reportno=******5174","Verify")</f>
      </c>
      <c r="H176" s="1" t="s">
        <v>1102</v>
      </c>
      <c r="I176" s="1" t="s">
        <v>46</v>
      </c>
      <c r="J176" s="1">
        <v>1.7</v>
      </c>
      <c r="K176" s="1">
        <v>3</v>
      </c>
      <c r="L176" s="1">
        <v>10100</v>
      </c>
      <c r="M176" s="1">
        <v>5938</v>
      </c>
      <c r="N176" s="1">
        <v>10094.6</v>
      </c>
      <c r="O176" s="1">
        <v>-41.21</v>
      </c>
      <c r="P176" s="1">
        <v>0</v>
      </c>
      <c r="Q176" s="1" t="s">
        <v>86</v>
      </c>
      <c r="R176" s="1">
        <v>0</v>
      </c>
      <c r="S176" s="1" t="s">
        <v>86</v>
      </c>
      <c r="T176" s="1" t="s">
        <v>86</v>
      </c>
      <c r="U176" s="1" t="s">
        <v>106</v>
      </c>
      <c r="V176" s="1" t="s">
        <v>86</v>
      </c>
      <c r="W176" s="1" t="s">
        <v>352</v>
      </c>
      <c r="X176" s="1" t="s">
        <v>86</v>
      </c>
      <c r="Y176" s="1" t="s">
        <v>89</v>
      </c>
      <c r="Z176" s="1" t="s">
        <v>89</v>
      </c>
      <c r="AA176" s="1" t="s">
        <v>119</v>
      </c>
      <c r="AB176" s="1" t="s">
        <v>86</v>
      </c>
      <c r="AC176" s="1" t="s">
        <v>1103</v>
      </c>
      <c r="AD176" s="1">
        <v>69.6</v>
      </c>
      <c r="AE176" s="1">
        <v>60</v>
      </c>
      <c r="AF176" s="1" t="s">
        <v>91</v>
      </c>
      <c r="AG176" s="1">
        <v>3.4</v>
      </c>
      <c r="AH176" s="1">
        <v>34</v>
      </c>
      <c r="AI176" s="1" t="s">
        <v>86</v>
      </c>
      <c r="AJ176" s="1">
        <v>1</v>
      </c>
      <c r="AK176" s="1" t="s">
        <v>190</v>
      </c>
      <c r="AL176" s="1" t="s">
        <v>93</v>
      </c>
      <c r="AM176" s="1" t="s">
        <v>128</v>
      </c>
      <c r="AN176" s="1" t="s">
        <v>171</v>
      </c>
      <c r="AO176" s="1" t="s">
        <v>94</v>
      </c>
      <c r="AP176" s="1" t="s">
        <v>95</v>
      </c>
      <c r="AQ176" s="1">
        <v>13.6</v>
      </c>
      <c r="AR176" s="1">
        <v>52.5</v>
      </c>
      <c r="AS176" s="1">
        <v>39.2</v>
      </c>
      <c r="AT176" s="1" t="s">
        <v>96</v>
      </c>
      <c r="AU176" s="1" t="s">
        <v>86</v>
      </c>
      <c r="AV176" s="1" t="s">
        <v>86</v>
      </c>
      <c r="AW176" s="1" t="s">
        <v>86</v>
      </c>
      <c r="AX176" s="1" t="s">
        <v>86</v>
      </c>
      <c r="AY176" s="1" t="s">
        <v>86</v>
      </c>
      <c r="AZ176" s="1" t="s">
        <v>86</v>
      </c>
      <c r="BA176" s="1" t="s">
        <v>86</v>
      </c>
      <c r="BB176" s="1" t="s">
        <v>86</v>
      </c>
      <c r="BC176" s="1" t="s">
        <v>86</v>
      </c>
      <c r="BD176" s="1" t="s">
        <v>86</v>
      </c>
      <c r="BE176" s="1" t="s">
        <v>86</v>
      </c>
      <c r="BF176" s="1" t="s">
        <v>86</v>
      </c>
      <c r="BG176" s="1" t="s">
        <v>86</v>
      </c>
      <c r="BH176" s="1" t="s">
        <v>97</v>
      </c>
      <c r="BI176" s="1" t="s">
        <v>191</v>
      </c>
      <c r="BJ176" s="1" t="s">
        <v>87</v>
      </c>
      <c r="BK176" s="1">
        <v>0</v>
      </c>
      <c r="BL176" s="1">
        <v>0</v>
      </c>
      <c r="BM176" s="1" t="s">
        <v>398</v>
      </c>
      <c r="BN176" s="1" t="s">
        <v>1104</v>
      </c>
      <c r="BO176" s="1" t="s">
        <v>529</v>
      </c>
      <c r="BP176" s="1" t="s">
        <v>86</v>
      </c>
      <c r="BQ176" s="1" t="s">
        <v>86</v>
      </c>
      <c r="BR176" s="1" t="s">
        <v>86</v>
      </c>
      <c r="BS176" s="1" t="s">
        <v>438</v>
      </c>
      <c r="BT176" s="1" t="s">
        <v>86</v>
      </c>
      <c r="BU176" s="1" t="s">
        <v>163</v>
      </c>
      <c r="BV176" s="1" t="s">
        <v>86</v>
      </c>
      <c r="BW176" s="1" t="s">
        <v>101</v>
      </c>
      <c r="BX176" s="1" t="s">
        <v>401</v>
      </c>
      <c r="BY176" s="1" t="s">
        <v>86</v>
      </c>
      <c r="BZ176" s="1" t="s">
        <v>1105</v>
      </c>
      <c r="CA176" s="1" t="s">
        <v>1106</v>
      </c>
      <c r="CB176" s="1" t="s">
        <v>1107</v>
      </c>
      <c r="CC176" s="1" t="s">
        <v>86</v>
      </c>
      <c r="CD176" s="1" t="s">
        <v>86</v>
      </c>
      <c r="CE176" s="1" t="s">
        <v>86</v>
      </c>
    </row>
    <row r="177">
      <c r="A177" s="1">
        <v>175</v>
      </c>
      <c r="B177" s="1" t="s">
        <v>395</v>
      </c>
      <c r="C177" s="2">
        <f>=HYPERLINK("https://i.stonehdfile.com/stoneimage?s=227a2d97-2c38-4792-a1a9-2161948ce575","Image")</f>
      </c>
      <c r="D177" s="2">
        <f>=HYPERLINK("https://dna.stonehdfile.com/hd/viewhd.html?d=0a45ea43-9d0a-4cb1-8c28-fa98b0025fcc","View360")</f>
      </c>
      <c r="E177" s="2">
        <f>=HYPERLINK("https://i.stonehdfile.com/Certificate?s=227a2d97-2c38-4792-a1a9-2161948ce575","GIA")</f>
      </c>
      <c r="F177" s="2">
        <f>=HYPERLINK("https://i.stonehdfile.com/DNAReport?s=227a2d97-2c38-4792-a1a9-2161948ce575","DNA")</f>
      </c>
      <c r="G177" s="2">
        <f>=HYPERLINK("https://www.gia.edu/report-check?reportno=******5618","Verify")</f>
      </c>
      <c r="H177" s="1" t="s">
        <v>1108</v>
      </c>
      <c r="I177" s="1" t="s">
        <v>46</v>
      </c>
      <c r="J177" s="1">
        <v>1.7</v>
      </c>
      <c r="K177" s="1">
        <v>8</v>
      </c>
      <c r="L177" s="1">
        <v>10100</v>
      </c>
      <c r="M177" s="1">
        <v>5963</v>
      </c>
      <c r="N177" s="1">
        <v>10137.1</v>
      </c>
      <c r="O177" s="1">
        <v>-40.96</v>
      </c>
      <c r="P177" s="1">
        <v>0</v>
      </c>
      <c r="Q177" s="1" t="s">
        <v>86</v>
      </c>
      <c r="R177" s="1">
        <v>0</v>
      </c>
      <c r="S177" s="1" t="s">
        <v>86</v>
      </c>
      <c r="T177" s="1" t="s">
        <v>86</v>
      </c>
      <c r="U177" s="1" t="s">
        <v>106</v>
      </c>
      <c r="V177" s="1" t="s">
        <v>86</v>
      </c>
      <c r="W177" s="1" t="s">
        <v>223</v>
      </c>
      <c r="X177" s="1" t="s">
        <v>86</v>
      </c>
      <c r="Y177" s="1" t="s">
        <v>89</v>
      </c>
      <c r="Z177" s="1" t="s">
        <v>89</v>
      </c>
      <c r="AA177" s="1" t="s">
        <v>119</v>
      </c>
      <c r="AB177" s="1" t="s">
        <v>86</v>
      </c>
      <c r="AC177" s="1" t="s">
        <v>1109</v>
      </c>
      <c r="AD177" s="1">
        <v>68.4</v>
      </c>
      <c r="AE177" s="1">
        <v>64</v>
      </c>
      <c r="AF177" s="1" t="s">
        <v>91</v>
      </c>
      <c r="AG177" s="1">
        <v>2.1</v>
      </c>
      <c r="AH177" s="1">
        <v>34.4</v>
      </c>
      <c r="AI177" s="1" t="s">
        <v>86</v>
      </c>
      <c r="AJ177" s="1">
        <v>1.09</v>
      </c>
      <c r="AK177" s="1" t="s">
        <v>111</v>
      </c>
      <c r="AL177" s="1" t="s">
        <v>93</v>
      </c>
      <c r="AM177" s="1" t="s">
        <v>140</v>
      </c>
      <c r="AN177" s="1" t="s">
        <v>171</v>
      </c>
      <c r="AO177" s="1" t="s">
        <v>94</v>
      </c>
      <c r="AP177" s="1" t="s">
        <v>95</v>
      </c>
      <c r="AQ177" s="1">
        <v>12.3</v>
      </c>
      <c r="AR177" s="1">
        <v>53.8</v>
      </c>
      <c r="AS177" s="1">
        <v>40.8</v>
      </c>
      <c r="AT177" s="1" t="s">
        <v>96</v>
      </c>
      <c r="AU177" s="1" t="s">
        <v>86</v>
      </c>
      <c r="AV177" s="1" t="s">
        <v>86</v>
      </c>
      <c r="AW177" s="1" t="s">
        <v>86</v>
      </c>
      <c r="AX177" s="1" t="s">
        <v>86</v>
      </c>
      <c r="AY177" s="1" t="s">
        <v>86</v>
      </c>
      <c r="AZ177" s="1" t="s">
        <v>86</v>
      </c>
      <c r="BA177" s="1" t="s">
        <v>86</v>
      </c>
      <c r="BB177" s="1" t="s">
        <v>86</v>
      </c>
      <c r="BC177" s="1" t="s">
        <v>86</v>
      </c>
      <c r="BD177" s="1" t="s">
        <v>86</v>
      </c>
      <c r="BE177" s="1" t="s">
        <v>86</v>
      </c>
      <c r="BF177" s="1" t="s">
        <v>282</v>
      </c>
      <c r="BG177" s="1" t="s">
        <v>86</v>
      </c>
      <c r="BH177" s="1" t="s">
        <v>142</v>
      </c>
      <c r="BI177" s="1" t="s">
        <v>516</v>
      </c>
      <c r="BJ177" s="1" t="s">
        <v>87</v>
      </c>
      <c r="BK177" s="1">
        <v>0</v>
      </c>
      <c r="BL177" s="1">
        <v>0</v>
      </c>
      <c r="BM177" s="1" t="s">
        <v>398</v>
      </c>
      <c r="BN177" s="1" t="s">
        <v>1110</v>
      </c>
      <c r="BO177" s="1" t="s">
        <v>529</v>
      </c>
      <c r="BP177" s="1" t="s">
        <v>86</v>
      </c>
      <c r="BQ177" s="1" t="s">
        <v>86</v>
      </c>
      <c r="BR177" s="1" t="s">
        <v>86</v>
      </c>
      <c r="BS177" s="1" t="s">
        <v>86</v>
      </c>
      <c r="BT177" s="1" t="s">
        <v>86</v>
      </c>
      <c r="BU177" s="1" t="s">
        <v>163</v>
      </c>
      <c r="BV177" s="1" t="s">
        <v>86</v>
      </c>
      <c r="BW177" s="1" t="s">
        <v>101</v>
      </c>
      <c r="BX177" s="1" t="s">
        <v>867</v>
      </c>
      <c r="BY177" s="1" t="s">
        <v>86</v>
      </c>
      <c r="BZ177" s="1" t="s">
        <v>1111</v>
      </c>
      <c r="CA177" s="1" t="s">
        <v>220</v>
      </c>
      <c r="CB177" s="1" t="s">
        <v>464</v>
      </c>
      <c r="CC177" s="1" t="s">
        <v>86</v>
      </c>
      <c r="CD177" s="1" t="s">
        <v>86</v>
      </c>
      <c r="CE177" s="1" t="s">
        <v>86</v>
      </c>
    </row>
    <row r="178">
      <c r="A178" s="1">
        <v>176</v>
      </c>
      <c r="B178" s="1" t="s">
        <v>395</v>
      </c>
      <c r="C178" s="2">
        <f>=HYPERLINK("https://i.stonehdfile.com/stoneimage?s=3ccce694-ef11-43d5-869d-3eb14e7e3ada","Image")</f>
      </c>
      <c r="D178" s="2">
        <f>=HYPERLINK("https://dna.stonehdfile.com/hd/viewhd.html?d=2b4317b3-115b-43aa-a9ac-750662ef878e","View360")</f>
      </c>
      <c r="E178" s="2">
        <f>=HYPERLINK("https://i.stonehdfile.com/Certificate?s=3ccce694-ef11-43d5-869d-3eb14e7e3ada","GIA")</f>
      </c>
      <c r="F178" s="2">
        <f>=HYPERLINK("https://i.stonehdfile.com/DNAReport?s=3ccce694-ef11-43d5-869d-3eb14e7e3ada","DNA")</f>
      </c>
      <c r="G178" s="2">
        <f>=HYPERLINK("https://www.gia.edu/report-check?reportno=******4844","Verify")</f>
      </c>
      <c r="H178" s="1" t="s">
        <v>1112</v>
      </c>
      <c r="I178" s="1" t="s">
        <v>46</v>
      </c>
      <c r="J178" s="1">
        <v>1.7</v>
      </c>
      <c r="K178" s="1">
        <v>5</v>
      </c>
      <c r="L178" s="1">
        <v>8600</v>
      </c>
      <c r="M178" s="1">
        <v>3897</v>
      </c>
      <c r="N178" s="1">
        <v>6624.9</v>
      </c>
      <c r="O178" s="1">
        <v>-54.69</v>
      </c>
      <c r="P178" s="1">
        <v>0</v>
      </c>
      <c r="Q178" s="1" t="s">
        <v>86</v>
      </c>
      <c r="R178" s="1">
        <v>0</v>
      </c>
      <c r="S178" s="1" t="s">
        <v>86</v>
      </c>
      <c r="T178" s="1" t="s">
        <v>86</v>
      </c>
      <c r="U178" s="1" t="s">
        <v>106</v>
      </c>
      <c r="V178" s="1" t="s">
        <v>86</v>
      </c>
      <c r="W178" s="1" t="s">
        <v>137</v>
      </c>
      <c r="X178" s="1" t="s">
        <v>86</v>
      </c>
      <c r="Y178" s="1" t="s">
        <v>89</v>
      </c>
      <c r="Z178" s="1" t="s">
        <v>89</v>
      </c>
      <c r="AA178" s="1" t="s">
        <v>119</v>
      </c>
      <c r="AB178" s="1" t="s">
        <v>86</v>
      </c>
      <c r="AC178" s="1" t="s">
        <v>1113</v>
      </c>
      <c r="AD178" s="1">
        <v>71.6</v>
      </c>
      <c r="AE178" s="1">
        <v>59</v>
      </c>
      <c r="AF178" s="1" t="s">
        <v>91</v>
      </c>
      <c r="AG178" s="1">
        <v>4.1</v>
      </c>
      <c r="AH178" s="1">
        <v>36.7</v>
      </c>
      <c r="AI178" s="1" t="s">
        <v>86</v>
      </c>
      <c r="AJ178" s="1">
        <v>1</v>
      </c>
      <c r="AK178" s="1" t="s">
        <v>111</v>
      </c>
      <c r="AL178" s="1" t="s">
        <v>93</v>
      </c>
      <c r="AM178" s="1" t="s">
        <v>128</v>
      </c>
      <c r="AN178" s="1" t="s">
        <v>171</v>
      </c>
      <c r="AO178" s="1" t="s">
        <v>94</v>
      </c>
      <c r="AP178" s="1" t="s">
        <v>95</v>
      </c>
      <c r="AQ178" s="1">
        <v>15.4</v>
      </c>
      <c r="AR178" s="1">
        <v>51.5</v>
      </c>
      <c r="AS178" s="1">
        <v>39.5</v>
      </c>
      <c r="AT178" s="1" t="s">
        <v>96</v>
      </c>
      <c r="AU178" s="1" t="s">
        <v>141</v>
      </c>
      <c r="AV178" s="1" t="s">
        <v>86</v>
      </c>
      <c r="AW178" s="1" t="s">
        <v>86</v>
      </c>
      <c r="AX178" s="1" t="s">
        <v>86</v>
      </c>
      <c r="AY178" s="1" t="s">
        <v>86</v>
      </c>
      <c r="AZ178" s="1" t="s">
        <v>86</v>
      </c>
      <c r="BA178" s="1" t="s">
        <v>86</v>
      </c>
      <c r="BB178" s="1" t="s">
        <v>86</v>
      </c>
      <c r="BC178" s="1" t="s">
        <v>86</v>
      </c>
      <c r="BD178" s="1" t="s">
        <v>86</v>
      </c>
      <c r="BE178" s="1" t="s">
        <v>86</v>
      </c>
      <c r="BF178" s="1" t="s">
        <v>86</v>
      </c>
      <c r="BG178" s="1" t="s">
        <v>86</v>
      </c>
      <c r="BH178" s="1" t="s">
        <v>129</v>
      </c>
      <c r="BI178" s="1" t="s">
        <v>341</v>
      </c>
      <c r="BJ178" s="1" t="s">
        <v>87</v>
      </c>
      <c r="BK178" s="1">
        <v>0</v>
      </c>
      <c r="BL178" s="1">
        <v>0</v>
      </c>
      <c r="BM178" s="1" t="s">
        <v>398</v>
      </c>
      <c r="BN178" s="1" t="s">
        <v>1114</v>
      </c>
      <c r="BO178" s="1" t="s">
        <v>1115</v>
      </c>
      <c r="BP178" s="1" t="s">
        <v>86</v>
      </c>
      <c r="BQ178" s="1" t="s">
        <v>86</v>
      </c>
      <c r="BR178" s="1" t="s">
        <v>86</v>
      </c>
      <c r="BS178" s="1" t="s">
        <v>86</v>
      </c>
      <c r="BT178" s="1" t="s">
        <v>86</v>
      </c>
      <c r="BU178" s="1" t="s">
        <v>163</v>
      </c>
      <c r="BV178" s="1" t="s">
        <v>86</v>
      </c>
      <c r="BW178" s="1" t="s">
        <v>101</v>
      </c>
      <c r="BX178" s="1" t="s">
        <v>439</v>
      </c>
      <c r="BY178" s="1" t="s">
        <v>86</v>
      </c>
      <c r="BZ178" s="1" t="s">
        <v>1116</v>
      </c>
      <c r="CA178" s="1" t="s">
        <v>229</v>
      </c>
      <c r="CB178" s="1" t="s">
        <v>166</v>
      </c>
      <c r="CC178" s="1" t="s">
        <v>86</v>
      </c>
      <c r="CD178" s="1" t="s">
        <v>86</v>
      </c>
      <c r="CE178" s="1" t="s">
        <v>86</v>
      </c>
    </row>
    <row r="179">
      <c r="A179" s="1">
        <v>177</v>
      </c>
      <c r="B179" s="1" t="s">
        <v>395</v>
      </c>
      <c r="C179" s="2">
        <f>=HYPERLINK("https://i.stonehdfile.com/stoneimage?s=3ed995d5-3ff3-4a58-ae7f-cd5f29e2864b","Image")</f>
      </c>
      <c r="D179" s="2">
        <f>=HYPERLINK("https://dna.stonehdfile.com/hd/viewhd.html?d=fc0f3d16-3ba6-46ca-af7c-12c797105455","View360")</f>
      </c>
      <c r="E179" s="2">
        <f>=HYPERLINK("https://i.stonehdfile.com/Certificate?s=3ed995d5-3ff3-4a58-ae7f-cd5f29e2864b","GIA")</f>
      </c>
      <c r="F179" s="2">
        <f>=HYPERLINK("https://i.stonehdfile.com/DNAReport?s=3ed995d5-3ff3-4a58-ae7f-cd5f29e2864b","DNA")</f>
      </c>
      <c r="G179" s="2">
        <f>=HYPERLINK("https://www.gia.edu/report-check?reportno=******2959","Verify")</f>
      </c>
      <c r="H179" s="1" t="s">
        <v>1117</v>
      </c>
      <c r="I179" s="1" t="s">
        <v>46</v>
      </c>
      <c r="J179" s="1">
        <v>1.7</v>
      </c>
      <c r="K179" s="1">
        <v>8</v>
      </c>
      <c r="L179" s="1">
        <v>8600</v>
      </c>
      <c r="M179" s="1">
        <v>4041</v>
      </c>
      <c r="N179" s="1">
        <v>6869.7</v>
      </c>
      <c r="O179" s="1">
        <v>-53.01</v>
      </c>
      <c r="P179" s="1">
        <v>0</v>
      </c>
      <c r="Q179" s="1" t="s">
        <v>86</v>
      </c>
      <c r="R179" s="1">
        <v>0</v>
      </c>
      <c r="S179" s="1" t="s">
        <v>86</v>
      </c>
      <c r="T179" s="1" t="s">
        <v>86</v>
      </c>
      <c r="U179" s="1" t="s">
        <v>106</v>
      </c>
      <c r="V179" s="1" t="s">
        <v>86</v>
      </c>
      <c r="W179" s="1" t="s">
        <v>137</v>
      </c>
      <c r="X179" s="1" t="s">
        <v>86</v>
      </c>
      <c r="Y179" s="1" t="s">
        <v>89</v>
      </c>
      <c r="Z179" s="1" t="s">
        <v>89</v>
      </c>
      <c r="AA179" s="1" t="s">
        <v>119</v>
      </c>
      <c r="AB179" s="1" t="s">
        <v>86</v>
      </c>
      <c r="AC179" s="1" t="s">
        <v>1118</v>
      </c>
      <c r="AD179" s="1">
        <v>71.5</v>
      </c>
      <c r="AE179" s="1">
        <v>67</v>
      </c>
      <c r="AF179" s="1" t="s">
        <v>91</v>
      </c>
      <c r="AG179" s="1">
        <v>5</v>
      </c>
      <c r="AH179" s="1">
        <v>34.9</v>
      </c>
      <c r="AI179" s="1" t="s">
        <v>86</v>
      </c>
      <c r="AJ179" s="1">
        <v>1.2</v>
      </c>
      <c r="AK179" s="1" t="s">
        <v>198</v>
      </c>
      <c r="AL179" s="1" t="s">
        <v>93</v>
      </c>
      <c r="AM179" s="1" t="s">
        <v>128</v>
      </c>
      <c r="AN179" s="1" t="s">
        <v>171</v>
      </c>
      <c r="AO179" s="1" t="s">
        <v>94</v>
      </c>
      <c r="AP179" s="1" t="s">
        <v>95</v>
      </c>
      <c r="AQ179" s="1">
        <v>11.4</v>
      </c>
      <c r="AR179" s="1">
        <v>54.3</v>
      </c>
      <c r="AS179" s="1">
        <v>39.7</v>
      </c>
      <c r="AT179" s="1" t="s">
        <v>96</v>
      </c>
      <c r="AU179" s="1" t="s">
        <v>86</v>
      </c>
      <c r="AV179" s="1" t="s">
        <v>86</v>
      </c>
      <c r="AW179" s="1" t="s">
        <v>86</v>
      </c>
      <c r="AX179" s="1" t="s">
        <v>86</v>
      </c>
      <c r="AY179" s="1" t="s">
        <v>86</v>
      </c>
      <c r="AZ179" s="1" t="s">
        <v>86</v>
      </c>
      <c r="BA179" s="1" t="s">
        <v>86</v>
      </c>
      <c r="BB179" s="1" t="s">
        <v>86</v>
      </c>
      <c r="BC179" s="1" t="s">
        <v>86</v>
      </c>
      <c r="BD179" s="1" t="s">
        <v>86</v>
      </c>
      <c r="BE179" s="1" t="s">
        <v>86</v>
      </c>
      <c r="BF179" s="1" t="s">
        <v>86</v>
      </c>
      <c r="BG179" s="1" t="s">
        <v>86</v>
      </c>
      <c r="BH179" s="1" t="s">
        <v>243</v>
      </c>
      <c r="BI179" s="1" t="s">
        <v>1119</v>
      </c>
      <c r="BJ179" s="1" t="s">
        <v>87</v>
      </c>
      <c r="BK179" s="1">
        <v>0</v>
      </c>
      <c r="BL179" s="1">
        <v>0</v>
      </c>
      <c r="BM179" s="1" t="s">
        <v>398</v>
      </c>
      <c r="BN179" s="1" t="s">
        <v>1120</v>
      </c>
      <c r="BO179" s="1" t="s">
        <v>1121</v>
      </c>
      <c r="BP179" s="1" t="s">
        <v>86</v>
      </c>
      <c r="BQ179" s="1" t="s">
        <v>86</v>
      </c>
      <c r="BR179" s="1" t="s">
        <v>86</v>
      </c>
      <c r="BS179" s="1" t="s">
        <v>86</v>
      </c>
      <c r="BT179" s="1" t="s">
        <v>86</v>
      </c>
      <c r="BU179" s="1" t="s">
        <v>163</v>
      </c>
      <c r="BV179" s="1" t="s">
        <v>86</v>
      </c>
      <c r="BW179" s="1" t="s">
        <v>101</v>
      </c>
      <c r="BX179" s="1" t="s">
        <v>565</v>
      </c>
      <c r="BY179" s="1" t="s">
        <v>86</v>
      </c>
      <c r="BZ179" s="1" t="s">
        <v>1122</v>
      </c>
      <c r="CA179" s="1" t="s">
        <v>769</v>
      </c>
      <c r="CB179" s="1" t="s">
        <v>166</v>
      </c>
      <c r="CC179" s="1" t="s">
        <v>86</v>
      </c>
      <c r="CD179" s="1" t="s">
        <v>86</v>
      </c>
      <c r="CE179" s="1" t="s">
        <v>86</v>
      </c>
    </row>
    <row r="180">
      <c r="A180" s="1">
        <v>178</v>
      </c>
      <c r="B180" s="1" t="s">
        <v>395</v>
      </c>
      <c r="C180" s="2">
        <f>=HYPERLINK("https://i.stonehdfile.com/stoneimage?s=5c761aec-cba8-439e-88c4-e2bf32ee7652","Image")</f>
      </c>
      <c r="D180" s="2">
        <f>=HYPERLINK("https://dna.stonehdfile.com/hd/viewhd.html?d=7a8ccc23-b0bf-4823-b310-850160931c83","View360")</f>
      </c>
      <c r="E180" s="2">
        <f>=HYPERLINK("https://i.stonehdfile.com/Certificate?s=5c761aec-cba8-439e-88c4-e2bf32ee7652","GIA")</f>
      </c>
      <c r="F180" s="2">
        <f>=HYPERLINK("https://i.stonehdfile.com/DNAReport?s=5c761aec-cba8-439e-88c4-e2bf32ee7652","DNA")</f>
      </c>
      <c r="G180" s="2">
        <f>=HYPERLINK("https://www.gia.edu/report-check?reportno=******3997","Verify")</f>
      </c>
      <c r="H180" s="1" t="s">
        <v>1123</v>
      </c>
      <c r="I180" s="1" t="s">
        <v>46</v>
      </c>
      <c r="J180" s="1">
        <v>1.7</v>
      </c>
      <c r="K180" s="1">
        <v>0</v>
      </c>
      <c r="L180" s="1">
        <v>8600</v>
      </c>
      <c r="M180" s="1">
        <v>4133</v>
      </c>
      <c r="N180" s="1">
        <v>7026.1</v>
      </c>
      <c r="O180" s="1">
        <v>-51.94</v>
      </c>
      <c r="P180" s="1">
        <v>0</v>
      </c>
      <c r="Q180" s="1" t="s">
        <v>86</v>
      </c>
      <c r="R180" s="1">
        <v>0</v>
      </c>
      <c r="S180" s="1" t="s">
        <v>86</v>
      </c>
      <c r="T180" s="1" t="s">
        <v>86</v>
      </c>
      <c r="U180" s="1" t="s">
        <v>241</v>
      </c>
      <c r="V180" s="1" t="s">
        <v>86</v>
      </c>
      <c r="W180" s="1" t="s">
        <v>137</v>
      </c>
      <c r="X180" s="1" t="s">
        <v>86</v>
      </c>
      <c r="Y180" s="1" t="s">
        <v>89</v>
      </c>
      <c r="Z180" s="1" t="s">
        <v>89</v>
      </c>
      <c r="AA180" s="1" t="s">
        <v>119</v>
      </c>
      <c r="AB180" s="1" t="s">
        <v>86</v>
      </c>
      <c r="AC180" s="1" t="s">
        <v>1124</v>
      </c>
      <c r="AD180" s="1">
        <v>69.3</v>
      </c>
      <c r="AE180" s="1">
        <v>65</v>
      </c>
      <c r="AF180" s="1" t="s">
        <v>91</v>
      </c>
      <c r="AG180" s="1">
        <v>3.2</v>
      </c>
      <c r="AH180" s="1">
        <v>35.3</v>
      </c>
      <c r="AI180" s="1" t="s">
        <v>86</v>
      </c>
      <c r="AJ180" s="1">
        <v>1.09</v>
      </c>
      <c r="AK180" s="1" t="s">
        <v>111</v>
      </c>
      <c r="AL180" s="1" t="s">
        <v>93</v>
      </c>
      <c r="AM180" s="1" t="s">
        <v>128</v>
      </c>
      <c r="AN180" s="1" t="s">
        <v>171</v>
      </c>
      <c r="AO180" s="1" t="s">
        <v>208</v>
      </c>
      <c r="AP180" s="1" t="s">
        <v>95</v>
      </c>
      <c r="AQ180" s="1">
        <v>12.4</v>
      </c>
      <c r="AR180" s="1">
        <v>53.3</v>
      </c>
      <c r="AS180" s="1">
        <v>37.8</v>
      </c>
      <c r="AT180" s="1" t="s">
        <v>96</v>
      </c>
      <c r="AU180" s="1" t="s">
        <v>86</v>
      </c>
      <c r="AV180" s="1" t="s">
        <v>86</v>
      </c>
      <c r="AW180" s="1" t="s">
        <v>86</v>
      </c>
      <c r="AX180" s="1" t="s">
        <v>86</v>
      </c>
      <c r="AY180" s="1" t="s">
        <v>86</v>
      </c>
      <c r="AZ180" s="1" t="s">
        <v>86</v>
      </c>
      <c r="BA180" s="1" t="s">
        <v>86</v>
      </c>
      <c r="BB180" s="1" t="s">
        <v>86</v>
      </c>
      <c r="BC180" s="1" t="s">
        <v>86</v>
      </c>
      <c r="BD180" s="1" t="s">
        <v>86</v>
      </c>
      <c r="BE180" s="1" t="s">
        <v>86</v>
      </c>
      <c r="BF180" s="1" t="s">
        <v>282</v>
      </c>
      <c r="BG180" s="1" t="s">
        <v>86</v>
      </c>
      <c r="BH180" s="1" t="s">
        <v>173</v>
      </c>
      <c r="BI180" s="1" t="s">
        <v>199</v>
      </c>
      <c r="BJ180" s="1" t="s">
        <v>87</v>
      </c>
      <c r="BK180" s="1">
        <v>0</v>
      </c>
      <c r="BL180" s="1">
        <v>0</v>
      </c>
      <c r="BM180" s="1" t="s">
        <v>86</v>
      </c>
      <c r="BN180" s="1" t="s">
        <v>1125</v>
      </c>
      <c r="BO180" s="1" t="s">
        <v>252</v>
      </c>
      <c r="BP180" s="1" t="s">
        <v>86</v>
      </c>
      <c r="BQ180" s="1" t="s">
        <v>86</v>
      </c>
      <c r="BR180" s="1" t="s">
        <v>86</v>
      </c>
      <c r="BS180" s="1" t="s">
        <v>86</v>
      </c>
      <c r="BT180" s="1" t="s">
        <v>86</v>
      </c>
      <c r="BU180" s="1" t="s">
        <v>163</v>
      </c>
      <c r="BV180" s="1" t="s">
        <v>86</v>
      </c>
      <c r="BW180" s="1" t="s">
        <v>101</v>
      </c>
      <c r="BX180" s="1" t="s">
        <v>414</v>
      </c>
      <c r="BY180" s="1" t="s">
        <v>86</v>
      </c>
      <c r="BZ180" s="1" t="s">
        <v>1126</v>
      </c>
      <c r="CA180" s="1" t="s">
        <v>1127</v>
      </c>
      <c r="CB180" s="1" t="s">
        <v>1128</v>
      </c>
      <c r="CC180" s="1" t="s">
        <v>86</v>
      </c>
      <c r="CD180" s="1" t="s">
        <v>86</v>
      </c>
      <c r="CE180" s="1" t="s">
        <v>86</v>
      </c>
    </row>
    <row r="181">
      <c r="A181" s="1">
        <v>179</v>
      </c>
      <c r="B181" s="1" t="s">
        <v>395</v>
      </c>
      <c r="C181" s="2">
        <f>=HYPERLINK("https://i.stonehdfile.com/stoneimage?s=fc55889d-e536-468e-a859-6526c2bd0f7c","Image")</f>
      </c>
      <c r="D181" s="2">
        <f>=HYPERLINK("https://dna.stonehdfile.com/hd/viewhd.html?d=de8c6cb7-d434-442e-abad-58129313eaff","View360")</f>
      </c>
      <c r="E181" s="2">
        <f>=HYPERLINK("https://i.stonehdfile.com/Certificate?s=fc55889d-e536-468e-a859-6526c2bd0f7c","GIA")</f>
      </c>
      <c r="F181" s="2">
        <f>=HYPERLINK("https://i.stonehdfile.com/DNAReport?s=fc55889d-e536-468e-a859-6526c2bd0f7c","DNA")</f>
      </c>
      <c r="G181" s="2">
        <f>=HYPERLINK("https://www.gia.edu/report-check?reportno=******5194","Verify")</f>
      </c>
      <c r="H181" s="1" t="s">
        <v>1129</v>
      </c>
      <c r="I181" s="1" t="s">
        <v>46</v>
      </c>
      <c r="J181" s="1">
        <v>1.7</v>
      </c>
      <c r="K181" s="1">
        <v>3</v>
      </c>
      <c r="L181" s="1">
        <v>8600</v>
      </c>
      <c r="M181" s="1">
        <v>4247</v>
      </c>
      <c r="N181" s="1">
        <v>7219.9</v>
      </c>
      <c r="O181" s="1">
        <v>-50.62</v>
      </c>
      <c r="P181" s="1">
        <v>0</v>
      </c>
      <c r="Q181" s="1" t="s">
        <v>86</v>
      </c>
      <c r="R181" s="1">
        <v>0</v>
      </c>
      <c r="S181" s="1" t="s">
        <v>86</v>
      </c>
      <c r="T181" s="1" t="s">
        <v>86</v>
      </c>
      <c r="U181" s="1" t="s">
        <v>106</v>
      </c>
      <c r="V181" s="1" t="s">
        <v>86</v>
      </c>
      <c r="W181" s="1" t="s">
        <v>137</v>
      </c>
      <c r="X181" s="1" t="s">
        <v>86</v>
      </c>
      <c r="Y181" s="1" t="s">
        <v>89</v>
      </c>
      <c r="Z181" s="1" t="s">
        <v>89</v>
      </c>
      <c r="AA181" s="1" t="s">
        <v>119</v>
      </c>
      <c r="AB181" s="1" t="s">
        <v>86</v>
      </c>
      <c r="AC181" s="1" t="s">
        <v>1130</v>
      </c>
      <c r="AD181" s="1">
        <v>71</v>
      </c>
      <c r="AE181" s="1">
        <v>60</v>
      </c>
      <c r="AF181" s="1" t="s">
        <v>91</v>
      </c>
      <c r="AG181" s="1">
        <v>4.2</v>
      </c>
      <c r="AH181" s="1">
        <v>36.8</v>
      </c>
      <c r="AI181" s="1" t="s">
        <v>86</v>
      </c>
      <c r="AJ181" s="1">
        <v>1.01</v>
      </c>
      <c r="AK181" s="1" t="s">
        <v>111</v>
      </c>
      <c r="AL181" s="1" t="s">
        <v>128</v>
      </c>
      <c r="AM181" s="1" t="s">
        <v>140</v>
      </c>
      <c r="AN181" s="1" t="s">
        <v>171</v>
      </c>
      <c r="AO181" s="1" t="s">
        <v>94</v>
      </c>
      <c r="AP181" s="1" t="s">
        <v>95</v>
      </c>
      <c r="AQ181" s="1">
        <v>14.8</v>
      </c>
      <c r="AR181" s="1">
        <v>51.9</v>
      </c>
      <c r="AS181" s="1">
        <v>38.9</v>
      </c>
      <c r="AT181" s="1" t="s">
        <v>96</v>
      </c>
      <c r="AU181" s="1" t="s">
        <v>86</v>
      </c>
      <c r="AV181" s="1" t="s">
        <v>86</v>
      </c>
      <c r="AW181" s="1" t="s">
        <v>86</v>
      </c>
      <c r="AX181" s="1" t="s">
        <v>86</v>
      </c>
      <c r="AY181" s="1" t="s">
        <v>86</v>
      </c>
      <c r="AZ181" s="1" t="s">
        <v>86</v>
      </c>
      <c r="BA181" s="1" t="s">
        <v>86</v>
      </c>
      <c r="BB181" s="1" t="s">
        <v>86</v>
      </c>
      <c r="BC181" s="1" t="s">
        <v>86</v>
      </c>
      <c r="BD181" s="1" t="s">
        <v>86</v>
      </c>
      <c r="BE181" s="1" t="s">
        <v>86</v>
      </c>
      <c r="BF181" s="1" t="s">
        <v>86</v>
      </c>
      <c r="BG181" s="1" t="s">
        <v>172</v>
      </c>
      <c r="BH181" s="1" t="s">
        <v>129</v>
      </c>
      <c r="BI181" s="1" t="s">
        <v>257</v>
      </c>
      <c r="BJ181" s="1" t="s">
        <v>87</v>
      </c>
      <c r="BK181" s="1">
        <v>0</v>
      </c>
      <c r="BL181" s="1">
        <v>0</v>
      </c>
      <c r="BM181" s="1" t="s">
        <v>86</v>
      </c>
      <c r="BN181" s="1" t="s">
        <v>1131</v>
      </c>
      <c r="BO181" s="1" t="s">
        <v>227</v>
      </c>
      <c r="BP181" s="1" t="s">
        <v>86</v>
      </c>
      <c r="BQ181" s="1" t="s">
        <v>86</v>
      </c>
      <c r="BR181" s="1" t="s">
        <v>86</v>
      </c>
      <c r="BS181" s="1" t="s">
        <v>86</v>
      </c>
      <c r="BT181" s="1" t="s">
        <v>86</v>
      </c>
      <c r="BU181" s="1" t="s">
        <v>163</v>
      </c>
      <c r="BV181" s="1" t="s">
        <v>86</v>
      </c>
      <c r="BW181" s="1" t="s">
        <v>101</v>
      </c>
      <c r="BX181" s="1" t="s">
        <v>565</v>
      </c>
      <c r="BY181" s="1" t="s">
        <v>86</v>
      </c>
      <c r="BZ181" s="1" t="s">
        <v>1132</v>
      </c>
      <c r="CA181" s="1" t="s">
        <v>229</v>
      </c>
      <c r="CB181" s="1" t="s">
        <v>179</v>
      </c>
      <c r="CC181" s="1" t="s">
        <v>86</v>
      </c>
      <c r="CD181" s="1" t="s">
        <v>86</v>
      </c>
      <c r="CE181" s="1" t="s">
        <v>86</v>
      </c>
    </row>
    <row r="182">
      <c r="A182" s="1">
        <v>180</v>
      </c>
      <c r="B182" s="1" t="s">
        <v>395</v>
      </c>
      <c r="C182" s="2">
        <f>=HYPERLINK("https://i.stonehdfile.com/stoneimage?s=f8ca54e3-5d17-4336-b4c5-f6e12c9711ab","Image")</f>
      </c>
      <c r="D182" s="2">
        <f>=HYPERLINK("https://dna.stonehdfile.com/hd/viewhd.html?d=c837d96a-ec72-4181-ba92-0b080cfd16ab","View360")</f>
      </c>
      <c r="E182" s="2">
        <f>=HYPERLINK("https://i.stonehdfile.com/Certificate?s=f8ca54e3-5d17-4336-b4c5-f6e12c9711ab","GIA")</f>
      </c>
      <c r="F182" s="2">
        <f>=HYPERLINK("https://i.stonehdfile.com/DNAReport?s=f8ca54e3-5d17-4336-b4c5-f6e12c9711ab","DNA")</f>
      </c>
      <c r="G182" s="2">
        <f>=HYPERLINK("https://www.gia.edu/report-check?reportno=******9824","Verify")</f>
      </c>
      <c r="H182" s="1" t="s">
        <v>1133</v>
      </c>
      <c r="I182" s="1" t="s">
        <v>46</v>
      </c>
      <c r="J182" s="1">
        <v>1.71</v>
      </c>
      <c r="K182" s="1">
        <v>0</v>
      </c>
      <c r="L182" s="1">
        <v>8600</v>
      </c>
      <c r="M182" s="1">
        <v>4224</v>
      </c>
      <c r="N182" s="1">
        <v>7223.04</v>
      </c>
      <c r="O182" s="1">
        <v>-50.88</v>
      </c>
      <c r="P182" s="1">
        <v>0</v>
      </c>
      <c r="Q182" s="1" t="s">
        <v>86</v>
      </c>
      <c r="R182" s="1">
        <v>0</v>
      </c>
      <c r="S182" s="1" t="s">
        <v>86</v>
      </c>
      <c r="T182" s="1" t="s">
        <v>86</v>
      </c>
      <c r="U182" s="1" t="s">
        <v>106</v>
      </c>
      <c r="V182" s="1" t="s">
        <v>86</v>
      </c>
      <c r="W182" s="1" t="s">
        <v>137</v>
      </c>
      <c r="X182" s="1" t="s">
        <v>86</v>
      </c>
      <c r="Y182" s="1" t="s">
        <v>89</v>
      </c>
      <c r="Z182" s="1" t="s">
        <v>89</v>
      </c>
      <c r="AA182" s="1" t="s">
        <v>87</v>
      </c>
      <c r="AB182" s="1" t="s">
        <v>86</v>
      </c>
      <c r="AC182" s="1" t="s">
        <v>1134</v>
      </c>
      <c r="AD182" s="1">
        <v>69.2</v>
      </c>
      <c r="AE182" s="1">
        <v>64</v>
      </c>
      <c r="AF182" s="1" t="s">
        <v>91</v>
      </c>
      <c r="AG182" s="1">
        <v>2.2</v>
      </c>
      <c r="AH182" s="1">
        <v>34.6</v>
      </c>
      <c r="AI182" s="1" t="s">
        <v>86</v>
      </c>
      <c r="AJ182" s="1">
        <v>1.11</v>
      </c>
      <c r="AK182" s="1" t="s">
        <v>198</v>
      </c>
      <c r="AL182" s="1" t="s">
        <v>93</v>
      </c>
      <c r="AM182" s="1" t="s">
        <v>128</v>
      </c>
      <c r="AN182" s="1" t="s">
        <v>168</v>
      </c>
      <c r="AO182" s="1" t="s">
        <v>208</v>
      </c>
      <c r="AP182" s="1" t="s">
        <v>95</v>
      </c>
      <c r="AQ182" s="1">
        <v>12.3</v>
      </c>
      <c r="AR182" s="1">
        <v>54</v>
      </c>
      <c r="AS182" s="1">
        <v>41.1</v>
      </c>
      <c r="AT182" s="1" t="s">
        <v>96</v>
      </c>
      <c r="AU182" s="1" t="s">
        <v>86</v>
      </c>
      <c r="AV182" s="1" t="s">
        <v>86</v>
      </c>
      <c r="AW182" s="1" t="s">
        <v>86</v>
      </c>
      <c r="AX182" s="1" t="s">
        <v>86</v>
      </c>
      <c r="AY182" s="1" t="s">
        <v>86</v>
      </c>
      <c r="AZ182" s="1" t="s">
        <v>86</v>
      </c>
      <c r="BA182" s="1" t="s">
        <v>86</v>
      </c>
      <c r="BB182" s="1" t="s">
        <v>86</v>
      </c>
      <c r="BC182" s="1" t="s">
        <v>86</v>
      </c>
      <c r="BD182" s="1" t="s">
        <v>86</v>
      </c>
      <c r="BE182" s="1" t="s">
        <v>86</v>
      </c>
      <c r="BF182" s="1" t="s">
        <v>86</v>
      </c>
      <c r="BG182" s="1" t="s">
        <v>86</v>
      </c>
      <c r="BH182" s="1" t="s">
        <v>142</v>
      </c>
      <c r="BI182" s="1" t="s">
        <v>420</v>
      </c>
      <c r="BJ182" s="1" t="s">
        <v>87</v>
      </c>
      <c r="BK182" s="1">
        <v>0</v>
      </c>
      <c r="BL182" s="1">
        <v>0</v>
      </c>
      <c r="BM182" s="1" t="s">
        <v>398</v>
      </c>
      <c r="BN182" s="1" t="s">
        <v>1135</v>
      </c>
      <c r="BO182" s="1" t="s">
        <v>1136</v>
      </c>
      <c r="BP182" s="1" t="s">
        <v>86</v>
      </c>
      <c r="BQ182" s="1" t="s">
        <v>86</v>
      </c>
      <c r="BR182" s="1" t="s">
        <v>86</v>
      </c>
      <c r="BS182" s="1" t="s">
        <v>86</v>
      </c>
      <c r="BT182" s="1" t="s">
        <v>86</v>
      </c>
      <c r="BU182" s="1" t="s">
        <v>163</v>
      </c>
      <c r="BV182" s="1" t="s">
        <v>86</v>
      </c>
      <c r="BW182" s="1" t="s">
        <v>101</v>
      </c>
      <c r="BX182" s="1" t="s">
        <v>423</v>
      </c>
      <c r="BY182" s="1" t="s">
        <v>86</v>
      </c>
      <c r="BZ182" s="1" t="s">
        <v>1137</v>
      </c>
      <c r="CA182" s="1" t="s">
        <v>195</v>
      </c>
      <c r="CB182" s="1" t="s">
        <v>269</v>
      </c>
      <c r="CC182" s="1" t="s">
        <v>86</v>
      </c>
      <c r="CD182" s="1" t="s">
        <v>86</v>
      </c>
      <c r="CE182" s="1" t="s">
        <v>86</v>
      </c>
    </row>
    <row r="183">
      <c r="A183" s="1">
        <v>181</v>
      </c>
      <c r="B183" s="1" t="s">
        <v>395</v>
      </c>
      <c r="C183" s="2">
        <f>=HYPERLINK("https://i.stonehdfile.com/stoneimage?s=a3840719-c090-458f-bfa7-280706126156","Image")</f>
      </c>
      <c r="D183" s="2">
        <f>=HYPERLINK("https://dna.stonehdfile.com/hd/viewhd.html?d=f9b4e646-7160-499c-8493-611a7cea4d64","View360")</f>
      </c>
      <c r="E183" s="2">
        <f>=HYPERLINK("https://i.stonehdfile.com/Certificate?s=a3840719-c090-458f-bfa7-280706126156","GIA")</f>
      </c>
      <c r="F183" s="2">
        <f>=HYPERLINK("https://i.stonehdfile.com/DNAReport?s=a3840719-c090-458f-bfa7-280706126156","DNA")</f>
      </c>
      <c r="G183" s="2">
        <f>=HYPERLINK("https://www.gia.edu/report-check?reportno=******3546","Verify")</f>
      </c>
      <c r="H183" s="1" t="s">
        <v>1138</v>
      </c>
      <c r="I183" s="1" t="s">
        <v>46</v>
      </c>
      <c r="J183" s="1">
        <v>1.73</v>
      </c>
      <c r="K183" s="1">
        <v>2</v>
      </c>
      <c r="L183" s="1">
        <v>8600</v>
      </c>
      <c r="M183" s="1">
        <v>3787</v>
      </c>
      <c r="N183" s="1">
        <v>6551.51</v>
      </c>
      <c r="O183" s="1">
        <v>-55.97</v>
      </c>
      <c r="P183" s="1">
        <v>0</v>
      </c>
      <c r="Q183" s="1" t="s">
        <v>86</v>
      </c>
      <c r="R183" s="1">
        <v>0</v>
      </c>
      <c r="S183" s="1" t="s">
        <v>86</v>
      </c>
      <c r="T183" s="1" t="s">
        <v>86</v>
      </c>
      <c r="U183" s="1" t="s">
        <v>106</v>
      </c>
      <c r="V183" s="1" t="s">
        <v>86</v>
      </c>
      <c r="W183" s="1" t="s">
        <v>137</v>
      </c>
      <c r="X183" s="1" t="s">
        <v>86</v>
      </c>
      <c r="Y183" s="1" t="s">
        <v>89</v>
      </c>
      <c r="Z183" s="1" t="s">
        <v>89</v>
      </c>
      <c r="AA183" s="1" t="s">
        <v>119</v>
      </c>
      <c r="AB183" s="1" t="s">
        <v>86</v>
      </c>
      <c r="AC183" s="1" t="s">
        <v>1139</v>
      </c>
      <c r="AD183" s="1">
        <v>69.3</v>
      </c>
      <c r="AE183" s="1">
        <v>62</v>
      </c>
      <c r="AF183" s="1" t="s">
        <v>91</v>
      </c>
      <c r="AG183" s="1">
        <v>3.9</v>
      </c>
      <c r="AH183" s="1">
        <v>36</v>
      </c>
      <c r="AI183" s="1" t="s">
        <v>86</v>
      </c>
      <c r="AJ183" s="1">
        <v>1.06</v>
      </c>
      <c r="AK183" s="1" t="s">
        <v>198</v>
      </c>
      <c r="AL183" s="1" t="s">
        <v>140</v>
      </c>
      <c r="AM183" s="1" t="s">
        <v>151</v>
      </c>
      <c r="AN183" s="1" t="s">
        <v>171</v>
      </c>
      <c r="AO183" s="1" t="s">
        <v>94</v>
      </c>
      <c r="AP183" s="1" t="s">
        <v>95</v>
      </c>
      <c r="AQ183" s="1">
        <v>13.9</v>
      </c>
      <c r="AR183" s="1">
        <v>50.9</v>
      </c>
      <c r="AS183" s="1">
        <v>38.2</v>
      </c>
      <c r="AT183" s="1" t="s">
        <v>96</v>
      </c>
      <c r="AU183" s="1" t="s">
        <v>86</v>
      </c>
      <c r="AV183" s="1" t="s">
        <v>86</v>
      </c>
      <c r="AW183" s="1" t="s">
        <v>86</v>
      </c>
      <c r="AX183" s="1" t="s">
        <v>86</v>
      </c>
      <c r="AY183" s="1" t="s">
        <v>86</v>
      </c>
      <c r="AZ183" s="1" t="s">
        <v>86</v>
      </c>
      <c r="BA183" s="1" t="s">
        <v>86</v>
      </c>
      <c r="BB183" s="1" t="s">
        <v>86</v>
      </c>
      <c r="BC183" s="1" t="s">
        <v>86</v>
      </c>
      <c r="BD183" s="1" t="s">
        <v>86</v>
      </c>
      <c r="BE183" s="1" t="s">
        <v>86</v>
      </c>
      <c r="BF183" s="1" t="s">
        <v>86</v>
      </c>
      <c r="BG183" s="1" t="s">
        <v>86</v>
      </c>
      <c r="BH183" s="1" t="s">
        <v>215</v>
      </c>
      <c r="BI183" s="1" t="s">
        <v>562</v>
      </c>
      <c r="BJ183" s="1" t="s">
        <v>87</v>
      </c>
      <c r="BK183" s="1">
        <v>0</v>
      </c>
      <c r="BL183" s="1">
        <v>0</v>
      </c>
      <c r="BM183" s="1" t="s">
        <v>398</v>
      </c>
      <c r="BN183" s="1" t="s">
        <v>1140</v>
      </c>
      <c r="BO183" s="1" t="s">
        <v>799</v>
      </c>
      <c r="BP183" s="1" t="s">
        <v>86</v>
      </c>
      <c r="BQ183" s="1" t="s">
        <v>86</v>
      </c>
      <c r="BR183" s="1" t="s">
        <v>86</v>
      </c>
      <c r="BS183" s="1" t="s">
        <v>86</v>
      </c>
      <c r="BT183" s="1" t="s">
        <v>86</v>
      </c>
      <c r="BU183" s="1" t="s">
        <v>163</v>
      </c>
      <c r="BV183" s="1" t="s">
        <v>86</v>
      </c>
      <c r="BW183" s="1" t="s">
        <v>101</v>
      </c>
      <c r="BX183" s="1" t="s">
        <v>565</v>
      </c>
      <c r="BY183" s="1" t="s">
        <v>86</v>
      </c>
      <c r="BZ183" s="1" t="s">
        <v>1141</v>
      </c>
      <c r="CA183" s="1" t="s">
        <v>297</v>
      </c>
      <c r="CB183" s="1" t="s">
        <v>166</v>
      </c>
      <c r="CC183" s="1" t="s">
        <v>86</v>
      </c>
      <c r="CD183" s="1" t="s">
        <v>86</v>
      </c>
      <c r="CE183" s="1" t="s">
        <v>86</v>
      </c>
    </row>
    <row r="184">
      <c r="A184" s="1">
        <v>182</v>
      </c>
      <c r="B184" s="1" t="s">
        <v>395</v>
      </c>
      <c r="C184" s="2">
        <f>=HYPERLINK("https://i.stonehdfile.com/stoneimage?s=dfe75fae-a29f-48d8-b955-9ddd474901ab","Image")</f>
      </c>
      <c r="D184" s="2">
        <f>=HYPERLINK("https://dna.stonehdfile.com/hd/viewhd.html?d=129aa946-734b-491d-a651-a8862a788779","View360")</f>
      </c>
      <c r="E184" s="2">
        <f>=HYPERLINK("https://i.stonehdfile.com/Certificate?s=dfe75fae-a29f-48d8-b955-9ddd474901ab","GIA")</f>
      </c>
      <c r="F184" s="2">
        <f>=HYPERLINK("https://i.stonehdfile.com/DNAReport?s=dfe75fae-a29f-48d8-b955-9ddd474901ab","DNA")</f>
      </c>
      <c r="G184" s="2">
        <f>=HYPERLINK("https://www.gia.edu/report-check?reportno=******8203","Verify")</f>
      </c>
      <c r="H184" s="1" t="s">
        <v>1142</v>
      </c>
      <c r="I184" s="1" t="s">
        <v>46</v>
      </c>
      <c r="J184" s="1">
        <v>1.7</v>
      </c>
      <c r="K184" s="1">
        <v>5</v>
      </c>
      <c r="L184" s="1">
        <v>9900</v>
      </c>
      <c r="M184" s="1">
        <v>5579</v>
      </c>
      <c r="N184" s="1">
        <v>9484.3</v>
      </c>
      <c r="O184" s="1">
        <v>-43.65</v>
      </c>
      <c r="P184" s="1">
        <v>0</v>
      </c>
      <c r="Q184" s="1" t="s">
        <v>86</v>
      </c>
      <c r="R184" s="1">
        <v>0</v>
      </c>
      <c r="S184" s="1" t="s">
        <v>86</v>
      </c>
      <c r="T184" s="1" t="s">
        <v>86</v>
      </c>
      <c r="U184" s="1" t="s">
        <v>375</v>
      </c>
      <c r="V184" s="1" t="s">
        <v>86</v>
      </c>
      <c r="W184" s="1" t="s">
        <v>88</v>
      </c>
      <c r="X184" s="1" t="s">
        <v>86</v>
      </c>
      <c r="Y184" s="1" t="s">
        <v>89</v>
      </c>
      <c r="Z184" s="1" t="s">
        <v>89</v>
      </c>
      <c r="AA184" s="1" t="s">
        <v>119</v>
      </c>
      <c r="AB184" s="1" t="s">
        <v>86</v>
      </c>
      <c r="AC184" s="1" t="s">
        <v>1143</v>
      </c>
      <c r="AD184" s="1">
        <v>69.3</v>
      </c>
      <c r="AE184" s="1">
        <v>62</v>
      </c>
      <c r="AF184" s="1" t="s">
        <v>91</v>
      </c>
      <c r="AG184" s="1">
        <v>3.2</v>
      </c>
      <c r="AH184" s="1">
        <v>35.3</v>
      </c>
      <c r="AI184" s="1" t="s">
        <v>86</v>
      </c>
      <c r="AJ184" s="1">
        <v>1.11</v>
      </c>
      <c r="AK184" s="1" t="s">
        <v>92</v>
      </c>
      <c r="AL184" s="1" t="s">
        <v>93</v>
      </c>
      <c r="AM184" s="1" t="s">
        <v>93</v>
      </c>
      <c r="AN184" s="1" t="s">
        <v>86</v>
      </c>
      <c r="AO184" s="1" t="s">
        <v>94</v>
      </c>
      <c r="AP184" s="1" t="s">
        <v>95</v>
      </c>
      <c r="AQ184" s="1">
        <v>13.5</v>
      </c>
      <c r="AR184" s="1">
        <v>52.5</v>
      </c>
      <c r="AS184" s="1">
        <v>38.9</v>
      </c>
      <c r="AT184" s="1" t="s">
        <v>96</v>
      </c>
      <c r="AU184" s="1" t="s">
        <v>86</v>
      </c>
      <c r="AV184" s="1" t="s">
        <v>86</v>
      </c>
      <c r="AW184" s="1" t="s">
        <v>86</v>
      </c>
      <c r="AX184" s="1" t="s">
        <v>86</v>
      </c>
      <c r="AY184" s="1" t="s">
        <v>86</v>
      </c>
      <c r="AZ184" s="1" t="s">
        <v>86</v>
      </c>
      <c r="BA184" s="1" t="s">
        <v>86</v>
      </c>
      <c r="BB184" s="1" t="s">
        <v>86</v>
      </c>
      <c r="BC184" s="1" t="s">
        <v>86</v>
      </c>
      <c r="BD184" s="1" t="s">
        <v>86</v>
      </c>
      <c r="BE184" s="1" t="s">
        <v>86</v>
      </c>
      <c r="BF184" s="1" t="s">
        <v>86</v>
      </c>
      <c r="BG184" s="1" t="s">
        <v>86</v>
      </c>
      <c r="BH184" s="1" t="s">
        <v>182</v>
      </c>
      <c r="BI184" s="1" t="s">
        <v>199</v>
      </c>
      <c r="BJ184" s="1" t="s">
        <v>87</v>
      </c>
      <c r="BK184" s="1">
        <v>0</v>
      </c>
      <c r="BL184" s="1">
        <v>0</v>
      </c>
      <c r="BM184" s="1" t="s">
        <v>86</v>
      </c>
      <c r="BN184" s="1" t="s">
        <v>1144</v>
      </c>
      <c r="BO184" s="1" t="s">
        <v>1145</v>
      </c>
      <c r="BP184" s="1" t="s">
        <v>86</v>
      </c>
      <c r="BQ184" s="1" t="s">
        <v>86</v>
      </c>
      <c r="BR184" s="1" t="s">
        <v>86</v>
      </c>
      <c r="BS184" s="1" t="s">
        <v>86</v>
      </c>
      <c r="BT184" s="1" t="s">
        <v>86</v>
      </c>
      <c r="BU184" s="1" t="s">
        <v>163</v>
      </c>
      <c r="BV184" s="1" t="s">
        <v>86</v>
      </c>
      <c r="BW184" s="1" t="s">
        <v>101</v>
      </c>
      <c r="BX184" s="1" t="s">
        <v>545</v>
      </c>
      <c r="BY184" s="1" t="s">
        <v>86</v>
      </c>
      <c r="BZ184" s="1" t="s">
        <v>1146</v>
      </c>
      <c r="CA184" s="1" t="s">
        <v>1017</v>
      </c>
      <c r="CB184" s="1" t="s">
        <v>86</v>
      </c>
      <c r="CC184" s="1" t="s">
        <v>86</v>
      </c>
      <c r="CD184" s="1" t="s">
        <v>86</v>
      </c>
      <c r="CE184" s="1" t="s">
        <v>86</v>
      </c>
    </row>
    <row r="185">
      <c r="A185" s="1">
        <v>183</v>
      </c>
      <c r="B185" s="1" t="s">
        <v>395</v>
      </c>
      <c r="C185" s="2">
        <f>=HYPERLINK("https://i.stonehdfile.com/stoneimage?s=523f366c-a18b-422c-8dc1-e2a89d496fc2","Image")</f>
      </c>
      <c r="D185" s="2">
        <f>=HYPERLINK("https://dna.stonehdfile.com/hd/viewhd.html?d=a913a854-1a57-4217-86b0-19741bc04171","View360")</f>
      </c>
      <c r="E185" s="2">
        <f>=HYPERLINK("https://i.stonehdfile.com/Certificate?s=523f366c-a18b-422c-8dc1-e2a89d496fc2","GIA")</f>
      </c>
      <c r="F185" s="2">
        <f>=HYPERLINK("https://i.stonehdfile.com/DNAReport?s=523f366c-a18b-422c-8dc1-e2a89d496fc2","DNA")</f>
      </c>
      <c r="G185" s="2">
        <f>=HYPERLINK("https://www.gia.edu/report-check?reportno=******8857","Verify")</f>
      </c>
      <c r="H185" s="1" t="s">
        <v>1147</v>
      </c>
      <c r="I185" s="1" t="s">
        <v>46</v>
      </c>
      <c r="J185" s="1">
        <v>1.71</v>
      </c>
      <c r="K185" s="1">
        <v>0</v>
      </c>
      <c r="L185" s="1">
        <v>9900</v>
      </c>
      <c r="M185" s="1">
        <v>5401</v>
      </c>
      <c r="N185" s="1">
        <v>9235.71</v>
      </c>
      <c r="O185" s="1">
        <v>-45.44</v>
      </c>
      <c r="P185" s="1">
        <v>0</v>
      </c>
      <c r="Q185" s="1" t="s">
        <v>86</v>
      </c>
      <c r="R185" s="1">
        <v>0</v>
      </c>
      <c r="S185" s="1" t="s">
        <v>86</v>
      </c>
      <c r="T185" s="1" t="s">
        <v>86</v>
      </c>
      <c r="U185" s="1" t="s">
        <v>271</v>
      </c>
      <c r="V185" s="1" t="s">
        <v>86</v>
      </c>
      <c r="W185" s="1" t="s">
        <v>88</v>
      </c>
      <c r="X185" s="1" t="s">
        <v>86</v>
      </c>
      <c r="Y185" s="1" t="s">
        <v>89</v>
      </c>
      <c r="Z185" s="1" t="s">
        <v>89</v>
      </c>
      <c r="AA185" s="1" t="s">
        <v>87</v>
      </c>
      <c r="AB185" s="1" t="s">
        <v>86</v>
      </c>
      <c r="AC185" s="1" t="s">
        <v>1148</v>
      </c>
      <c r="AD185" s="1">
        <v>69</v>
      </c>
      <c r="AE185" s="1">
        <v>64</v>
      </c>
      <c r="AF185" s="1" t="s">
        <v>91</v>
      </c>
      <c r="AG185" s="1">
        <v>3.2</v>
      </c>
      <c r="AH185" s="1">
        <v>36</v>
      </c>
      <c r="AI185" s="1" t="s">
        <v>86</v>
      </c>
      <c r="AJ185" s="1">
        <v>1.06</v>
      </c>
      <c r="AK185" s="1" t="s">
        <v>190</v>
      </c>
      <c r="AL185" s="1" t="s">
        <v>140</v>
      </c>
      <c r="AM185" s="1" t="s">
        <v>140</v>
      </c>
      <c r="AN185" s="1" t="s">
        <v>86</v>
      </c>
      <c r="AO185" s="1" t="s">
        <v>94</v>
      </c>
      <c r="AP185" s="1" t="s">
        <v>95</v>
      </c>
      <c r="AQ185" s="1">
        <v>13</v>
      </c>
      <c r="AR185" s="1">
        <v>52.5</v>
      </c>
      <c r="AS185" s="1">
        <v>39.4</v>
      </c>
      <c r="AT185" s="1" t="s">
        <v>96</v>
      </c>
      <c r="AU185" s="1" t="s">
        <v>86</v>
      </c>
      <c r="AV185" s="1" t="s">
        <v>86</v>
      </c>
      <c r="AW185" s="1" t="s">
        <v>86</v>
      </c>
      <c r="AX185" s="1" t="s">
        <v>86</v>
      </c>
      <c r="AY185" s="1" t="s">
        <v>86</v>
      </c>
      <c r="AZ185" s="1" t="s">
        <v>86</v>
      </c>
      <c r="BA185" s="1" t="s">
        <v>86</v>
      </c>
      <c r="BB185" s="1" t="s">
        <v>86</v>
      </c>
      <c r="BC185" s="1" t="s">
        <v>86</v>
      </c>
      <c r="BD185" s="1" t="s">
        <v>86</v>
      </c>
      <c r="BE185" s="1" t="s">
        <v>86</v>
      </c>
      <c r="BF185" s="1" t="s">
        <v>86</v>
      </c>
      <c r="BG185" s="1" t="s">
        <v>86</v>
      </c>
      <c r="BH185" s="1" t="s">
        <v>97</v>
      </c>
      <c r="BI185" s="1" t="s">
        <v>199</v>
      </c>
      <c r="BJ185" s="1" t="s">
        <v>87</v>
      </c>
      <c r="BK185" s="1">
        <v>0</v>
      </c>
      <c r="BL185" s="1">
        <v>0</v>
      </c>
      <c r="BM185" s="1" t="s">
        <v>398</v>
      </c>
      <c r="BN185" s="1" t="s">
        <v>1149</v>
      </c>
      <c r="BO185" s="1" t="s">
        <v>564</v>
      </c>
      <c r="BP185" s="1" t="s">
        <v>86</v>
      </c>
      <c r="BQ185" s="1" t="s">
        <v>86</v>
      </c>
      <c r="BR185" s="1" t="s">
        <v>86</v>
      </c>
      <c r="BS185" s="1" t="s">
        <v>86</v>
      </c>
      <c r="BT185" s="1" t="s">
        <v>86</v>
      </c>
      <c r="BU185" s="1" t="s">
        <v>163</v>
      </c>
      <c r="BV185" s="1" t="s">
        <v>86</v>
      </c>
      <c r="BW185" s="1" t="s">
        <v>101</v>
      </c>
      <c r="BX185" s="1" t="s">
        <v>423</v>
      </c>
      <c r="BY185" s="1" t="s">
        <v>86</v>
      </c>
      <c r="BZ185" s="1" t="s">
        <v>1150</v>
      </c>
      <c r="CA185" s="1" t="s">
        <v>1151</v>
      </c>
      <c r="CB185" s="1" t="s">
        <v>156</v>
      </c>
      <c r="CC185" s="1" t="s">
        <v>86</v>
      </c>
      <c r="CD185" s="1" t="s">
        <v>86</v>
      </c>
      <c r="CE185" s="1" t="s">
        <v>86</v>
      </c>
    </row>
    <row r="186">
      <c r="A186" s="1">
        <v>184</v>
      </c>
      <c r="B186" s="1" t="s">
        <v>395</v>
      </c>
      <c r="C186" s="2">
        <f>=HYPERLINK("https://i.stonehdfile.com/stoneimage?s=7f35140a-1e9d-47e2-af94-73825e4f49fa","Image")</f>
      </c>
      <c r="D186" s="2">
        <f>=HYPERLINK("https://dna.stonehdfile.com/hd/viewhd.html?d=36741fcc-cb95-4c28-a6e6-717b0e160e23","View360")</f>
      </c>
      <c r="E186" s="2">
        <f>=HYPERLINK("https://i.stonehdfile.com/Certificate?s=7f35140a-1e9d-47e2-af94-73825e4f49fa","GIA")</f>
      </c>
      <c r="F186" s="2">
        <f>=HYPERLINK("https://i.stonehdfile.com/DNAReport?s=7f35140a-1e9d-47e2-af94-73825e4f49fa","DNA")</f>
      </c>
      <c r="G186" s="2">
        <f>=HYPERLINK("https://www.gia.edu/report-check?reportno=******7386","Verify")</f>
      </c>
      <c r="H186" s="1" t="s">
        <v>1152</v>
      </c>
      <c r="I186" s="1" t="s">
        <v>46</v>
      </c>
      <c r="J186" s="1">
        <v>1.7</v>
      </c>
      <c r="K186" s="1">
        <v>3</v>
      </c>
      <c r="L186" s="1">
        <v>9500</v>
      </c>
      <c r="M186" s="1">
        <v>5407</v>
      </c>
      <c r="N186" s="1">
        <v>9191.9</v>
      </c>
      <c r="O186" s="1">
        <v>-43.08</v>
      </c>
      <c r="P186" s="1">
        <v>0</v>
      </c>
      <c r="Q186" s="1" t="s">
        <v>86</v>
      </c>
      <c r="R186" s="1">
        <v>0</v>
      </c>
      <c r="S186" s="1" t="s">
        <v>86</v>
      </c>
      <c r="T186" s="1" t="s">
        <v>86</v>
      </c>
      <c r="U186" s="1" t="s">
        <v>271</v>
      </c>
      <c r="V186" s="1" t="s">
        <v>86</v>
      </c>
      <c r="W186" s="1" t="s">
        <v>107</v>
      </c>
      <c r="X186" s="1" t="s">
        <v>86</v>
      </c>
      <c r="Y186" s="1" t="s">
        <v>138</v>
      </c>
      <c r="Z186" s="1" t="s">
        <v>138</v>
      </c>
      <c r="AA186" s="1" t="s">
        <v>119</v>
      </c>
      <c r="AB186" s="1" t="s">
        <v>86</v>
      </c>
      <c r="AC186" s="1" t="s">
        <v>1153</v>
      </c>
      <c r="AD186" s="1">
        <v>69</v>
      </c>
      <c r="AE186" s="1">
        <v>64</v>
      </c>
      <c r="AF186" s="1" t="s">
        <v>91</v>
      </c>
      <c r="AG186" s="1">
        <v>1.6</v>
      </c>
      <c r="AH186" s="1">
        <v>34.6</v>
      </c>
      <c r="AI186" s="1" t="s">
        <v>86</v>
      </c>
      <c r="AJ186" s="1">
        <v>1.02</v>
      </c>
      <c r="AK186" s="1" t="s">
        <v>92</v>
      </c>
      <c r="AL186" s="1" t="s">
        <v>93</v>
      </c>
      <c r="AM186" s="1" t="s">
        <v>93</v>
      </c>
      <c r="AN186" s="1" t="s">
        <v>86</v>
      </c>
      <c r="AO186" s="1" t="s">
        <v>94</v>
      </c>
      <c r="AP186" s="1" t="s">
        <v>95</v>
      </c>
      <c r="AQ186" s="1">
        <v>12.2</v>
      </c>
      <c r="AR186" s="1">
        <v>54.8</v>
      </c>
      <c r="AS186" s="1">
        <v>41.3</v>
      </c>
      <c r="AT186" s="1" t="s">
        <v>96</v>
      </c>
      <c r="AU186" s="1" t="s">
        <v>86</v>
      </c>
      <c r="AV186" s="1" t="s">
        <v>86</v>
      </c>
      <c r="AW186" s="1" t="s">
        <v>86</v>
      </c>
      <c r="AX186" s="1" t="s">
        <v>86</v>
      </c>
      <c r="AY186" s="1" t="s">
        <v>86</v>
      </c>
      <c r="AZ186" s="1" t="s">
        <v>86</v>
      </c>
      <c r="BA186" s="1" t="s">
        <v>86</v>
      </c>
      <c r="BB186" s="1" t="s">
        <v>86</v>
      </c>
      <c r="BC186" s="1" t="s">
        <v>86</v>
      </c>
      <c r="BD186" s="1" t="s">
        <v>86</v>
      </c>
      <c r="BE186" s="1" t="s">
        <v>86</v>
      </c>
      <c r="BF186" s="1" t="s">
        <v>86</v>
      </c>
      <c r="BG186" s="1" t="s">
        <v>86</v>
      </c>
      <c r="BH186" s="1" t="s">
        <v>142</v>
      </c>
      <c r="BI186" s="1" t="s">
        <v>346</v>
      </c>
      <c r="BJ186" s="1" t="s">
        <v>87</v>
      </c>
      <c r="BK186" s="1">
        <v>0</v>
      </c>
      <c r="BL186" s="1">
        <v>0</v>
      </c>
      <c r="BM186" s="1" t="s">
        <v>398</v>
      </c>
      <c r="BN186" s="1" t="s">
        <v>1154</v>
      </c>
      <c r="BO186" s="1" t="s">
        <v>643</v>
      </c>
      <c r="BP186" s="1" t="s">
        <v>86</v>
      </c>
      <c r="BQ186" s="1" t="s">
        <v>86</v>
      </c>
      <c r="BR186" s="1" t="s">
        <v>86</v>
      </c>
      <c r="BS186" s="1" t="s">
        <v>86</v>
      </c>
      <c r="BT186" s="1" t="s">
        <v>86</v>
      </c>
      <c r="BU186" s="1" t="s">
        <v>163</v>
      </c>
      <c r="BV186" s="1" t="s">
        <v>86</v>
      </c>
      <c r="BW186" s="1" t="s">
        <v>101</v>
      </c>
      <c r="BX186" s="1" t="s">
        <v>478</v>
      </c>
      <c r="BY186" s="1" t="s">
        <v>86</v>
      </c>
      <c r="BZ186" s="1" t="s">
        <v>1155</v>
      </c>
      <c r="CA186" s="1" t="s">
        <v>1017</v>
      </c>
      <c r="CB186" s="1" t="s">
        <v>86</v>
      </c>
      <c r="CC186" s="1" t="s">
        <v>86</v>
      </c>
      <c r="CD186" s="1" t="s">
        <v>86</v>
      </c>
      <c r="CE186" s="1" t="s">
        <v>86</v>
      </c>
    </row>
    <row r="187">
      <c r="A187" s="1">
        <v>185</v>
      </c>
      <c r="B187" s="1" t="s">
        <v>395</v>
      </c>
      <c r="C187" s="2">
        <f>=HYPERLINK("https://i.stonehdfile.com/stoneimage?s=711c2b94-19c0-4847-857e-e3d63bdc9c95","Image")</f>
      </c>
      <c r="D187" s="2">
        <f>=HYPERLINK("https://dna.stonehdfile.com/hd/viewhd.html?d=5d97c24f-ebc2-479d-8fa0-ea7fd4175506","View360")</f>
      </c>
      <c r="E187" s="2">
        <f>=HYPERLINK("https://i.stonehdfile.com/Certificate?s=711c2b94-19c0-4847-857e-e3d63bdc9c95","GIA")</f>
      </c>
      <c r="F187" s="2">
        <f>=HYPERLINK("https://i.stonehdfile.com/DNAReport?s=711c2b94-19c0-4847-857e-e3d63bdc9c95","DNA")</f>
      </c>
      <c r="G187" s="2">
        <f>=HYPERLINK("https://www.gia.edu/report-check?reportno=******7343","Verify")</f>
      </c>
      <c r="H187" s="1" t="s">
        <v>1156</v>
      </c>
      <c r="I187" s="1" t="s">
        <v>46</v>
      </c>
      <c r="J187" s="1">
        <v>1.75</v>
      </c>
      <c r="K187" s="1">
        <v>2</v>
      </c>
      <c r="L187" s="1">
        <v>9500</v>
      </c>
      <c r="M187" s="1">
        <v>6346</v>
      </c>
      <c r="N187" s="1">
        <v>11105.5</v>
      </c>
      <c r="O187" s="1">
        <v>-33.2</v>
      </c>
      <c r="P187" s="1">
        <v>0</v>
      </c>
      <c r="Q187" s="1" t="s">
        <v>86</v>
      </c>
      <c r="R187" s="1">
        <v>0</v>
      </c>
      <c r="S187" s="1" t="s">
        <v>86</v>
      </c>
      <c r="T187" s="1" t="s">
        <v>86</v>
      </c>
      <c r="U187" s="1" t="s">
        <v>375</v>
      </c>
      <c r="V187" s="1" t="s">
        <v>86</v>
      </c>
      <c r="W187" s="1" t="s">
        <v>107</v>
      </c>
      <c r="X187" s="1" t="s">
        <v>86</v>
      </c>
      <c r="Y187" s="1" t="s">
        <v>89</v>
      </c>
      <c r="Z187" s="1" t="s">
        <v>89</v>
      </c>
      <c r="AA187" s="1" t="s">
        <v>119</v>
      </c>
      <c r="AB187" s="1" t="s">
        <v>86</v>
      </c>
      <c r="AC187" s="1" t="s">
        <v>1157</v>
      </c>
      <c r="AD187" s="1">
        <v>67</v>
      </c>
      <c r="AE187" s="1">
        <v>63</v>
      </c>
      <c r="AF187" s="1" t="s">
        <v>91</v>
      </c>
      <c r="AG187" s="1">
        <v>2.5</v>
      </c>
      <c r="AH187" s="1">
        <v>33.9</v>
      </c>
      <c r="AI187" s="1" t="s">
        <v>86</v>
      </c>
      <c r="AJ187" s="1">
        <v>1.18</v>
      </c>
      <c r="AK187" s="1" t="s">
        <v>111</v>
      </c>
      <c r="AL187" s="1" t="s">
        <v>93</v>
      </c>
      <c r="AM187" s="1" t="s">
        <v>140</v>
      </c>
      <c r="AN187" s="1" t="s">
        <v>86</v>
      </c>
      <c r="AO187" s="1" t="s">
        <v>94</v>
      </c>
      <c r="AP187" s="1" t="s">
        <v>95</v>
      </c>
      <c r="AQ187" s="1">
        <v>12.5</v>
      </c>
      <c r="AR187" s="1">
        <v>51.8</v>
      </c>
      <c r="AS187" s="1">
        <v>38.4</v>
      </c>
      <c r="AT187" s="1" t="s">
        <v>96</v>
      </c>
      <c r="AU187" s="1" t="s">
        <v>86</v>
      </c>
      <c r="AV187" s="1" t="s">
        <v>86</v>
      </c>
      <c r="AW187" s="1" t="s">
        <v>86</v>
      </c>
      <c r="AX187" s="1" t="s">
        <v>86</v>
      </c>
      <c r="AY187" s="1" t="s">
        <v>86</v>
      </c>
      <c r="AZ187" s="1" t="s">
        <v>86</v>
      </c>
      <c r="BA187" s="1" t="s">
        <v>86</v>
      </c>
      <c r="BB187" s="1" t="s">
        <v>86</v>
      </c>
      <c r="BC187" s="1" t="s">
        <v>86</v>
      </c>
      <c r="BD187" s="1" t="s">
        <v>86</v>
      </c>
      <c r="BE187" s="1" t="s">
        <v>86</v>
      </c>
      <c r="BF187" s="1" t="s">
        <v>86</v>
      </c>
      <c r="BG187" s="1" t="s">
        <v>86</v>
      </c>
      <c r="BH187" s="1" t="s">
        <v>182</v>
      </c>
      <c r="BI187" s="1" t="s">
        <v>328</v>
      </c>
      <c r="BJ187" s="1" t="s">
        <v>87</v>
      </c>
      <c r="BK187" s="1">
        <v>0</v>
      </c>
      <c r="BL187" s="1">
        <v>0</v>
      </c>
      <c r="BM187" s="1" t="s">
        <v>398</v>
      </c>
      <c r="BN187" s="1" t="s">
        <v>1158</v>
      </c>
      <c r="BO187" s="1" t="s">
        <v>705</v>
      </c>
      <c r="BP187" s="1" t="s">
        <v>86</v>
      </c>
      <c r="BQ187" s="1" t="s">
        <v>86</v>
      </c>
      <c r="BR187" s="1" t="s">
        <v>86</v>
      </c>
      <c r="BS187" s="1" t="s">
        <v>86</v>
      </c>
      <c r="BT187" s="1" t="s">
        <v>86</v>
      </c>
      <c r="BU187" s="1" t="s">
        <v>163</v>
      </c>
      <c r="BV187" s="1" t="s">
        <v>101</v>
      </c>
      <c r="BW187" s="1" t="s">
        <v>101</v>
      </c>
      <c r="BX187" s="1" t="s">
        <v>439</v>
      </c>
      <c r="BY187" s="1" t="s">
        <v>86</v>
      </c>
      <c r="BZ187" s="1" t="s">
        <v>1159</v>
      </c>
      <c r="CA187" s="1" t="s">
        <v>1160</v>
      </c>
      <c r="CB187" s="1" t="s">
        <v>269</v>
      </c>
      <c r="CC187" s="1" t="s">
        <v>86</v>
      </c>
      <c r="CD187" s="1" t="s">
        <v>86</v>
      </c>
      <c r="CE187" s="1" t="s">
        <v>86</v>
      </c>
    </row>
    <row r="188">
      <c r="A188" s="1">
        <v>186</v>
      </c>
      <c r="B188" s="1" t="s">
        <v>395</v>
      </c>
      <c r="C188" s="2">
        <f>=HYPERLINK("https://i.stonehdfile.com/stoneimage?s=6610cc6f-eac1-4aa3-8aaf-5aa3d3d77fad","Image")</f>
      </c>
      <c r="D188" s="2">
        <f>=HYPERLINK("https://dna.stonehdfile.com/hd/viewhd.html?d=ca8d2b0d-33ce-4669-9603-d939dbf0ca60","View360")</f>
      </c>
      <c r="E188" s="2">
        <f>=HYPERLINK("https://i.stonehdfile.com/Certificate?s=6610cc6f-eac1-4aa3-8aaf-5aa3d3d77fad","GIA")</f>
      </c>
      <c r="F188" s="2">
        <f>=HYPERLINK("https://i.stonehdfile.com/DNAReport?s=6610cc6f-eac1-4aa3-8aaf-5aa3d3d77fad","DNA")</f>
      </c>
      <c r="G188" s="2">
        <f>=HYPERLINK("https://www.gia.edu/report-check?reportno=******9472","Verify")</f>
      </c>
      <c r="H188" s="1" t="s">
        <v>1161</v>
      </c>
      <c r="I188" s="1" t="s">
        <v>46</v>
      </c>
      <c r="J188" s="1">
        <v>1.7</v>
      </c>
      <c r="K188" s="1">
        <v>2</v>
      </c>
      <c r="L188" s="1">
        <v>9500</v>
      </c>
      <c r="M188" s="1">
        <v>5517</v>
      </c>
      <c r="N188" s="1">
        <v>9378.9</v>
      </c>
      <c r="O188" s="1">
        <v>-41.93</v>
      </c>
      <c r="P188" s="1">
        <v>0</v>
      </c>
      <c r="Q188" s="1" t="s">
        <v>86</v>
      </c>
      <c r="R188" s="1">
        <v>0</v>
      </c>
      <c r="S188" s="1" t="s">
        <v>86</v>
      </c>
      <c r="T188" s="1" t="s">
        <v>86</v>
      </c>
      <c r="U188" s="1" t="s">
        <v>271</v>
      </c>
      <c r="V188" s="1" t="s">
        <v>86</v>
      </c>
      <c r="W188" s="1" t="s">
        <v>149</v>
      </c>
      <c r="X188" s="1" t="s">
        <v>86</v>
      </c>
      <c r="Y188" s="1" t="s">
        <v>89</v>
      </c>
      <c r="Z188" s="1" t="s">
        <v>89</v>
      </c>
      <c r="AA188" s="1" t="s">
        <v>119</v>
      </c>
      <c r="AB188" s="1" t="s">
        <v>86</v>
      </c>
      <c r="AC188" s="1" t="s">
        <v>1162</v>
      </c>
      <c r="AD188" s="1">
        <v>68.7</v>
      </c>
      <c r="AE188" s="1">
        <v>62</v>
      </c>
      <c r="AF188" s="1" t="s">
        <v>91</v>
      </c>
      <c r="AG188" s="1">
        <v>3.1</v>
      </c>
      <c r="AH188" s="1">
        <v>35.7</v>
      </c>
      <c r="AI188" s="1" t="s">
        <v>86</v>
      </c>
      <c r="AJ188" s="1">
        <v>1.09</v>
      </c>
      <c r="AK188" s="1" t="s">
        <v>190</v>
      </c>
      <c r="AL188" s="1" t="s">
        <v>140</v>
      </c>
      <c r="AM188" s="1" t="s">
        <v>93</v>
      </c>
      <c r="AN188" s="1" t="s">
        <v>86</v>
      </c>
      <c r="AO188" s="1" t="s">
        <v>94</v>
      </c>
      <c r="AP188" s="1" t="s">
        <v>95</v>
      </c>
      <c r="AQ188" s="1">
        <v>14</v>
      </c>
      <c r="AR188" s="1">
        <v>51.7</v>
      </c>
      <c r="AS188" s="1">
        <v>39.7</v>
      </c>
      <c r="AT188" s="1" t="s">
        <v>96</v>
      </c>
      <c r="AU188" s="1" t="s">
        <v>141</v>
      </c>
      <c r="AV188" s="1" t="s">
        <v>86</v>
      </c>
      <c r="AW188" s="1" t="s">
        <v>86</v>
      </c>
      <c r="AX188" s="1" t="s">
        <v>86</v>
      </c>
      <c r="AY188" s="1" t="s">
        <v>86</v>
      </c>
      <c r="AZ188" s="1" t="s">
        <v>86</v>
      </c>
      <c r="BA188" s="1" t="s">
        <v>86</v>
      </c>
      <c r="BB188" s="1" t="s">
        <v>86</v>
      </c>
      <c r="BC188" s="1" t="s">
        <v>86</v>
      </c>
      <c r="BD188" s="1" t="s">
        <v>86</v>
      </c>
      <c r="BE188" s="1" t="s">
        <v>86</v>
      </c>
      <c r="BF188" s="1" t="s">
        <v>86</v>
      </c>
      <c r="BG188" s="1" t="s">
        <v>86</v>
      </c>
      <c r="BH188" s="1" t="s">
        <v>97</v>
      </c>
      <c r="BI188" s="1" t="s">
        <v>174</v>
      </c>
      <c r="BJ188" s="1" t="s">
        <v>87</v>
      </c>
      <c r="BK188" s="1">
        <v>0</v>
      </c>
      <c r="BL188" s="1">
        <v>0</v>
      </c>
      <c r="BM188" s="1" t="s">
        <v>398</v>
      </c>
      <c r="BN188" s="1" t="s">
        <v>1163</v>
      </c>
      <c r="BO188" s="1" t="s">
        <v>496</v>
      </c>
      <c r="BP188" s="1" t="s">
        <v>86</v>
      </c>
      <c r="BQ188" s="1" t="s">
        <v>86</v>
      </c>
      <c r="BR188" s="1" t="s">
        <v>86</v>
      </c>
      <c r="BS188" s="1" t="s">
        <v>86</v>
      </c>
      <c r="BT188" s="1" t="s">
        <v>86</v>
      </c>
      <c r="BU188" s="1" t="s">
        <v>163</v>
      </c>
      <c r="BV188" s="1" t="s">
        <v>86</v>
      </c>
      <c r="BW188" s="1" t="s">
        <v>101</v>
      </c>
      <c r="BX188" s="1" t="s">
        <v>470</v>
      </c>
      <c r="BY188" s="1" t="s">
        <v>86</v>
      </c>
      <c r="BZ188" s="1" t="s">
        <v>1164</v>
      </c>
      <c r="CA188" s="1" t="s">
        <v>220</v>
      </c>
      <c r="CB188" s="1" t="s">
        <v>221</v>
      </c>
      <c r="CC188" s="1" t="s">
        <v>86</v>
      </c>
      <c r="CD188" s="1" t="s">
        <v>86</v>
      </c>
      <c r="CE188" s="1" t="s">
        <v>86</v>
      </c>
    </row>
    <row r="189">
      <c r="A189" s="1">
        <v>187</v>
      </c>
      <c r="B189" s="1" t="s">
        <v>395</v>
      </c>
      <c r="C189" s="2">
        <f>=HYPERLINK("https://i.stonehdfile.com/stoneimage?s=f684805c-f405-44a5-8943-b362bbd8368f","Image")</f>
      </c>
      <c r="D189" s="2">
        <f>=HYPERLINK("https://dna.stonehdfile.com/hd/viewhd.html?d=648e5979-ef82-462f-969c-f9cb0f7f6a8a","View360")</f>
      </c>
      <c r="E189" s="2">
        <f>=HYPERLINK("https://i.stonehdfile.com/Certificate?s=f684805c-f405-44a5-8943-b362bbd8368f","GIA")</f>
      </c>
      <c r="F189" s="2">
        <f>=HYPERLINK("https://i.stonehdfile.com/DNAReport?s=f684805c-f405-44a5-8943-b362bbd8368f","DNA")</f>
      </c>
      <c r="G189" s="2">
        <f>=HYPERLINK("https://www.gia.edu/report-check?reportno=******0150","Verify")</f>
      </c>
      <c r="H189" s="1" t="s">
        <v>1165</v>
      </c>
      <c r="I189" s="1" t="s">
        <v>46</v>
      </c>
      <c r="J189" s="1">
        <v>1.7</v>
      </c>
      <c r="K189" s="1">
        <v>5</v>
      </c>
      <c r="L189" s="1">
        <v>9500</v>
      </c>
      <c r="M189" s="1">
        <v>4498</v>
      </c>
      <c r="N189" s="1">
        <v>7646.6</v>
      </c>
      <c r="O189" s="1">
        <v>-52.65</v>
      </c>
      <c r="P189" s="1">
        <v>0</v>
      </c>
      <c r="Q189" s="1" t="s">
        <v>86</v>
      </c>
      <c r="R189" s="1">
        <v>0</v>
      </c>
      <c r="S189" s="1" t="s">
        <v>86</v>
      </c>
      <c r="T189" s="1" t="s">
        <v>86</v>
      </c>
      <c r="U189" s="1" t="s">
        <v>271</v>
      </c>
      <c r="V189" s="1" t="s">
        <v>86</v>
      </c>
      <c r="W189" s="1" t="s">
        <v>149</v>
      </c>
      <c r="X189" s="1" t="s">
        <v>86</v>
      </c>
      <c r="Y189" s="1" t="s">
        <v>89</v>
      </c>
      <c r="Z189" s="1" t="s">
        <v>89</v>
      </c>
      <c r="AA189" s="1" t="s">
        <v>87</v>
      </c>
      <c r="AB189" s="1" t="s">
        <v>86</v>
      </c>
      <c r="AC189" s="1" t="s">
        <v>1166</v>
      </c>
      <c r="AD189" s="1">
        <v>69</v>
      </c>
      <c r="AE189" s="1">
        <v>65</v>
      </c>
      <c r="AF189" s="1" t="s">
        <v>91</v>
      </c>
      <c r="AG189" s="1">
        <v>3.1</v>
      </c>
      <c r="AH189" s="1">
        <v>34</v>
      </c>
      <c r="AI189" s="1" t="s">
        <v>86</v>
      </c>
      <c r="AJ189" s="1">
        <v>1.01</v>
      </c>
      <c r="AK189" s="1" t="s">
        <v>111</v>
      </c>
      <c r="AL189" s="1" t="s">
        <v>93</v>
      </c>
      <c r="AM189" s="1" t="s">
        <v>128</v>
      </c>
      <c r="AN189" s="1" t="s">
        <v>86</v>
      </c>
      <c r="AO189" s="1" t="s">
        <v>94</v>
      </c>
      <c r="AP189" s="1" t="s">
        <v>95</v>
      </c>
      <c r="AQ189" s="1">
        <v>11.8</v>
      </c>
      <c r="AR189" s="1">
        <v>53.7</v>
      </c>
      <c r="AS189" s="1">
        <v>40.5</v>
      </c>
      <c r="AT189" s="1" t="s">
        <v>96</v>
      </c>
      <c r="AU189" s="1" t="s">
        <v>86</v>
      </c>
      <c r="AV189" s="1" t="s">
        <v>86</v>
      </c>
      <c r="AW189" s="1" t="s">
        <v>141</v>
      </c>
      <c r="AX189" s="1" t="s">
        <v>86</v>
      </c>
      <c r="AY189" s="1" t="s">
        <v>86</v>
      </c>
      <c r="AZ189" s="1" t="s">
        <v>86</v>
      </c>
      <c r="BA189" s="1" t="s">
        <v>86</v>
      </c>
      <c r="BB189" s="1" t="s">
        <v>86</v>
      </c>
      <c r="BC189" s="1" t="s">
        <v>86</v>
      </c>
      <c r="BD189" s="1" t="s">
        <v>86</v>
      </c>
      <c r="BE189" s="1" t="s">
        <v>86</v>
      </c>
      <c r="BF189" s="1" t="s">
        <v>282</v>
      </c>
      <c r="BG189" s="1" t="s">
        <v>86</v>
      </c>
      <c r="BH189" s="1" t="s">
        <v>97</v>
      </c>
      <c r="BI189" s="1" t="s">
        <v>174</v>
      </c>
      <c r="BJ189" s="1" t="s">
        <v>87</v>
      </c>
      <c r="BK189" s="1">
        <v>0</v>
      </c>
      <c r="BL189" s="1">
        <v>0</v>
      </c>
      <c r="BM189" s="1" t="s">
        <v>398</v>
      </c>
      <c r="BN189" s="1" t="s">
        <v>1167</v>
      </c>
      <c r="BO189" s="1" t="s">
        <v>977</v>
      </c>
      <c r="BP189" s="1" t="s">
        <v>86</v>
      </c>
      <c r="BQ189" s="1" t="s">
        <v>86</v>
      </c>
      <c r="BR189" s="1" t="s">
        <v>86</v>
      </c>
      <c r="BS189" s="1" t="s">
        <v>86</v>
      </c>
      <c r="BT189" s="1" t="s">
        <v>86</v>
      </c>
      <c r="BU189" s="1" t="s">
        <v>590</v>
      </c>
      <c r="BV189" s="1" t="s">
        <v>86</v>
      </c>
      <c r="BW189" s="1" t="s">
        <v>101</v>
      </c>
      <c r="BX189" s="1" t="s">
        <v>439</v>
      </c>
      <c r="BY189" s="1" t="s">
        <v>86</v>
      </c>
      <c r="BZ189" s="1" t="s">
        <v>1168</v>
      </c>
      <c r="CA189" s="1" t="s">
        <v>165</v>
      </c>
      <c r="CB189" s="1" t="s">
        <v>464</v>
      </c>
      <c r="CC189" s="1" t="s">
        <v>86</v>
      </c>
      <c r="CD189" s="1" t="s">
        <v>86</v>
      </c>
      <c r="CE189" s="1" t="s">
        <v>86</v>
      </c>
    </row>
    <row r="190">
      <c r="A190" s="1">
        <v>188</v>
      </c>
      <c r="B190" s="1" t="s">
        <v>395</v>
      </c>
      <c r="C190" s="2">
        <f>=HYPERLINK("https://i.stonehdfile.com/stoneimage?s=d69fd2cf-5544-4a5a-9352-fa367258a963","Image")</f>
      </c>
      <c r="D190" s="2">
        <f>=HYPERLINK("https://dna.stonehdfile.com/hd/viewhd.html?d=ebf811eb-6c0e-417b-944e-e58502f7501c","View360")</f>
      </c>
      <c r="E190" s="2">
        <f>=HYPERLINK("https://i.stonehdfile.com/Certificate?s=d69fd2cf-5544-4a5a-9352-fa367258a963","GIA")</f>
      </c>
      <c r="F190" s="2">
        <f>=HYPERLINK("https://i.stonehdfile.com/DNAReport?s=d69fd2cf-5544-4a5a-9352-fa367258a963","DNA")</f>
      </c>
      <c r="G190" s="2">
        <f>=HYPERLINK("https://www.gia.edu/report-check?reportno=******7901","Verify")</f>
      </c>
      <c r="H190" s="1" t="s">
        <v>1169</v>
      </c>
      <c r="I190" s="1" t="s">
        <v>46</v>
      </c>
      <c r="J190" s="1">
        <v>1.71</v>
      </c>
      <c r="K190" s="1">
        <v>3</v>
      </c>
      <c r="L190" s="1">
        <v>9500</v>
      </c>
      <c r="M190" s="1">
        <v>5380</v>
      </c>
      <c r="N190" s="1">
        <v>9199.8</v>
      </c>
      <c r="O190" s="1">
        <v>-43.37</v>
      </c>
      <c r="P190" s="1">
        <v>0</v>
      </c>
      <c r="Q190" s="1" t="s">
        <v>86</v>
      </c>
      <c r="R190" s="1">
        <v>0</v>
      </c>
      <c r="S190" s="1" t="s">
        <v>86</v>
      </c>
      <c r="T190" s="1" t="s">
        <v>86</v>
      </c>
      <c r="U190" s="1" t="s">
        <v>271</v>
      </c>
      <c r="V190" s="1" t="s">
        <v>86</v>
      </c>
      <c r="W190" s="1" t="s">
        <v>149</v>
      </c>
      <c r="X190" s="1" t="s">
        <v>86</v>
      </c>
      <c r="Y190" s="1" t="s">
        <v>89</v>
      </c>
      <c r="Z190" s="1" t="s">
        <v>89</v>
      </c>
      <c r="AA190" s="1" t="s">
        <v>119</v>
      </c>
      <c r="AB190" s="1" t="s">
        <v>86</v>
      </c>
      <c r="AC190" s="1" t="s">
        <v>1170</v>
      </c>
      <c r="AD190" s="1">
        <v>69.2</v>
      </c>
      <c r="AE190" s="1">
        <v>62</v>
      </c>
      <c r="AF190" s="1" t="s">
        <v>91</v>
      </c>
      <c r="AG190" s="1">
        <v>3.7</v>
      </c>
      <c r="AH190" s="1">
        <v>35.9</v>
      </c>
      <c r="AI190" s="1" t="s">
        <v>86</v>
      </c>
      <c r="AJ190" s="1">
        <v>1.01</v>
      </c>
      <c r="AK190" s="1" t="s">
        <v>111</v>
      </c>
      <c r="AL190" s="1" t="s">
        <v>93</v>
      </c>
      <c r="AM190" s="1" t="s">
        <v>93</v>
      </c>
      <c r="AN190" s="1" t="s">
        <v>86</v>
      </c>
      <c r="AO190" s="1" t="s">
        <v>94</v>
      </c>
      <c r="AP190" s="1" t="s">
        <v>95</v>
      </c>
      <c r="AQ190" s="1">
        <v>13.8</v>
      </c>
      <c r="AR190" s="1">
        <v>51.5</v>
      </c>
      <c r="AS190" s="1">
        <v>39.5</v>
      </c>
      <c r="AT190" s="1" t="s">
        <v>96</v>
      </c>
      <c r="AU190" s="1" t="s">
        <v>86</v>
      </c>
      <c r="AV190" s="1" t="s">
        <v>86</v>
      </c>
      <c r="AW190" s="1" t="s">
        <v>86</v>
      </c>
      <c r="AX190" s="1" t="s">
        <v>86</v>
      </c>
      <c r="AY190" s="1" t="s">
        <v>86</v>
      </c>
      <c r="AZ190" s="1" t="s">
        <v>86</v>
      </c>
      <c r="BA190" s="1" t="s">
        <v>86</v>
      </c>
      <c r="BB190" s="1" t="s">
        <v>86</v>
      </c>
      <c r="BC190" s="1" t="s">
        <v>86</v>
      </c>
      <c r="BD190" s="1" t="s">
        <v>86</v>
      </c>
      <c r="BE190" s="1" t="s">
        <v>86</v>
      </c>
      <c r="BF190" s="1" t="s">
        <v>86</v>
      </c>
      <c r="BG190" s="1" t="s">
        <v>86</v>
      </c>
      <c r="BH190" s="1" t="s">
        <v>215</v>
      </c>
      <c r="BI190" s="1" t="s">
        <v>459</v>
      </c>
      <c r="BJ190" s="1" t="s">
        <v>87</v>
      </c>
      <c r="BK190" s="1">
        <v>0</v>
      </c>
      <c r="BL190" s="1">
        <v>0</v>
      </c>
      <c r="BM190" s="1" t="s">
        <v>398</v>
      </c>
      <c r="BN190" s="1" t="s">
        <v>1171</v>
      </c>
      <c r="BO190" s="1" t="s">
        <v>1172</v>
      </c>
      <c r="BP190" s="1" t="s">
        <v>86</v>
      </c>
      <c r="BQ190" s="1" t="s">
        <v>86</v>
      </c>
      <c r="BR190" s="1" t="s">
        <v>86</v>
      </c>
      <c r="BS190" s="1" t="s">
        <v>86</v>
      </c>
      <c r="BT190" s="1" t="s">
        <v>86</v>
      </c>
      <c r="BU190" s="1" t="s">
        <v>163</v>
      </c>
      <c r="BV190" s="1" t="s">
        <v>86</v>
      </c>
      <c r="BW190" s="1" t="s">
        <v>101</v>
      </c>
      <c r="BX190" s="1" t="s">
        <v>545</v>
      </c>
      <c r="BY190" s="1" t="s">
        <v>86</v>
      </c>
      <c r="BZ190" s="1" t="s">
        <v>1173</v>
      </c>
      <c r="CA190" s="1" t="s">
        <v>1174</v>
      </c>
      <c r="CB190" s="1" t="s">
        <v>86</v>
      </c>
      <c r="CC190" s="1" t="s">
        <v>86</v>
      </c>
      <c r="CD190" s="1" t="s">
        <v>86</v>
      </c>
      <c r="CE190" s="1" t="s">
        <v>86</v>
      </c>
    </row>
    <row r="191">
      <c r="A191" s="1">
        <v>189</v>
      </c>
      <c r="B191" s="1" t="s">
        <v>395</v>
      </c>
      <c r="C191" s="2">
        <f>=HYPERLINK("https://i.stonehdfile.com/stoneimage?s=bb3c6282-9dfc-426b-88c2-8485232dfac2","Image")</f>
      </c>
      <c r="D191" s="2">
        <f>=HYPERLINK("https://dna.stonehdfile.com/hd/viewhd.html?d=c9cef553-951d-4d51-b088-97696cb24607","View360")</f>
      </c>
      <c r="E191" s="2">
        <f>=HYPERLINK("https://i.stonehdfile.com/Certificate?s=bb3c6282-9dfc-426b-88c2-8485232dfac2","GIA")</f>
      </c>
      <c r="F191" s="2">
        <f>=HYPERLINK("https://i.stonehdfile.com/DNAReport?s=bb3c6282-9dfc-426b-88c2-8485232dfac2","DNA")</f>
      </c>
      <c r="G191" s="2">
        <f>=HYPERLINK("https://www.gia.edu/report-check?reportno=******2501","Verify")</f>
      </c>
      <c r="H191" s="1" t="s">
        <v>1175</v>
      </c>
      <c r="I191" s="1" t="s">
        <v>46</v>
      </c>
      <c r="J191" s="1">
        <v>1.7</v>
      </c>
      <c r="K191" s="1">
        <v>3</v>
      </c>
      <c r="L191" s="1">
        <v>8800</v>
      </c>
      <c r="M191" s="1">
        <v>5158</v>
      </c>
      <c r="N191" s="1">
        <v>8768.6</v>
      </c>
      <c r="O191" s="1">
        <v>-41.39</v>
      </c>
      <c r="P191" s="1">
        <v>0</v>
      </c>
      <c r="Q191" s="1" t="s">
        <v>86</v>
      </c>
      <c r="R191" s="1">
        <v>0</v>
      </c>
      <c r="S191" s="1" t="s">
        <v>86</v>
      </c>
      <c r="T191" s="1" t="s">
        <v>86</v>
      </c>
      <c r="U191" s="1" t="s">
        <v>271</v>
      </c>
      <c r="V191" s="1" t="s">
        <v>86</v>
      </c>
      <c r="W191" s="1" t="s">
        <v>223</v>
      </c>
      <c r="X191" s="1" t="s">
        <v>86</v>
      </c>
      <c r="Y191" s="1" t="s">
        <v>89</v>
      </c>
      <c r="Z191" s="1" t="s">
        <v>89</v>
      </c>
      <c r="AA191" s="1" t="s">
        <v>119</v>
      </c>
      <c r="AB191" s="1" t="s">
        <v>86</v>
      </c>
      <c r="AC191" s="1" t="s">
        <v>1176</v>
      </c>
      <c r="AD191" s="1">
        <v>69.5</v>
      </c>
      <c r="AE191" s="1">
        <v>60</v>
      </c>
      <c r="AF191" s="1" t="s">
        <v>91</v>
      </c>
      <c r="AG191" s="1">
        <v>3.9</v>
      </c>
      <c r="AH191" s="1">
        <v>36</v>
      </c>
      <c r="AI191" s="1" t="s">
        <v>86</v>
      </c>
      <c r="AJ191" s="1">
        <v>1.1</v>
      </c>
      <c r="AK191" s="1" t="s">
        <v>111</v>
      </c>
      <c r="AL191" s="1" t="s">
        <v>93</v>
      </c>
      <c r="AM191" s="1" t="s">
        <v>93</v>
      </c>
      <c r="AN191" s="1" t="s">
        <v>171</v>
      </c>
      <c r="AO191" s="1" t="s">
        <v>94</v>
      </c>
      <c r="AP191" s="1" t="s">
        <v>95</v>
      </c>
      <c r="AQ191" s="1">
        <v>14.8</v>
      </c>
      <c r="AR191" s="1">
        <v>50.5</v>
      </c>
      <c r="AS191" s="1">
        <v>37.9</v>
      </c>
      <c r="AT191" s="1" t="s">
        <v>96</v>
      </c>
      <c r="AU191" s="1" t="s">
        <v>141</v>
      </c>
      <c r="AV191" s="1" t="s">
        <v>86</v>
      </c>
      <c r="AW191" s="1" t="s">
        <v>86</v>
      </c>
      <c r="AX191" s="1" t="s">
        <v>86</v>
      </c>
      <c r="AY191" s="1" t="s">
        <v>86</v>
      </c>
      <c r="AZ191" s="1" t="s">
        <v>86</v>
      </c>
      <c r="BA191" s="1" t="s">
        <v>86</v>
      </c>
      <c r="BB191" s="1" t="s">
        <v>86</v>
      </c>
      <c r="BC191" s="1" t="s">
        <v>86</v>
      </c>
      <c r="BD191" s="1" t="s">
        <v>86</v>
      </c>
      <c r="BE191" s="1" t="s">
        <v>86</v>
      </c>
      <c r="BF191" s="1" t="s">
        <v>86</v>
      </c>
      <c r="BG191" s="1" t="s">
        <v>86</v>
      </c>
      <c r="BH191" s="1" t="s">
        <v>215</v>
      </c>
      <c r="BI191" s="1" t="s">
        <v>562</v>
      </c>
      <c r="BJ191" s="1" t="s">
        <v>87</v>
      </c>
      <c r="BK191" s="1">
        <v>0</v>
      </c>
      <c r="BL191" s="1">
        <v>0</v>
      </c>
      <c r="BM191" s="1" t="s">
        <v>398</v>
      </c>
      <c r="BN191" s="1" t="s">
        <v>1177</v>
      </c>
      <c r="BO191" s="1" t="s">
        <v>477</v>
      </c>
      <c r="BP191" s="1" t="s">
        <v>86</v>
      </c>
      <c r="BQ191" s="1" t="s">
        <v>86</v>
      </c>
      <c r="BR191" s="1" t="s">
        <v>86</v>
      </c>
      <c r="BS191" s="1" t="s">
        <v>86</v>
      </c>
      <c r="BT191" s="1" t="s">
        <v>86</v>
      </c>
      <c r="BU191" s="1" t="s">
        <v>163</v>
      </c>
      <c r="BV191" s="1" t="s">
        <v>86</v>
      </c>
      <c r="BW191" s="1" t="s">
        <v>101</v>
      </c>
      <c r="BX191" s="1" t="s">
        <v>414</v>
      </c>
      <c r="BY191" s="1" t="s">
        <v>86</v>
      </c>
      <c r="BZ191" s="1" t="s">
        <v>1178</v>
      </c>
      <c r="CA191" s="1" t="s">
        <v>178</v>
      </c>
      <c r="CB191" s="1" t="s">
        <v>166</v>
      </c>
      <c r="CC191" s="1" t="s">
        <v>86</v>
      </c>
      <c r="CD191" s="1" t="s">
        <v>86</v>
      </c>
      <c r="CE191" s="1" t="s">
        <v>86</v>
      </c>
    </row>
    <row r="192">
      <c r="A192" s="1">
        <v>190</v>
      </c>
      <c r="B192" s="1" t="s">
        <v>395</v>
      </c>
      <c r="C192" s="2">
        <f>=HYPERLINK("https://i.stonehdfile.com/stoneimage?s=32e72265-6ae9-4f1a-a22a-be3c35e78a75","Image")</f>
      </c>
      <c r="D192" s="2">
        <f>=HYPERLINK("https://dna.stonehdfile.com/hd/viewhd.html?d=6747d4e8-3bdd-4fc8-8257-d6aecfd1fb87","View360")</f>
      </c>
      <c r="E192" s="2">
        <f>=HYPERLINK("https://i.stonehdfile.com/Certificate?s=32e72265-6ae9-4f1a-a22a-be3c35e78a75","GIA")</f>
      </c>
      <c r="F192" s="2">
        <f>=HYPERLINK("https://i.stonehdfile.com/DNAReport?s=32e72265-6ae9-4f1a-a22a-be3c35e78a75","DNA")</f>
      </c>
      <c r="G192" s="2">
        <f>=HYPERLINK("https://www.gia.edu/report-check?reportno=******8402","Verify")</f>
      </c>
      <c r="H192" s="1" t="s">
        <v>1179</v>
      </c>
      <c r="I192" s="1" t="s">
        <v>46</v>
      </c>
      <c r="J192" s="1">
        <v>1.7</v>
      </c>
      <c r="K192" s="1">
        <v>5</v>
      </c>
      <c r="L192" s="1">
        <v>8800</v>
      </c>
      <c r="M192" s="1">
        <v>4297</v>
      </c>
      <c r="N192" s="1">
        <v>7304.9</v>
      </c>
      <c r="O192" s="1">
        <v>-51.17</v>
      </c>
      <c r="P192" s="1">
        <v>0</v>
      </c>
      <c r="Q192" s="1" t="s">
        <v>86</v>
      </c>
      <c r="R192" s="1">
        <v>0</v>
      </c>
      <c r="S192" s="1" t="s">
        <v>86</v>
      </c>
      <c r="T192" s="1" t="s">
        <v>86</v>
      </c>
      <c r="U192" s="1" t="s">
        <v>271</v>
      </c>
      <c r="V192" s="1" t="s">
        <v>86</v>
      </c>
      <c r="W192" s="1" t="s">
        <v>223</v>
      </c>
      <c r="X192" s="1" t="s">
        <v>86</v>
      </c>
      <c r="Y192" s="1" t="s">
        <v>89</v>
      </c>
      <c r="Z192" s="1" t="s">
        <v>89</v>
      </c>
      <c r="AA192" s="1" t="s">
        <v>119</v>
      </c>
      <c r="AB192" s="1" t="s">
        <v>86</v>
      </c>
      <c r="AC192" s="1" t="s">
        <v>1180</v>
      </c>
      <c r="AD192" s="1">
        <v>71.9</v>
      </c>
      <c r="AE192" s="1">
        <v>59</v>
      </c>
      <c r="AF192" s="1" t="s">
        <v>91</v>
      </c>
      <c r="AG192" s="1">
        <v>4.6</v>
      </c>
      <c r="AH192" s="1">
        <v>37</v>
      </c>
      <c r="AI192" s="1" t="s">
        <v>86</v>
      </c>
      <c r="AJ192" s="1">
        <v>1.01</v>
      </c>
      <c r="AK192" s="1" t="s">
        <v>111</v>
      </c>
      <c r="AL192" s="1" t="s">
        <v>140</v>
      </c>
      <c r="AM192" s="1" t="s">
        <v>128</v>
      </c>
      <c r="AN192" s="1" t="s">
        <v>171</v>
      </c>
      <c r="AO192" s="1" t="s">
        <v>94</v>
      </c>
      <c r="AP192" s="1" t="s">
        <v>95</v>
      </c>
      <c r="AQ192" s="1">
        <v>15.6</v>
      </c>
      <c r="AR192" s="1">
        <v>51.4</v>
      </c>
      <c r="AS192" s="1">
        <v>38.6</v>
      </c>
      <c r="AT192" s="1" t="s">
        <v>96</v>
      </c>
      <c r="AU192" s="1" t="s">
        <v>86</v>
      </c>
      <c r="AV192" s="1" t="s">
        <v>86</v>
      </c>
      <c r="AW192" s="1" t="s">
        <v>86</v>
      </c>
      <c r="AX192" s="1" t="s">
        <v>86</v>
      </c>
      <c r="AY192" s="1" t="s">
        <v>86</v>
      </c>
      <c r="AZ192" s="1" t="s">
        <v>86</v>
      </c>
      <c r="BA192" s="1" t="s">
        <v>86</v>
      </c>
      <c r="BB192" s="1" t="s">
        <v>86</v>
      </c>
      <c r="BC192" s="1" t="s">
        <v>86</v>
      </c>
      <c r="BD192" s="1" t="s">
        <v>86</v>
      </c>
      <c r="BE192" s="1" t="s">
        <v>86</v>
      </c>
      <c r="BF192" s="1" t="s">
        <v>86</v>
      </c>
      <c r="BG192" s="1" t="s">
        <v>86</v>
      </c>
      <c r="BH192" s="1" t="s">
        <v>243</v>
      </c>
      <c r="BI192" s="1" t="s">
        <v>308</v>
      </c>
      <c r="BJ192" s="1" t="s">
        <v>87</v>
      </c>
      <c r="BK192" s="1">
        <v>0</v>
      </c>
      <c r="BL192" s="1">
        <v>0</v>
      </c>
      <c r="BM192" s="1" t="s">
        <v>398</v>
      </c>
      <c r="BN192" s="1" t="s">
        <v>1181</v>
      </c>
      <c r="BO192" s="1" t="s">
        <v>210</v>
      </c>
      <c r="BP192" s="1" t="s">
        <v>86</v>
      </c>
      <c r="BQ192" s="1" t="s">
        <v>86</v>
      </c>
      <c r="BR192" s="1" t="s">
        <v>86</v>
      </c>
      <c r="BS192" s="1" t="s">
        <v>86</v>
      </c>
      <c r="BT192" s="1" t="s">
        <v>86</v>
      </c>
      <c r="BU192" s="1" t="s">
        <v>163</v>
      </c>
      <c r="BV192" s="1" t="s">
        <v>86</v>
      </c>
      <c r="BW192" s="1" t="s">
        <v>101</v>
      </c>
      <c r="BX192" s="1" t="s">
        <v>545</v>
      </c>
      <c r="BY192" s="1" t="s">
        <v>86</v>
      </c>
      <c r="BZ192" s="1" t="s">
        <v>1182</v>
      </c>
      <c r="CA192" s="1" t="s">
        <v>229</v>
      </c>
      <c r="CB192" s="1" t="s">
        <v>166</v>
      </c>
      <c r="CC192" s="1" t="s">
        <v>86</v>
      </c>
      <c r="CD192" s="1" t="s">
        <v>86</v>
      </c>
      <c r="CE192" s="1" t="s">
        <v>86</v>
      </c>
    </row>
    <row r="193">
      <c r="A193" s="1">
        <v>191</v>
      </c>
      <c r="B193" s="1" t="s">
        <v>395</v>
      </c>
      <c r="C193" s="2">
        <f>=HYPERLINK("https://i.stonehdfile.com/stoneimage?s=b5d119b8-f769-478f-b4a8-e53109925fd2","Image")</f>
      </c>
      <c r="D193" s="2">
        <f>=HYPERLINK("https://dna.stonehdfile.com/hd/viewhd.html?d=c76adc7c-7fea-402c-8f8c-92d8825147c4","View360")</f>
      </c>
      <c r="E193" s="2">
        <f>=HYPERLINK("https://i.stonehdfile.com/Certificate?s=b5d119b8-f769-478f-b4a8-e53109925fd2","GIA")</f>
      </c>
      <c r="F193" s="2">
        <f>=HYPERLINK("https://i.stonehdfile.com/DNAReport?s=b5d119b8-f769-478f-b4a8-e53109925fd2","DNA")</f>
      </c>
      <c r="G193" s="2">
        <f>=HYPERLINK("https://www.gia.edu/report-check?reportno=******4400","Verify")</f>
      </c>
      <c r="H193" s="1" t="s">
        <v>1183</v>
      </c>
      <c r="I193" s="1" t="s">
        <v>46</v>
      </c>
      <c r="J193" s="1">
        <v>1.71</v>
      </c>
      <c r="K193" s="1">
        <v>1</v>
      </c>
      <c r="L193" s="1">
        <v>8800</v>
      </c>
      <c r="M193" s="1">
        <v>4472</v>
      </c>
      <c r="N193" s="1">
        <v>7647.12</v>
      </c>
      <c r="O193" s="1">
        <v>-49.18</v>
      </c>
      <c r="P193" s="1">
        <v>0</v>
      </c>
      <c r="Q193" s="1" t="s">
        <v>86</v>
      </c>
      <c r="R193" s="1">
        <v>0</v>
      </c>
      <c r="S193" s="1" t="s">
        <v>86</v>
      </c>
      <c r="T193" s="1" t="s">
        <v>86</v>
      </c>
      <c r="U193" s="1" t="s">
        <v>271</v>
      </c>
      <c r="V193" s="1" t="s">
        <v>86</v>
      </c>
      <c r="W193" s="1" t="s">
        <v>223</v>
      </c>
      <c r="X193" s="1" t="s">
        <v>86</v>
      </c>
      <c r="Y193" s="1" t="s">
        <v>89</v>
      </c>
      <c r="Z193" s="1" t="s">
        <v>89</v>
      </c>
      <c r="AA193" s="1" t="s">
        <v>119</v>
      </c>
      <c r="AB193" s="1" t="s">
        <v>86</v>
      </c>
      <c r="AC193" s="1" t="s">
        <v>1184</v>
      </c>
      <c r="AD193" s="1">
        <v>69.3</v>
      </c>
      <c r="AE193" s="1">
        <v>64</v>
      </c>
      <c r="AF193" s="1" t="s">
        <v>91</v>
      </c>
      <c r="AG193" s="1">
        <v>2.5</v>
      </c>
      <c r="AH193" s="1">
        <v>34.3</v>
      </c>
      <c r="AI193" s="1" t="s">
        <v>86</v>
      </c>
      <c r="AJ193" s="1">
        <v>1</v>
      </c>
      <c r="AK193" s="1" t="s">
        <v>111</v>
      </c>
      <c r="AL193" s="1" t="s">
        <v>93</v>
      </c>
      <c r="AM193" s="1" t="s">
        <v>151</v>
      </c>
      <c r="AN193" s="1" t="s">
        <v>171</v>
      </c>
      <c r="AO193" s="1" t="s">
        <v>94</v>
      </c>
      <c r="AP193" s="1" t="s">
        <v>95</v>
      </c>
      <c r="AQ193" s="1">
        <v>12.3</v>
      </c>
      <c r="AR193" s="1">
        <v>54.4</v>
      </c>
      <c r="AS193" s="1">
        <v>42.2</v>
      </c>
      <c r="AT193" s="1" t="s">
        <v>96</v>
      </c>
      <c r="AU193" s="1" t="s">
        <v>86</v>
      </c>
      <c r="AV193" s="1" t="s">
        <v>86</v>
      </c>
      <c r="AW193" s="1" t="s">
        <v>86</v>
      </c>
      <c r="AX193" s="1" t="s">
        <v>86</v>
      </c>
      <c r="AY193" s="1" t="s">
        <v>86</v>
      </c>
      <c r="AZ193" s="1" t="s">
        <v>86</v>
      </c>
      <c r="BA193" s="1" t="s">
        <v>86</v>
      </c>
      <c r="BB193" s="1" t="s">
        <v>86</v>
      </c>
      <c r="BC193" s="1" t="s">
        <v>86</v>
      </c>
      <c r="BD193" s="1" t="s">
        <v>86</v>
      </c>
      <c r="BE193" s="1" t="s">
        <v>86</v>
      </c>
      <c r="BF193" s="1" t="s">
        <v>86</v>
      </c>
      <c r="BG193" s="1" t="s">
        <v>172</v>
      </c>
      <c r="BH193" s="1" t="s">
        <v>142</v>
      </c>
      <c r="BI193" s="1" t="s">
        <v>328</v>
      </c>
      <c r="BJ193" s="1" t="s">
        <v>87</v>
      </c>
      <c r="BK193" s="1">
        <v>0</v>
      </c>
      <c r="BL193" s="1">
        <v>0</v>
      </c>
      <c r="BM193" s="1" t="s">
        <v>398</v>
      </c>
      <c r="BN193" s="1" t="s">
        <v>1185</v>
      </c>
      <c r="BO193" s="1" t="s">
        <v>518</v>
      </c>
      <c r="BP193" s="1" t="s">
        <v>86</v>
      </c>
      <c r="BQ193" s="1" t="s">
        <v>86</v>
      </c>
      <c r="BR193" s="1" t="s">
        <v>86</v>
      </c>
      <c r="BS193" s="1" t="s">
        <v>86</v>
      </c>
      <c r="BT193" s="1" t="s">
        <v>86</v>
      </c>
      <c r="BU193" s="1" t="s">
        <v>163</v>
      </c>
      <c r="BV193" s="1" t="s">
        <v>86</v>
      </c>
      <c r="BW193" s="1" t="s">
        <v>101</v>
      </c>
      <c r="BX193" s="1" t="s">
        <v>478</v>
      </c>
      <c r="BY193" s="1" t="s">
        <v>86</v>
      </c>
      <c r="BZ193" s="1" t="s">
        <v>1186</v>
      </c>
      <c r="CA193" s="1" t="s">
        <v>178</v>
      </c>
      <c r="CB193" s="1" t="s">
        <v>179</v>
      </c>
      <c r="CC193" s="1" t="s">
        <v>86</v>
      </c>
      <c r="CD193" s="1" t="s">
        <v>86</v>
      </c>
      <c r="CE193" s="1" t="s">
        <v>86</v>
      </c>
    </row>
    <row r="194">
      <c r="A194" s="1">
        <v>192</v>
      </c>
      <c r="B194" s="1" t="s">
        <v>395</v>
      </c>
      <c r="C194" s="2">
        <f>=HYPERLINK("https://i.stonehdfile.com/stoneimage?s=1084cdad-b43b-4186-a2dd-0e7ef4855381","Image")</f>
      </c>
      <c r="D194" s="2">
        <f>=HYPERLINK("https://dna.stonehdfile.com/hd/viewhd.html?d=23db61ad-5221-4cf6-90c5-dc1bce1022af","View360")</f>
      </c>
      <c r="E194" s="2">
        <f>=HYPERLINK("https://i.stonehdfile.com/Certificate?s=1084cdad-b43b-4186-a2dd-0e7ef4855381","GIA")</f>
      </c>
      <c r="F194" s="2">
        <f>=HYPERLINK("https://i.stonehdfile.com/DNAReport?s=1084cdad-b43b-4186-a2dd-0e7ef4855381","DNA")</f>
      </c>
      <c r="G194" s="2">
        <f>=HYPERLINK("https://www.gia.edu/report-check?reportno=******9617","Verify")</f>
      </c>
      <c r="H194" s="1" t="s">
        <v>1187</v>
      </c>
      <c r="I194" s="1" t="s">
        <v>46</v>
      </c>
      <c r="J194" s="1">
        <v>1.73</v>
      </c>
      <c r="K194" s="1">
        <v>0</v>
      </c>
      <c r="L194" s="1">
        <v>8800</v>
      </c>
      <c r="M194" s="1">
        <v>5050</v>
      </c>
      <c r="N194" s="1">
        <v>8736.5</v>
      </c>
      <c r="O194" s="1">
        <v>-42.61</v>
      </c>
      <c r="P194" s="1">
        <v>0</v>
      </c>
      <c r="Q194" s="1" t="s">
        <v>86</v>
      </c>
      <c r="R194" s="1">
        <v>0</v>
      </c>
      <c r="S194" s="1" t="s">
        <v>86</v>
      </c>
      <c r="T194" s="1" t="s">
        <v>86</v>
      </c>
      <c r="U194" s="1" t="s">
        <v>375</v>
      </c>
      <c r="V194" s="1" t="s">
        <v>86</v>
      </c>
      <c r="W194" s="1" t="s">
        <v>223</v>
      </c>
      <c r="X194" s="1" t="s">
        <v>86</v>
      </c>
      <c r="Y194" s="1" t="s">
        <v>89</v>
      </c>
      <c r="Z194" s="1" t="s">
        <v>89</v>
      </c>
      <c r="AA194" s="1" t="s">
        <v>119</v>
      </c>
      <c r="AB194" s="1" t="s">
        <v>86</v>
      </c>
      <c r="AC194" s="1" t="s">
        <v>1188</v>
      </c>
      <c r="AD194" s="1">
        <v>68</v>
      </c>
      <c r="AE194" s="1">
        <v>61</v>
      </c>
      <c r="AF194" s="1" t="s">
        <v>91</v>
      </c>
      <c r="AG194" s="1">
        <v>3.4</v>
      </c>
      <c r="AH194" s="1">
        <v>36.1</v>
      </c>
      <c r="AI194" s="1" t="s">
        <v>86</v>
      </c>
      <c r="AJ194" s="1">
        <v>1.11</v>
      </c>
      <c r="AK194" s="1" t="s">
        <v>190</v>
      </c>
      <c r="AL194" s="1" t="s">
        <v>140</v>
      </c>
      <c r="AM194" s="1" t="s">
        <v>140</v>
      </c>
      <c r="AN194" s="1" t="s">
        <v>171</v>
      </c>
      <c r="AO194" s="1" t="s">
        <v>94</v>
      </c>
      <c r="AP194" s="1" t="s">
        <v>95</v>
      </c>
      <c r="AQ194" s="1">
        <v>14.1</v>
      </c>
      <c r="AR194" s="1">
        <v>50.3</v>
      </c>
      <c r="AS194" s="1">
        <v>38</v>
      </c>
      <c r="AT194" s="1" t="s">
        <v>96</v>
      </c>
      <c r="AU194" s="1" t="s">
        <v>86</v>
      </c>
      <c r="AV194" s="1" t="s">
        <v>86</v>
      </c>
      <c r="AW194" s="1" t="s">
        <v>86</v>
      </c>
      <c r="AX194" s="1" t="s">
        <v>86</v>
      </c>
      <c r="AY194" s="1" t="s">
        <v>86</v>
      </c>
      <c r="AZ194" s="1" t="s">
        <v>86</v>
      </c>
      <c r="BA194" s="1" t="s">
        <v>86</v>
      </c>
      <c r="BB194" s="1" t="s">
        <v>86</v>
      </c>
      <c r="BC194" s="1" t="s">
        <v>86</v>
      </c>
      <c r="BD194" s="1" t="s">
        <v>86</v>
      </c>
      <c r="BE194" s="1" t="s">
        <v>86</v>
      </c>
      <c r="BF194" s="1" t="s">
        <v>86</v>
      </c>
      <c r="BG194" s="1" t="s">
        <v>172</v>
      </c>
      <c r="BH194" s="1" t="s">
        <v>215</v>
      </c>
      <c r="BI194" s="1" t="s">
        <v>191</v>
      </c>
      <c r="BJ194" s="1" t="s">
        <v>87</v>
      </c>
      <c r="BK194" s="1">
        <v>0</v>
      </c>
      <c r="BL194" s="1">
        <v>0</v>
      </c>
      <c r="BM194" s="1" t="s">
        <v>398</v>
      </c>
      <c r="BN194" s="1" t="s">
        <v>1189</v>
      </c>
      <c r="BO194" s="1" t="s">
        <v>956</v>
      </c>
      <c r="BP194" s="1" t="s">
        <v>86</v>
      </c>
      <c r="BQ194" s="1" t="s">
        <v>86</v>
      </c>
      <c r="BR194" s="1" t="s">
        <v>86</v>
      </c>
      <c r="BS194" s="1" t="s">
        <v>86</v>
      </c>
      <c r="BT194" s="1" t="s">
        <v>86</v>
      </c>
      <c r="BU194" s="1" t="s">
        <v>163</v>
      </c>
      <c r="BV194" s="1" t="s">
        <v>86</v>
      </c>
      <c r="BW194" s="1" t="s">
        <v>101</v>
      </c>
      <c r="BX194" s="1" t="s">
        <v>401</v>
      </c>
      <c r="BY194" s="1" t="s">
        <v>86</v>
      </c>
      <c r="BZ194" s="1" t="s">
        <v>1190</v>
      </c>
      <c r="CA194" s="1" t="s">
        <v>312</v>
      </c>
      <c r="CB194" s="1" t="s">
        <v>179</v>
      </c>
      <c r="CC194" s="1" t="s">
        <v>86</v>
      </c>
      <c r="CD194" s="1" t="s">
        <v>86</v>
      </c>
      <c r="CE194" s="1" t="s">
        <v>86</v>
      </c>
    </row>
    <row r="195">
      <c r="A195" s="1">
        <v>193</v>
      </c>
      <c r="B195" s="1" t="s">
        <v>395</v>
      </c>
      <c r="C195" s="2">
        <f>=HYPERLINK("https://i.stonehdfile.com/stoneimage?s=f5b240ad-eddf-43b5-a7e6-8a48535b73fa","Image")</f>
      </c>
      <c r="D195" s="2">
        <f>=HYPERLINK("https://dna.stonehdfile.com/hd/viewhd.html?d=be2fb9d2-8352-47bf-ac33-0698c4a33940","View360")</f>
      </c>
      <c r="E195" s="2">
        <f>=HYPERLINK("https://i.stonehdfile.com/Certificate?s=f5b240ad-eddf-43b5-a7e6-8a48535b73fa","GIA")</f>
      </c>
      <c r="F195" s="2">
        <f>=HYPERLINK("https://i.stonehdfile.com/DNAReport?s=f5b240ad-eddf-43b5-a7e6-8a48535b73fa","DNA")</f>
      </c>
      <c r="G195" s="2">
        <f>=HYPERLINK("https://www.gia.edu/report-check?reportno=******1172","Verify")</f>
      </c>
      <c r="H195" s="1" t="s">
        <v>1191</v>
      </c>
      <c r="I195" s="1" t="s">
        <v>46</v>
      </c>
      <c r="J195" s="1">
        <v>1.7</v>
      </c>
      <c r="K195" s="1">
        <v>3</v>
      </c>
      <c r="L195" s="1">
        <v>8000</v>
      </c>
      <c r="M195" s="1">
        <v>3607</v>
      </c>
      <c r="N195" s="1">
        <v>6131.9</v>
      </c>
      <c r="O195" s="1">
        <v>-54.91</v>
      </c>
      <c r="P195" s="1">
        <v>0</v>
      </c>
      <c r="Q195" s="1" t="s">
        <v>86</v>
      </c>
      <c r="R195" s="1">
        <v>0</v>
      </c>
      <c r="S195" s="1" t="s">
        <v>86</v>
      </c>
      <c r="T195" s="1" t="s">
        <v>86</v>
      </c>
      <c r="U195" s="1" t="s">
        <v>375</v>
      </c>
      <c r="V195" s="1" t="s">
        <v>86</v>
      </c>
      <c r="W195" s="1" t="s">
        <v>169</v>
      </c>
      <c r="X195" s="1" t="s">
        <v>86</v>
      </c>
      <c r="Y195" s="1" t="s">
        <v>89</v>
      </c>
      <c r="Z195" s="1" t="s">
        <v>89</v>
      </c>
      <c r="AA195" s="1" t="s">
        <v>108</v>
      </c>
      <c r="AB195" s="1" t="s">
        <v>109</v>
      </c>
      <c r="AC195" s="1" t="s">
        <v>1192</v>
      </c>
      <c r="AD195" s="1">
        <v>69.2</v>
      </c>
      <c r="AE195" s="1">
        <v>61</v>
      </c>
      <c r="AF195" s="1" t="s">
        <v>91</v>
      </c>
      <c r="AG195" s="1">
        <v>3.1</v>
      </c>
      <c r="AH195" s="1">
        <v>35.6</v>
      </c>
      <c r="AI195" s="1" t="s">
        <v>86</v>
      </c>
      <c r="AJ195" s="1">
        <v>1.1</v>
      </c>
      <c r="AK195" s="1" t="s">
        <v>111</v>
      </c>
      <c r="AL195" s="1" t="s">
        <v>93</v>
      </c>
      <c r="AM195" s="1" t="s">
        <v>128</v>
      </c>
      <c r="AN195" s="1" t="s">
        <v>171</v>
      </c>
      <c r="AO195" s="1" t="s">
        <v>94</v>
      </c>
      <c r="AP195" s="1" t="s">
        <v>95</v>
      </c>
      <c r="AQ195" s="1">
        <v>13.8</v>
      </c>
      <c r="AR195" s="1">
        <v>52.3</v>
      </c>
      <c r="AS195" s="1">
        <v>38.6</v>
      </c>
      <c r="AT195" s="1" t="s">
        <v>96</v>
      </c>
      <c r="AU195" s="1" t="s">
        <v>86</v>
      </c>
      <c r="AV195" s="1" t="s">
        <v>86</v>
      </c>
      <c r="AW195" s="1" t="s">
        <v>86</v>
      </c>
      <c r="AX195" s="1" t="s">
        <v>86</v>
      </c>
      <c r="AY195" s="1" t="s">
        <v>86</v>
      </c>
      <c r="AZ195" s="1" t="s">
        <v>86</v>
      </c>
      <c r="BA195" s="1" t="s">
        <v>86</v>
      </c>
      <c r="BB195" s="1" t="s">
        <v>86</v>
      </c>
      <c r="BC195" s="1" t="s">
        <v>86</v>
      </c>
      <c r="BD195" s="1" t="s">
        <v>86</v>
      </c>
      <c r="BE195" s="1" t="s">
        <v>86</v>
      </c>
      <c r="BF195" s="1" t="s">
        <v>86</v>
      </c>
      <c r="BG195" s="1" t="s">
        <v>86</v>
      </c>
      <c r="BH195" s="1" t="s">
        <v>173</v>
      </c>
      <c r="BI195" s="1" t="s">
        <v>174</v>
      </c>
      <c r="BJ195" s="1" t="s">
        <v>87</v>
      </c>
      <c r="BK195" s="1">
        <v>0</v>
      </c>
      <c r="BL195" s="1">
        <v>0</v>
      </c>
      <c r="BM195" s="1" t="s">
        <v>398</v>
      </c>
      <c r="BN195" s="1" t="s">
        <v>1193</v>
      </c>
      <c r="BO195" s="1" t="s">
        <v>1194</v>
      </c>
      <c r="BP195" s="1" t="s">
        <v>86</v>
      </c>
      <c r="BQ195" s="1" t="s">
        <v>86</v>
      </c>
      <c r="BR195" s="1" t="s">
        <v>86</v>
      </c>
      <c r="BS195" s="1" t="s">
        <v>86</v>
      </c>
      <c r="BT195" s="1" t="s">
        <v>86</v>
      </c>
      <c r="BU195" s="1" t="s">
        <v>163</v>
      </c>
      <c r="BV195" s="1" t="s">
        <v>86</v>
      </c>
      <c r="BW195" s="1" t="s">
        <v>101</v>
      </c>
      <c r="BX195" s="1" t="s">
        <v>423</v>
      </c>
      <c r="BY195" s="1" t="s">
        <v>86</v>
      </c>
      <c r="BZ195" s="1" t="s">
        <v>1195</v>
      </c>
      <c r="CA195" s="1" t="s">
        <v>606</v>
      </c>
      <c r="CB195" s="1" t="s">
        <v>86</v>
      </c>
      <c r="CC195" s="1" t="s">
        <v>86</v>
      </c>
      <c r="CD195" s="1" t="s">
        <v>86</v>
      </c>
      <c r="CE195" s="1" t="s">
        <v>86</v>
      </c>
    </row>
    <row r="196">
      <c r="A196" s="1">
        <v>194</v>
      </c>
      <c r="B196" s="1" t="s">
        <v>395</v>
      </c>
      <c r="C196" s="2">
        <f>=HYPERLINK("https://i.stonehdfile.com/stoneimage?s=313a4313-cf3d-4c68-ad82-b5655f718c2f","Image")</f>
      </c>
      <c r="D196" s="2">
        <f>=HYPERLINK("https://dna.stonehdfile.com/hd/viewhd.html?d=a0ee1a8e-d839-48c3-a097-4ee11206ae04","View360")</f>
      </c>
      <c r="E196" s="2">
        <f>=HYPERLINK("https://i.stonehdfile.com/Certificate?s=313a4313-cf3d-4c68-ad82-b5655f718c2f","GIA")</f>
      </c>
      <c r="F196" s="2">
        <f>=HYPERLINK("https://i.stonehdfile.com/DNAReport?s=313a4313-cf3d-4c68-ad82-b5655f718c2f","DNA")</f>
      </c>
      <c r="G196" s="2">
        <f>=HYPERLINK("https://www.gia.edu/report-check?reportno=******9193","Verify")</f>
      </c>
      <c r="H196" s="1" t="s">
        <v>1196</v>
      </c>
      <c r="I196" s="1" t="s">
        <v>46</v>
      </c>
      <c r="J196" s="1">
        <v>1.7</v>
      </c>
      <c r="K196" s="1">
        <v>5</v>
      </c>
      <c r="L196" s="1">
        <v>8000</v>
      </c>
      <c r="M196" s="1">
        <v>3922</v>
      </c>
      <c r="N196" s="1">
        <v>6667.4</v>
      </c>
      <c r="O196" s="1">
        <v>-50.98</v>
      </c>
      <c r="P196" s="1">
        <v>0</v>
      </c>
      <c r="Q196" s="1" t="s">
        <v>86</v>
      </c>
      <c r="R196" s="1">
        <v>0</v>
      </c>
      <c r="S196" s="1" t="s">
        <v>86</v>
      </c>
      <c r="T196" s="1" t="s">
        <v>86</v>
      </c>
      <c r="U196" s="1" t="s">
        <v>271</v>
      </c>
      <c r="V196" s="1" t="s">
        <v>86</v>
      </c>
      <c r="W196" s="1" t="s">
        <v>137</v>
      </c>
      <c r="X196" s="1" t="s">
        <v>86</v>
      </c>
      <c r="Y196" s="1" t="s">
        <v>89</v>
      </c>
      <c r="Z196" s="1" t="s">
        <v>89</v>
      </c>
      <c r="AA196" s="1" t="s">
        <v>119</v>
      </c>
      <c r="AB196" s="1" t="s">
        <v>86</v>
      </c>
      <c r="AC196" s="1" t="s">
        <v>1197</v>
      </c>
      <c r="AD196" s="1">
        <v>69.3</v>
      </c>
      <c r="AE196" s="1">
        <v>59</v>
      </c>
      <c r="AF196" s="1" t="s">
        <v>91</v>
      </c>
      <c r="AG196" s="1">
        <v>3.3</v>
      </c>
      <c r="AH196" s="1">
        <v>36.2</v>
      </c>
      <c r="AI196" s="1" t="s">
        <v>86</v>
      </c>
      <c r="AJ196" s="1">
        <v>1.12</v>
      </c>
      <c r="AK196" s="1" t="s">
        <v>111</v>
      </c>
      <c r="AL196" s="1" t="s">
        <v>140</v>
      </c>
      <c r="AM196" s="1" t="s">
        <v>128</v>
      </c>
      <c r="AN196" s="1" t="s">
        <v>171</v>
      </c>
      <c r="AO196" s="1" t="s">
        <v>94</v>
      </c>
      <c r="AP196" s="1" t="s">
        <v>95</v>
      </c>
      <c r="AQ196" s="1">
        <v>15.1</v>
      </c>
      <c r="AR196" s="1">
        <v>50.7</v>
      </c>
      <c r="AS196" s="1">
        <v>38.6</v>
      </c>
      <c r="AT196" s="1" t="s">
        <v>96</v>
      </c>
      <c r="AU196" s="1" t="s">
        <v>86</v>
      </c>
      <c r="AV196" s="1" t="s">
        <v>86</v>
      </c>
      <c r="AW196" s="1" t="s">
        <v>86</v>
      </c>
      <c r="AX196" s="1" t="s">
        <v>86</v>
      </c>
      <c r="AY196" s="1" t="s">
        <v>86</v>
      </c>
      <c r="AZ196" s="1" t="s">
        <v>86</v>
      </c>
      <c r="BA196" s="1" t="s">
        <v>86</v>
      </c>
      <c r="BB196" s="1" t="s">
        <v>86</v>
      </c>
      <c r="BC196" s="1" t="s">
        <v>86</v>
      </c>
      <c r="BD196" s="1" t="s">
        <v>86</v>
      </c>
      <c r="BE196" s="1" t="s">
        <v>86</v>
      </c>
      <c r="BF196" s="1" t="s">
        <v>86</v>
      </c>
      <c r="BG196" s="1" t="s">
        <v>86</v>
      </c>
      <c r="BH196" s="1" t="s">
        <v>182</v>
      </c>
      <c r="BI196" s="1" t="s">
        <v>232</v>
      </c>
      <c r="BJ196" s="1" t="s">
        <v>87</v>
      </c>
      <c r="BK196" s="1">
        <v>0</v>
      </c>
      <c r="BL196" s="1">
        <v>0</v>
      </c>
      <c r="BM196" s="1" t="s">
        <v>398</v>
      </c>
      <c r="BN196" s="1" t="s">
        <v>1198</v>
      </c>
      <c r="BO196" s="1" t="s">
        <v>185</v>
      </c>
      <c r="BP196" s="1" t="s">
        <v>86</v>
      </c>
      <c r="BQ196" s="1" t="s">
        <v>86</v>
      </c>
      <c r="BR196" s="1" t="s">
        <v>86</v>
      </c>
      <c r="BS196" s="1" t="s">
        <v>86</v>
      </c>
      <c r="BT196" s="1" t="s">
        <v>86</v>
      </c>
      <c r="BU196" s="1" t="s">
        <v>163</v>
      </c>
      <c r="BV196" s="1" t="s">
        <v>86</v>
      </c>
      <c r="BW196" s="1" t="s">
        <v>101</v>
      </c>
      <c r="BX196" s="1" t="s">
        <v>423</v>
      </c>
      <c r="BY196" s="1" t="s">
        <v>86</v>
      </c>
      <c r="BZ196" s="1" t="s">
        <v>1199</v>
      </c>
      <c r="CA196" s="1" t="s">
        <v>671</v>
      </c>
      <c r="CB196" s="1" t="s">
        <v>221</v>
      </c>
      <c r="CC196" s="1" t="s">
        <v>86</v>
      </c>
      <c r="CD196" s="1" t="s">
        <v>86</v>
      </c>
      <c r="CE196" s="1" t="s">
        <v>86</v>
      </c>
    </row>
    <row r="197">
      <c r="A197" s="1">
        <v>195</v>
      </c>
      <c r="B197" s="1" t="s">
        <v>395</v>
      </c>
      <c r="C197" s="2">
        <f>=HYPERLINK("https://i.stonehdfile.com/stoneimage?s=05e7eff3-88d4-4df0-a9b1-1691064873aa","Image")</f>
      </c>
      <c r="D197" s="2">
        <f>=HYPERLINK("https://dna.stonehdfile.com/hd/viewhd.html?d=8bfed1ed-749c-4335-bc59-f594ef6839ea","View360")</f>
      </c>
      <c r="E197" s="2">
        <f>=HYPERLINK("https://i.stonehdfile.com/Certificate?s=05e7eff3-88d4-4df0-a9b1-1691064873aa","GIA")</f>
      </c>
      <c r="F197" s="2">
        <f>=HYPERLINK("https://i.stonehdfile.com/DNAReport?s=05e7eff3-88d4-4df0-a9b1-1691064873aa","DNA")</f>
      </c>
      <c r="G197" s="2">
        <f>=HYPERLINK("https://www.gia.edu/report-check?reportno=******0609","Verify")</f>
      </c>
      <c r="H197" s="1" t="s">
        <v>1200</v>
      </c>
      <c r="I197" s="1" t="s">
        <v>46</v>
      </c>
      <c r="J197" s="1">
        <v>1.7</v>
      </c>
      <c r="K197" s="1">
        <v>1</v>
      </c>
      <c r="L197" s="1">
        <v>8000</v>
      </c>
      <c r="M197" s="1">
        <v>3590</v>
      </c>
      <c r="N197" s="1">
        <v>6103</v>
      </c>
      <c r="O197" s="1">
        <v>-55.13</v>
      </c>
      <c r="P197" s="1">
        <v>0</v>
      </c>
      <c r="Q197" s="1" t="s">
        <v>86</v>
      </c>
      <c r="R197" s="1">
        <v>0</v>
      </c>
      <c r="S197" s="1" t="s">
        <v>86</v>
      </c>
      <c r="T197" s="1" t="s">
        <v>86</v>
      </c>
      <c r="U197" s="1" t="s">
        <v>271</v>
      </c>
      <c r="V197" s="1" t="s">
        <v>86</v>
      </c>
      <c r="W197" s="1" t="s">
        <v>137</v>
      </c>
      <c r="X197" s="1" t="s">
        <v>86</v>
      </c>
      <c r="Y197" s="1" t="s">
        <v>89</v>
      </c>
      <c r="Z197" s="1" t="s">
        <v>138</v>
      </c>
      <c r="AA197" s="1" t="s">
        <v>119</v>
      </c>
      <c r="AB197" s="1" t="s">
        <v>86</v>
      </c>
      <c r="AC197" s="1" t="s">
        <v>1201</v>
      </c>
      <c r="AD197" s="1">
        <v>69.8</v>
      </c>
      <c r="AE197" s="1">
        <v>63</v>
      </c>
      <c r="AF197" s="1" t="s">
        <v>91</v>
      </c>
      <c r="AG197" s="1">
        <v>2.7</v>
      </c>
      <c r="AH197" s="1">
        <v>33.1</v>
      </c>
      <c r="AI197" s="1" t="s">
        <v>86</v>
      </c>
      <c r="AJ197" s="1">
        <v>1.01</v>
      </c>
      <c r="AK197" s="1" t="s">
        <v>111</v>
      </c>
      <c r="AL197" s="1" t="s">
        <v>140</v>
      </c>
      <c r="AM197" s="1" t="s">
        <v>128</v>
      </c>
      <c r="AN197" s="1" t="s">
        <v>171</v>
      </c>
      <c r="AO197" s="1" t="s">
        <v>94</v>
      </c>
      <c r="AP197" s="1" t="s">
        <v>95</v>
      </c>
      <c r="AQ197" s="1">
        <v>12</v>
      </c>
      <c r="AR197" s="1">
        <v>54.8</v>
      </c>
      <c r="AS197" s="1">
        <v>41.6</v>
      </c>
      <c r="AT197" s="1" t="s">
        <v>96</v>
      </c>
      <c r="AU197" s="1" t="s">
        <v>141</v>
      </c>
      <c r="AV197" s="1" t="s">
        <v>86</v>
      </c>
      <c r="AW197" s="1" t="s">
        <v>86</v>
      </c>
      <c r="AX197" s="1" t="s">
        <v>86</v>
      </c>
      <c r="AY197" s="1" t="s">
        <v>86</v>
      </c>
      <c r="AZ197" s="1" t="s">
        <v>86</v>
      </c>
      <c r="BA197" s="1" t="s">
        <v>86</v>
      </c>
      <c r="BB197" s="1" t="s">
        <v>86</v>
      </c>
      <c r="BC197" s="1" t="s">
        <v>86</v>
      </c>
      <c r="BD197" s="1" t="s">
        <v>86</v>
      </c>
      <c r="BE197" s="1" t="s">
        <v>86</v>
      </c>
      <c r="BF197" s="1" t="s">
        <v>86</v>
      </c>
      <c r="BG197" s="1" t="s">
        <v>172</v>
      </c>
      <c r="BH197" s="1" t="s">
        <v>97</v>
      </c>
      <c r="BI197" s="1" t="s">
        <v>430</v>
      </c>
      <c r="BJ197" s="1" t="s">
        <v>87</v>
      </c>
      <c r="BK197" s="1">
        <v>0</v>
      </c>
      <c r="BL197" s="1">
        <v>0</v>
      </c>
      <c r="BM197" s="1" t="s">
        <v>398</v>
      </c>
      <c r="BN197" s="1" t="s">
        <v>1202</v>
      </c>
      <c r="BO197" s="1" t="s">
        <v>176</v>
      </c>
      <c r="BP197" s="1" t="s">
        <v>86</v>
      </c>
      <c r="BQ197" s="1" t="s">
        <v>86</v>
      </c>
      <c r="BR197" s="1" t="s">
        <v>86</v>
      </c>
      <c r="BS197" s="1" t="s">
        <v>86</v>
      </c>
      <c r="BT197" s="1" t="s">
        <v>86</v>
      </c>
      <c r="BU197" s="1" t="s">
        <v>163</v>
      </c>
      <c r="BV197" s="1" t="s">
        <v>86</v>
      </c>
      <c r="BW197" s="1" t="s">
        <v>101</v>
      </c>
      <c r="BX197" s="1" t="s">
        <v>401</v>
      </c>
      <c r="BY197" s="1" t="s">
        <v>86</v>
      </c>
      <c r="BZ197" s="1" t="s">
        <v>1203</v>
      </c>
      <c r="CA197" s="1" t="s">
        <v>178</v>
      </c>
      <c r="CB197" s="1" t="s">
        <v>179</v>
      </c>
      <c r="CC197" s="1" t="s">
        <v>86</v>
      </c>
      <c r="CD197" s="1" t="s">
        <v>86</v>
      </c>
      <c r="CE197" s="1" t="s">
        <v>86</v>
      </c>
    </row>
    <row r="198">
      <c r="A198" s="1">
        <v>196</v>
      </c>
      <c r="B198" s="1" t="s">
        <v>395</v>
      </c>
      <c r="C198" s="2">
        <f>=HYPERLINK("https://i.stonehdfile.com/stoneimage?s=6f788a53-0425-45f9-b737-67e294d15d27","Image")</f>
      </c>
      <c r="D198" s="2">
        <f>=HYPERLINK("https://dna.stonehdfile.com/hd/viewhd.html?d=0de9d335-d166-4ee3-b1d3-5adc5fcb41b2","View360")</f>
      </c>
      <c r="E198" s="2">
        <f>=HYPERLINK("https://i.stonehdfile.com/Certificate?s=6f788a53-0425-45f9-b737-67e294d15d27","GIA")</f>
      </c>
      <c r="F198" s="2">
        <f>=HYPERLINK("https://i.stonehdfile.com/DNAReport?s=6f788a53-0425-45f9-b737-67e294d15d27","DNA")</f>
      </c>
      <c r="G198" s="2">
        <f>=HYPERLINK("https://www.gia.edu/report-check?reportno=******2515","Verify")</f>
      </c>
      <c r="H198" s="1" t="s">
        <v>1204</v>
      </c>
      <c r="I198" s="1" t="s">
        <v>46</v>
      </c>
      <c r="J198" s="1">
        <v>1.7</v>
      </c>
      <c r="K198" s="1">
        <v>3</v>
      </c>
      <c r="L198" s="1">
        <v>8000</v>
      </c>
      <c r="M198" s="1">
        <v>4191</v>
      </c>
      <c r="N198" s="1">
        <v>7124.7</v>
      </c>
      <c r="O198" s="1">
        <v>-47.61</v>
      </c>
      <c r="P198" s="1">
        <v>0</v>
      </c>
      <c r="Q198" s="1" t="s">
        <v>86</v>
      </c>
      <c r="R198" s="1">
        <v>0</v>
      </c>
      <c r="S198" s="1" t="s">
        <v>86</v>
      </c>
      <c r="T198" s="1" t="s">
        <v>86</v>
      </c>
      <c r="U198" s="1" t="s">
        <v>375</v>
      </c>
      <c r="V198" s="1" t="s">
        <v>86</v>
      </c>
      <c r="W198" s="1" t="s">
        <v>137</v>
      </c>
      <c r="X198" s="1" t="s">
        <v>86</v>
      </c>
      <c r="Y198" s="1" t="s">
        <v>89</v>
      </c>
      <c r="Z198" s="1" t="s">
        <v>138</v>
      </c>
      <c r="AA198" s="1" t="s">
        <v>119</v>
      </c>
      <c r="AB198" s="1" t="s">
        <v>86</v>
      </c>
      <c r="AC198" s="1" t="s">
        <v>1205</v>
      </c>
      <c r="AD198" s="1">
        <v>68</v>
      </c>
      <c r="AE198" s="1">
        <v>59</v>
      </c>
      <c r="AF198" s="1" t="s">
        <v>91</v>
      </c>
      <c r="AG198" s="1">
        <v>3.2</v>
      </c>
      <c r="AH198" s="1">
        <v>36.2</v>
      </c>
      <c r="AI198" s="1" t="s">
        <v>86</v>
      </c>
      <c r="AJ198" s="1">
        <v>1.05</v>
      </c>
      <c r="AK198" s="1" t="s">
        <v>111</v>
      </c>
      <c r="AL198" s="1" t="s">
        <v>140</v>
      </c>
      <c r="AM198" s="1" t="s">
        <v>93</v>
      </c>
      <c r="AN198" s="1" t="s">
        <v>307</v>
      </c>
      <c r="AO198" s="1" t="s">
        <v>94</v>
      </c>
      <c r="AP198" s="1" t="s">
        <v>95</v>
      </c>
      <c r="AQ198" s="1">
        <v>15.1</v>
      </c>
      <c r="AR198" s="1">
        <v>49.7</v>
      </c>
      <c r="AS198" s="1">
        <v>38.4</v>
      </c>
      <c r="AT198" s="1" t="s">
        <v>96</v>
      </c>
      <c r="AU198" s="1" t="s">
        <v>86</v>
      </c>
      <c r="AV198" s="1" t="s">
        <v>86</v>
      </c>
      <c r="AW198" s="1" t="s">
        <v>86</v>
      </c>
      <c r="AX198" s="1" t="s">
        <v>86</v>
      </c>
      <c r="AY198" s="1" t="s">
        <v>86</v>
      </c>
      <c r="AZ198" s="1" t="s">
        <v>86</v>
      </c>
      <c r="BA198" s="1" t="s">
        <v>86</v>
      </c>
      <c r="BB198" s="1" t="s">
        <v>86</v>
      </c>
      <c r="BC198" s="1" t="s">
        <v>86</v>
      </c>
      <c r="BD198" s="1" t="s">
        <v>86</v>
      </c>
      <c r="BE198" s="1" t="s">
        <v>86</v>
      </c>
      <c r="BF198" s="1" t="s">
        <v>282</v>
      </c>
      <c r="BG198" s="1" t="s">
        <v>86</v>
      </c>
      <c r="BH198" s="1" t="s">
        <v>97</v>
      </c>
      <c r="BI198" s="1" t="s">
        <v>199</v>
      </c>
      <c r="BJ198" s="1" t="s">
        <v>87</v>
      </c>
      <c r="BK198" s="1">
        <v>0</v>
      </c>
      <c r="BL198" s="1">
        <v>0</v>
      </c>
      <c r="BM198" s="1" t="s">
        <v>398</v>
      </c>
      <c r="BN198" s="1" t="s">
        <v>1206</v>
      </c>
      <c r="BO198" s="1" t="s">
        <v>413</v>
      </c>
      <c r="BP198" s="1" t="s">
        <v>86</v>
      </c>
      <c r="BQ198" s="1" t="s">
        <v>86</v>
      </c>
      <c r="BR198" s="1" t="s">
        <v>86</v>
      </c>
      <c r="BS198" s="1" t="s">
        <v>86</v>
      </c>
      <c r="BT198" s="1" t="s">
        <v>86</v>
      </c>
      <c r="BU198" s="1" t="s">
        <v>163</v>
      </c>
      <c r="BV198" s="1" t="s">
        <v>86</v>
      </c>
      <c r="BW198" s="1" t="s">
        <v>101</v>
      </c>
      <c r="BX198" s="1" t="s">
        <v>414</v>
      </c>
      <c r="BY198" s="1" t="s">
        <v>86</v>
      </c>
      <c r="BZ198" s="1" t="s">
        <v>1207</v>
      </c>
      <c r="CA198" s="1" t="s">
        <v>312</v>
      </c>
      <c r="CB198" s="1" t="s">
        <v>286</v>
      </c>
      <c r="CC198" s="1" t="s">
        <v>86</v>
      </c>
      <c r="CD198" s="1" t="s">
        <v>86</v>
      </c>
      <c r="CE198" s="1" t="s">
        <v>86</v>
      </c>
    </row>
    <row r="199">
      <c r="A199" s="1">
        <v>197</v>
      </c>
      <c r="B199" s="1" t="s">
        <v>395</v>
      </c>
      <c r="C199" s="2">
        <f>=HYPERLINK("https://i.stonehdfile.com/stoneimage?s=e2f609e7-d855-4dd3-876c-c16b912f664f","Image")</f>
      </c>
      <c r="D199" s="2">
        <f>=HYPERLINK("https://dna.stonehdfile.com/hd/viewhd.html?d=24a1d5e0-1509-4d3e-aaea-f100261b3688","View360")</f>
      </c>
      <c r="E199" s="2">
        <f>=HYPERLINK("https://i.stonehdfile.com/Certificate?s=e2f609e7-d855-4dd3-876c-c16b912f664f","GIA")</f>
      </c>
      <c r="F199" s="2">
        <f>=HYPERLINK("https://i.stonehdfile.com/DNAReport?s=e2f609e7-d855-4dd3-876c-c16b912f664f","DNA")</f>
      </c>
      <c r="G199" s="2">
        <f>=HYPERLINK("https://www.gia.edu/report-check?reportno=******3023","Verify")</f>
      </c>
      <c r="H199" s="1" t="s">
        <v>1208</v>
      </c>
      <c r="I199" s="1" t="s">
        <v>46</v>
      </c>
      <c r="J199" s="1">
        <v>1.7</v>
      </c>
      <c r="K199" s="1">
        <v>7</v>
      </c>
      <c r="L199" s="1">
        <v>8000</v>
      </c>
      <c r="M199" s="1">
        <v>4592</v>
      </c>
      <c r="N199" s="1">
        <v>7806.4</v>
      </c>
      <c r="O199" s="1">
        <v>-42.6</v>
      </c>
      <c r="P199" s="1">
        <v>0</v>
      </c>
      <c r="Q199" s="1" t="s">
        <v>86</v>
      </c>
      <c r="R199" s="1">
        <v>0</v>
      </c>
      <c r="S199" s="1" t="s">
        <v>86</v>
      </c>
      <c r="T199" s="1" t="s">
        <v>86</v>
      </c>
      <c r="U199" s="1" t="s">
        <v>271</v>
      </c>
      <c r="V199" s="1" t="s">
        <v>86</v>
      </c>
      <c r="W199" s="1" t="s">
        <v>137</v>
      </c>
      <c r="X199" s="1" t="s">
        <v>86</v>
      </c>
      <c r="Y199" s="1" t="s">
        <v>89</v>
      </c>
      <c r="Z199" s="1" t="s">
        <v>89</v>
      </c>
      <c r="AA199" s="1" t="s">
        <v>119</v>
      </c>
      <c r="AB199" s="1" t="s">
        <v>86</v>
      </c>
      <c r="AC199" s="1" t="s">
        <v>1209</v>
      </c>
      <c r="AD199" s="1">
        <v>68.6</v>
      </c>
      <c r="AE199" s="1">
        <v>65</v>
      </c>
      <c r="AF199" s="1" t="s">
        <v>91</v>
      </c>
      <c r="AG199" s="1">
        <v>1.8</v>
      </c>
      <c r="AH199" s="1">
        <v>34</v>
      </c>
      <c r="AI199" s="1" t="s">
        <v>86</v>
      </c>
      <c r="AJ199" s="1">
        <v>1.1</v>
      </c>
      <c r="AK199" s="1" t="s">
        <v>111</v>
      </c>
      <c r="AL199" s="1" t="s">
        <v>93</v>
      </c>
      <c r="AM199" s="1" t="s">
        <v>93</v>
      </c>
      <c r="AN199" s="1" t="s">
        <v>171</v>
      </c>
      <c r="AO199" s="1" t="s">
        <v>208</v>
      </c>
      <c r="AP199" s="1" t="s">
        <v>95</v>
      </c>
      <c r="AQ199" s="1">
        <v>12</v>
      </c>
      <c r="AR199" s="1">
        <v>54.6</v>
      </c>
      <c r="AS199" s="1">
        <v>39.6</v>
      </c>
      <c r="AT199" s="1" t="s">
        <v>96</v>
      </c>
      <c r="AU199" s="1" t="s">
        <v>86</v>
      </c>
      <c r="AV199" s="1" t="s">
        <v>86</v>
      </c>
      <c r="AW199" s="1" t="s">
        <v>86</v>
      </c>
      <c r="AX199" s="1" t="s">
        <v>86</v>
      </c>
      <c r="AY199" s="1" t="s">
        <v>86</v>
      </c>
      <c r="AZ199" s="1" t="s">
        <v>112</v>
      </c>
      <c r="BA199" s="1" t="s">
        <v>86</v>
      </c>
      <c r="BB199" s="1" t="s">
        <v>86</v>
      </c>
      <c r="BC199" s="1" t="s">
        <v>86</v>
      </c>
      <c r="BD199" s="1" t="s">
        <v>86</v>
      </c>
      <c r="BE199" s="1" t="s">
        <v>86</v>
      </c>
      <c r="BF199" s="1" t="s">
        <v>86</v>
      </c>
      <c r="BG199" s="1" t="s">
        <v>172</v>
      </c>
      <c r="BH199" s="1" t="s">
        <v>142</v>
      </c>
      <c r="BI199" s="1" t="s">
        <v>570</v>
      </c>
      <c r="BJ199" s="1" t="s">
        <v>87</v>
      </c>
      <c r="BK199" s="1">
        <v>0</v>
      </c>
      <c r="BL199" s="1">
        <v>0</v>
      </c>
      <c r="BM199" s="1" t="s">
        <v>398</v>
      </c>
      <c r="BN199" s="1" t="s">
        <v>1210</v>
      </c>
      <c r="BO199" s="1" t="s">
        <v>1211</v>
      </c>
      <c r="BP199" s="1" t="s">
        <v>86</v>
      </c>
      <c r="BQ199" s="1" t="s">
        <v>86</v>
      </c>
      <c r="BR199" s="1" t="s">
        <v>86</v>
      </c>
      <c r="BS199" s="1" t="s">
        <v>86</v>
      </c>
      <c r="BT199" s="1" t="s">
        <v>86</v>
      </c>
      <c r="BU199" s="1" t="s">
        <v>163</v>
      </c>
      <c r="BV199" s="1" t="s">
        <v>86</v>
      </c>
      <c r="BW199" s="1" t="s">
        <v>101</v>
      </c>
      <c r="BX199" s="1" t="s">
        <v>401</v>
      </c>
      <c r="BY199" s="1" t="s">
        <v>86</v>
      </c>
      <c r="BZ199" s="1" t="s">
        <v>1212</v>
      </c>
      <c r="CA199" s="1" t="s">
        <v>1213</v>
      </c>
      <c r="CB199" s="1" t="s">
        <v>204</v>
      </c>
      <c r="CC199" s="1" t="s">
        <v>86</v>
      </c>
      <c r="CD199" s="1" t="s">
        <v>86</v>
      </c>
      <c r="CE199" s="1" t="s">
        <v>86</v>
      </c>
    </row>
    <row r="200">
      <c r="A200" s="1">
        <v>198</v>
      </c>
      <c r="B200" s="1" t="s">
        <v>395</v>
      </c>
      <c r="C200" s="2">
        <f>=HYPERLINK("https://i.stonehdfile.com/stoneimage?s=42db9c66-39a4-4c5f-9c0c-79f5b3985e40","Image")</f>
      </c>
      <c r="D200" s="2">
        <f>=HYPERLINK("https://dna.stonehdfile.com/hd/viewhd.html?d=c0339b2d-cf3d-404e-9a0d-5806bbe64637","View360")</f>
      </c>
      <c r="E200" s="2">
        <f>=HYPERLINK("https://i.stonehdfile.com/Certificate?s=42db9c66-39a4-4c5f-9c0c-79f5b3985e40","GIA")</f>
      </c>
      <c r="F200" s="2">
        <f>=HYPERLINK("https://i.stonehdfile.com/DNAReport?s=42db9c66-39a4-4c5f-9c0c-79f5b3985e40","DNA")</f>
      </c>
      <c r="G200" s="2">
        <f>=HYPERLINK("https://www.gia.edu/report-check?reportno=******3559","Verify")</f>
      </c>
      <c r="H200" s="1" t="s">
        <v>1214</v>
      </c>
      <c r="I200" s="1" t="s">
        <v>46</v>
      </c>
      <c r="J200" s="1">
        <v>1.7</v>
      </c>
      <c r="K200" s="1">
        <v>8</v>
      </c>
      <c r="L200" s="1">
        <v>8000</v>
      </c>
      <c r="M200" s="1">
        <v>4295</v>
      </c>
      <c r="N200" s="1">
        <v>7301.5</v>
      </c>
      <c r="O200" s="1">
        <v>-46.31</v>
      </c>
      <c r="P200" s="1">
        <v>0</v>
      </c>
      <c r="Q200" s="1" t="s">
        <v>86</v>
      </c>
      <c r="R200" s="1">
        <v>0</v>
      </c>
      <c r="S200" s="1" t="s">
        <v>86</v>
      </c>
      <c r="T200" s="1" t="s">
        <v>86</v>
      </c>
      <c r="U200" s="1" t="s">
        <v>271</v>
      </c>
      <c r="V200" s="1" t="s">
        <v>86</v>
      </c>
      <c r="W200" s="1" t="s">
        <v>137</v>
      </c>
      <c r="X200" s="1" t="s">
        <v>86</v>
      </c>
      <c r="Y200" s="1" t="s">
        <v>89</v>
      </c>
      <c r="Z200" s="1" t="s">
        <v>89</v>
      </c>
      <c r="AA200" s="1" t="s">
        <v>119</v>
      </c>
      <c r="AB200" s="1" t="s">
        <v>86</v>
      </c>
      <c r="AC200" s="1" t="s">
        <v>1215</v>
      </c>
      <c r="AD200" s="1">
        <v>69.5</v>
      </c>
      <c r="AE200" s="1">
        <v>64</v>
      </c>
      <c r="AF200" s="1" t="s">
        <v>91</v>
      </c>
      <c r="AG200" s="1">
        <v>1.6</v>
      </c>
      <c r="AH200" s="1">
        <v>33.7</v>
      </c>
      <c r="AI200" s="1" t="s">
        <v>86</v>
      </c>
      <c r="AJ200" s="1">
        <v>1.08</v>
      </c>
      <c r="AK200" s="1" t="s">
        <v>111</v>
      </c>
      <c r="AL200" s="1" t="s">
        <v>93</v>
      </c>
      <c r="AM200" s="1" t="s">
        <v>140</v>
      </c>
      <c r="AN200" s="1" t="s">
        <v>171</v>
      </c>
      <c r="AO200" s="1" t="s">
        <v>94</v>
      </c>
      <c r="AP200" s="1" t="s">
        <v>95</v>
      </c>
      <c r="AQ200" s="1">
        <v>11.7</v>
      </c>
      <c r="AR200" s="1">
        <v>55.9</v>
      </c>
      <c r="AS200" s="1">
        <v>39.7</v>
      </c>
      <c r="AT200" s="1" t="s">
        <v>96</v>
      </c>
      <c r="AU200" s="1" t="s">
        <v>141</v>
      </c>
      <c r="AV200" s="1" t="s">
        <v>86</v>
      </c>
      <c r="AW200" s="1" t="s">
        <v>86</v>
      </c>
      <c r="AX200" s="1" t="s">
        <v>86</v>
      </c>
      <c r="AY200" s="1" t="s">
        <v>86</v>
      </c>
      <c r="AZ200" s="1" t="s">
        <v>86</v>
      </c>
      <c r="BA200" s="1" t="s">
        <v>86</v>
      </c>
      <c r="BB200" s="1" t="s">
        <v>86</v>
      </c>
      <c r="BC200" s="1" t="s">
        <v>86</v>
      </c>
      <c r="BD200" s="1" t="s">
        <v>86</v>
      </c>
      <c r="BE200" s="1" t="s">
        <v>86</v>
      </c>
      <c r="BF200" s="1" t="s">
        <v>86</v>
      </c>
      <c r="BG200" s="1" t="s">
        <v>172</v>
      </c>
      <c r="BH200" s="1" t="s">
        <v>429</v>
      </c>
      <c r="BI200" s="1" t="s">
        <v>346</v>
      </c>
      <c r="BJ200" s="1" t="s">
        <v>87</v>
      </c>
      <c r="BK200" s="1">
        <v>0</v>
      </c>
      <c r="BL200" s="1">
        <v>0</v>
      </c>
      <c r="BM200" s="1" t="s">
        <v>398</v>
      </c>
      <c r="BN200" s="1" t="s">
        <v>1216</v>
      </c>
      <c r="BO200" s="1" t="s">
        <v>799</v>
      </c>
      <c r="BP200" s="1" t="s">
        <v>86</v>
      </c>
      <c r="BQ200" s="1" t="s">
        <v>86</v>
      </c>
      <c r="BR200" s="1" t="s">
        <v>86</v>
      </c>
      <c r="BS200" s="1" t="s">
        <v>86</v>
      </c>
      <c r="BT200" s="1" t="s">
        <v>86</v>
      </c>
      <c r="BU200" s="1" t="s">
        <v>163</v>
      </c>
      <c r="BV200" s="1" t="s">
        <v>86</v>
      </c>
      <c r="BW200" s="1" t="s">
        <v>101</v>
      </c>
      <c r="BX200" s="1" t="s">
        <v>545</v>
      </c>
      <c r="BY200" s="1" t="s">
        <v>86</v>
      </c>
      <c r="BZ200" s="1" t="s">
        <v>1217</v>
      </c>
      <c r="CA200" s="1" t="s">
        <v>1218</v>
      </c>
      <c r="CB200" s="1" t="s">
        <v>417</v>
      </c>
      <c r="CC200" s="1" t="s">
        <v>86</v>
      </c>
      <c r="CD200" s="1" t="s">
        <v>86</v>
      </c>
      <c r="CE200" s="1" t="s">
        <v>86</v>
      </c>
    </row>
    <row r="201">
      <c r="A201" s="1">
        <v>199</v>
      </c>
      <c r="B201" s="1" t="s">
        <v>395</v>
      </c>
      <c r="C201" s="2">
        <f>=HYPERLINK("https://i.stonehdfile.com/stoneimage?s=6b4a7e9b-08fe-40b4-a865-5bb8842dbb43","Image")</f>
      </c>
      <c r="D201" s="2">
        <f>=HYPERLINK("https://dna.stonehdfile.com/hd/viewhd.html?d=6a64bace-a0f5-4fdd-b689-defbc22aacc3","View360")</f>
      </c>
      <c r="E201" s="2">
        <f>=HYPERLINK("https://i.stonehdfile.com/Certificate?s=6b4a7e9b-08fe-40b4-a865-5bb8842dbb43","GIA")</f>
      </c>
      <c r="F201" s="2">
        <f>=HYPERLINK("https://i.stonehdfile.com/DNAReport?s=6b4a7e9b-08fe-40b4-a865-5bb8842dbb43","DNA")</f>
      </c>
      <c r="G201" s="2">
        <f>=HYPERLINK("https://www.gia.edu/report-check?reportno=******0128","Verify")</f>
      </c>
      <c r="H201" s="1" t="s">
        <v>1219</v>
      </c>
      <c r="I201" s="1" t="s">
        <v>46</v>
      </c>
      <c r="J201" s="1">
        <v>1.71</v>
      </c>
      <c r="K201" s="1">
        <v>6</v>
      </c>
      <c r="L201" s="1">
        <v>8000</v>
      </c>
      <c r="M201" s="1">
        <v>4252</v>
      </c>
      <c r="N201" s="1">
        <v>7270.92</v>
      </c>
      <c r="O201" s="1">
        <v>-46.85</v>
      </c>
      <c r="P201" s="1">
        <v>0</v>
      </c>
      <c r="Q201" s="1" t="s">
        <v>86</v>
      </c>
      <c r="R201" s="1">
        <v>0</v>
      </c>
      <c r="S201" s="1" t="s">
        <v>86</v>
      </c>
      <c r="T201" s="1" t="s">
        <v>86</v>
      </c>
      <c r="U201" s="1" t="s">
        <v>271</v>
      </c>
      <c r="V201" s="1" t="s">
        <v>86</v>
      </c>
      <c r="W201" s="1" t="s">
        <v>137</v>
      </c>
      <c r="X201" s="1" t="s">
        <v>86</v>
      </c>
      <c r="Y201" s="1" t="s">
        <v>89</v>
      </c>
      <c r="Z201" s="1" t="s">
        <v>89</v>
      </c>
      <c r="AA201" s="1" t="s">
        <v>119</v>
      </c>
      <c r="AB201" s="1" t="s">
        <v>86</v>
      </c>
      <c r="AC201" s="1" t="s">
        <v>1220</v>
      </c>
      <c r="AD201" s="1">
        <v>68.5</v>
      </c>
      <c r="AE201" s="1">
        <v>62</v>
      </c>
      <c r="AF201" s="1" t="s">
        <v>91</v>
      </c>
      <c r="AG201" s="1">
        <v>2.4</v>
      </c>
      <c r="AH201" s="1">
        <v>34.7</v>
      </c>
      <c r="AI201" s="1" t="s">
        <v>86</v>
      </c>
      <c r="AJ201" s="1">
        <v>1.13</v>
      </c>
      <c r="AK201" s="1" t="s">
        <v>198</v>
      </c>
      <c r="AL201" s="1" t="s">
        <v>93</v>
      </c>
      <c r="AM201" s="1" t="s">
        <v>140</v>
      </c>
      <c r="AN201" s="1" t="s">
        <v>168</v>
      </c>
      <c r="AO201" s="1" t="s">
        <v>208</v>
      </c>
      <c r="AP201" s="1" t="s">
        <v>95</v>
      </c>
      <c r="AQ201" s="1">
        <v>13.1</v>
      </c>
      <c r="AR201" s="1">
        <v>53.1</v>
      </c>
      <c r="AS201" s="1">
        <v>38.5</v>
      </c>
      <c r="AT201" s="1" t="s">
        <v>96</v>
      </c>
      <c r="AU201" s="1" t="s">
        <v>86</v>
      </c>
      <c r="AV201" s="1" t="s">
        <v>86</v>
      </c>
      <c r="AW201" s="1" t="s">
        <v>141</v>
      </c>
      <c r="AX201" s="1" t="s">
        <v>86</v>
      </c>
      <c r="AY201" s="1" t="s">
        <v>86</v>
      </c>
      <c r="AZ201" s="1" t="s">
        <v>86</v>
      </c>
      <c r="BA201" s="1" t="s">
        <v>86</v>
      </c>
      <c r="BB201" s="1" t="s">
        <v>86</v>
      </c>
      <c r="BC201" s="1" t="s">
        <v>86</v>
      </c>
      <c r="BD201" s="1" t="s">
        <v>86</v>
      </c>
      <c r="BE201" s="1" t="s">
        <v>86</v>
      </c>
      <c r="BF201" s="1" t="s">
        <v>86</v>
      </c>
      <c r="BG201" s="1" t="s">
        <v>86</v>
      </c>
      <c r="BH201" s="1" t="s">
        <v>142</v>
      </c>
      <c r="BI201" s="1" t="s">
        <v>354</v>
      </c>
      <c r="BJ201" s="1" t="s">
        <v>87</v>
      </c>
      <c r="BK201" s="1">
        <v>0</v>
      </c>
      <c r="BL201" s="1">
        <v>0</v>
      </c>
      <c r="BM201" s="1" t="s">
        <v>398</v>
      </c>
      <c r="BN201" s="1" t="s">
        <v>1221</v>
      </c>
      <c r="BO201" s="1" t="s">
        <v>153</v>
      </c>
      <c r="BP201" s="1" t="s">
        <v>86</v>
      </c>
      <c r="BQ201" s="1" t="s">
        <v>86</v>
      </c>
      <c r="BR201" s="1" t="s">
        <v>86</v>
      </c>
      <c r="BS201" s="1" t="s">
        <v>86</v>
      </c>
      <c r="BT201" s="1" t="s">
        <v>86</v>
      </c>
      <c r="BU201" s="1" t="s">
        <v>163</v>
      </c>
      <c r="BV201" s="1" t="s">
        <v>86</v>
      </c>
      <c r="BW201" s="1" t="s">
        <v>101</v>
      </c>
      <c r="BX201" s="1" t="s">
        <v>565</v>
      </c>
      <c r="BY201" s="1" t="s">
        <v>86</v>
      </c>
      <c r="BZ201" s="1" t="s">
        <v>1222</v>
      </c>
      <c r="CA201" s="1" t="s">
        <v>1223</v>
      </c>
      <c r="CB201" s="1" t="s">
        <v>1224</v>
      </c>
      <c r="CC201" s="1" t="s">
        <v>86</v>
      </c>
      <c r="CD201" s="1" t="s">
        <v>86</v>
      </c>
      <c r="CE201" s="1" t="s">
        <v>86</v>
      </c>
    </row>
    <row r="202">
      <c r="A202" s="1">
        <v>200</v>
      </c>
      <c r="B202" s="1" t="s">
        <v>395</v>
      </c>
      <c r="C202" s="2">
        <f>=HYPERLINK("https://i.stonehdfile.com/stoneimage?s=28c93ea9-51b9-44de-bf17-17868435f464","Image")</f>
      </c>
      <c r="D202" s="2">
        <f>=HYPERLINK("https://dna.stonehdfile.com/hd/viewhd.html?d=23e1748d-2d7c-48f1-911d-4bb9d693e2fb","View360")</f>
      </c>
      <c r="E202" s="2">
        <f>=HYPERLINK("https://i.stonehdfile.com/Certificate?s=28c93ea9-51b9-44de-bf17-17868435f464","GIA")</f>
      </c>
      <c r="F202" s="2">
        <f>=HYPERLINK("https://i.stonehdfile.com/DNAReport?s=28c93ea9-51b9-44de-bf17-17868435f464","DNA")</f>
      </c>
      <c r="G202" s="2">
        <f>=HYPERLINK("https://www.gia.edu/report-check?reportno=******5060","Verify")</f>
      </c>
      <c r="H202" s="1" t="s">
        <v>1225</v>
      </c>
      <c r="I202" s="1" t="s">
        <v>46</v>
      </c>
      <c r="J202" s="1">
        <v>1.7</v>
      </c>
      <c r="K202" s="1">
        <v>8</v>
      </c>
      <c r="L202" s="1">
        <v>8000</v>
      </c>
      <c r="M202" s="1">
        <v>4482</v>
      </c>
      <c r="N202" s="1">
        <v>7619.4</v>
      </c>
      <c r="O202" s="1">
        <v>-43.98</v>
      </c>
      <c r="P202" s="1">
        <v>0</v>
      </c>
      <c r="Q202" s="1" t="s">
        <v>86</v>
      </c>
      <c r="R202" s="1">
        <v>0</v>
      </c>
      <c r="S202" s="1" t="s">
        <v>86</v>
      </c>
      <c r="T202" s="1" t="s">
        <v>86</v>
      </c>
      <c r="U202" s="1" t="s">
        <v>271</v>
      </c>
      <c r="V202" s="1" t="s">
        <v>86</v>
      </c>
      <c r="W202" s="1" t="s">
        <v>206</v>
      </c>
      <c r="X202" s="1" t="s">
        <v>86</v>
      </c>
      <c r="Y202" s="1" t="s">
        <v>89</v>
      </c>
      <c r="Z202" s="1" t="s">
        <v>89</v>
      </c>
      <c r="AA202" s="1" t="s">
        <v>119</v>
      </c>
      <c r="AB202" s="1" t="s">
        <v>86</v>
      </c>
      <c r="AC202" s="1" t="s">
        <v>1226</v>
      </c>
      <c r="AD202" s="1">
        <v>68.1</v>
      </c>
      <c r="AE202" s="1">
        <v>65</v>
      </c>
      <c r="AF202" s="1" t="s">
        <v>91</v>
      </c>
      <c r="AG202" s="1">
        <v>2</v>
      </c>
      <c r="AH202" s="1">
        <v>33.8</v>
      </c>
      <c r="AI202" s="1" t="s">
        <v>86</v>
      </c>
      <c r="AJ202" s="1">
        <v>1.19</v>
      </c>
      <c r="AK202" s="1" t="s">
        <v>198</v>
      </c>
      <c r="AL202" s="1" t="s">
        <v>93</v>
      </c>
      <c r="AM202" s="1" t="s">
        <v>140</v>
      </c>
      <c r="AN202" s="1" t="s">
        <v>168</v>
      </c>
      <c r="AO202" s="1" t="s">
        <v>208</v>
      </c>
      <c r="AP202" s="1" t="s">
        <v>95</v>
      </c>
      <c r="AQ202" s="1">
        <v>11.9</v>
      </c>
      <c r="AR202" s="1">
        <v>54.1</v>
      </c>
      <c r="AS202" s="1">
        <v>39.8</v>
      </c>
      <c r="AT202" s="1" t="s">
        <v>96</v>
      </c>
      <c r="AU202" s="1" t="s">
        <v>86</v>
      </c>
      <c r="AV202" s="1" t="s">
        <v>86</v>
      </c>
      <c r="AW202" s="1" t="s">
        <v>86</v>
      </c>
      <c r="AX202" s="1" t="s">
        <v>86</v>
      </c>
      <c r="AY202" s="1" t="s">
        <v>86</v>
      </c>
      <c r="AZ202" s="1" t="s">
        <v>86</v>
      </c>
      <c r="BA202" s="1" t="s">
        <v>86</v>
      </c>
      <c r="BB202" s="1" t="s">
        <v>86</v>
      </c>
      <c r="BC202" s="1" t="s">
        <v>86</v>
      </c>
      <c r="BD202" s="1" t="s">
        <v>86</v>
      </c>
      <c r="BE202" s="1" t="s">
        <v>86</v>
      </c>
      <c r="BF202" s="1" t="s">
        <v>86</v>
      </c>
      <c r="BG202" s="1" t="s">
        <v>86</v>
      </c>
      <c r="BH202" s="1" t="s">
        <v>657</v>
      </c>
      <c r="BI202" s="1" t="s">
        <v>703</v>
      </c>
      <c r="BJ202" s="1" t="s">
        <v>87</v>
      </c>
      <c r="BK202" s="1">
        <v>0</v>
      </c>
      <c r="BL202" s="1">
        <v>0</v>
      </c>
      <c r="BM202" s="1" t="s">
        <v>398</v>
      </c>
      <c r="BN202" s="1" t="s">
        <v>1227</v>
      </c>
      <c r="BO202" s="1" t="s">
        <v>529</v>
      </c>
      <c r="BP202" s="1" t="s">
        <v>86</v>
      </c>
      <c r="BQ202" s="1" t="s">
        <v>86</v>
      </c>
      <c r="BR202" s="1" t="s">
        <v>86</v>
      </c>
      <c r="BS202" s="1" t="s">
        <v>86</v>
      </c>
      <c r="BT202" s="1" t="s">
        <v>86</v>
      </c>
      <c r="BU202" s="1" t="s">
        <v>163</v>
      </c>
      <c r="BV202" s="1" t="s">
        <v>86</v>
      </c>
      <c r="BW202" s="1" t="s">
        <v>101</v>
      </c>
      <c r="BX202" s="1" t="s">
        <v>867</v>
      </c>
      <c r="BY202" s="1" t="s">
        <v>86</v>
      </c>
      <c r="BZ202" s="1" t="s">
        <v>1228</v>
      </c>
      <c r="CA202" s="1" t="s">
        <v>254</v>
      </c>
      <c r="CB202" s="1" t="s">
        <v>86</v>
      </c>
      <c r="CC202" s="1" t="s">
        <v>86</v>
      </c>
      <c r="CD202" s="1" t="s">
        <v>86</v>
      </c>
      <c r="CE202" s="1" t="s">
        <v>86</v>
      </c>
    </row>
    <row r="203">
      <c r="A203" s="1">
        <v>201</v>
      </c>
      <c r="B203" s="1" t="s">
        <v>395</v>
      </c>
      <c r="C203" s="2">
        <f>=HYPERLINK("https://i.stonehdfile.com/stoneimage?s=5f78e8c4-fffb-48e1-a19a-3b91e26b386e","Image")</f>
      </c>
      <c r="D203" s="2">
        <f>=HYPERLINK("https://dna.stonehdfile.com/hd/viewhd.html?d=54bfc845-8d96-4826-9ef0-26a8776bedd5","View360")</f>
      </c>
      <c r="E203" s="2">
        <f>=HYPERLINK("https://i.stonehdfile.com/Certificate?s=5f78e8c4-fffb-48e1-a19a-3b91e26b386e","GIA")</f>
      </c>
      <c r="F203" s="2">
        <f>=HYPERLINK("https://i.stonehdfile.com/DNAReport?s=5f78e8c4-fffb-48e1-a19a-3b91e26b386e","DNA")</f>
      </c>
      <c r="G203" s="2">
        <f>=HYPERLINK("https://www.gia.edu/report-check?reportno=******8516","Verify")</f>
      </c>
      <c r="H203" s="1" t="s">
        <v>1229</v>
      </c>
      <c r="I203" s="1" t="s">
        <v>46</v>
      </c>
      <c r="J203" s="1">
        <v>1.7</v>
      </c>
      <c r="K203" s="1">
        <v>5</v>
      </c>
      <c r="L203" s="1">
        <v>6600</v>
      </c>
      <c r="M203" s="1">
        <v>3415</v>
      </c>
      <c r="N203" s="1">
        <v>5805.5</v>
      </c>
      <c r="O203" s="1">
        <v>-48.26</v>
      </c>
      <c r="P203" s="1">
        <v>0</v>
      </c>
      <c r="Q203" s="1" t="s">
        <v>86</v>
      </c>
      <c r="R203" s="1">
        <v>0</v>
      </c>
      <c r="S203" s="1" t="s">
        <v>86</v>
      </c>
      <c r="T203" s="1" t="s">
        <v>86</v>
      </c>
      <c r="U203" s="1" t="s">
        <v>271</v>
      </c>
      <c r="V203" s="1" t="s">
        <v>86</v>
      </c>
      <c r="W203" s="1" t="s">
        <v>213</v>
      </c>
      <c r="X203" s="1" t="s">
        <v>86</v>
      </c>
      <c r="Y203" s="1" t="s">
        <v>89</v>
      </c>
      <c r="Z203" s="1" t="s">
        <v>89</v>
      </c>
      <c r="AA203" s="1" t="s">
        <v>119</v>
      </c>
      <c r="AB203" s="1" t="s">
        <v>86</v>
      </c>
      <c r="AC203" s="1" t="s">
        <v>1230</v>
      </c>
      <c r="AD203" s="1">
        <v>71.5</v>
      </c>
      <c r="AE203" s="1">
        <v>63</v>
      </c>
      <c r="AF203" s="1" t="s">
        <v>91</v>
      </c>
      <c r="AG203" s="1">
        <v>4.1</v>
      </c>
      <c r="AH203" s="1">
        <v>34.8</v>
      </c>
      <c r="AI203" s="1" t="s">
        <v>86</v>
      </c>
      <c r="AJ203" s="1">
        <v>1.04</v>
      </c>
      <c r="AK203" s="1" t="s">
        <v>111</v>
      </c>
      <c r="AL203" s="1" t="s">
        <v>93</v>
      </c>
      <c r="AM203" s="1" t="s">
        <v>140</v>
      </c>
      <c r="AN203" s="1" t="s">
        <v>171</v>
      </c>
      <c r="AO203" s="1" t="s">
        <v>208</v>
      </c>
      <c r="AP203" s="1" t="s">
        <v>95</v>
      </c>
      <c r="AQ203" s="1">
        <v>12.9</v>
      </c>
      <c r="AR203" s="1">
        <v>54.2</v>
      </c>
      <c r="AS203" s="1">
        <v>40.9</v>
      </c>
      <c r="AT203" s="1" t="s">
        <v>96</v>
      </c>
      <c r="AU203" s="1" t="s">
        <v>86</v>
      </c>
      <c r="AV203" s="1" t="s">
        <v>86</v>
      </c>
      <c r="AW203" s="1" t="s">
        <v>141</v>
      </c>
      <c r="AX203" s="1" t="s">
        <v>86</v>
      </c>
      <c r="AY203" s="1" t="s">
        <v>86</v>
      </c>
      <c r="AZ203" s="1" t="s">
        <v>86</v>
      </c>
      <c r="BA203" s="1" t="s">
        <v>86</v>
      </c>
      <c r="BB203" s="1" t="s">
        <v>86</v>
      </c>
      <c r="BC203" s="1" t="s">
        <v>86</v>
      </c>
      <c r="BD203" s="1" t="s">
        <v>86</v>
      </c>
      <c r="BE203" s="1" t="s">
        <v>86</v>
      </c>
      <c r="BF203" s="1" t="s">
        <v>86</v>
      </c>
      <c r="BG203" s="1" t="s">
        <v>86</v>
      </c>
      <c r="BH203" s="1" t="s">
        <v>215</v>
      </c>
      <c r="BI203" s="1" t="s">
        <v>341</v>
      </c>
      <c r="BJ203" s="1" t="s">
        <v>87</v>
      </c>
      <c r="BK203" s="1">
        <v>0</v>
      </c>
      <c r="BL203" s="1">
        <v>0</v>
      </c>
      <c r="BM203" s="1" t="s">
        <v>86</v>
      </c>
      <c r="BN203" s="1" t="s">
        <v>1231</v>
      </c>
      <c r="BO203" s="1" t="s">
        <v>1232</v>
      </c>
      <c r="BP203" s="1" t="s">
        <v>86</v>
      </c>
      <c r="BQ203" s="1" t="s">
        <v>86</v>
      </c>
      <c r="BR203" s="1" t="s">
        <v>86</v>
      </c>
      <c r="BS203" s="1" t="s">
        <v>86</v>
      </c>
      <c r="BT203" s="1" t="s">
        <v>86</v>
      </c>
      <c r="BU203" s="1" t="s">
        <v>163</v>
      </c>
      <c r="BV203" s="1" t="s">
        <v>86</v>
      </c>
      <c r="BW203" s="1" t="s">
        <v>101</v>
      </c>
      <c r="BX203" s="1" t="s">
        <v>423</v>
      </c>
      <c r="BY203" s="1" t="s">
        <v>86</v>
      </c>
      <c r="BZ203" s="1" t="s">
        <v>1233</v>
      </c>
      <c r="CA203" s="1" t="s">
        <v>671</v>
      </c>
      <c r="CB203" s="1" t="s">
        <v>221</v>
      </c>
      <c r="CC203" s="1" t="s">
        <v>86</v>
      </c>
      <c r="CD203" s="1" t="s">
        <v>86</v>
      </c>
      <c r="CE203" s="1" t="s">
        <v>86</v>
      </c>
    </row>
    <row r="204">
      <c r="A204" s="1">
        <v>202</v>
      </c>
      <c r="B204" s="1" t="s">
        <v>395</v>
      </c>
      <c r="C204" s="2">
        <f>=HYPERLINK("https://i.stonehdfile.com/stoneimage?s=b58c405d-c0da-432d-88fd-c9cdc8bebad4","Image")</f>
      </c>
      <c r="D204" s="2">
        <f>=HYPERLINK("https://dna.stonehdfile.com/hd/viewhd.html?d=9da501b7-b0d2-4a79-84f7-694574844b42","View360")</f>
      </c>
      <c r="E204" s="2">
        <f>=HYPERLINK("https://i.stonehdfile.com/Certificate?s=b58c405d-c0da-432d-88fd-c9cdc8bebad4","GIA")</f>
      </c>
      <c r="F204" s="2">
        <f>=HYPERLINK("https://i.stonehdfile.com/DNAReport?s=b58c405d-c0da-432d-88fd-c9cdc8bebad4","DNA")</f>
      </c>
      <c r="G204" s="2">
        <f>=HYPERLINK("https://www.gia.edu/report-check?reportno=******4232","Verify")</f>
      </c>
      <c r="H204" s="1" t="s">
        <v>1234</v>
      </c>
      <c r="I204" s="1" t="s">
        <v>46</v>
      </c>
      <c r="J204" s="1">
        <v>1.7</v>
      </c>
      <c r="K204" s="1">
        <v>1</v>
      </c>
      <c r="L204" s="1">
        <v>8200</v>
      </c>
      <c r="M204" s="1">
        <v>3571</v>
      </c>
      <c r="N204" s="1">
        <v>6070.7</v>
      </c>
      <c r="O204" s="1">
        <v>-56.45</v>
      </c>
      <c r="P204" s="1">
        <v>0</v>
      </c>
      <c r="Q204" s="1" t="s">
        <v>86</v>
      </c>
      <c r="R204" s="1">
        <v>0</v>
      </c>
      <c r="S204" s="1" t="s">
        <v>86</v>
      </c>
      <c r="T204" s="1" t="s">
        <v>86</v>
      </c>
      <c r="U204" s="1" t="s">
        <v>159</v>
      </c>
      <c r="V204" s="1" t="s">
        <v>86</v>
      </c>
      <c r="W204" s="1" t="s">
        <v>88</v>
      </c>
      <c r="X204" s="1" t="s">
        <v>86</v>
      </c>
      <c r="Y204" s="1" t="s">
        <v>89</v>
      </c>
      <c r="Z204" s="1" t="s">
        <v>138</v>
      </c>
      <c r="AA204" s="1" t="s">
        <v>119</v>
      </c>
      <c r="AB204" s="1" t="s">
        <v>86</v>
      </c>
      <c r="AC204" s="1" t="s">
        <v>1235</v>
      </c>
      <c r="AD204" s="1">
        <v>71.6</v>
      </c>
      <c r="AE204" s="1">
        <v>64</v>
      </c>
      <c r="AF204" s="1" t="s">
        <v>91</v>
      </c>
      <c r="AG204" s="1">
        <v>4</v>
      </c>
      <c r="AH204" s="1">
        <v>36.8</v>
      </c>
      <c r="AI204" s="1" t="s">
        <v>86</v>
      </c>
      <c r="AJ204" s="1">
        <v>1</v>
      </c>
      <c r="AK204" s="1" t="s">
        <v>111</v>
      </c>
      <c r="AL204" s="1" t="s">
        <v>93</v>
      </c>
      <c r="AM204" s="1" t="s">
        <v>140</v>
      </c>
      <c r="AN204" s="1" t="s">
        <v>86</v>
      </c>
      <c r="AO204" s="1" t="s">
        <v>94</v>
      </c>
      <c r="AP204" s="1" t="s">
        <v>95</v>
      </c>
      <c r="AQ204" s="1">
        <v>13.8</v>
      </c>
      <c r="AR204" s="1">
        <v>53.2</v>
      </c>
      <c r="AS204" s="1">
        <v>39.3</v>
      </c>
      <c r="AT204" s="1" t="s">
        <v>96</v>
      </c>
      <c r="AU204" s="1" t="s">
        <v>86</v>
      </c>
      <c r="AV204" s="1" t="s">
        <v>86</v>
      </c>
      <c r="AW204" s="1" t="s">
        <v>86</v>
      </c>
      <c r="AX204" s="1" t="s">
        <v>86</v>
      </c>
      <c r="AY204" s="1" t="s">
        <v>86</v>
      </c>
      <c r="AZ204" s="1" t="s">
        <v>86</v>
      </c>
      <c r="BA204" s="1" t="s">
        <v>86</v>
      </c>
      <c r="BB204" s="1" t="s">
        <v>86</v>
      </c>
      <c r="BC204" s="1" t="s">
        <v>86</v>
      </c>
      <c r="BD204" s="1" t="s">
        <v>86</v>
      </c>
      <c r="BE204" s="1" t="s">
        <v>86</v>
      </c>
      <c r="BF204" s="1" t="s">
        <v>86</v>
      </c>
      <c r="BG204" s="1" t="s">
        <v>86</v>
      </c>
      <c r="BH204" s="1" t="s">
        <v>129</v>
      </c>
      <c r="BI204" s="1" t="s">
        <v>225</v>
      </c>
      <c r="BJ204" s="1" t="s">
        <v>87</v>
      </c>
      <c r="BK204" s="1">
        <v>0</v>
      </c>
      <c r="BL204" s="1">
        <v>0</v>
      </c>
      <c r="BM204" s="1" t="s">
        <v>86</v>
      </c>
      <c r="BN204" s="1" t="s">
        <v>1236</v>
      </c>
      <c r="BO204" s="1" t="s">
        <v>1237</v>
      </c>
      <c r="BP204" s="1" t="s">
        <v>86</v>
      </c>
      <c r="BQ204" s="1" t="s">
        <v>86</v>
      </c>
      <c r="BR204" s="1" t="s">
        <v>86</v>
      </c>
      <c r="BS204" s="1" t="s">
        <v>86</v>
      </c>
      <c r="BT204" s="1" t="s">
        <v>86</v>
      </c>
      <c r="BU204" s="1" t="s">
        <v>163</v>
      </c>
      <c r="BV204" s="1" t="s">
        <v>86</v>
      </c>
      <c r="BW204" s="1" t="s">
        <v>101</v>
      </c>
      <c r="BX204" s="1" t="s">
        <v>545</v>
      </c>
      <c r="BY204" s="1" t="s">
        <v>86</v>
      </c>
      <c r="BZ204" s="1" t="s">
        <v>1238</v>
      </c>
      <c r="CA204" s="1" t="s">
        <v>1239</v>
      </c>
      <c r="CB204" s="1" t="s">
        <v>86</v>
      </c>
      <c r="CC204" s="1" t="s">
        <v>86</v>
      </c>
      <c r="CD204" s="1" t="s">
        <v>86</v>
      </c>
      <c r="CE204" s="1" t="s">
        <v>86</v>
      </c>
    </row>
    <row r="205">
      <c r="A205" s="1">
        <v>203</v>
      </c>
      <c r="B205" s="1" t="s">
        <v>395</v>
      </c>
      <c r="C205" s="2">
        <f>=HYPERLINK("https://i.stonehdfile.com/stoneimage?s=f301f7c8-caff-49d3-b71f-93aa570f40e1","Image")</f>
      </c>
      <c r="D205" s="2">
        <f>=HYPERLINK("https://dna.stonehdfile.com/hd/viewhd.html?d=ef038305-ba82-4d43-a293-3a6b85b643a9","View360")</f>
      </c>
      <c r="E205" s="2">
        <f>=HYPERLINK("https://i.stonehdfile.com/Certificate?s=f301f7c8-caff-49d3-b71f-93aa570f40e1","GIA")</f>
      </c>
      <c r="F205" s="2">
        <f>=HYPERLINK("https://i.stonehdfile.com/DNAReport?s=f301f7c8-caff-49d3-b71f-93aa570f40e1","DNA")</f>
      </c>
      <c r="G205" s="2">
        <f>=HYPERLINK("https://www.gia.edu/report-check?reportno=******8331","Verify")</f>
      </c>
      <c r="H205" s="1" t="s">
        <v>1240</v>
      </c>
      <c r="I205" s="1" t="s">
        <v>46</v>
      </c>
      <c r="J205" s="1">
        <v>1.81</v>
      </c>
      <c r="K205" s="1">
        <v>0</v>
      </c>
      <c r="L205" s="1">
        <v>8200</v>
      </c>
      <c r="M205" s="1">
        <v>5078</v>
      </c>
      <c r="N205" s="1">
        <v>9191.18</v>
      </c>
      <c r="O205" s="1">
        <v>-38.07</v>
      </c>
      <c r="P205" s="1">
        <v>0</v>
      </c>
      <c r="Q205" s="1" t="s">
        <v>86</v>
      </c>
      <c r="R205" s="1">
        <v>0</v>
      </c>
      <c r="S205" s="1" t="s">
        <v>86</v>
      </c>
      <c r="T205" s="1" t="s">
        <v>86</v>
      </c>
      <c r="U205" s="1" t="s">
        <v>118</v>
      </c>
      <c r="V205" s="1" t="s">
        <v>86</v>
      </c>
      <c r="W205" s="1" t="s">
        <v>88</v>
      </c>
      <c r="X205" s="1" t="s">
        <v>86</v>
      </c>
      <c r="Y205" s="1" t="s">
        <v>89</v>
      </c>
      <c r="Z205" s="1" t="s">
        <v>89</v>
      </c>
      <c r="AA205" s="1" t="s">
        <v>119</v>
      </c>
      <c r="AB205" s="1" t="s">
        <v>86</v>
      </c>
      <c r="AC205" s="1" t="s">
        <v>1241</v>
      </c>
      <c r="AD205" s="1">
        <v>69.3</v>
      </c>
      <c r="AE205" s="1">
        <v>62</v>
      </c>
      <c r="AF205" s="1" t="s">
        <v>91</v>
      </c>
      <c r="AG205" s="1">
        <v>3.1</v>
      </c>
      <c r="AH205" s="1">
        <v>36.4</v>
      </c>
      <c r="AI205" s="1" t="s">
        <v>86</v>
      </c>
      <c r="AJ205" s="1">
        <v>1.12</v>
      </c>
      <c r="AK205" s="1" t="s">
        <v>190</v>
      </c>
      <c r="AL205" s="1" t="s">
        <v>93</v>
      </c>
      <c r="AM205" s="1" t="s">
        <v>140</v>
      </c>
      <c r="AN205" s="1" t="s">
        <v>86</v>
      </c>
      <c r="AO205" s="1" t="s">
        <v>94</v>
      </c>
      <c r="AP205" s="1" t="s">
        <v>95</v>
      </c>
      <c r="AQ205" s="1">
        <v>13.9</v>
      </c>
      <c r="AR205" s="1">
        <v>51.8</v>
      </c>
      <c r="AS205" s="1">
        <v>38.5</v>
      </c>
      <c r="AT205" s="1" t="s">
        <v>96</v>
      </c>
      <c r="AU205" s="1" t="s">
        <v>86</v>
      </c>
      <c r="AV205" s="1" t="s">
        <v>86</v>
      </c>
      <c r="AW205" s="1" t="s">
        <v>86</v>
      </c>
      <c r="AX205" s="1" t="s">
        <v>86</v>
      </c>
      <c r="AY205" s="1" t="s">
        <v>86</v>
      </c>
      <c r="AZ205" s="1" t="s">
        <v>86</v>
      </c>
      <c r="BA205" s="1" t="s">
        <v>86</v>
      </c>
      <c r="BB205" s="1" t="s">
        <v>86</v>
      </c>
      <c r="BC205" s="1" t="s">
        <v>86</v>
      </c>
      <c r="BD205" s="1" t="s">
        <v>86</v>
      </c>
      <c r="BE205" s="1" t="s">
        <v>86</v>
      </c>
      <c r="BF205" s="1" t="s">
        <v>86</v>
      </c>
      <c r="BG205" s="1" t="s">
        <v>86</v>
      </c>
      <c r="BH205" s="1" t="s">
        <v>97</v>
      </c>
      <c r="BI205" s="1" t="s">
        <v>174</v>
      </c>
      <c r="BJ205" s="1" t="s">
        <v>87</v>
      </c>
      <c r="BK205" s="1">
        <v>0</v>
      </c>
      <c r="BL205" s="1">
        <v>0</v>
      </c>
      <c r="BM205" s="1" t="s">
        <v>398</v>
      </c>
      <c r="BN205" s="1" t="s">
        <v>1242</v>
      </c>
      <c r="BO205" s="1" t="s">
        <v>705</v>
      </c>
      <c r="BP205" s="1" t="s">
        <v>86</v>
      </c>
      <c r="BQ205" s="1" t="s">
        <v>86</v>
      </c>
      <c r="BR205" s="1" t="s">
        <v>86</v>
      </c>
      <c r="BS205" s="1" t="s">
        <v>86</v>
      </c>
      <c r="BT205" s="1" t="s">
        <v>86</v>
      </c>
      <c r="BU205" s="1" t="s">
        <v>163</v>
      </c>
      <c r="BV205" s="1" t="s">
        <v>86</v>
      </c>
      <c r="BW205" s="1" t="s">
        <v>101</v>
      </c>
      <c r="BX205" s="1" t="s">
        <v>423</v>
      </c>
      <c r="BY205" s="1" t="s">
        <v>86</v>
      </c>
      <c r="BZ205" s="1" t="s">
        <v>1243</v>
      </c>
      <c r="CA205" s="1" t="s">
        <v>480</v>
      </c>
      <c r="CB205" s="1" t="s">
        <v>156</v>
      </c>
      <c r="CC205" s="1" t="s">
        <v>86</v>
      </c>
      <c r="CD205" s="1" t="s">
        <v>86</v>
      </c>
      <c r="CE205" s="1" t="s">
        <v>86</v>
      </c>
    </row>
    <row r="206">
      <c r="A206" s="1">
        <v>204</v>
      </c>
      <c r="B206" s="1" t="s">
        <v>395</v>
      </c>
      <c r="C206" s="2">
        <f>=HYPERLINK("https://i.stonehdfile.com/stoneimage?s=0b2f2469-1b42-44b0-ab92-0cebc7a1653d","Image")</f>
      </c>
      <c r="D206" s="2">
        <f>=HYPERLINK("https://dna.stonehdfile.com/hd/viewhd.html?d=38abdff7-ebc2-4738-b373-82125fd4b038","View360")</f>
      </c>
      <c r="E206" s="2">
        <f>=HYPERLINK("https://i.stonehdfile.com/Certificate?s=0b2f2469-1b42-44b0-ab92-0cebc7a1653d","GIA")</f>
      </c>
      <c r="F206" s="2">
        <f>=HYPERLINK("https://i.stonehdfile.com/DNAReport?s=0b2f2469-1b42-44b0-ab92-0cebc7a1653d","DNA")</f>
      </c>
      <c r="G206" s="2">
        <f>=HYPERLINK("https://www.gia.edu/report-check?reportno=******9518","Verify")</f>
      </c>
      <c r="H206" s="1" t="s">
        <v>1244</v>
      </c>
      <c r="I206" s="1" t="s">
        <v>46</v>
      </c>
      <c r="J206" s="1">
        <v>1.7</v>
      </c>
      <c r="K206" s="1">
        <v>8</v>
      </c>
      <c r="L206" s="1">
        <v>7900</v>
      </c>
      <c r="M206" s="1">
        <v>4449</v>
      </c>
      <c r="N206" s="1">
        <v>7563.3</v>
      </c>
      <c r="O206" s="1">
        <v>-43.68</v>
      </c>
      <c r="P206" s="1">
        <v>0</v>
      </c>
      <c r="Q206" s="1" t="s">
        <v>86</v>
      </c>
      <c r="R206" s="1">
        <v>0</v>
      </c>
      <c r="S206" s="1" t="s">
        <v>86</v>
      </c>
      <c r="T206" s="1" t="s">
        <v>86</v>
      </c>
      <c r="U206" s="1" t="s">
        <v>159</v>
      </c>
      <c r="V206" s="1" t="s">
        <v>86</v>
      </c>
      <c r="W206" s="1" t="s">
        <v>107</v>
      </c>
      <c r="X206" s="1" t="s">
        <v>86</v>
      </c>
      <c r="Y206" s="1" t="s">
        <v>89</v>
      </c>
      <c r="Z206" s="1" t="s">
        <v>89</v>
      </c>
      <c r="AA206" s="1" t="s">
        <v>119</v>
      </c>
      <c r="AB206" s="1" t="s">
        <v>86</v>
      </c>
      <c r="AC206" s="1" t="s">
        <v>1245</v>
      </c>
      <c r="AD206" s="1">
        <v>67.6</v>
      </c>
      <c r="AE206" s="1">
        <v>64</v>
      </c>
      <c r="AF206" s="1" t="s">
        <v>91</v>
      </c>
      <c r="AG206" s="1">
        <v>3.1</v>
      </c>
      <c r="AH206" s="1">
        <v>34.6</v>
      </c>
      <c r="AI206" s="1" t="s">
        <v>86</v>
      </c>
      <c r="AJ206" s="1">
        <v>1.07</v>
      </c>
      <c r="AK206" s="1" t="s">
        <v>190</v>
      </c>
      <c r="AL206" s="1" t="s">
        <v>93</v>
      </c>
      <c r="AM206" s="1" t="s">
        <v>93</v>
      </c>
      <c r="AN206" s="1" t="s">
        <v>86</v>
      </c>
      <c r="AO206" s="1" t="s">
        <v>94</v>
      </c>
      <c r="AP206" s="1" t="s">
        <v>95</v>
      </c>
      <c r="AQ206" s="1">
        <v>12.4</v>
      </c>
      <c r="AR206" s="1">
        <v>51.7</v>
      </c>
      <c r="AS206" s="1">
        <v>38.5</v>
      </c>
      <c r="AT206" s="1" t="s">
        <v>96</v>
      </c>
      <c r="AU206" s="1" t="s">
        <v>86</v>
      </c>
      <c r="AV206" s="1" t="s">
        <v>86</v>
      </c>
      <c r="AW206" s="1" t="s">
        <v>86</v>
      </c>
      <c r="AX206" s="1" t="s">
        <v>86</v>
      </c>
      <c r="AY206" s="1" t="s">
        <v>86</v>
      </c>
      <c r="AZ206" s="1" t="s">
        <v>86</v>
      </c>
      <c r="BA206" s="1" t="s">
        <v>86</v>
      </c>
      <c r="BB206" s="1" t="s">
        <v>86</v>
      </c>
      <c r="BC206" s="1" t="s">
        <v>86</v>
      </c>
      <c r="BD206" s="1" t="s">
        <v>86</v>
      </c>
      <c r="BE206" s="1" t="s">
        <v>86</v>
      </c>
      <c r="BF206" s="1" t="s">
        <v>86</v>
      </c>
      <c r="BG206" s="1" t="s">
        <v>172</v>
      </c>
      <c r="BH206" s="1" t="s">
        <v>97</v>
      </c>
      <c r="BI206" s="1" t="s">
        <v>174</v>
      </c>
      <c r="BJ206" s="1" t="s">
        <v>87</v>
      </c>
      <c r="BK206" s="1">
        <v>0</v>
      </c>
      <c r="BL206" s="1">
        <v>0</v>
      </c>
      <c r="BM206" s="1" t="s">
        <v>398</v>
      </c>
      <c r="BN206" s="1" t="s">
        <v>1246</v>
      </c>
      <c r="BO206" s="1" t="s">
        <v>1247</v>
      </c>
      <c r="BP206" s="1" t="s">
        <v>86</v>
      </c>
      <c r="BQ206" s="1" t="s">
        <v>86</v>
      </c>
      <c r="BR206" s="1" t="s">
        <v>86</v>
      </c>
      <c r="BS206" s="1" t="s">
        <v>86</v>
      </c>
      <c r="BT206" s="1" t="s">
        <v>86</v>
      </c>
      <c r="BU206" s="1" t="s">
        <v>163</v>
      </c>
      <c r="BV206" s="1" t="s">
        <v>86</v>
      </c>
      <c r="BW206" s="1" t="s">
        <v>101</v>
      </c>
      <c r="BX206" s="1" t="s">
        <v>401</v>
      </c>
      <c r="BY206" s="1" t="s">
        <v>86</v>
      </c>
      <c r="BZ206" s="1" t="s">
        <v>1248</v>
      </c>
      <c r="CA206" s="1" t="s">
        <v>254</v>
      </c>
      <c r="CB206" s="1" t="s">
        <v>700</v>
      </c>
      <c r="CC206" s="1" t="s">
        <v>86</v>
      </c>
      <c r="CD206" s="1" t="s">
        <v>86</v>
      </c>
      <c r="CE206" s="1" t="s">
        <v>86</v>
      </c>
    </row>
    <row r="207">
      <c r="A207" s="1">
        <v>205</v>
      </c>
      <c r="B207" s="1" t="s">
        <v>395</v>
      </c>
      <c r="C207" s="2">
        <f>=HYPERLINK("https://i.stonehdfile.com/stoneimage?s=d3fdcfe8-2f1c-4bd7-8cfd-4d511475a783","Image")</f>
      </c>
      <c r="D207" s="2">
        <f>=HYPERLINK("https://dna.stonehdfile.com/hd/viewhd.html?d=ece32744-e6fe-40fc-bab1-3f0b8eccd8d9","View360")</f>
      </c>
      <c r="E207" s="2">
        <f>=HYPERLINK("https://i.stonehdfile.com/Certificate?s=d3fdcfe8-2f1c-4bd7-8cfd-4d511475a783","GIA")</f>
      </c>
      <c r="F207" s="2">
        <f>=HYPERLINK("https://i.stonehdfile.com/DNAReport?s=d3fdcfe8-2f1c-4bd7-8cfd-4d511475a783","DNA")</f>
      </c>
      <c r="G207" s="2">
        <f>=HYPERLINK("https://www.gia.edu/report-check?reportno=******6543","Verify")</f>
      </c>
      <c r="H207" s="1" t="s">
        <v>1249</v>
      </c>
      <c r="I207" s="1" t="s">
        <v>46</v>
      </c>
      <c r="J207" s="1">
        <v>1.7</v>
      </c>
      <c r="K207" s="1">
        <v>5</v>
      </c>
      <c r="L207" s="1">
        <v>7900</v>
      </c>
      <c r="M207" s="1">
        <v>4572</v>
      </c>
      <c r="N207" s="1">
        <v>7772.4</v>
      </c>
      <c r="O207" s="1">
        <v>-42.13</v>
      </c>
      <c r="P207" s="1">
        <v>0</v>
      </c>
      <c r="Q207" s="1" t="s">
        <v>86</v>
      </c>
      <c r="R207" s="1">
        <v>0</v>
      </c>
      <c r="S207" s="1" t="s">
        <v>86</v>
      </c>
      <c r="T207" s="1" t="s">
        <v>86</v>
      </c>
      <c r="U207" s="1" t="s">
        <v>118</v>
      </c>
      <c r="V207" s="1" t="s">
        <v>86</v>
      </c>
      <c r="W207" s="1" t="s">
        <v>107</v>
      </c>
      <c r="X207" s="1" t="s">
        <v>86</v>
      </c>
      <c r="Y207" s="1" t="s">
        <v>89</v>
      </c>
      <c r="Z207" s="1" t="s">
        <v>138</v>
      </c>
      <c r="AA207" s="1" t="s">
        <v>119</v>
      </c>
      <c r="AB207" s="1" t="s">
        <v>86</v>
      </c>
      <c r="AC207" s="1" t="s">
        <v>1250</v>
      </c>
      <c r="AD207" s="1">
        <v>68.5</v>
      </c>
      <c r="AE207" s="1">
        <v>65</v>
      </c>
      <c r="AF207" s="1" t="s">
        <v>91</v>
      </c>
      <c r="AG207" s="1">
        <v>2.6</v>
      </c>
      <c r="AH207" s="1">
        <v>34.7</v>
      </c>
      <c r="AI207" s="1" t="s">
        <v>86</v>
      </c>
      <c r="AJ207" s="1">
        <v>1.02</v>
      </c>
      <c r="AK207" s="1" t="s">
        <v>190</v>
      </c>
      <c r="AL207" s="1" t="s">
        <v>140</v>
      </c>
      <c r="AM207" s="1" t="s">
        <v>93</v>
      </c>
      <c r="AN207" s="1" t="s">
        <v>86</v>
      </c>
      <c r="AO207" s="1" t="s">
        <v>94</v>
      </c>
      <c r="AP207" s="1" t="s">
        <v>95</v>
      </c>
      <c r="AQ207" s="1">
        <v>12.1</v>
      </c>
      <c r="AR207" s="1">
        <v>53.5</v>
      </c>
      <c r="AS207" s="1">
        <v>42</v>
      </c>
      <c r="AT207" s="1" t="s">
        <v>96</v>
      </c>
      <c r="AU207" s="1" t="s">
        <v>86</v>
      </c>
      <c r="AV207" s="1" t="s">
        <v>86</v>
      </c>
      <c r="AW207" s="1" t="s">
        <v>86</v>
      </c>
      <c r="AX207" s="1" t="s">
        <v>86</v>
      </c>
      <c r="AY207" s="1" t="s">
        <v>86</v>
      </c>
      <c r="AZ207" s="1" t="s">
        <v>86</v>
      </c>
      <c r="BA207" s="1" t="s">
        <v>86</v>
      </c>
      <c r="BB207" s="1" t="s">
        <v>86</v>
      </c>
      <c r="BC207" s="1" t="s">
        <v>86</v>
      </c>
      <c r="BD207" s="1" t="s">
        <v>86</v>
      </c>
      <c r="BE207" s="1" t="s">
        <v>86</v>
      </c>
      <c r="BF207" s="1" t="s">
        <v>86</v>
      </c>
      <c r="BG207" s="1" t="s">
        <v>86</v>
      </c>
      <c r="BH207" s="1" t="s">
        <v>182</v>
      </c>
      <c r="BI207" s="1" t="s">
        <v>335</v>
      </c>
      <c r="BJ207" s="1" t="s">
        <v>87</v>
      </c>
      <c r="BK207" s="1">
        <v>0</v>
      </c>
      <c r="BL207" s="1">
        <v>0</v>
      </c>
      <c r="BM207" s="1" t="s">
        <v>398</v>
      </c>
      <c r="BN207" s="1" t="s">
        <v>1251</v>
      </c>
      <c r="BO207" s="1" t="s">
        <v>705</v>
      </c>
      <c r="BP207" s="1" t="s">
        <v>86</v>
      </c>
      <c r="BQ207" s="1" t="s">
        <v>86</v>
      </c>
      <c r="BR207" s="1" t="s">
        <v>86</v>
      </c>
      <c r="BS207" s="1" t="s">
        <v>86</v>
      </c>
      <c r="BT207" s="1" t="s">
        <v>86</v>
      </c>
      <c r="BU207" s="1" t="s">
        <v>163</v>
      </c>
      <c r="BV207" s="1" t="s">
        <v>86</v>
      </c>
      <c r="BW207" s="1" t="s">
        <v>101</v>
      </c>
      <c r="BX207" s="1" t="s">
        <v>401</v>
      </c>
      <c r="BY207" s="1" t="s">
        <v>86</v>
      </c>
      <c r="BZ207" s="1" t="s">
        <v>1252</v>
      </c>
      <c r="CA207" s="1" t="s">
        <v>220</v>
      </c>
      <c r="CB207" s="1" t="s">
        <v>221</v>
      </c>
      <c r="CC207" s="1" t="s">
        <v>86</v>
      </c>
      <c r="CD207" s="1" t="s">
        <v>86</v>
      </c>
      <c r="CE207" s="1" t="s">
        <v>86</v>
      </c>
    </row>
    <row r="208">
      <c r="A208" s="1">
        <v>206</v>
      </c>
      <c r="B208" s="1" t="s">
        <v>395</v>
      </c>
      <c r="C208" s="2">
        <f>=HYPERLINK("https://i.stonehdfile.com/stoneimage?s=436f3742-bfd3-400b-a257-ea73cc13a041","Image")</f>
      </c>
      <c r="D208" s="2">
        <f>=HYPERLINK("https://dna.stonehdfile.com/hd/viewhd.html?d=eb854b1e-3de9-47a8-a5f3-00dbf696a1f8","View360")</f>
      </c>
      <c r="E208" s="2">
        <f>=HYPERLINK("https://i.stonehdfile.com/Certificate?s=436f3742-bfd3-400b-a257-ea73cc13a041","GIA")</f>
      </c>
      <c r="F208" s="2">
        <f>=HYPERLINK("https://i.stonehdfile.com/DNAReport?s=436f3742-bfd3-400b-a257-ea73cc13a041","DNA")</f>
      </c>
      <c r="G208" s="2">
        <f>=HYPERLINK("https://www.gia.edu/report-check?reportno=******1433","Verify")</f>
      </c>
      <c r="H208" s="1" t="s">
        <v>1253</v>
      </c>
      <c r="I208" s="1" t="s">
        <v>46</v>
      </c>
      <c r="J208" s="1">
        <v>1.77</v>
      </c>
      <c r="K208" s="1">
        <v>0</v>
      </c>
      <c r="L208" s="1">
        <v>7900</v>
      </c>
      <c r="M208" s="1">
        <v>4501</v>
      </c>
      <c r="N208" s="1">
        <v>7966.77</v>
      </c>
      <c r="O208" s="1">
        <v>-43.03</v>
      </c>
      <c r="P208" s="1">
        <v>0</v>
      </c>
      <c r="Q208" s="1" t="s">
        <v>86</v>
      </c>
      <c r="R208" s="1">
        <v>0</v>
      </c>
      <c r="S208" s="1" t="s">
        <v>86</v>
      </c>
      <c r="T208" s="1" t="s">
        <v>86</v>
      </c>
      <c r="U208" s="1" t="s">
        <v>118</v>
      </c>
      <c r="V208" s="1" t="s">
        <v>86</v>
      </c>
      <c r="W208" s="1" t="s">
        <v>107</v>
      </c>
      <c r="X208" s="1" t="s">
        <v>86</v>
      </c>
      <c r="Y208" s="1" t="s">
        <v>89</v>
      </c>
      <c r="Z208" s="1" t="s">
        <v>89</v>
      </c>
      <c r="AA208" s="1" t="s">
        <v>119</v>
      </c>
      <c r="AB208" s="1" t="s">
        <v>86</v>
      </c>
      <c r="AC208" s="1" t="s">
        <v>1254</v>
      </c>
      <c r="AD208" s="1">
        <v>69.4</v>
      </c>
      <c r="AE208" s="1">
        <v>59</v>
      </c>
      <c r="AF208" s="1" t="s">
        <v>91</v>
      </c>
      <c r="AG208" s="1">
        <v>2.8</v>
      </c>
      <c r="AH208" s="1">
        <v>36.4</v>
      </c>
      <c r="AI208" s="1" t="s">
        <v>86</v>
      </c>
      <c r="AJ208" s="1">
        <v>1</v>
      </c>
      <c r="AK208" s="1" t="s">
        <v>111</v>
      </c>
      <c r="AL208" s="1" t="s">
        <v>93</v>
      </c>
      <c r="AM208" s="1" t="s">
        <v>140</v>
      </c>
      <c r="AN208" s="1" t="s">
        <v>86</v>
      </c>
      <c r="AO208" s="1" t="s">
        <v>94</v>
      </c>
      <c r="AP208" s="1" t="s">
        <v>95</v>
      </c>
      <c r="AQ208" s="1">
        <v>14.8</v>
      </c>
      <c r="AR208" s="1">
        <v>51</v>
      </c>
      <c r="AS208" s="1">
        <v>38.9</v>
      </c>
      <c r="AT208" s="1" t="s">
        <v>96</v>
      </c>
      <c r="AU208" s="1" t="s">
        <v>86</v>
      </c>
      <c r="AV208" s="1" t="s">
        <v>86</v>
      </c>
      <c r="AW208" s="1" t="s">
        <v>86</v>
      </c>
      <c r="AX208" s="1" t="s">
        <v>86</v>
      </c>
      <c r="AY208" s="1" t="s">
        <v>86</v>
      </c>
      <c r="AZ208" s="1" t="s">
        <v>86</v>
      </c>
      <c r="BA208" s="1" t="s">
        <v>86</v>
      </c>
      <c r="BB208" s="1" t="s">
        <v>86</v>
      </c>
      <c r="BC208" s="1" t="s">
        <v>86</v>
      </c>
      <c r="BD208" s="1" t="s">
        <v>86</v>
      </c>
      <c r="BE208" s="1" t="s">
        <v>86</v>
      </c>
      <c r="BF208" s="1" t="s">
        <v>86</v>
      </c>
      <c r="BG208" s="1" t="s">
        <v>86</v>
      </c>
      <c r="BH208" s="1" t="s">
        <v>182</v>
      </c>
      <c r="BI208" s="1" t="s">
        <v>322</v>
      </c>
      <c r="BJ208" s="1" t="s">
        <v>87</v>
      </c>
      <c r="BK208" s="1">
        <v>0</v>
      </c>
      <c r="BL208" s="1">
        <v>0</v>
      </c>
      <c r="BM208" s="1" t="s">
        <v>398</v>
      </c>
      <c r="BN208" s="1" t="s">
        <v>1255</v>
      </c>
      <c r="BO208" s="1" t="s">
        <v>477</v>
      </c>
      <c r="BP208" s="1" t="s">
        <v>86</v>
      </c>
      <c r="BQ208" s="1" t="s">
        <v>86</v>
      </c>
      <c r="BR208" s="1" t="s">
        <v>86</v>
      </c>
      <c r="BS208" s="1" t="s">
        <v>86</v>
      </c>
      <c r="BT208" s="1" t="s">
        <v>86</v>
      </c>
      <c r="BU208" s="1" t="s">
        <v>163</v>
      </c>
      <c r="BV208" s="1" t="s">
        <v>86</v>
      </c>
      <c r="BW208" s="1" t="s">
        <v>101</v>
      </c>
      <c r="BX208" s="1" t="s">
        <v>545</v>
      </c>
      <c r="BY208" s="1" t="s">
        <v>86</v>
      </c>
      <c r="BZ208" s="1" t="s">
        <v>1256</v>
      </c>
      <c r="CA208" s="1" t="s">
        <v>350</v>
      </c>
      <c r="CB208" s="1" t="s">
        <v>298</v>
      </c>
      <c r="CC208" s="1" t="s">
        <v>86</v>
      </c>
      <c r="CD208" s="1" t="s">
        <v>86</v>
      </c>
      <c r="CE208" s="1" t="s">
        <v>86</v>
      </c>
    </row>
    <row r="209">
      <c r="A209" s="1">
        <v>207</v>
      </c>
      <c r="B209" s="1" t="s">
        <v>395</v>
      </c>
      <c r="C209" s="2">
        <f>=HYPERLINK("https://i.stonehdfile.com/stoneimage?s=0f7271ba-ea74-4581-ba97-aaac5956d06b","Image")</f>
      </c>
      <c r="D209" s="2">
        <f>=HYPERLINK("https://dna.stonehdfile.com/hd/viewhd.html?d=26b14f9d-bae4-42dc-880e-784535835587","View360")</f>
      </c>
      <c r="E209" s="2">
        <f>=HYPERLINK("https://i.stonehdfile.com/Certificate?s=0f7271ba-ea74-4581-ba97-aaac5956d06b","GIA")</f>
      </c>
      <c r="F209" s="2">
        <f>=HYPERLINK("https://i.stonehdfile.com/DNAReport?s=0f7271ba-ea74-4581-ba97-aaac5956d06b","DNA")</f>
      </c>
      <c r="G209" s="2">
        <f>=HYPERLINK("https://www.gia.edu/report-check?reportno=******2967","Verify")</f>
      </c>
      <c r="H209" s="1" t="s">
        <v>1257</v>
      </c>
      <c r="I209" s="1" t="s">
        <v>46</v>
      </c>
      <c r="J209" s="1">
        <v>1.7</v>
      </c>
      <c r="K209" s="1">
        <v>3</v>
      </c>
      <c r="L209" s="1">
        <v>7900</v>
      </c>
      <c r="M209" s="1">
        <v>4021</v>
      </c>
      <c r="N209" s="1">
        <v>6835.7</v>
      </c>
      <c r="O209" s="1">
        <v>-49.1</v>
      </c>
      <c r="P209" s="1">
        <v>0</v>
      </c>
      <c r="Q209" s="1" t="s">
        <v>86</v>
      </c>
      <c r="R209" s="1">
        <v>0</v>
      </c>
      <c r="S209" s="1" t="s">
        <v>86</v>
      </c>
      <c r="T209" s="1" t="s">
        <v>86</v>
      </c>
      <c r="U209" s="1" t="s">
        <v>118</v>
      </c>
      <c r="V209" s="1" t="s">
        <v>86</v>
      </c>
      <c r="W209" s="1" t="s">
        <v>149</v>
      </c>
      <c r="X209" s="1" t="s">
        <v>86</v>
      </c>
      <c r="Y209" s="1" t="s">
        <v>89</v>
      </c>
      <c r="Z209" s="1" t="s">
        <v>89</v>
      </c>
      <c r="AA209" s="1" t="s">
        <v>87</v>
      </c>
      <c r="AB209" s="1" t="s">
        <v>86</v>
      </c>
      <c r="AC209" s="1" t="s">
        <v>1258</v>
      </c>
      <c r="AD209" s="1">
        <v>69.3</v>
      </c>
      <c r="AE209" s="1">
        <v>60</v>
      </c>
      <c r="AF209" s="1" t="s">
        <v>91</v>
      </c>
      <c r="AG209" s="1">
        <v>3.4</v>
      </c>
      <c r="AH209" s="1">
        <v>36.4</v>
      </c>
      <c r="AI209" s="1" t="s">
        <v>86</v>
      </c>
      <c r="AJ209" s="1">
        <v>1.03</v>
      </c>
      <c r="AK209" s="1" t="s">
        <v>111</v>
      </c>
      <c r="AL209" s="1" t="s">
        <v>93</v>
      </c>
      <c r="AM209" s="1" t="s">
        <v>140</v>
      </c>
      <c r="AN209" s="1" t="s">
        <v>86</v>
      </c>
      <c r="AO209" s="1" t="s">
        <v>94</v>
      </c>
      <c r="AP209" s="1" t="s">
        <v>95</v>
      </c>
      <c r="AQ209" s="1">
        <v>14.9</v>
      </c>
      <c r="AR209" s="1">
        <v>50.6</v>
      </c>
      <c r="AS209" s="1">
        <v>38.3</v>
      </c>
      <c r="AT209" s="1" t="s">
        <v>96</v>
      </c>
      <c r="AU209" s="1" t="s">
        <v>86</v>
      </c>
      <c r="AV209" s="1" t="s">
        <v>86</v>
      </c>
      <c r="AW209" s="1" t="s">
        <v>86</v>
      </c>
      <c r="AX209" s="1" t="s">
        <v>86</v>
      </c>
      <c r="AY209" s="1" t="s">
        <v>86</v>
      </c>
      <c r="AZ209" s="1" t="s">
        <v>86</v>
      </c>
      <c r="BA209" s="1" t="s">
        <v>86</v>
      </c>
      <c r="BB209" s="1" t="s">
        <v>86</v>
      </c>
      <c r="BC209" s="1" t="s">
        <v>86</v>
      </c>
      <c r="BD209" s="1" t="s">
        <v>86</v>
      </c>
      <c r="BE209" s="1" t="s">
        <v>86</v>
      </c>
      <c r="BF209" s="1" t="s">
        <v>86</v>
      </c>
      <c r="BG209" s="1" t="s">
        <v>172</v>
      </c>
      <c r="BH209" s="1" t="s">
        <v>215</v>
      </c>
      <c r="BI209" s="1" t="s">
        <v>191</v>
      </c>
      <c r="BJ209" s="1" t="s">
        <v>87</v>
      </c>
      <c r="BK209" s="1">
        <v>0</v>
      </c>
      <c r="BL209" s="1">
        <v>0</v>
      </c>
      <c r="BM209" s="1" t="s">
        <v>86</v>
      </c>
      <c r="BN209" s="1" t="s">
        <v>1259</v>
      </c>
      <c r="BO209" s="1" t="s">
        <v>761</v>
      </c>
      <c r="BP209" s="1" t="s">
        <v>86</v>
      </c>
      <c r="BQ209" s="1" t="s">
        <v>86</v>
      </c>
      <c r="BR209" s="1" t="s">
        <v>86</v>
      </c>
      <c r="BS209" s="1" t="s">
        <v>86</v>
      </c>
      <c r="BT209" s="1" t="s">
        <v>86</v>
      </c>
      <c r="BU209" s="1" t="s">
        <v>163</v>
      </c>
      <c r="BV209" s="1" t="s">
        <v>86</v>
      </c>
      <c r="BW209" s="1" t="s">
        <v>101</v>
      </c>
      <c r="BX209" s="1" t="s">
        <v>545</v>
      </c>
      <c r="BY209" s="1" t="s">
        <v>86</v>
      </c>
      <c r="BZ209" s="1" t="s">
        <v>1260</v>
      </c>
      <c r="CA209" s="1" t="s">
        <v>297</v>
      </c>
      <c r="CB209" s="1" t="s">
        <v>179</v>
      </c>
      <c r="CC209" s="1" t="s">
        <v>86</v>
      </c>
      <c r="CD209" s="1" t="s">
        <v>86</v>
      </c>
      <c r="CE209" s="1" t="s">
        <v>86</v>
      </c>
    </row>
    <row r="210">
      <c r="A210" s="1">
        <v>208</v>
      </c>
      <c r="B210" s="1" t="s">
        <v>395</v>
      </c>
      <c r="C210" s="2">
        <f>=HYPERLINK("https://i.stonehdfile.com/stoneimage?s=40b79374-cac5-4bfa-a2f6-23a3465fd03b","Image")</f>
      </c>
      <c r="D210" s="2">
        <f>=HYPERLINK("https://dna.stonehdfile.com/hd/viewhd.html?d=7bf6e57d-6238-48cb-91b4-494fd9c831dd","View360")</f>
      </c>
      <c r="E210" s="2">
        <f>=HYPERLINK("https://i.stonehdfile.com/Certificate?s=40b79374-cac5-4bfa-a2f6-23a3465fd03b","GIA")</f>
      </c>
      <c r="F210" s="2">
        <f>=HYPERLINK("https://i.stonehdfile.com/DNAReport?s=40b79374-cac5-4bfa-a2f6-23a3465fd03b","DNA")</f>
      </c>
      <c r="G210" s="2">
        <f>=HYPERLINK("https://www.gia.edu/report-check?reportno=******8677","Verify")</f>
      </c>
      <c r="H210" s="1" t="s">
        <v>1261</v>
      </c>
      <c r="I210" s="1" t="s">
        <v>46</v>
      </c>
      <c r="J210" s="1">
        <v>1.7</v>
      </c>
      <c r="K210" s="1">
        <v>8</v>
      </c>
      <c r="L210" s="1">
        <v>7900</v>
      </c>
      <c r="M210" s="1">
        <v>4420</v>
      </c>
      <c r="N210" s="1">
        <v>7514</v>
      </c>
      <c r="O210" s="1">
        <v>-44.05</v>
      </c>
      <c r="P210" s="1">
        <v>0</v>
      </c>
      <c r="Q210" s="1" t="s">
        <v>86</v>
      </c>
      <c r="R210" s="1">
        <v>0</v>
      </c>
      <c r="S210" s="1" t="s">
        <v>86</v>
      </c>
      <c r="T210" s="1" t="s">
        <v>86</v>
      </c>
      <c r="U210" s="1" t="s">
        <v>118</v>
      </c>
      <c r="V210" s="1" t="s">
        <v>86</v>
      </c>
      <c r="W210" s="1" t="s">
        <v>149</v>
      </c>
      <c r="X210" s="1" t="s">
        <v>86</v>
      </c>
      <c r="Y210" s="1" t="s">
        <v>89</v>
      </c>
      <c r="Z210" s="1" t="s">
        <v>89</v>
      </c>
      <c r="AA210" s="1" t="s">
        <v>119</v>
      </c>
      <c r="AB210" s="1" t="s">
        <v>86</v>
      </c>
      <c r="AC210" s="1" t="s">
        <v>1262</v>
      </c>
      <c r="AD210" s="1">
        <v>68.9</v>
      </c>
      <c r="AE210" s="1">
        <v>63</v>
      </c>
      <c r="AF210" s="1" t="s">
        <v>91</v>
      </c>
      <c r="AG210" s="1">
        <v>3.6</v>
      </c>
      <c r="AH210" s="1">
        <v>35.9</v>
      </c>
      <c r="AI210" s="1" t="s">
        <v>86</v>
      </c>
      <c r="AJ210" s="1">
        <v>1.03</v>
      </c>
      <c r="AK210" s="1" t="s">
        <v>111</v>
      </c>
      <c r="AL210" s="1" t="s">
        <v>93</v>
      </c>
      <c r="AM210" s="1" t="s">
        <v>140</v>
      </c>
      <c r="AN210" s="1" t="s">
        <v>86</v>
      </c>
      <c r="AO210" s="1" t="s">
        <v>94</v>
      </c>
      <c r="AP210" s="1" t="s">
        <v>95</v>
      </c>
      <c r="AQ210" s="1">
        <v>13.6</v>
      </c>
      <c r="AR210" s="1">
        <v>51.2</v>
      </c>
      <c r="AS210" s="1">
        <v>38.6</v>
      </c>
      <c r="AT210" s="1" t="s">
        <v>96</v>
      </c>
      <c r="AU210" s="1" t="s">
        <v>86</v>
      </c>
      <c r="AV210" s="1" t="s">
        <v>86</v>
      </c>
      <c r="AW210" s="1" t="s">
        <v>86</v>
      </c>
      <c r="AX210" s="1" t="s">
        <v>86</v>
      </c>
      <c r="AY210" s="1" t="s">
        <v>86</v>
      </c>
      <c r="AZ210" s="1" t="s">
        <v>86</v>
      </c>
      <c r="BA210" s="1" t="s">
        <v>86</v>
      </c>
      <c r="BB210" s="1" t="s">
        <v>86</v>
      </c>
      <c r="BC210" s="1" t="s">
        <v>86</v>
      </c>
      <c r="BD210" s="1" t="s">
        <v>86</v>
      </c>
      <c r="BE210" s="1" t="s">
        <v>86</v>
      </c>
      <c r="BF210" s="1" t="s">
        <v>86</v>
      </c>
      <c r="BG210" s="1" t="s">
        <v>86</v>
      </c>
      <c r="BH210" s="1" t="s">
        <v>215</v>
      </c>
      <c r="BI210" s="1" t="s">
        <v>576</v>
      </c>
      <c r="BJ210" s="1" t="s">
        <v>87</v>
      </c>
      <c r="BK210" s="1">
        <v>0</v>
      </c>
      <c r="BL210" s="1">
        <v>0</v>
      </c>
      <c r="BM210" s="1" t="s">
        <v>398</v>
      </c>
      <c r="BN210" s="1" t="s">
        <v>1263</v>
      </c>
      <c r="BO210" s="1" t="s">
        <v>210</v>
      </c>
      <c r="BP210" s="1" t="s">
        <v>86</v>
      </c>
      <c r="BQ210" s="1" t="s">
        <v>86</v>
      </c>
      <c r="BR210" s="1" t="s">
        <v>86</v>
      </c>
      <c r="BS210" s="1" t="s">
        <v>86</v>
      </c>
      <c r="BT210" s="1" t="s">
        <v>86</v>
      </c>
      <c r="BU210" s="1" t="s">
        <v>163</v>
      </c>
      <c r="BV210" s="1" t="s">
        <v>86</v>
      </c>
      <c r="BW210" s="1" t="s">
        <v>101</v>
      </c>
      <c r="BX210" s="1" t="s">
        <v>545</v>
      </c>
      <c r="BY210" s="1" t="s">
        <v>86</v>
      </c>
      <c r="BZ210" s="1" t="s">
        <v>1264</v>
      </c>
      <c r="CA210" s="1" t="s">
        <v>626</v>
      </c>
      <c r="CB210" s="1" t="s">
        <v>166</v>
      </c>
      <c r="CC210" s="1" t="s">
        <v>86</v>
      </c>
      <c r="CD210" s="1" t="s">
        <v>86</v>
      </c>
      <c r="CE210" s="1" t="s">
        <v>86</v>
      </c>
    </row>
    <row r="211">
      <c r="A211" s="1">
        <v>209</v>
      </c>
      <c r="B211" s="1" t="s">
        <v>395</v>
      </c>
      <c r="C211" s="2">
        <f>=HYPERLINK("https://i.stonehdfile.com/stoneimage?s=c47a0540-25ea-4240-9d57-4eb305e05154","Image")</f>
      </c>
      <c r="D211" s="2">
        <f>=HYPERLINK("https://dna.stonehdfile.com/hd/viewhd.html?d=077a7635-8dc2-4cf8-a195-83367b915b50","View360")</f>
      </c>
      <c r="E211" s="2">
        <f>=HYPERLINK("https://i.stonehdfile.com/Certificate?s=c47a0540-25ea-4240-9d57-4eb305e05154","GIA")</f>
      </c>
      <c r="F211" s="2">
        <f>=HYPERLINK("https://i.stonehdfile.com/DNAReport?s=c47a0540-25ea-4240-9d57-4eb305e05154","DNA")</f>
      </c>
      <c r="G211" s="2">
        <f>=HYPERLINK("https://www.gia.edu/report-check?reportno=******1176","Verify")</f>
      </c>
      <c r="H211" s="1" t="s">
        <v>1265</v>
      </c>
      <c r="I211" s="1" t="s">
        <v>46</v>
      </c>
      <c r="J211" s="1">
        <v>1.7</v>
      </c>
      <c r="K211" s="1">
        <v>3</v>
      </c>
      <c r="L211" s="1">
        <v>7900</v>
      </c>
      <c r="M211" s="1">
        <v>4206</v>
      </c>
      <c r="N211" s="1">
        <v>7150.2</v>
      </c>
      <c r="O211" s="1">
        <v>-46.76</v>
      </c>
      <c r="P211" s="1">
        <v>0</v>
      </c>
      <c r="Q211" s="1" t="s">
        <v>86</v>
      </c>
      <c r="R211" s="1">
        <v>0</v>
      </c>
      <c r="S211" s="1" t="s">
        <v>86</v>
      </c>
      <c r="T211" s="1" t="s">
        <v>86</v>
      </c>
      <c r="U211" s="1" t="s">
        <v>118</v>
      </c>
      <c r="V211" s="1" t="s">
        <v>86</v>
      </c>
      <c r="W211" s="1" t="s">
        <v>149</v>
      </c>
      <c r="X211" s="1" t="s">
        <v>86</v>
      </c>
      <c r="Y211" s="1" t="s">
        <v>89</v>
      </c>
      <c r="Z211" s="1" t="s">
        <v>89</v>
      </c>
      <c r="AA211" s="1" t="s">
        <v>119</v>
      </c>
      <c r="AB211" s="1" t="s">
        <v>86</v>
      </c>
      <c r="AC211" s="1" t="s">
        <v>1266</v>
      </c>
      <c r="AD211" s="1">
        <v>68.1</v>
      </c>
      <c r="AE211" s="1">
        <v>63</v>
      </c>
      <c r="AF211" s="1" t="s">
        <v>91</v>
      </c>
      <c r="AG211" s="1">
        <v>3.2</v>
      </c>
      <c r="AH211" s="1">
        <v>36</v>
      </c>
      <c r="AI211" s="1" t="s">
        <v>86</v>
      </c>
      <c r="AJ211" s="1">
        <v>1.07</v>
      </c>
      <c r="AK211" s="1" t="s">
        <v>111</v>
      </c>
      <c r="AL211" s="1" t="s">
        <v>93</v>
      </c>
      <c r="AM211" s="1" t="s">
        <v>128</v>
      </c>
      <c r="AN211" s="1" t="s">
        <v>86</v>
      </c>
      <c r="AO211" s="1" t="s">
        <v>94</v>
      </c>
      <c r="AP211" s="1" t="s">
        <v>95</v>
      </c>
      <c r="AQ211" s="1">
        <v>13.6</v>
      </c>
      <c r="AR211" s="1">
        <v>50.8</v>
      </c>
      <c r="AS211" s="1">
        <v>38.4</v>
      </c>
      <c r="AT211" s="1" t="s">
        <v>96</v>
      </c>
      <c r="AU211" s="1" t="s">
        <v>86</v>
      </c>
      <c r="AV211" s="1" t="s">
        <v>86</v>
      </c>
      <c r="AW211" s="1" t="s">
        <v>86</v>
      </c>
      <c r="AX211" s="1" t="s">
        <v>86</v>
      </c>
      <c r="AY211" s="1" t="s">
        <v>86</v>
      </c>
      <c r="AZ211" s="1" t="s">
        <v>86</v>
      </c>
      <c r="BA211" s="1" t="s">
        <v>86</v>
      </c>
      <c r="BB211" s="1" t="s">
        <v>86</v>
      </c>
      <c r="BC211" s="1" t="s">
        <v>86</v>
      </c>
      <c r="BD211" s="1" t="s">
        <v>86</v>
      </c>
      <c r="BE211" s="1" t="s">
        <v>86</v>
      </c>
      <c r="BF211" s="1" t="s">
        <v>86</v>
      </c>
      <c r="BG211" s="1" t="s">
        <v>86</v>
      </c>
      <c r="BH211" s="1" t="s">
        <v>97</v>
      </c>
      <c r="BI211" s="1" t="s">
        <v>199</v>
      </c>
      <c r="BJ211" s="1" t="s">
        <v>87</v>
      </c>
      <c r="BK211" s="1">
        <v>0</v>
      </c>
      <c r="BL211" s="1">
        <v>0</v>
      </c>
      <c r="BM211" s="1" t="s">
        <v>398</v>
      </c>
      <c r="BN211" s="1" t="s">
        <v>1267</v>
      </c>
      <c r="BO211" s="1" t="s">
        <v>604</v>
      </c>
      <c r="BP211" s="1" t="s">
        <v>86</v>
      </c>
      <c r="BQ211" s="1" t="s">
        <v>86</v>
      </c>
      <c r="BR211" s="1" t="s">
        <v>86</v>
      </c>
      <c r="BS211" s="1" t="s">
        <v>86</v>
      </c>
      <c r="BT211" s="1" t="s">
        <v>86</v>
      </c>
      <c r="BU211" s="1" t="s">
        <v>163</v>
      </c>
      <c r="BV211" s="1" t="s">
        <v>86</v>
      </c>
      <c r="BW211" s="1" t="s">
        <v>101</v>
      </c>
      <c r="BX211" s="1" t="s">
        <v>478</v>
      </c>
      <c r="BY211" s="1" t="s">
        <v>86</v>
      </c>
      <c r="BZ211" s="1" t="s">
        <v>1268</v>
      </c>
      <c r="CA211" s="1" t="s">
        <v>220</v>
      </c>
      <c r="CB211" s="1" t="s">
        <v>547</v>
      </c>
      <c r="CC211" s="1" t="s">
        <v>86</v>
      </c>
      <c r="CD211" s="1" t="s">
        <v>86</v>
      </c>
      <c r="CE211" s="1" t="s">
        <v>86</v>
      </c>
    </row>
    <row r="212">
      <c r="A212" s="1">
        <v>210</v>
      </c>
      <c r="B212" s="1" t="s">
        <v>395</v>
      </c>
      <c r="C212" s="2">
        <f>=HYPERLINK("https://i.stonehdfile.com/stoneimage?s=1d14d1a7-04c9-4d82-b6a8-69254878ed79","Image")</f>
      </c>
      <c r="D212" s="2">
        <f>=HYPERLINK("https://dna.stonehdfile.com/hd/viewhd.html?d=0f55fa40-8ba4-4753-9485-96cc78c3e63a","View360")</f>
      </c>
      <c r="E212" s="2">
        <f>=HYPERLINK("https://i.stonehdfile.com/Certificate?s=1d14d1a7-04c9-4d82-b6a8-69254878ed79","GIA")</f>
      </c>
      <c r="F212" s="2">
        <f>=HYPERLINK("https://i.stonehdfile.com/DNAReport?s=1d14d1a7-04c9-4d82-b6a8-69254878ed79","DNA")</f>
      </c>
      <c r="G212" s="2">
        <f>=HYPERLINK("https://www.gia.edu/report-check?reportno=******2260","Verify")</f>
      </c>
      <c r="H212" s="1" t="s">
        <v>1269</v>
      </c>
      <c r="I212" s="1" t="s">
        <v>46</v>
      </c>
      <c r="J212" s="1">
        <v>1.7</v>
      </c>
      <c r="K212" s="1">
        <v>0</v>
      </c>
      <c r="L212" s="1">
        <v>7900</v>
      </c>
      <c r="M212" s="1">
        <v>4235</v>
      </c>
      <c r="N212" s="1">
        <v>7199.5</v>
      </c>
      <c r="O212" s="1">
        <v>-46.39</v>
      </c>
      <c r="P212" s="1">
        <v>0</v>
      </c>
      <c r="Q212" s="1" t="s">
        <v>86</v>
      </c>
      <c r="R212" s="1">
        <v>0</v>
      </c>
      <c r="S212" s="1" t="s">
        <v>86</v>
      </c>
      <c r="T212" s="1" t="s">
        <v>86</v>
      </c>
      <c r="U212" s="1" t="s">
        <v>118</v>
      </c>
      <c r="V212" s="1" t="s">
        <v>86</v>
      </c>
      <c r="W212" s="1" t="s">
        <v>149</v>
      </c>
      <c r="X212" s="1" t="s">
        <v>86</v>
      </c>
      <c r="Y212" s="1" t="s">
        <v>89</v>
      </c>
      <c r="Z212" s="1" t="s">
        <v>138</v>
      </c>
      <c r="AA212" s="1" t="s">
        <v>119</v>
      </c>
      <c r="AB212" s="1" t="s">
        <v>86</v>
      </c>
      <c r="AC212" s="1" t="s">
        <v>1270</v>
      </c>
      <c r="AD212" s="1">
        <v>68.5</v>
      </c>
      <c r="AE212" s="1">
        <v>65</v>
      </c>
      <c r="AF212" s="1" t="s">
        <v>91</v>
      </c>
      <c r="AG212" s="1">
        <v>3.5</v>
      </c>
      <c r="AH212" s="1">
        <v>35.9</v>
      </c>
      <c r="AI212" s="1" t="s">
        <v>86</v>
      </c>
      <c r="AJ212" s="1">
        <v>1.12</v>
      </c>
      <c r="AK212" s="1" t="s">
        <v>190</v>
      </c>
      <c r="AL212" s="1" t="s">
        <v>93</v>
      </c>
      <c r="AM212" s="1" t="s">
        <v>93</v>
      </c>
      <c r="AN212" s="1" t="s">
        <v>86</v>
      </c>
      <c r="AO212" s="1" t="s">
        <v>94</v>
      </c>
      <c r="AP212" s="1" t="s">
        <v>95</v>
      </c>
      <c r="AQ212" s="1">
        <v>12.6</v>
      </c>
      <c r="AR212" s="1">
        <v>51.8</v>
      </c>
      <c r="AS212" s="1">
        <v>38.2</v>
      </c>
      <c r="AT212" s="1" t="s">
        <v>96</v>
      </c>
      <c r="AU212" s="1" t="s">
        <v>86</v>
      </c>
      <c r="AV212" s="1" t="s">
        <v>86</v>
      </c>
      <c r="AW212" s="1" t="s">
        <v>86</v>
      </c>
      <c r="AX212" s="1" t="s">
        <v>86</v>
      </c>
      <c r="AY212" s="1" t="s">
        <v>86</v>
      </c>
      <c r="AZ212" s="1" t="s">
        <v>86</v>
      </c>
      <c r="BA212" s="1" t="s">
        <v>86</v>
      </c>
      <c r="BB212" s="1" t="s">
        <v>86</v>
      </c>
      <c r="BC212" s="1" t="s">
        <v>86</v>
      </c>
      <c r="BD212" s="1" t="s">
        <v>86</v>
      </c>
      <c r="BE212" s="1" t="s">
        <v>86</v>
      </c>
      <c r="BF212" s="1" t="s">
        <v>86</v>
      </c>
      <c r="BG212" s="1" t="s">
        <v>86</v>
      </c>
      <c r="BH212" s="1" t="s">
        <v>129</v>
      </c>
      <c r="BI212" s="1" t="s">
        <v>183</v>
      </c>
      <c r="BJ212" s="1" t="s">
        <v>87</v>
      </c>
      <c r="BK212" s="1">
        <v>0</v>
      </c>
      <c r="BL212" s="1">
        <v>0</v>
      </c>
      <c r="BM212" s="1" t="s">
        <v>398</v>
      </c>
      <c r="BN212" s="1" t="s">
        <v>1271</v>
      </c>
      <c r="BO212" s="1" t="s">
        <v>1272</v>
      </c>
      <c r="BP212" s="1" t="s">
        <v>86</v>
      </c>
      <c r="BQ212" s="1" t="s">
        <v>86</v>
      </c>
      <c r="BR212" s="1" t="s">
        <v>86</v>
      </c>
      <c r="BS212" s="1" t="s">
        <v>86</v>
      </c>
      <c r="BT212" s="1" t="s">
        <v>86</v>
      </c>
      <c r="BU212" s="1" t="s">
        <v>163</v>
      </c>
      <c r="BV212" s="1" t="s">
        <v>86</v>
      </c>
      <c r="BW212" s="1" t="s">
        <v>101</v>
      </c>
      <c r="BX212" s="1" t="s">
        <v>401</v>
      </c>
      <c r="BY212" s="1" t="s">
        <v>86</v>
      </c>
      <c r="BZ212" s="1" t="s">
        <v>1273</v>
      </c>
      <c r="CA212" s="1" t="s">
        <v>749</v>
      </c>
      <c r="CB212" s="1" t="s">
        <v>166</v>
      </c>
      <c r="CC212" s="1" t="s">
        <v>86</v>
      </c>
      <c r="CD212" s="1" t="s">
        <v>86</v>
      </c>
      <c r="CE212" s="1" t="s">
        <v>86</v>
      </c>
    </row>
    <row r="213">
      <c r="A213" s="1">
        <v>211</v>
      </c>
      <c r="B213" s="1" t="s">
        <v>395</v>
      </c>
      <c r="C213" s="2">
        <f>=HYPERLINK("https://i.stonehdfile.com/stoneimage?s=d6b8937f-d652-40ca-b5af-63365081f445","Image")</f>
      </c>
      <c r="D213" s="2">
        <f>=HYPERLINK("https://dna.stonehdfile.com/hd/viewhd.html?d=c542dc18-f8e6-41cb-8ec5-920f66bac083","View360")</f>
      </c>
      <c r="E213" s="2">
        <f>=HYPERLINK("https://i.stonehdfile.com/Certificate?s=d6b8937f-d652-40ca-b5af-63365081f445","GIA")</f>
      </c>
      <c r="F213" s="2">
        <f>=HYPERLINK("https://i.stonehdfile.com/DNAReport?s=d6b8937f-d652-40ca-b5af-63365081f445","DNA")</f>
      </c>
      <c r="G213" s="2">
        <f>=HYPERLINK("https://www.gia.edu/report-check?reportno=******2922","Verify")</f>
      </c>
      <c r="H213" s="1" t="s">
        <v>1274</v>
      </c>
      <c r="I213" s="1" t="s">
        <v>46</v>
      </c>
      <c r="J213" s="1">
        <v>1.7</v>
      </c>
      <c r="K213" s="1">
        <v>3</v>
      </c>
      <c r="L213" s="1">
        <v>7400</v>
      </c>
      <c r="M213" s="1">
        <v>4352</v>
      </c>
      <c r="N213" s="1">
        <v>7398.4</v>
      </c>
      <c r="O213" s="1">
        <v>-41.19</v>
      </c>
      <c r="P213" s="1">
        <v>0</v>
      </c>
      <c r="Q213" s="1" t="s">
        <v>86</v>
      </c>
      <c r="R213" s="1">
        <v>0</v>
      </c>
      <c r="S213" s="1" t="s">
        <v>86</v>
      </c>
      <c r="T213" s="1" t="s">
        <v>86</v>
      </c>
      <c r="U213" s="1" t="s">
        <v>118</v>
      </c>
      <c r="V213" s="1" t="s">
        <v>86</v>
      </c>
      <c r="W213" s="1" t="s">
        <v>352</v>
      </c>
      <c r="X213" s="1" t="s">
        <v>86</v>
      </c>
      <c r="Y213" s="1" t="s">
        <v>89</v>
      </c>
      <c r="Z213" s="1" t="s">
        <v>89</v>
      </c>
      <c r="AA213" s="1" t="s">
        <v>119</v>
      </c>
      <c r="AB213" s="1" t="s">
        <v>86</v>
      </c>
      <c r="AC213" s="1" t="s">
        <v>1275</v>
      </c>
      <c r="AD213" s="1">
        <v>67.9</v>
      </c>
      <c r="AE213" s="1">
        <v>60</v>
      </c>
      <c r="AF213" s="1" t="s">
        <v>91</v>
      </c>
      <c r="AG213" s="1">
        <v>2.1</v>
      </c>
      <c r="AH213" s="1">
        <v>36.1</v>
      </c>
      <c r="AI213" s="1" t="s">
        <v>86</v>
      </c>
      <c r="AJ213" s="1">
        <v>1</v>
      </c>
      <c r="AK213" s="1" t="s">
        <v>111</v>
      </c>
      <c r="AL213" s="1" t="s">
        <v>140</v>
      </c>
      <c r="AM213" s="1" t="s">
        <v>140</v>
      </c>
      <c r="AN213" s="1" t="s">
        <v>307</v>
      </c>
      <c r="AO213" s="1" t="s">
        <v>94</v>
      </c>
      <c r="AP213" s="1" t="s">
        <v>95</v>
      </c>
      <c r="AQ213" s="1">
        <v>14.8</v>
      </c>
      <c r="AR213" s="1">
        <v>50.5</v>
      </c>
      <c r="AS213" s="1">
        <v>38.4</v>
      </c>
      <c r="AT213" s="1" t="s">
        <v>96</v>
      </c>
      <c r="AU213" s="1" t="s">
        <v>86</v>
      </c>
      <c r="AV213" s="1" t="s">
        <v>86</v>
      </c>
      <c r="AW213" s="1" t="s">
        <v>86</v>
      </c>
      <c r="AX213" s="1" t="s">
        <v>86</v>
      </c>
      <c r="AY213" s="1" t="s">
        <v>86</v>
      </c>
      <c r="AZ213" s="1" t="s">
        <v>86</v>
      </c>
      <c r="BA213" s="1" t="s">
        <v>86</v>
      </c>
      <c r="BB213" s="1" t="s">
        <v>86</v>
      </c>
      <c r="BC213" s="1" t="s">
        <v>86</v>
      </c>
      <c r="BD213" s="1" t="s">
        <v>86</v>
      </c>
      <c r="BE213" s="1" t="s">
        <v>86</v>
      </c>
      <c r="BF213" s="1" t="s">
        <v>282</v>
      </c>
      <c r="BG213" s="1" t="s">
        <v>86</v>
      </c>
      <c r="BH213" s="1" t="s">
        <v>273</v>
      </c>
      <c r="BI213" s="1" t="s">
        <v>516</v>
      </c>
      <c r="BJ213" s="1" t="s">
        <v>87</v>
      </c>
      <c r="BK213" s="1">
        <v>0</v>
      </c>
      <c r="BL213" s="1">
        <v>0</v>
      </c>
      <c r="BM213" s="1" t="s">
        <v>398</v>
      </c>
      <c r="BN213" s="1" t="s">
        <v>1276</v>
      </c>
      <c r="BO213" s="1" t="s">
        <v>1277</v>
      </c>
      <c r="BP213" s="1" t="s">
        <v>86</v>
      </c>
      <c r="BQ213" s="1" t="s">
        <v>86</v>
      </c>
      <c r="BR213" s="1" t="s">
        <v>86</v>
      </c>
      <c r="BS213" s="1" t="s">
        <v>86</v>
      </c>
      <c r="BT213" s="1" t="s">
        <v>86</v>
      </c>
      <c r="BU213" s="1" t="s">
        <v>163</v>
      </c>
      <c r="BV213" s="1" t="s">
        <v>86</v>
      </c>
      <c r="BW213" s="1" t="s">
        <v>101</v>
      </c>
      <c r="BX213" s="1" t="s">
        <v>478</v>
      </c>
      <c r="BY213" s="1" t="s">
        <v>86</v>
      </c>
      <c r="BZ213" s="1" t="s">
        <v>1278</v>
      </c>
      <c r="CA213" s="1" t="s">
        <v>312</v>
      </c>
      <c r="CB213" s="1" t="s">
        <v>286</v>
      </c>
      <c r="CC213" s="1" t="s">
        <v>86</v>
      </c>
      <c r="CD213" s="1" t="s">
        <v>86</v>
      </c>
      <c r="CE213" s="1" t="s">
        <v>86</v>
      </c>
    </row>
    <row r="214">
      <c r="A214" s="1">
        <v>212</v>
      </c>
      <c r="B214" s="1" t="s">
        <v>395</v>
      </c>
      <c r="C214" s="2">
        <f>=HYPERLINK("https://i.stonehdfile.com/stoneimage?s=a0cebd46-5a3e-4a0d-971a-0d8dd5121685","Image")</f>
      </c>
      <c r="D214" s="2">
        <f>=HYPERLINK("https://dna.stonehdfile.com/hd/viewhd.html?d=592dbaa7-6af3-4b94-883a-c67e835f9f71","View360")</f>
      </c>
      <c r="E214" s="2">
        <f>=HYPERLINK("https://i.stonehdfile.com/Certificate?s=a0cebd46-5a3e-4a0d-971a-0d8dd5121685","GIA")</f>
      </c>
      <c r="F214" s="2">
        <f>=HYPERLINK("https://i.stonehdfile.com/DNAReport?s=a0cebd46-5a3e-4a0d-971a-0d8dd5121685","DNA")</f>
      </c>
      <c r="G214" s="2">
        <f>=HYPERLINK("https://www.gia.edu/report-check?reportno=******2167","Verify")</f>
      </c>
      <c r="H214" s="1" t="s">
        <v>1279</v>
      </c>
      <c r="I214" s="1" t="s">
        <v>46</v>
      </c>
      <c r="J214" s="1">
        <v>1.7</v>
      </c>
      <c r="K214" s="1">
        <v>5</v>
      </c>
      <c r="L214" s="1">
        <v>7400</v>
      </c>
      <c r="M214" s="1">
        <v>4308</v>
      </c>
      <c r="N214" s="1">
        <v>7323.6</v>
      </c>
      <c r="O214" s="1">
        <v>-41.78</v>
      </c>
      <c r="P214" s="1">
        <v>0</v>
      </c>
      <c r="Q214" s="1" t="s">
        <v>86</v>
      </c>
      <c r="R214" s="1">
        <v>0</v>
      </c>
      <c r="S214" s="1" t="s">
        <v>86</v>
      </c>
      <c r="T214" s="1" t="s">
        <v>86</v>
      </c>
      <c r="U214" s="1" t="s">
        <v>159</v>
      </c>
      <c r="V214" s="1" t="s">
        <v>86</v>
      </c>
      <c r="W214" s="1" t="s">
        <v>352</v>
      </c>
      <c r="X214" s="1" t="s">
        <v>86</v>
      </c>
      <c r="Y214" s="1" t="s">
        <v>89</v>
      </c>
      <c r="Z214" s="1" t="s">
        <v>89</v>
      </c>
      <c r="AA214" s="1" t="s">
        <v>119</v>
      </c>
      <c r="AB214" s="1" t="s">
        <v>86</v>
      </c>
      <c r="AC214" s="1" t="s">
        <v>1280</v>
      </c>
      <c r="AD214" s="1">
        <v>69.9</v>
      </c>
      <c r="AE214" s="1">
        <v>61</v>
      </c>
      <c r="AF214" s="1" t="s">
        <v>91</v>
      </c>
      <c r="AG214" s="1">
        <v>2.4</v>
      </c>
      <c r="AH214" s="1">
        <v>37.4</v>
      </c>
      <c r="AI214" s="1" t="s">
        <v>86</v>
      </c>
      <c r="AJ214" s="1">
        <v>1.07</v>
      </c>
      <c r="AK214" s="1" t="s">
        <v>92</v>
      </c>
      <c r="AL214" s="1" t="s">
        <v>93</v>
      </c>
      <c r="AM214" s="1" t="s">
        <v>93</v>
      </c>
      <c r="AN214" s="1" t="s">
        <v>307</v>
      </c>
      <c r="AO214" s="1" t="s">
        <v>94</v>
      </c>
      <c r="AP214" s="1" t="s">
        <v>95</v>
      </c>
      <c r="AQ214" s="1">
        <v>15</v>
      </c>
      <c r="AR214" s="1">
        <v>52</v>
      </c>
      <c r="AS214" s="1">
        <v>37.6</v>
      </c>
      <c r="AT214" s="1" t="s">
        <v>96</v>
      </c>
      <c r="AU214" s="1" t="s">
        <v>86</v>
      </c>
      <c r="AV214" s="1" t="s">
        <v>86</v>
      </c>
      <c r="AW214" s="1" t="s">
        <v>86</v>
      </c>
      <c r="AX214" s="1" t="s">
        <v>86</v>
      </c>
      <c r="AY214" s="1" t="s">
        <v>86</v>
      </c>
      <c r="AZ214" s="1" t="s">
        <v>86</v>
      </c>
      <c r="BA214" s="1" t="s">
        <v>86</v>
      </c>
      <c r="BB214" s="1" t="s">
        <v>86</v>
      </c>
      <c r="BC214" s="1" t="s">
        <v>86</v>
      </c>
      <c r="BD214" s="1" t="s">
        <v>86</v>
      </c>
      <c r="BE214" s="1" t="s">
        <v>86</v>
      </c>
      <c r="BF214" s="1" t="s">
        <v>86</v>
      </c>
      <c r="BG214" s="1" t="s">
        <v>86</v>
      </c>
      <c r="BH214" s="1" t="s">
        <v>429</v>
      </c>
      <c r="BI214" s="1" t="s">
        <v>354</v>
      </c>
      <c r="BJ214" s="1" t="s">
        <v>87</v>
      </c>
      <c r="BK214" s="1">
        <v>0</v>
      </c>
      <c r="BL214" s="1">
        <v>0</v>
      </c>
      <c r="BM214" s="1" t="s">
        <v>86</v>
      </c>
      <c r="BN214" s="1" t="s">
        <v>1281</v>
      </c>
      <c r="BO214" s="1" t="s">
        <v>1282</v>
      </c>
      <c r="BP214" s="1" t="s">
        <v>86</v>
      </c>
      <c r="BQ214" s="1" t="s">
        <v>86</v>
      </c>
      <c r="BR214" s="1" t="s">
        <v>86</v>
      </c>
      <c r="BS214" s="1" t="s">
        <v>86</v>
      </c>
      <c r="BT214" s="1" t="s">
        <v>86</v>
      </c>
      <c r="BU214" s="1" t="s">
        <v>163</v>
      </c>
      <c r="BV214" s="1" t="s">
        <v>86</v>
      </c>
      <c r="BW214" s="1" t="s">
        <v>101</v>
      </c>
      <c r="BX214" s="1" t="s">
        <v>401</v>
      </c>
      <c r="BY214" s="1" t="s">
        <v>86</v>
      </c>
      <c r="BZ214" s="1" t="s">
        <v>1283</v>
      </c>
      <c r="CA214" s="1" t="s">
        <v>304</v>
      </c>
      <c r="CB214" s="1" t="s">
        <v>86</v>
      </c>
      <c r="CC214" s="1" t="s">
        <v>86</v>
      </c>
      <c r="CD214" s="1" t="s">
        <v>86</v>
      </c>
      <c r="CE214" s="1" t="s">
        <v>86</v>
      </c>
    </row>
    <row r="215">
      <c r="A215" s="1">
        <v>213</v>
      </c>
      <c r="B215" s="1" t="s">
        <v>395</v>
      </c>
      <c r="C215" s="2">
        <f>=HYPERLINK("https://i.stonehdfile.com/stoneimage?s=85c2997f-679f-4838-9c93-8835c80e220e","Image")</f>
      </c>
      <c r="D215" s="2">
        <f>=HYPERLINK("https://dna.stonehdfile.com/hd/viewhd.html?d=c36c0b16-94f0-4fdf-9488-988d197d6460","View360")</f>
      </c>
      <c r="E215" s="2">
        <f>=HYPERLINK("https://i.stonehdfile.com/Certificate?s=85c2997f-679f-4838-9c93-8835c80e220e","GIA")</f>
      </c>
      <c r="F215" s="2">
        <f>=HYPERLINK("https://i.stonehdfile.com/DNAReport?s=85c2997f-679f-4838-9c93-8835c80e220e","DNA")</f>
      </c>
      <c r="G215" s="2">
        <f>=HYPERLINK("https://www.gia.edu/report-check?reportno=******4451","Verify")</f>
      </c>
      <c r="H215" s="1" t="s">
        <v>1284</v>
      </c>
      <c r="I215" s="1" t="s">
        <v>46</v>
      </c>
      <c r="J215" s="1">
        <v>1.7</v>
      </c>
      <c r="K215" s="1">
        <v>6</v>
      </c>
      <c r="L215" s="1">
        <v>7400</v>
      </c>
      <c r="M215" s="1">
        <v>4551</v>
      </c>
      <c r="N215" s="1">
        <v>7736.7</v>
      </c>
      <c r="O215" s="1">
        <v>-38.5</v>
      </c>
      <c r="P215" s="1">
        <v>0</v>
      </c>
      <c r="Q215" s="1" t="s">
        <v>86</v>
      </c>
      <c r="R215" s="1">
        <v>0</v>
      </c>
      <c r="S215" s="1" t="s">
        <v>86</v>
      </c>
      <c r="T215" s="1" t="s">
        <v>86</v>
      </c>
      <c r="U215" s="1" t="s">
        <v>159</v>
      </c>
      <c r="V215" s="1" t="s">
        <v>86</v>
      </c>
      <c r="W215" s="1" t="s">
        <v>223</v>
      </c>
      <c r="X215" s="1" t="s">
        <v>86</v>
      </c>
      <c r="Y215" s="1" t="s">
        <v>89</v>
      </c>
      <c r="Z215" s="1" t="s">
        <v>138</v>
      </c>
      <c r="AA215" s="1" t="s">
        <v>119</v>
      </c>
      <c r="AB215" s="1" t="s">
        <v>86</v>
      </c>
      <c r="AC215" s="1" t="s">
        <v>1285</v>
      </c>
      <c r="AD215" s="1">
        <v>67</v>
      </c>
      <c r="AE215" s="1">
        <v>62</v>
      </c>
      <c r="AF215" s="1" t="s">
        <v>91</v>
      </c>
      <c r="AG215" s="1">
        <v>2.7</v>
      </c>
      <c r="AH215" s="1">
        <v>34</v>
      </c>
      <c r="AI215" s="1" t="s">
        <v>86</v>
      </c>
      <c r="AJ215" s="1">
        <v>1.18</v>
      </c>
      <c r="AK215" s="1" t="s">
        <v>111</v>
      </c>
      <c r="AL215" s="1" t="s">
        <v>93</v>
      </c>
      <c r="AM215" s="1" t="s">
        <v>128</v>
      </c>
      <c r="AN215" s="1" t="s">
        <v>171</v>
      </c>
      <c r="AO215" s="1" t="s">
        <v>94</v>
      </c>
      <c r="AP215" s="1" t="s">
        <v>95</v>
      </c>
      <c r="AQ215" s="1">
        <v>12.7</v>
      </c>
      <c r="AR215" s="1">
        <v>51.6</v>
      </c>
      <c r="AS215" s="1">
        <v>38</v>
      </c>
      <c r="AT215" s="1" t="s">
        <v>96</v>
      </c>
      <c r="AU215" s="1" t="s">
        <v>86</v>
      </c>
      <c r="AV215" s="1" t="s">
        <v>86</v>
      </c>
      <c r="AW215" s="1" t="s">
        <v>86</v>
      </c>
      <c r="AX215" s="1" t="s">
        <v>86</v>
      </c>
      <c r="AY215" s="1" t="s">
        <v>86</v>
      </c>
      <c r="AZ215" s="1" t="s">
        <v>86</v>
      </c>
      <c r="BA215" s="1" t="s">
        <v>86</v>
      </c>
      <c r="BB215" s="1" t="s">
        <v>86</v>
      </c>
      <c r="BC215" s="1" t="s">
        <v>112</v>
      </c>
      <c r="BD215" s="1" t="s">
        <v>86</v>
      </c>
      <c r="BE215" s="1" t="s">
        <v>86</v>
      </c>
      <c r="BF215" s="1" t="s">
        <v>86</v>
      </c>
      <c r="BG215" s="1" t="s">
        <v>86</v>
      </c>
      <c r="BH215" s="1" t="s">
        <v>182</v>
      </c>
      <c r="BI215" s="1" t="s">
        <v>430</v>
      </c>
      <c r="BJ215" s="1" t="s">
        <v>87</v>
      </c>
      <c r="BK215" s="1">
        <v>0</v>
      </c>
      <c r="BL215" s="1">
        <v>0</v>
      </c>
      <c r="BM215" s="1" t="s">
        <v>398</v>
      </c>
      <c r="BN215" s="1" t="s">
        <v>1286</v>
      </c>
      <c r="BO215" s="1" t="s">
        <v>732</v>
      </c>
      <c r="BP215" s="1" t="s">
        <v>86</v>
      </c>
      <c r="BQ215" s="1" t="s">
        <v>86</v>
      </c>
      <c r="BR215" s="1" t="s">
        <v>86</v>
      </c>
      <c r="BS215" s="1" t="s">
        <v>86</v>
      </c>
      <c r="BT215" s="1" t="s">
        <v>86</v>
      </c>
      <c r="BU215" s="1" t="s">
        <v>163</v>
      </c>
      <c r="BV215" s="1" t="s">
        <v>86</v>
      </c>
      <c r="BW215" s="1" t="s">
        <v>101</v>
      </c>
      <c r="BX215" s="1" t="s">
        <v>414</v>
      </c>
      <c r="BY215" s="1" t="s">
        <v>86</v>
      </c>
      <c r="BZ215" s="1" t="s">
        <v>1287</v>
      </c>
      <c r="CA215" s="1" t="s">
        <v>1288</v>
      </c>
      <c r="CB215" s="1" t="s">
        <v>166</v>
      </c>
      <c r="CC215" s="1" t="s">
        <v>86</v>
      </c>
      <c r="CD215" s="1" t="s">
        <v>86</v>
      </c>
      <c r="CE215" s="1" t="s">
        <v>86</v>
      </c>
    </row>
    <row r="216">
      <c r="A216" s="1">
        <v>214</v>
      </c>
      <c r="B216" s="1" t="s">
        <v>395</v>
      </c>
      <c r="C216" s="2">
        <f>=HYPERLINK("https://i.stonehdfile.com/stoneimage?s=4b997a4b-2617-4885-baef-55ce23f5c129","Image")</f>
      </c>
      <c r="D216" s="2">
        <f>=HYPERLINK("https://dna.stonehdfile.com/hd/viewhd.html?d=c78a0aa7-af59-40dc-bcb2-7f2cd8d6826f","View360")</f>
      </c>
      <c r="E216" s="2">
        <f>=HYPERLINK("https://i.stonehdfile.com/Certificate?s=4b997a4b-2617-4885-baef-55ce23f5c129","GIA")</f>
      </c>
      <c r="F216" s="2">
        <f>=HYPERLINK("https://i.stonehdfile.com/DNAReport?s=4b997a4b-2617-4885-baef-55ce23f5c129","DNA")</f>
      </c>
      <c r="G216" s="2">
        <f>=HYPERLINK("https://www.gia.edu/report-check?reportno=******7487","Verify")</f>
      </c>
      <c r="H216" s="1" t="s">
        <v>1289</v>
      </c>
      <c r="I216" s="1" t="s">
        <v>46</v>
      </c>
      <c r="J216" s="1">
        <v>1.7</v>
      </c>
      <c r="K216" s="1">
        <v>3</v>
      </c>
      <c r="L216" s="1">
        <v>7400</v>
      </c>
      <c r="M216" s="1">
        <v>4302</v>
      </c>
      <c r="N216" s="1">
        <v>7313.4</v>
      </c>
      <c r="O216" s="1">
        <v>-41.86</v>
      </c>
      <c r="P216" s="1">
        <v>0</v>
      </c>
      <c r="Q216" s="1" t="s">
        <v>86</v>
      </c>
      <c r="R216" s="1">
        <v>0</v>
      </c>
      <c r="S216" s="1" t="s">
        <v>86</v>
      </c>
      <c r="T216" s="1" t="s">
        <v>86</v>
      </c>
      <c r="U216" s="1" t="s">
        <v>118</v>
      </c>
      <c r="V216" s="1" t="s">
        <v>86</v>
      </c>
      <c r="W216" s="1" t="s">
        <v>223</v>
      </c>
      <c r="X216" s="1" t="s">
        <v>86</v>
      </c>
      <c r="Y216" s="1" t="s">
        <v>89</v>
      </c>
      <c r="Z216" s="1" t="s">
        <v>89</v>
      </c>
      <c r="AA216" s="1" t="s">
        <v>119</v>
      </c>
      <c r="AB216" s="1" t="s">
        <v>86</v>
      </c>
      <c r="AC216" s="1" t="s">
        <v>1290</v>
      </c>
      <c r="AD216" s="1">
        <v>68.2</v>
      </c>
      <c r="AE216" s="1">
        <v>64</v>
      </c>
      <c r="AF216" s="1" t="s">
        <v>91</v>
      </c>
      <c r="AG216" s="1">
        <v>3.5</v>
      </c>
      <c r="AH216" s="1">
        <v>35.2</v>
      </c>
      <c r="AI216" s="1" t="s">
        <v>86</v>
      </c>
      <c r="AJ216" s="1">
        <v>1.04</v>
      </c>
      <c r="AK216" s="1" t="s">
        <v>190</v>
      </c>
      <c r="AL216" s="1" t="s">
        <v>93</v>
      </c>
      <c r="AM216" s="1" t="s">
        <v>93</v>
      </c>
      <c r="AN216" s="1" t="s">
        <v>307</v>
      </c>
      <c r="AO216" s="1" t="s">
        <v>94</v>
      </c>
      <c r="AP216" s="1" t="s">
        <v>95</v>
      </c>
      <c r="AQ216" s="1">
        <v>12.9</v>
      </c>
      <c r="AR216" s="1">
        <v>51.5</v>
      </c>
      <c r="AS216" s="1">
        <v>39</v>
      </c>
      <c r="AT216" s="1" t="s">
        <v>96</v>
      </c>
      <c r="AU216" s="1" t="s">
        <v>86</v>
      </c>
      <c r="AV216" s="1" t="s">
        <v>86</v>
      </c>
      <c r="AW216" s="1" t="s">
        <v>86</v>
      </c>
      <c r="AX216" s="1" t="s">
        <v>86</v>
      </c>
      <c r="AY216" s="1" t="s">
        <v>86</v>
      </c>
      <c r="AZ216" s="1" t="s">
        <v>86</v>
      </c>
      <c r="BA216" s="1" t="s">
        <v>86</v>
      </c>
      <c r="BB216" s="1" t="s">
        <v>86</v>
      </c>
      <c r="BC216" s="1" t="s">
        <v>86</v>
      </c>
      <c r="BD216" s="1" t="s">
        <v>86</v>
      </c>
      <c r="BE216" s="1" t="s">
        <v>86</v>
      </c>
      <c r="BF216" s="1" t="s">
        <v>86</v>
      </c>
      <c r="BG216" s="1" t="s">
        <v>86</v>
      </c>
      <c r="BH216" s="1" t="s">
        <v>215</v>
      </c>
      <c r="BI216" s="1" t="s">
        <v>183</v>
      </c>
      <c r="BJ216" s="1" t="s">
        <v>87</v>
      </c>
      <c r="BK216" s="1">
        <v>0</v>
      </c>
      <c r="BL216" s="1">
        <v>0</v>
      </c>
      <c r="BM216" s="1" t="s">
        <v>398</v>
      </c>
      <c r="BN216" s="1" t="s">
        <v>1291</v>
      </c>
      <c r="BO216" s="1" t="s">
        <v>1292</v>
      </c>
      <c r="BP216" s="1" t="s">
        <v>86</v>
      </c>
      <c r="BQ216" s="1" t="s">
        <v>86</v>
      </c>
      <c r="BR216" s="1" t="s">
        <v>86</v>
      </c>
      <c r="BS216" s="1" t="s">
        <v>86</v>
      </c>
      <c r="BT216" s="1" t="s">
        <v>86</v>
      </c>
      <c r="BU216" s="1" t="s">
        <v>163</v>
      </c>
      <c r="BV216" s="1" t="s">
        <v>86</v>
      </c>
      <c r="BW216" s="1" t="s">
        <v>101</v>
      </c>
      <c r="BX216" s="1" t="s">
        <v>401</v>
      </c>
      <c r="BY216" s="1" t="s">
        <v>86</v>
      </c>
      <c r="BZ216" s="1" t="s">
        <v>1293</v>
      </c>
      <c r="CA216" s="1" t="s">
        <v>178</v>
      </c>
      <c r="CB216" s="1" t="s">
        <v>166</v>
      </c>
      <c r="CC216" s="1" t="s">
        <v>86</v>
      </c>
      <c r="CD216" s="1" t="s">
        <v>86</v>
      </c>
      <c r="CE216" s="1" t="s">
        <v>86</v>
      </c>
    </row>
    <row r="217">
      <c r="A217" s="1">
        <v>215</v>
      </c>
      <c r="B217" s="1" t="s">
        <v>395</v>
      </c>
      <c r="C217" s="2">
        <f>=HYPERLINK("https://i.stonehdfile.com/stoneimage?s=45ca226c-98a1-4d0c-86a4-ce2e48dd5ca6","Image")</f>
      </c>
      <c r="D217" s="2">
        <f>=HYPERLINK("https://dna.stonehdfile.com/hd/viewhd.html?d=6f3f79f8-460e-4693-ae0e-d5d18315747f","View360")</f>
      </c>
      <c r="E217" s="2">
        <f>=HYPERLINK("https://i.stonehdfile.com/Certificate?s=45ca226c-98a1-4d0c-86a4-ce2e48dd5ca6","GIA")</f>
      </c>
      <c r="F217" s="2">
        <f>=HYPERLINK("https://i.stonehdfile.com/DNAReport?s=45ca226c-98a1-4d0c-86a4-ce2e48dd5ca6","DNA")</f>
      </c>
      <c r="G217" s="2">
        <f>=HYPERLINK("https://www.gia.edu/report-check?reportno=******2492","Verify")</f>
      </c>
      <c r="H217" s="1" t="s">
        <v>1294</v>
      </c>
      <c r="I217" s="1" t="s">
        <v>46</v>
      </c>
      <c r="J217" s="1">
        <v>1.71</v>
      </c>
      <c r="K217" s="1">
        <v>2</v>
      </c>
      <c r="L217" s="1">
        <v>7400</v>
      </c>
      <c r="M217" s="1">
        <v>4104</v>
      </c>
      <c r="N217" s="1">
        <v>7017.84</v>
      </c>
      <c r="O217" s="1">
        <v>-44.54</v>
      </c>
      <c r="P217" s="1">
        <v>0</v>
      </c>
      <c r="Q217" s="1" t="s">
        <v>86</v>
      </c>
      <c r="R217" s="1">
        <v>0</v>
      </c>
      <c r="S217" s="1" t="s">
        <v>86</v>
      </c>
      <c r="T217" s="1" t="s">
        <v>86</v>
      </c>
      <c r="U217" s="1" t="s">
        <v>118</v>
      </c>
      <c r="V217" s="1" t="s">
        <v>86</v>
      </c>
      <c r="W217" s="1" t="s">
        <v>223</v>
      </c>
      <c r="X217" s="1" t="s">
        <v>86</v>
      </c>
      <c r="Y217" s="1" t="s">
        <v>138</v>
      </c>
      <c r="Z217" s="1" t="s">
        <v>89</v>
      </c>
      <c r="AA217" s="1" t="s">
        <v>119</v>
      </c>
      <c r="AB217" s="1" t="s">
        <v>86</v>
      </c>
      <c r="AC217" s="1" t="s">
        <v>1295</v>
      </c>
      <c r="AD217" s="1">
        <v>68.2</v>
      </c>
      <c r="AE217" s="1">
        <v>65</v>
      </c>
      <c r="AF217" s="1" t="s">
        <v>91</v>
      </c>
      <c r="AG217" s="1">
        <v>1.6</v>
      </c>
      <c r="AH217" s="1">
        <v>34.8</v>
      </c>
      <c r="AI217" s="1" t="s">
        <v>86</v>
      </c>
      <c r="AJ217" s="1">
        <v>1.11</v>
      </c>
      <c r="AK217" s="1" t="s">
        <v>111</v>
      </c>
      <c r="AL217" s="1" t="s">
        <v>93</v>
      </c>
      <c r="AM217" s="1" t="s">
        <v>128</v>
      </c>
      <c r="AN217" s="1" t="s">
        <v>171</v>
      </c>
      <c r="AO217" s="1" t="s">
        <v>94</v>
      </c>
      <c r="AP217" s="1" t="s">
        <v>95</v>
      </c>
      <c r="AQ217" s="1">
        <v>12.2</v>
      </c>
      <c r="AR217" s="1">
        <v>54.4</v>
      </c>
      <c r="AS217" s="1">
        <v>40.4</v>
      </c>
      <c r="AT217" s="1" t="s">
        <v>96</v>
      </c>
      <c r="AU217" s="1" t="s">
        <v>86</v>
      </c>
      <c r="AV217" s="1" t="s">
        <v>86</v>
      </c>
      <c r="AW217" s="1" t="s">
        <v>86</v>
      </c>
      <c r="AX217" s="1" t="s">
        <v>86</v>
      </c>
      <c r="AY217" s="1" t="s">
        <v>86</v>
      </c>
      <c r="AZ217" s="1" t="s">
        <v>86</v>
      </c>
      <c r="BA217" s="1" t="s">
        <v>86</v>
      </c>
      <c r="BB217" s="1" t="s">
        <v>86</v>
      </c>
      <c r="BC217" s="1" t="s">
        <v>86</v>
      </c>
      <c r="BD217" s="1" t="s">
        <v>86</v>
      </c>
      <c r="BE217" s="1" t="s">
        <v>86</v>
      </c>
      <c r="BF217" s="1" t="s">
        <v>86</v>
      </c>
      <c r="BG217" s="1" t="s">
        <v>86</v>
      </c>
      <c r="BH217" s="1" t="s">
        <v>429</v>
      </c>
      <c r="BI217" s="1" t="s">
        <v>346</v>
      </c>
      <c r="BJ217" s="1" t="s">
        <v>87</v>
      </c>
      <c r="BK217" s="1">
        <v>0</v>
      </c>
      <c r="BL217" s="1">
        <v>0</v>
      </c>
      <c r="BM217" s="1" t="s">
        <v>398</v>
      </c>
      <c r="BN217" s="1" t="s">
        <v>1296</v>
      </c>
      <c r="BO217" s="1" t="s">
        <v>413</v>
      </c>
      <c r="BP217" s="1" t="s">
        <v>86</v>
      </c>
      <c r="BQ217" s="1" t="s">
        <v>86</v>
      </c>
      <c r="BR217" s="1" t="s">
        <v>86</v>
      </c>
      <c r="BS217" s="1" t="s">
        <v>86</v>
      </c>
      <c r="BT217" s="1" t="s">
        <v>86</v>
      </c>
      <c r="BU217" s="1" t="s">
        <v>163</v>
      </c>
      <c r="BV217" s="1" t="s">
        <v>86</v>
      </c>
      <c r="BW217" s="1" t="s">
        <v>101</v>
      </c>
      <c r="BX217" s="1" t="s">
        <v>478</v>
      </c>
      <c r="BY217" s="1" t="s">
        <v>86</v>
      </c>
      <c r="BZ217" s="1" t="s">
        <v>1297</v>
      </c>
      <c r="CA217" s="1" t="s">
        <v>220</v>
      </c>
      <c r="CB217" s="1" t="s">
        <v>221</v>
      </c>
      <c r="CC217" s="1" t="s">
        <v>86</v>
      </c>
      <c r="CD217" s="1" t="s">
        <v>86</v>
      </c>
      <c r="CE217" s="1" t="s">
        <v>86</v>
      </c>
    </row>
    <row r="218">
      <c r="A218" s="1">
        <v>216</v>
      </c>
      <c r="B218" s="1" t="s">
        <v>395</v>
      </c>
      <c r="C218" s="2">
        <f>=HYPERLINK("https://i.stonehdfile.com/stoneimage?s=37d61192-6e6f-4714-a429-5997052bb356","Image")</f>
      </c>
      <c r="D218" s="2">
        <f>=HYPERLINK("https://dna.stonehdfile.com/hd/viewhd.html?d=a4a7af88-50a7-4cf4-a807-9efd965c11c3","View360")</f>
      </c>
      <c r="E218" s="2">
        <f>=HYPERLINK("https://i.stonehdfile.com/Certificate?s=37d61192-6e6f-4714-a429-5997052bb356","GIA")</f>
      </c>
      <c r="F218" s="2">
        <f>=HYPERLINK("https://i.stonehdfile.com/DNAReport?s=37d61192-6e6f-4714-a429-5997052bb356","DNA")</f>
      </c>
      <c r="G218" s="2">
        <f>=HYPERLINK("https://www.gia.edu/report-check?reportno=******3090","Verify")</f>
      </c>
      <c r="H218" s="1" t="s">
        <v>1298</v>
      </c>
      <c r="I218" s="1" t="s">
        <v>46</v>
      </c>
      <c r="J218" s="1">
        <v>1.7</v>
      </c>
      <c r="K218" s="1">
        <v>6</v>
      </c>
      <c r="L218" s="1">
        <v>7000</v>
      </c>
      <c r="M218" s="1">
        <v>3596</v>
      </c>
      <c r="N218" s="1">
        <v>6113.2</v>
      </c>
      <c r="O218" s="1">
        <v>-48.63</v>
      </c>
      <c r="P218" s="1">
        <v>0</v>
      </c>
      <c r="Q218" s="1" t="s">
        <v>86</v>
      </c>
      <c r="R218" s="1">
        <v>0</v>
      </c>
      <c r="S218" s="1" t="s">
        <v>86</v>
      </c>
      <c r="T218" s="1" t="s">
        <v>86</v>
      </c>
      <c r="U218" s="1" t="s">
        <v>159</v>
      </c>
      <c r="V218" s="1" t="s">
        <v>86</v>
      </c>
      <c r="W218" s="1" t="s">
        <v>169</v>
      </c>
      <c r="X218" s="1" t="s">
        <v>86</v>
      </c>
      <c r="Y218" s="1" t="s">
        <v>89</v>
      </c>
      <c r="Z218" s="1" t="s">
        <v>89</v>
      </c>
      <c r="AA218" s="1" t="s">
        <v>119</v>
      </c>
      <c r="AB218" s="1" t="s">
        <v>86</v>
      </c>
      <c r="AC218" s="1" t="s">
        <v>1299</v>
      </c>
      <c r="AD218" s="1">
        <v>68.4</v>
      </c>
      <c r="AE218" s="1">
        <v>63</v>
      </c>
      <c r="AF218" s="1" t="s">
        <v>91</v>
      </c>
      <c r="AG218" s="1">
        <v>3.4</v>
      </c>
      <c r="AH218" s="1">
        <v>35.1</v>
      </c>
      <c r="AI218" s="1" t="s">
        <v>86</v>
      </c>
      <c r="AJ218" s="1">
        <v>1.1</v>
      </c>
      <c r="AK218" s="1" t="s">
        <v>111</v>
      </c>
      <c r="AL218" s="1" t="s">
        <v>93</v>
      </c>
      <c r="AM218" s="1" t="s">
        <v>128</v>
      </c>
      <c r="AN218" s="1" t="s">
        <v>171</v>
      </c>
      <c r="AO218" s="1" t="s">
        <v>94</v>
      </c>
      <c r="AP218" s="1" t="s">
        <v>95</v>
      </c>
      <c r="AQ218" s="1">
        <v>13.1</v>
      </c>
      <c r="AR218" s="1">
        <v>51.5</v>
      </c>
      <c r="AS218" s="1">
        <v>38.8</v>
      </c>
      <c r="AT218" s="1" t="s">
        <v>96</v>
      </c>
      <c r="AU218" s="1" t="s">
        <v>86</v>
      </c>
      <c r="AV218" s="1" t="s">
        <v>86</v>
      </c>
      <c r="AW218" s="1" t="s">
        <v>86</v>
      </c>
      <c r="AX218" s="1" t="s">
        <v>86</v>
      </c>
      <c r="AY218" s="1" t="s">
        <v>86</v>
      </c>
      <c r="AZ218" s="1" t="s">
        <v>86</v>
      </c>
      <c r="BA218" s="1" t="s">
        <v>86</v>
      </c>
      <c r="BB218" s="1" t="s">
        <v>86</v>
      </c>
      <c r="BC218" s="1" t="s">
        <v>86</v>
      </c>
      <c r="BD218" s="1" t="s">
        <v>86</v>
      </c>
      <c r="BE218" s="1" t="s">
        <v>86</v>
      </c>
      <c r="BF218" s="1" t="s">
        <v>86</v>
      </c>
      <c r="BG218" s="1" t="s">
        <v>86</v>
      </c>
      <c r="BH218" s="1" t="s">
        <v>215</v>
      </c>
      <c r="BI218" s="1" t="s">
        <v>191</v>
      </c>
      <c r="BJ218" s="1" t="s">
        <v>87</v>
      </c>
      <c r="BK218" s="1">
        <v>0</v>
      </c>
      <c r="BL218" s="1">
        <v>0</v>
      </c>
      <c r="BM218" s="1" t="s">
        <v>398</v>
      </c>
      <c r="BN218" s="1" t="s">
        <v>1300</v>
      </c>
      <c r="BO218" s="1" t="s">
        <v>1301</v>
      </c>
      <c r="BP218" s="1" t="s">
        <v>86</v>
      </c>
      <c r="BQ218" s="1" t="s">
        <v>86</v>
      </c>
      <c r="BR218" s="1" t="s">
        <v>86</v>
      </c>
      <c r="BS218" s="1" t="s">
        <v>86</v>
      </c>
      <c r="BT218" s="1" t="s">
        <v>86</v>
      </c>
      <c r="BU218" s="1" t="s">
        <v>163</v>
      </c>
      <c r="BV218" s="1" t="s">
        <v>86</v>
      </c>
      <c r="BW218" s="1" t="s">
        <v>101</v>
      </c>
      <c r="BX218" s="1" t="s">
        <v>401</v>
      </c>
      <c r="BY218" s="1" t="s">
        <v>86</v>
      </c>
      <c r="BZ218" s="1" t="s">
        <v>1302</v>
      </c>
      <c r="CA218" s="1" t="s">
        <v>879</v>
      </c>
      <c r="CB218" s="1" t="s">
        <v>166</v>
      </c>
      <c r="CC218" s="1" t="s">
        <v>86</v>
      </c>
      <c r="CD218" s="1" t="s">
        <v>86</v>
      </c>
      <c r="CE218" s="1" t="s">
        <v>86</v>
      </c>
    </row>
    <row r="219">
      <c r="A219" s="1">
        <v>217</v>
      </c>
      <c r="B219" s="1" t="s">
        <v>395</v>
      </c>
      <c r="C219" s="2">
        <f>=HYPERLINK("https://i.stonehdfile.com/stoneimage?s=edb67441-b980-4c0c-920c-9bcebc483209","Image")</f>
      </c>
      <c r="D219" s="2">
        <f>=HYPERLINK("https://dna.stonehdfile.com/hd/viewhd.html?d=ea7fe7ae-670d-40ab-8db4-ad41e6685644","View360")</f>
      </c>
      <c r="E219" s="2">
        <f>=HYPERLINK("https://i.stonehdfile.com/Certificate?s=edb67441-b980-4c0c-920c-9bcebc483209","GIA")</f>
      </c>
      <c r="F219" s="2">
        <f>=HYPERLINK("https://i.stonehdfile.com/DNAReport?s=edb67441-b980-4c0c-920c-9bcebc483209","DNA")</f>
      </c>
      <c r="G219" s="2">
        <f>=HYPERLINK("https://www.gia.edu/report-check?reportno=******4842","Verify")</f>
      </c>
      <c r="H219" s="1" t="s">
        <v>1303</v>
      </c>
      <c r="I219" s="1" t="s">
        <v>46</v>
      </c>
      <c r="J219" s="1">
        <v>1.8</v>
      </c>
      <c r="K219" s="1">
        <v>8</v>
      </c>
      <c r="L219" s="1">
        <v>7000</v>
      </c>
      <c r="M219" s="1">
        <v>4036</v>
      </c>
      <c r="N219" s="1">
        <v>7264.8</v>
      </c>
      <c r="O219" s="1">
        <v>-42.34</v>
      </c>
      <c r="P219" s="1">
        <v>0</v>
      </c>
      <c r="Q219" s="1" t="s">
        <v>86</v>
      </c>
      <c r="R219" s="1">
        <v>0</v>
      </c>
      <c r="S219" s="1" t="s">
        <v>86</v>
      </c>
      <c r="T219" s="1" t="s">
        <v>86</v>
      </c>
      <c r="U219" s="1" t="s">
        <v>159</v>
      </c>
      <c r="V219" s="1" t="s">
        <v>86</v>
      </c>
      <c r="W219" s="1" t="s">
        <v>169</v>
      </c>
      <c r="X219" s="1" t="s">
        <v>86</v>
      </c>
      <c r="Y219" s="1" t="s">
        <v>89</v>
      </c>
      <c r="Z219" s="1" t="s">
        <v>89</v>
      </c>
      <c r="AA219" s="1" t="s">
        <v>119</v>
      </c>
      <c r="AB219" s="1" t="s">
        <v>86</v>
      </c>
      <c r="AC219" s="1" t="s">
        <v>1304</v>
      </c>
      <c r="AD219" s="1">
        <v>69.2</v>
      </c>
      <c r="AE219" s="1">
        <v>61</v>
      </c>
      <c r="AF219" s="1" t="s">
        <v>91</v>
      </c>
      <c r="AG219" s="1">
        <v>3.4</v>
      </c>
      <c r="AH219" s="1">
        <v>36.3</v>
      </c>
      <c r="AI219" s="1" t="s">
        <v>86</v>
      </c>
      <c r="AJ219" s="1">
        <v>1.06</v>
      </c>
      <c r="AK219" s="1" t="s">
        <v>190</v>
      </c>
      <c r="AL219" s="1" t="s">
        <v>93</v>
      </c>
      <c r="AM219" s="1" t="s">
        <v>140</v>
      </c>
      <c r="AN219" s="1" t="s">
        <v>307</v>
      </c>
      <c r="AO219" s="1" t="s">
        <v>94</v>
      </c>
      <c r="AP219" s="1" t="s">
        <v>95</v>
      </c>
      <c r="AQ219" s="1">
        <v>14.5</v>
      </c>
      <c r="AR219" s="1">
        <v>51</v>
      </c>
      <c r="AS219" s="1">
        <v>38.2</v>
      </c>
      <c r="AT219" s="1" t="s">
        <v>96</v>
      </c>
      <c r="AU219" s="1" t="s">
        <v>86</v>
      </c>
      <c r="AV219" s="1" t="s">
        <v>86</v>
      </c>
      <c r="AW219" s="1" t="s">
        <v>86</v>
      </c>
      <c r="AX219" s="1" t="s">
        <v>86</v>
      </c>
      <c r="AY219" s="1" t="s">
        <v>86</v>
      </c>
      <c r="AZ219" s="1" t="s">
        <v>86</v>
      </c>
      <c r="BA219" s="1" t="s">
        <v>86</v>
      </c>
      <c r="BB219" s="1" t="s">
        <v>86</v>
      </c>
      <c r="BC219" s="1" t="s">
        <v>86</v>
      </c>
      <c r="BD219" s="1" t="s">
        <v>86</v>
      </c>
      <c r="BE219" s="1" t="s">
        <v>86</v>
      </c>
      <c r="BF219" s="1" t="s">
        <v>86</v>
      </c>
      <c r="BG219" s="1" t="s">
        <v>86</v>
      </c>
      <c r="BH219" s="1" t="s">
        <v>97</v>
      </c>
      <c r="BI219" s="1" t="s">
        <v>191</v>
      </c>
      <c r="BJ219" s="1" t="s">
        <v>87</v>
      </c>
      <c r="BK219" s="1">
        <v>0</v>
      </c>
      <c r="BL219" s="1">
        <v>0</v>
      </c>
      <c r="BM219" s="1" t="s">
        <v>398</v>
      </c>
      <c r="BN219" s="1" t="s">
        <v>1029</v>
      </c>
      <c r="BO219" s="1" t="s">
        <v>1115</v>
      </c>
      <c r="BP219" s="1" t="s">
        <v>86</v>
      </c>
      <c r="BQ219" s="1" t="s">
        <v>86</v>
      </c>
      <c r="BR219" s="1" t="s">
        <v>86</v>
      </c>
      <c r="BS219" s="1" t="s">
        <v>86</v>
      </c>
      <c r="BT219" s="1" t="s">
        <v>86</v>
      </c>
      <c r="BU219" s="1" t="s">
        <v>163</v>
      </c>
      <c r="BV219" s="1" t="s">
        <v>86</v>
      </c>
      <c r="BW219" s="1" t="s">
        <v>101</v>
      </c>
      <c r="BX219" s="1" t="s">
        <v>414</v>
      </c>
      <c r="BY219" s="1" t="s">
        <v>86</v>
      </c>
      <c r="BZ219" s="1" t="s">
        <v>1305</v>
      </c>
      <c r="CA219" s="1" t="s">
        <v>1054</v>
      </c>
      <c r="CB219" s="1" t="s">
        <v>166</v>
      </c>
      <c r="CC219" s="1" t="s">
        <v>86</v>
      </c>
      <c r="CD219" s="1" t="s">
        <v>86</v>
      </c>
      <c r="CE219" s="1" t="s">
        <v>86</v>
      </c>
    </row>
    <row r="220">
      <c r="A220" s="1">
        <v>218</v>
      </c>
      <c r="B220" s="1" t="s">
        <v>395</v>
      </c>
      <c r="C220" s="2">
        <f>=HYPERLINK("https://i.stonehdfile.com/stoneimage?s=2b20a476-9a04-48e3-9894-ca0d4ec2f334","Image")</f>
      </c>
      <c r="D220" s="2">
        <f>=HYPERLINK("https://dna.stonehdfile.com/hd/viewhd.html?d=6052c60d-f00c-412e-bda2-73e1c6b63588","View360")</f>
      </c>
      <c r="E220" s="2">
        <f>=HYPERLINK("https://i.stonehdfile.com/Certificate?s=2b20a476-9a04-48e3-9894-ca0d4ec2f334","GIA")</f>
      </c>
      <c r="F220" s="2">
        <f>=HYPERLINK("https://i.stonehdfile.com/DNAReport?s=2b20a476-9a04-48e3-9894-ca0d4ec2f334","DNA")</f>
      </c>
      <c r="G220" s="2">
        <f>=HYPERLINK("https://www.gia.edu/report-check?reportno=******0962","Verify")</f>
      </c>
      <c r="H220" s="1" t="s">
        <v>1306</v>
      </c>
      <c r="I220" s="1" t="s">
        <v>46</v>
      </c>
      <c r="J220" s="1">
        <v>1.7</v>
      </c>
      <c r="K220" s="1">
        <v>1</v>
      </c>
      <c r="L220" s="1">
        <v>7000</v>
      </c>
      <c r="M220" s="1">
        <v>3308</v>
      </c>
      <c r="N220" s="1">
        <v>5623.6</v>
      </c>
      <c r="O220" s="1">
        <v>-52.74</v>
      </c>
      <c r="P220" s="1">
        <v>0</v>
      </c>
      <c r="Q220" s="1" t="s">
        <v>86</v>
      </c>
      <c r="R220" s="1">
        <v>0</v>
      </c>
      <c r="S220" s="1" t="s">
        <v>86</v>
      </c>
      <c r="T220" s="1" t="s">
        <v>86</v>
      </c>
      <c r="U220" s="1" t="s">
        <v>159</v>
      </c>
      <c r="V220" s="1" t="s">
        <v>86</v>
      </c>
      <c r="W220" s="1" t="s">
        <v>137</v>
      </c>
      <c r="X220" s="1" t="s">
        <v>86</v>
      </c>
      <c r="Y220" s="1" t="s">
        <v>89</v>
      </c>
      <c r="Z220" s="1" t="s">
        <v>89</v>
      </c>
      <c r="AA220" s="1" t="s">
        <v>119</v>
      </c>
      <c r="AB220" s="1" t="s">
        <v>86</v>
      </c>
      <c r="AC220" s="1" t="s">
        <v>1307</v>
      </c>
      <c r="AD220" s="1">
        <v>69.1</v>
      </c>
      <c r="AE220" s="1">
        <v>60</v>
      </c>
      <c r="AF220" s="1" t="s">
        <v>91</v>
      </c>
      <c r="AG220" s="1">
        <v>4.4</v>
      </c>
      <c r="AH220" s="1">
        <v>36.5</v>
      </c>
      <c r="AI220" s="1" t="s">
        <v>86</v>
      </c>
      <c r="AJ220" s="1">
        <v>1</v>
      </c>
      <c r="AK220" s="1" t="s">
        <v>198</v>
      </c>
      <c r="AL220" s="1" t="s">
        <v>93</v>
      </c>
      <c r="AM220" s="1" t="s">
        <v>128</v>
      </c>
      <c r="AN220" s="1" t="s">
        <v>168</v>
      </c>
      <c r="AO220" s="1" t="s">
        <v>94</v>
      </c>
      <c r="AP220" s="1" t="s">
        <v>95</v>
      </c>
      <c r="AQ220" s="1">
        <v>14.8</v>
      </c>
      <c r="AR220" s="1">
        <v>49.7</v>
      </c>
      <c r="AS220" s="1">
        <v>38.6</v>
      </c>
      <c r="AT220" s="1" t="s">
        <v>96</v>
      </c>
      <c r="AU220" s="1" t="s">
        <v>86</v>
      </c>
      <c r="AV220" s="1" t="s">
        <v>86</v>
      </c>
      <c r="AW220" s="1" t="s">
        <v>86</v>
      </c>
      <c r="AX220" s="1" t="s">
        <v>86</v>
      </c>
      <c r="AY220" s="1" t="s">
        <v>86</v>
      </c>
      <c r="AZ220" s="1" t="s">
        <v>86</v>
      </c>
      <c r="BA220" s="1" t="s">
        <v>86</v>
      </c>
      <c r="BB220" s="1" t="s">
        <v>86</v>
      </c>
      <c r="BC220" s="1" t="s">
        <v>86</v>
      </c>
      <c r="BD220" s="1" t="s">
        <v>86</v>
      </c>
      <c r="BE220" s="1" t="s">
        <v>86</v>
      </c>
      <c r="BF220" s="1" t="s">
        <v>86</v>
      </c>
      <c r="BG220" s="1" t="s">
        <v>86</v>
      </c>
      <c r="BH220" s="1" t="s">
        <v>129</v>
      </c>
      <c r="BI220" s="1" t="s">
        <v>833</v>
      </c>
      <c r="BJ220" s="1" t="s">
        <v>87</v>
      </c>
      <c r="BK220" s="1">
        <v>0</v>
      </c>
      <c r="BL220" s="1">
        <v>0</v>
      </c>
      <c r="BM220" s="1" t="s">
        <v>398</v>
      </c>
      <c r="BN220" s="1" t="s">
        <v>1308</v>
      </c>
      <c r="BO220" s="1" t="s">
        <v>572</v>
      </c>
      <c r="BP220" s="1" t="s">
        <v>86</v>
      </c>
      <c r="BQ220" s="1" t="s">
        <v>86</v>
      </c>
      <c r="BR220" s="1" t="s">
        <v>86</v>
      </c>
      <c r="BS220" s="1" t="s">
        <v>86</v>
      </c>
      <c r="BT220" s="1" t="s">
        <v>86</v>
      </c>
      <c r="BU220" s="1" t="s">
        <v>163</v>
      </c>
      <c r="BV220" s="1" t="s">
        <v>86</v>
      </c>
      <c r="BW220" s="1" t="s">
        <v>101</v>
      </c>
      <c r="BX220" s="1" t="s">
        <v>565</v>
      </c>
      <c r="BY220" s="1" t="s">
        <v>86</v>
      </c>
      <c r="BZ220" s="1" t="s">
        <v>1309</v>
      </c>
      <c r="CA220" s="1" t="s">
        <v>278</v>
      </c>
      <c r="CB220" s="1" t="s">
        <v>269</v>
      </c>
      <c r="CC220" s="1" t="s">
        <v>86</v>
      </c>
      <c r="CD220" s="1" t="s">
        <v>86</v>
      </c>
      <c r="CE220" s="1" t="s">
        <v>86</v>
      </c>
    </row>
    <row r="221">
      <c r="A221" s="1">
        <v>219</v>
      </c>
      <c r="B221" s="1" t="s">
        <v>395</v>
      </c>
      <c r="C221" s="2">
        <f>=HYPERLINK("https://i.stonehdfile.com/stoneimage?s=4703683a-dac5-4b4d-9728-9449289f3de4","Image")</f>
      </c>
      <c r="D221" s="2">
        <f>=HYPERLINK("https://dna.stonehdfile.com/hd/viewhd.html?d=8d51f678-ff53-4d81-a9d6-e356f91985ad","View360")</f>
      </c>
      <c r="E221" s="2">
        <f>=HYPERLINK("https://i.stonehdfile.com/Certificate?s=4703683a-dac5-4b4d-9728-9449289f3de4","GIA")</f>
      </c>
      <c r="F221" s="2">
        <f>=HYPERLINK("https://i.stonehdfile.com/DNAReport?s=4703683a-dac5-4b4d-9728-9449289f3de4","DNA")</f>
      </c>
      <c r="G221" s="2">
        <f>=HYPERLINK("https://www.gia.edu/report-check?reportno=******6750","Verify")</f>
      </c>
      <c r="H221" s="1" t="s">
        <v>1310</v>
      </c>
      <c r="I221" s="1" t="s">
        <v>46</v>
      </c>
      <c r="J221" s="1">
        <v>1.73</v>
      </c>
      <c r="K221" s="1">
        <v>3</v>
      </c>
      <c r="L221" s="1">
        <v>7000</v>
      </c>
      <c r="M221" s="1">
        <v>3366</v>
      </c>
      <c r="N221" s="1">
        <v>5823.18</v>
      </c>
      <c r="O221" s="1">
        <v>-51.91</v>
      </c>
      <c r="P221" s="1">
        <v>0</v>
      </c>
      <c r="Q221" s="1" t="s">
        <v>86</v>
      </c>
      <c r="R221" s="1">
        <v>0</v>
      </c>
      <c r="S221" s="1" t="s">
        <v>86</v>
      </c>
      <c r="T221" s="1" t="s">
        <v>86</v>
      </c>
      <c r="U221" s="1" t="s">
        <v>118</v>
      </c>
      <c r="V221" s="1" t="s">
        <v>86</v>
      </c>
      <c r="W221" s="1" t="s">
        <v>137</v>
      </c>
      <c r="X221" s="1" t="s">
        <v>86</v>
      </c>
      <c r="Y221" s="1" t="s">
        <v>89</v>
      </c>
      <c r="Z221" s="1" t="s">
        <v>89</v>
      </c>
      <c r="AA221" s="1" t="s">
        <v>119</v>
      </c>
      <c r="AB221" s="1" t="s">
        <v>86</v>
      </c>
      <c r="AC221" s="1" t="s">
        <v>1311</v>
      </c>
      <c r="AD221" s="1">
        <v>67.6</v>
      </c>
      <c r="AE221" s="1">
        <v>65</v>
      </c>
      <c r="AF221" s="1" t="s">
        <v>91</v>
      </c>
      <c r="AG221" s="1">
        <v>2</v>
      </c>
      <c r="AH221" s="1">
        <v>34.4</v>
      </c>
      <c r="AI221" s="1" t="s">
        <v>86</v>
      </c>
      <c r="AJ221" s="1">
        <v>1.13</v>
      </c>
      <c r="AK221" s="1" t="s">
        <v>198</v>
      </c>
      <c r="AL221" s="1" t="s">
        <v>93</v>
      </c>
      <c r="AM221" s="1" t="s">
        <v>128</v>
      </c>
      <c r="AN221" s="1" t="s">
        <v>168</v>
      </c>
      <c r="AO221" s="1" t="s">
        <v>208</v>
      </c>
      <c r="AP221" s="1" t="s">
        <v>95</v>
      </c>
      <c r="AQ221" s="1">
        <v>12</v>
      </c>
      <c r="AR221" s="1">
        <v>53.6</v>
      </c>
      <c r="AS221" s="1">
        <v>40.1</v>
      </c>
      <c r="AT221" s="1" t="s">
        <v>96</v>
      </c>
      <c r="AU221" s="1" t="s">
        <v>86</v>
      </c>
      <c r="AV221" s="1" t="s">
        <v>86</v>
      </c>
      <c r="AW221" s="1" t="s">
        <v>86</v>
      </c>
      <c r="AX221" s="1" t="s">
        <v>86</v>
      </c>
      <c r="AY221" s="1" t="s">
        <v>86</v>
      </c>
      <c r="AZ221" s="1" t="s">
        <v>86</v>
      </c>
      <c r="BA221" s="1" t="s">
        <v>86</v>
      </c>
      <c r="BB221" s="1" t="s">
        <v>86</v>
      </c>
      <c r="BC221" s="1" t="s">
        <v>86</v>
      </c>
      <c r="BD221" s="1" t="s">
        <v>86</v>
      </c>
      <c r="BE221" s="1" t="s">
        <v>86</v>
      </c>
      <c r="BF221" s="1" t="s">
        <v>86</v>
      </c>
      <c r="BG221" s="1" t="s">
        <v>86</v>
      </c>
      <c r="BH221" s="1" t="s">
        <v>142</v>
      </c>
      <c r="BI221" s="1" t="s">
        <v>703</v>
      </c>
      <c r="BJ221" s="1" t="s">
        <v>87</v>
      </c>
      <c r="BK221" s="1">
        <v>0</v>
      </c>
      <c r="BL221" s="1">
        <v>0</v>
      </c>
      <c r="BM221" s="1" t="s">
        <v>398</v>
      </c>
      <c r="BN221" s="1" t="s">
        <v>1312</v>
      </c>
      <c r="BO221" s="1" t="s">
        <v>604</v>
      </c>
      <c r="BP221" s="1" t="s">
        <v>86</v>
      </c>
      <c r="BQ221" s="1" t="s">
        <v>86</v>
      </c>
      <c r="BR221" s="1" t="s">
        <v>86</v>
      </c>
      <c r="BS221" s="1" t="s">
        <v>86</v>
      </c>
      <c r="BT221" s="1" t="s">
        <v>86</v>
      </c>
      <c r="BU221" s="1" t="s">
        <v>163</v>
      </c>
      <c r="BV221" s="1" t="s">
        <v>86</v>
      </c>
      <c r="BW221" s="1" t="s">
        <v>101</v>
      </c>
      <c r="BX221" s="1" t="s">
        <v>423</v>
      </c>
      <c r="BY221" s="1" t="s">
        <v>86</v>
      </c>
      <c r="BZ221" s="1" t="s">
        <v>1313</v>
      </c>
      <c r="CA221" s="1" t="s">
        <v>178</v>
      </c>
      <c r="CB221" s="1" t="s">
        <v>166</v>
      </c>
      <c r="CC221" s="1" t="s">
        <v>86</v>
      </c>
      <c r="CD221" s="1" t="s">
        <v>86</v>
      </c>
      <c r="CE221" s="1" t="s">
        <v>86</v>
      </c>
    </row>
    <row r="222">
      <c r="A222" s="1">
        <v>220</v>
      </c>
      <c r="B222" s="1" t="s">
        <v>395</v>
      </c>
      <c r="C222" s="2">
        <f>=HYPERLINK("https://i.stonehdfile.com/stoneimage?s=3ae9ad56-a501-4e65-b9b6-beaedf1ae5f3","Image")</f>
      </c>
      <c r="D222" s="2">
        <f>=HYPERLINK("https://dna.stonehdfile.com/hd/viewhd.html?d=e436d9df-4bbb-4daa-b410-29acf701ab63","View360")</f>
      </c>
      <c r="E222" s="2">
        <f>=HYPERLINK("https://i.stonehdfile.com/Certificate?s=3ae9ad56-a501-4e65-b9b6-beaedf1ae5f3","GIA")</f>
      </c>
      <c r="F222" s="2">
        <f>=HYPERLINK("https://i.stonehdfile.com/DNAReport?s=3ae9ad56-a501-4e65-b9b6-beaedf1ae5f3","DNA")</f>
      </c>
      <c r="G222" s="2">
        <f>=HYPERLINK("https://www.gia.edu/report-check?reportno=******0688","Verify")</f>
      </c>
      <c r="H222" s="1" t="s">
        <v>1314</v>
      </c>
      <c r="I222" s="1" t="s">
        <v>46</v>
      </c>
      <c r="J222" s="1">
        <v>1.8</v>
      </c>
      <c r="K222" s="1">
        <v>3</v>
      </c>
      <c r="L222" s="1">
        <v>7000</v>
      </c>
      <c r="M222" s="1">
        <v>3391</v>
      </c>
      <c r="N222" s="1">
        <v>6103.8</v>
      </c>
      <c r="O222" s="1">
        <v>-51.56</v>
      </c>
      <c r="P222" s="1">
        <v>0</v>
      </c>
      <c r="Q222" s="1" t="s">
        <v>86</v>
      </c>
      <c r="R222" s="1">
        <v>0</v>
      </c>
      <c r="S222" s="1" t="s">
        <v>86</v>
      </c>
      <c r="T222" s="1" t="s">
        <v>86</v>
      </c>
      <c r="U222" s="1" t="s">
        <v>118</v>
      </c>
      <c r="V222" s="1" t="s">
        <v>86</v>
      </c>
      <c r="W222" s="1" t="s">
        <v>137</v>
      </c>
      <c r="X222" s="1" t="s">
        <v>86</v>
      </c>
      <c r="Y222" s="1" t="s">
        <v>89</v>
      </c>
      <c r="Z222" s="1" t="s">
        <v>89</v>
      </c>
      <c r="AA222" s="1" t="s">
        <v>119</v>
      </c>
      <c r="AB222" s="1" t="s">
        <v>86</v>
      </c>
      <c r="AC222" s="1" t="s">
        <v>1315</v>
      </c>
      <c r="AD222" s="1">
        <v>69.2</v>
      </c>
      <c r="AE222" s="1">
        <v>64</v>
      </c>
      <c r="AF222" s="1" t="s">
        <v>91</v>
      </c>
      <c r="AG222" s="1">
        <v>2</v>
      </c>
      <c r="AH222" s="1">
        <v>34.3</v>
      </c>
      <c r="AI222" s="1" t="s">
        <v>86</v>
      </c>
      <c r="AJ222" s="1">
        <v>1.1</v>
      </c>
      <c r="AK222" s="1" t="s">
        <v>111</v>
      </c>
      <c r="AL222" s="1" t="s">
        <v>93</v>
      </c>
      <c r="AM222" s="1" t="s">
        <v>128</v>
      </c>
      <c r="AN222" s="1" t="s">
        <v>171</v>
      </c>
      <c r="AO222" s="1" t="s">
        <v>208</v>
      </c>
      <c r="AP222" s="1" t="s">
        <v>95</v>
      </c>
      <c r="AQ222" s="1">
        <v>12.3</v>
      </c>
      <c r="AR222" s="1">
        <v>54.8</v>
      </c>
      <c r="AS222" s="1">
        <v>40.5</v>
      </c>
      <c r="AT222" s="1" t="s">
        <v>96</v>
      </c>
      <c r="AU222" s="1" t="s">
        <v>86</v>
      </c>
      <c r="AV222" s="1" t="s">
        <v>86</v>
      </c>
      <c r="AW222" s="1" t="s">
        <v>141</v>
      </c>
      <c r="AX222" s="1" t="s">
        <v>86</v>
      </c>
      <c r="AY222" s="1" t="s">
        <v>86</v>
      </c>
      <c r="AZ222" s="1" t="s">
        <v>86</v>
      </c>
      <c r="BA222" s="1" t="s">
        <v>86</v>
      </c>
      <c r="BB222" s="1" t="s">
        <v>86</v>
      </c>
      <c r="BC222" s="1" t="s">
        <v>86</v>
      </c>
      <c r="BD222" s="1" t="s">
        <v>86</v>
      </c>
      <c r="BE222" s="1" t="s">
        <v>86</v>
      </c>
      <c r="BF222" s="1" t="s">
        <v>86</v>
      </c>
      <c r="BG222" s="1" t="s">
        <v>172</v>
      </c>
      <c r="BH222" s="1" t="s">
        <v>142</v>
      </c>
      <c r="BI222" s="1" t="s">
        <v>703</v>
      </c>
      <c r="BJ222" s="1" t="s">
        <v>87</v>
      </c>
      <c r="BK222" s="1">
        <v>0</v>
      </c>
      <c r="BL222" s="1">
        <v>0</v>
      </c>
      <c r="BM222" s="1" t="s">
        <v>398</v>
      </c>
      <c r="BN222" s="1" t="s">
        <v>1316</v>
      </c>
      <c r="BO222" s="1" t="s">
        <v>153</v>
      </c>
      <c r="BP222" s="1" t="s">
        <v>86</v>
      </c>
      <c r="BQ222" s="1" t="s">
        <v>86</v>
      </c>
      <c r="BR222" s="1" t="s">
        <v>86</v>
      </c>
      <c r="BS222" s="1" t="s">
        <v>86</v>
      </c>
      <c r="BT222" s="1" t="s">
        <v>86</v>
      </c>
      <c r="BU222" s="1" t="s">
        <v>163</v>
      </c>
      <c r="BV222" s="1" t="s">
        <v>86</v>
      </c>
      <c r="BW222" s="1" t="s">
        <v>101</v>
      </c>
      <c r="BX222" s="1" t="s">
        <v>401</v>
      </c>
      <c r="BY222" s="1" t="s">
        <v>86</v>
      </c>
      <c r="BZ222" s="1" t="s">
        <v>1317</v>
      </c>
      <c r="CA222" s="1" t="s">
        <v>671</v>
      </c>
      <c r="CB222" s="1" t="s">
        <v>417</v>
      </c>
      <c r="CC222" s="1" t="s">
        <v>86</v>
      </c>
      <c r="CD222" s="1" t="s">
        <v>86</v>
      </c>
      <c r="CE222" s="1" t="s">
        <v>86</v>
      </c>
    </row>
    <row r="223">
      <c r="A223" s="1">
        <v>221</v>
      </c>
      <c r="B223" s="1" t="s">
        <v>395</v>
      </c>
      <c r="C223" s="2">
        <f>=HYPERLINK("https://i.stonehdfile.com/stoneimage?s=25df413b-0f40-4bcc-8ee9-118f24cd4bd8","Image")</f>
      </c>
      <c r="D223" s="2">
        <f>=HYPERLINK("https://dna.stonehdfile.com/hd/viewhd.html?d=eb726868-9719-48ab-b419-70a6f0d46c5b","View360")</f>
      </c>
      <c r="E223" s="2">
        <f>=HYPERLINK("https://i.stonehdfile.com/Certificate?s=25df413b-0f40-4bcc-8ee9-118f24cd4bd8","GIA")</f>
      </c>
      <c r="F223" s="2">
        <f>=HYPERLINK("https://i.stonehdfile.com/DNAReport?s=25df413b-0f40-4bcc-8ee9-118f24cd4bd8","DNA")</f>
      </c>
      <c r="G223" s="2">
        <f>=HYPERLINK("https://www.gia.edu/report-check?reportno=******0752","Verify")</f>
      </c>
      <c r="H223" s="1" t="s">
        <v>1318</v>
      </c>
      <c r="I223" s="1" t="s">
        <v>46</v>
      </c>
      <c r="J223" s="1">
        <v>1.7</v>
      </c>
      <c r="K223" s="1">
        <v>6</v>
      </c>
      <c r="L223" s="1">
        <v>6000</v>
      </c>
      <c r="M223" s="1">
        <v>3587</v>
      </c>
      <c r="N223" s="1">
        <v>6097.9</v>
      </c>
      <c r="O223" s="1">
        <v>-40.22</v>
      </c>
      <c r="P223" s="1">
        <v>0</v>
      </c>
      <c r="Q223" s="1" t="s">
        <v>86</v>
      </c>
      <c r="R223" s="1">
        <v>0</v>
      </c>
      <c r="S223" s="1" t="s">
        <v>86</v>
      </c>
      <c r="T223" s="1" t="s">
        <v>86</v>
      </c>
      <c r="U223" s="1" t="s">
        <v>159</v>
      </c>
      <c r="V223" s="1" t="s">
        <v>86</v>
      </c>
      <c r="W223" s="1" t="s">
        <v>213</v>
      </c>
      <c r="X223" s="1" t="s">
        <v>86</v>
      </c>
      <c r="Y223" s="1" t="s">
        <v>89</v>
      </c>
      <c r="Z223" s="1" t="s">
        <v>89</v>
      </c>
      <c r="AA223" s="1" t="s">
        <v>119</v>
      </c>
      <c r="AB223" s="1" t="s">
        <v>86</v>
      </c>
      <c r="AC223" s="1" t="s">
        <v>1319</v>
      </c>
      <c r="AD223" s="1">
        <v>68.9</v>
      </c>
      <c r="AE223" s="1">
        <v>62</v>
      </c>
      <c r="AF223" s="1" t="s">
        <v>91</v>
      </c>
      <c r="AG223" s="1">
        <v>2.4</v>
      </c>
      <c r="AH223" s="1">
        <v>35.4</v>
      </c>
      <c r="AI223" s="1" t="s">
        <v>86</v>
      </c>
      <c r="AJ223" s="1">
        <v>1.12</v>
      </c>
      <c r="AK223" s="1" t="s">
        <v>111</v>
      </c>
      <c r="AL223" s="1" t="s">
        <v>93</v>
      </c>
      <c r="AM223" s="1" t="s">
        <v>140</v>
      </c>
      <c r="AN223" s="1" t="s">
        <v>171</v>
      </c>
      <c r="AO223" s="1" t="s">
        <v>208</v>
      </c>
      <c r="AP223" s="1" t="s">
        <v>95</v>
      </c>
      <c r="AQ223" s="1">
        <v>13.7</v>
      </c>
      <c r="AR223" s="1">
        <v>52.7</v>
      </c>
      <c r="AS223" s="1">
        <v>39</v>
      </c>
      <c r="AT223" s="1" t="s">
        <v>96</v>
      </c>
      <c r="AU223" s="1" t="s">
        <v>141</v>
      </c>
      <c r="AV223" s="1" t="s">
        <v>86</v>
      </c>
      <c r="AW223" s="1" t="s">
        <v>86</v>
      </c>
      <c r="AX223" s="1" t="s">
        <v>86</v>
      </c>
      <c r="AY223" s="1" t="s">
        <v>86</v>
      </c>
      <c r="AZ223" s="1" t="s">
        <v>86</v>
      </c>
      <c r="BA223" s="1" t="s">
        <v>86</v>
      </c>
      <c r="BB223" s="1" t="s">
        <v>86</v>
      </c>
      <c r="BC223" s="1" t="s">
        <v>86</v>
      </c>
      <c r="BD223" s="1" t="s">
        <v>86</v>
      </c>
      <c r="BE223" s="1" t="s">
        <v>86</v>
      </c>
      <c r="BF223" s="1" t="s">
        <v>86</v>
      </c>
      <c r="BG223" s="1" t="s">
        <v>86</v>
      </c>
      <c r="BH223" s="1" t="s">
        <v>871</v>
      </c>
      <c r="BI223" s="1" t="s">
        <v>354</v>
      </c>
      <c r="BJ223" s="1" t="s">
        <v>87</v>
      </c>
      <c r="BK223" s="1">
        <v>0</v>
      </c>
      <c r="BL223" s="1">
        <v>0</v>
      </c>
      <c r="BM223" s="1" t="s">
        <v>398</v>
      </c>
      <c r="BN223" s="1" t="s">
        <v>1320</v>
      </c>
      <c r="BO223" s="1" t="s">
        <v>276</v>
      </c>
      <c r="BP223" s="1" t="s">
        <v>86</v>
      </c>
      <c r="BQ223" s="1" t="s">
        <v>86</v>
      </c>
      <c r="BR223" s="1" t="s">
        <v>86</v>
      </c>
      <c r="BS223" s="1" t="s">
        <v>86</v>
      </c>
      <c r="BT223" s="1" t="s">
        <v>86</v>
      </c>
      <c r="BU223" s="1" t="s">
        <v>163</v>
      </c>
      <c r="BV223" s="1" t="s">
        <v>86</v>
      </c>
      <c r="BW223" s="1" t="s">
        <v>101</v>
      </c>
      <c r="BX223" s="1" t="s">
        <v>470</v>
      </c>
      <c r="BY223" s="1" t="s">
        <v>86</v>
      </c>
      <c r="BZ223" s="1" t="s">
        <v>1321</v>
      </c>
      <c r="CA223" s="1" t="s">
        <v>671</v>
      </c>
      <c r="CB223" s="1" t="s">
        <v>221</v>
      </c>
      <c r="CC223" s="1" t="s">
        <v>86</v>
      </c>
      <c r="CD223" s="1" t="s">
        <v>86</v>
      </c>
      <c r="CE223" s="1" t="s">
        <v>86</v>
      </c>
    </row>
    <row r="224">
      <c r="A224" s="1">
        <v>222</v>
      </c>
      <c r="B224" s="1" t="s">
        <v>395</v>
      </c>
      <c r="C224" s="2">
        <f>=HYPERLINK("https://i.stonehdfile.com/stoneimage?s=145f5a3c-3674-46f3-a00f-46dc419c66bf","Image")</f>
      </c>
      <c r="D224" s="2">
        <f>=HYPERLINK("https://dna.stonehdfile.com/hd/viewhd.html?d=7bf63114-2ee0-41eb-8ddb-92bb648e8a5e","View360")</f>
      </c>
      <c r="E224" s="2">
        <f>=HYPERLINK("https://i.stonehdfile.com/Certificate?s=145f5a3c-3674-46f3-a00f-46dc419c66bf","GIA")</f>
      </c>
      <c r="F224" s="2">
        <f>=HYPERLINK("https://i.stonehdfile.com/DNAReport?s=145f5a3c-3674-46f3-a00f-46dc419c66bf","DNA")</f>
      </c>
      <c r="G224" s="2">
        <f>=HYPERLINK("https://www.gia.edu/report-check?reportno=******9667","Verify")</f>
      </c>
      <c r="H224" s="1" t="s">
        <v>1322</v>
      </c>
      <c r="I224" s="1" t="s">
        <v>46</v>
      </c>
      <c r="J224" s="1">
        <v>1.71</v>
      </c>
      <c r="K224" s="1">
        <v>1</v>
      </c>
      <c r="L224" s="1">
        <v>6000</v>
      </c>
      <c r="M224" s="1">
        <v>3247</v>
      </c>
      <c r="N224" s="1">
        <v>5552.37</v>
      </c>
      <c r="O224" s="1">
        <v>-45.88</v>
      </c>
      <c r="P224" s="1">
        <v>0</v>
      </c>
      <c r="Q224" s="1" t="s">
        <v>86</v>
      </c>
      <c r="R224" s="1">
        <v>0</v>
      </c>
      <c r="S224" s="1" t="s">
        <v>86</v>
      </c>
      <c r="T224" s="1" t="s">
        <v>86</v>
      </c>
      <c r="U224" s="1" t="s">
        <v>159</v>
      </c>
      <c r="V224" s="1" t="s">
        <v>86</v>
      </c>
      <c r="W224" s="1" t="s">
        <v>213</v>
      </c>
      <c r="X224" s="1" t="s">
        <v>86</v>
      </c>
      <c r="Y224" s="1" t="s">
        <v>89</v>
      </c>
      <c r="Z224" s="1" t="s">
        <v>89</v>
      </c>
      <c r="AA224" s="1" t="s">
        <v>119</v>
      </c>
      <c r="AB224" s="1" t="s">
        <v>86</v>
      </c>
      <c r="AC224" s="1" t="s">
        <v>1323</v>
      </c>
      <c r="AD224" s="1">
        <v>71.5</v>
      </c>
      <c r="AE224" s="1">
        <v>59</v>
      </c>
      <c r="AF224" s="1" t="s">
        <v>91</v>
      </c>
      <c r="AG224" s="1">
        <v>2.4</v>
      </c>
      <c r="AH224" s="1">
        <v>36.9</v>
      </c>
      <c r="AI224" s="1" t="s">
        <v>86</v>
      </c>
      <c r="AJ224" s="1">
        <v>1.12</v>
      </c>
      <c r="AK224" s="1" t="s">
        <v>111</v>
      </c>
      <c r="AL224" s="1" t="s">
        <v>140</v>
      </c>
      <c r="AM224" s="1" t="s">
        <v>140</v>
      </c>
      <c r="AN224" s="1" t="s">
        <v>171</v>
      </c>
      <c r="AO224" s="1" t="s">
        <v>94</v>
      </c>
      <c r="AP224" s="1" t="s">
        <v>95</v>
      </c>
      <c r="AQ224" s="1">
        <v>15.6</v>
      </c>
      <c r="AR224" s="1">
        <v>52.9</v>
      </c>
      <c r="AS224" s="1">
        <v>39.2</v>
      </c>
      <c r="AT224" s="1" t="s">
        <v>96</v>
      </c>
      <c r="AU224" s="1" t="s">
        <v>86</v>
      </c>
      <c r="AV224" s="1" t="s">
        <v>141</v>
      </c>
      <c r="AW224" s="1" t="s">
        <v>86</v>
      </c>
      <c r="AX224" s="1" t="s">
        <v>86</v>
      </c>
      <c r="AY224" s="1" t="s">
        <v>86</v>
      </c>
      <c r="AZ224" s="1" t="s">
        <v>86</v>
      </c>
      <c r="BA224" s="1" t="s">
        <v>86</v>
      </c>
      <c r="BB224" s="1" t="s">
        <v>86</v>
      </c>
      <c r="BC224" s="1" t="s">
        <v>86</v>
      </c>
      <c r="BD224" s="1" t="s">
        <v>86</v>
      </c>
      <c r="BE224" s="1" t="s">
        <v>86</v>
      </c>
      <c r="BF224" s="1" t="s">
        <v>86</v>
      </c>
      <c r="BG224" s="1" t="s">
        <v>172</v>
      </c>
      <c r="BH224" s="1" t="s">
        <v>429</v>
      </c>
      <c r="BI224" s="1" t="s">
        <v>354</v>
      </c>
      <c r="BJ224" s="1" t="s">
        <v>87</v>
      </c>
      <c r="BK224" s="1">
        <v>0</v>
      </c>
      <c r="BL224" s="1">
        <v>0</v>
      </c>
      <c r="BM224" s="1" t="s">
        <v>398</v>
      </c>
      <c r="BN224" s="1" t="s">
        <v>1324</v>
      </c>
      <c r="BO224" s="1" t="s">
        <v>956</v>
      </c>
      <c r="BP224" s="1" t="s">
        <v>86</v>
      </c>
      <c r="BQ224" s="1" t="s">
        <v>86</v>
      </c>
      <c r="BR224" s="1" t="s">
        <v>86</v>
      </c>
      <c r="BS224" s="1" t="s">
        <v>86</v>
      </c>
      <c r="BT224" s="1" t="s">
        <v>86</v>
      </c>
      <c r="BU224" s="1" t="s">
        <v>163</v>
      </c>
      <c r="BV224" s="1" t="s">
        <v>86</v>
      </c>
      <c r="BW224" s="1" t="s">
        <v>101</v>
      </c>
      <c r="BX224" s="1" t="s">
        <v>401</v>
      </c>
      <c r="BY224" s="1" t="s">
        <v>86</v>
      </c>
      <c r="BZ224" s="1" t="s">
        <v>1325</v>
      </c>
      <c r="CA224" s="1" t="s">
        <v>1326</v>
      </c>
      <c r="CB224" s="1" t="s">
        <v>952</v>
      </c>
      <c r="CC224" s="1" t="s">
        <v>86</v>
      </c>
      <c r="CD224" s="1" t="s">
        <v>86</v>
      </c>
      <c r="CE224" s="1" t="s">
        <v>86</v>
      </c>
    </row>
    <row r="225">
      <c r="A225" s="1">
        <v>223</v>
      </c>
      <c r="B225" s="1" t="s">
        <v>395</v>
      </c>
      <c r="C225" s="2">
        <f>=HYPERLINK("https://i.stonehdfile.com/stoneimage?s=9b4714a4-39cf-4aef-982d-4c87c459ca69","Image")</f>
      </c>
      <c r="D225" s="2">
        <f>=HYPERLINK("https://dna.stonehdfile.com/hd/viewhd.html?d=04df71b5-8a47-4180-8edb-8e39d560a566","View360")</f>
      </c>
      <c r="E225" s="2">
        <f>=HYPERLINK("https://i.stonehdfile.com/Certificate?s=9b4714a4-39cf-4aef-982d-4c87c459ca69","GIA")</f>
      </c>
      <c r="F225" s="2">
        <f>=HYPERLINK("https://i.stonehdfile.com/DNAReport?s=9b4714a4-39cf-4aef-982d-4c87c459ca69","DNA")</f>
      </c>
      <c r="G225" s="2">
        <f>=HYPERLINK("https://www.gia.edu/report-check?reportno=******7509","Verify")</f>
      </c>
      <c r="H225" s="1" t="s">
        <v>1327</v>
      </c>
      <c r="I225" s="1" t="s">
        <v>46</v>
      </c>
      <c r="J225" s="1">
        <v>2.01</v>
      </c>
      <c r="K225" s="1">
        <v>3</v>
      </c>
      <c r="L225" s="1">
        <v>21000</v>
      </c>
      <c r="M225" s="1">
        <v>12271</v>
      </c>
      <c r="N225" s="1">
        <v>24664.71</v>
      </c>
      <c r="O225" s="1">
        <v>-41.57</v>
      </c>
      <c r="P225" s="1">
        <v>0</v>
      </c>
      <c r="Q225" s="1" t="s">
        <v>86</v>
      </c>
      <c r="R225" s="1">
        <v>0</v>
      </c>
      <c r="S225" s="1" t="s">
        <v>86</v>
      </c>
      <c r="T225" s="1" t="s">
        <v>86</v>
      </c>
      <c r="U225" s="1" t="s">
        <v>168</v>
      </c>
      <c r="V225" s="1" t="s">
        <v>86</v>
      </c>
      <c r="W225" s="1" t="s">
        <v>88</v>
      </c>
      <c r="X225" s="1" t="s">
        <v>86</v>
      </c>
      <c r="Y225" s="1" t="s">
        <v>89</v>
      </c>
      <c r="Z225" s="1" t="s">
        <v>89</v>
      </c>
      <c r="AA225" s="1" t="s">
        <v>119</v>
      </c>
      <c r="AB225" s="1" t="s">
        <v>86</v>
      </c>
      <c r="AC225" s="1" t="s">
        <v>1328</v>
      </c>
      <c r="AD225" s="1">
        <v>68.2</v>
      </c>
      <c r="AE225" s="1">
        <v>62</v>
      </c>
      <c r="AF225" s="1" t="s">
        <v>91</v>
      </c>
      <c r="AG225" s="1">
        <v>3.5</v>
      </c>
      <c r="AH225" s="1">
        <v>35.4</v>
      </c>
      <c r="AI225" s="1" t="s">
        <v>86</v>
      </c>
      <c r="AJ225" s="1">
        <v>1.22</v>
      </c>
      <c r="AK225" s="1" t="s">
        <v>190</v>
      </c>
      <c r="AL225" s="1" t="s">
        <v>140</v>
      </c>
      <c r="AM225" s="1" t="s">
        <v>140</v>
      </c>
      <c r="AN225" s="1" t="s">
        <v>86</v>
      </c>
      <c r="AO225" s="1" t="s">
        <v>94</v>
      </c>
      <c r="AP225" s="1" t="s">
        <v>95</v>
      </c>
      <c r="AQ225" s="1">
        <v>13.6</v>
      </c>
      <c r="AR225" s="1">
        <v>50.5</v>
      </c>
      <c r="AS225" s="1">
        <v>38</v>
      </c>
      <c r="AT225" s="1" t="s">
        <v>96</v>
      </c>
      <c r="AU225" s="1" t="s">
        <v>86</v>
      </c>
      <c r="AV225" s="1" t="s">
        <v>86</v>
      </c>
      <c r="AW225" s="1" t="s">
        <v>86</v>
      </c>
      <c r="AX225" s="1" t="s">
        <v>86</v>
      </c>
      <c r="AY225" s="1" t="s">
        <v>86</v>
      </c>
      <c r="AZ225" s="1" t="s">
        <v>86</v>
      </c>
      <c r="BA225" s="1" t="s">
        <v>86</v>
      </c>
      <c r="BB225" s="1" t="s">
        <v>86</v>
      </c>
      <c r="BC225" s="1" t="s">
        <v>86</v>
      </c>
      <c r="BD225" s="1" t="s">
        <v>86</v>
      </c>
      <c r="BE225" s="1" t="s">
        <v>86</v>
      </c>
      <c r="BF225" s="1" t="s">
        <v>86</v>
      </c>
      <c r="BG225" s="1" t="s">
        <v>86</v>
      </c>
      <c r="BH225" s="1" t="s">
        <v>215</v>
      </c>
      <c r="BI225" s="1" t="s">
        <v>183</v>
      </c>
      <c r="BJ225" s="1" t="s">
        <v>87</v>
      </c>
      <c r="BK225" s="1">
        <v>0</v>
      </c>
      <c r="BL225" s="1">
        <v>0</v>
      </c>
      <c r="BM225" s="1" t="s">
        <v>398</v>
      </c>
      <c r="BN225" s="1" t="s">
        <v>1329</v>
      </c>
      <c r="BO225" s="1" t="s">
        <v>1330</v>
      </c>
      <c r="BP225" s="1" t="s">
        <v>86</v>
      </c>
      <c r="BQ225" s="1" t="s">
        <v>86</v>
      </c>
      <c r="BR225" s="1" t="s">
        <v>86</v>
      </c>
      <c r="BS225" s="1" t="s">
        <v>86</v>
      </c>
      <c r="BT225" s="1" t="s">
        <v>86</v>
      </c>
      <c r="BU225" s="1" t="s">
        <v>163</v>
      </c>
      <c r="BV225" s="1" t="s">
        <v>86</v>
      </c>
      <c r="BW225" s="1" t="s">
        <v>101</v>
      </c>
      <c r="BX225" s="1" t="s">
        <v>423</v>
      </c>
      <c r="BY225" s="1" t="s">
        <v>86</v>
      </c>
      <c r="BZ225" s="1" t="s">
        <v>1331</v>
      </c>
      <c r="CA225" s="1" t="s">
        <v>1332</v>
      </c>
      <c r="CB225" s="1" t="s">
        <v>86</v>
      </c>
      <c r="CC225" s="1" t="s">
        <v>86</v>
      </c>
      <c r="CD225" s="1" t="s">
        <v>86</v>
      </c>
      <c r="CE225" s="1" t="s">
        <v>86</v>
      </c>
    </row>
    <row r="226">
      <c r="A226" s="1">
        <v>224</v>
      </c>
      <c r="B226" s="1" t="s">
        <v>395</v>
      </c>
      <c r="C226" s="2">
        <f>=HYPERLINK("https://i.stonehdfile.com/stoneimage?s=f0f8b4f5-8816-4f37-855b-6fc96ee5952c","Image")</f>
      </c>
      <c r="D226" s="2">
        <f>=HYPERLINK("https://dna.stonehdfile.com/hd/viewhd.html?d=8a56ab65-c26a-4c02-a998-eaaf3081f628","View360")</f>
      </c>
      <c r="E226" s="2">
        <f>=HYPERLINK("https://i.stonehdfile.com/Certificate?s=f0f8b4f5-8816-4f37-855b-6fc96ee5952c","GIA")</f>
      </c>
      <c r="F226" s="2">
        <f>=HYPERLINK("https://i.stonehdfile.com/DNAReport?s=f0f8b4f5-8816-4f37-855b-6fc96ee5952c","DNA")</f>
      </c>
      <c r="G226" s="2">
        <f>=HYPERLINK("https://www.gia.edu/report-check?reportno=******7510","Verify")</f>
      </c>
      <c r="H226" s="1" t="s">
        <v>1333</v>
      </c>
      <c r="I226" s="1" t="s">
        <v>46</v>
      </c>
      <c r="J226" s="1">
        <v>2.01</v>
      </c>
      <c r="K226" s="1">
        <v>5</v>
      </c>
      <c r="L226" s="1">
        <v>14500</v>
      </c>
      <c r="M226" s="1">
        <v>5621</v>
      </c>
      <c r="N226" s="1">
        <v>11298.21</v>
      </c>
      <c r="O226" s="1">
        <v>-61.23</v>
      </c>
      <c r="P226" s="1">
        <v>0</v>
      </c>
      <c r="Q226" s="1" t="s">
        <v>86</v>
      </c>
      <c r="R226" s="1">
        <v>0</v>
      </c>
      <c r="S226" s="1" t="s">
        <v>86</v>
      </c>
      <c r="T226" s="1" t="s">
        <v>86</v>
      </c>
      <c r="U226" s="1" t="s">
        <v>168</v>
      </c>
      <c r="V226" s="1" t="s">
        <v>86</v>
      </c>
      <c r="W226" s="1" t="s">
        <v>137</v>
      </c>
      <c r="X226" s="1" t="s">
        <v>86</v>
      </c>
      <c r="Y226" s="1" t="s">
        <v>89</v>
      </c>
      <c r="Z226" s="1" t="s">
        <v>89</v>
      </c>
      <c r="AA226" s="1" t="s">
        <v>108</v>
      </c>
      <c r="AB226" s="1" t="s">
        <v>109</v>
      </c>
      <c r="AC226" s="1" t="s">
        <v>1334</v>
      </c>
      <c r="AD226" s="1">
        <v>69.3</v>
      </c>
      <c r="AE226" s="1">
        <v>61</v>
      </c>
      <c r="AF226" s="1" t="s">
        <v>91</v>
      </c>
      <c r="AG226" s="1">
        <v>3</v>
      </c>
      <c r="AH226" s="1">
        <v>35.1</v>
      </c>
      <c r="AI226" s="1" t="s">
        <v>86</v>
      </c>
      <c r="AJ226" s="1">
        <v>1.09</v>
      </c>
      <c r="AK226" s="1" t="s">
        <v>198</v>
      </c>
      <c r="AL226" s="1" t="s">
        <v>140</v>
      </c>
      <c r="AM226" s="1" t="s">
        <v>140</v>
      </c>
      <c r="AN226" s="1" t="s">
        <v>168</v>
      </c>
      <c r="AO226" s="1" t="s">
        <v>208</v>
      </c>
      <c r="AP226" s="1" t="s">
        <v>95</v>
      </c>
      <c r="AQ226" s="1">
        <v>13.6</v>
      </c>
      <c r="AR226" s="1">
        <v>52.4</v>
      </c>
      <c r="AS226" s="1">
        <v>38.6</v>
      </c>
      <c r="AT226" s="1" t="s">
        <v>96</v>
      </c>
      <c r="AU226" s="1" t="s">
        <v>86</v>
      </c>
      <c r="AV226" s="1" t="s">
        <v>86</v>
      </c>
      <c r="AW226" s="1" t="s">
        <v>86</v>
      </c>
      <c r="AX226" s="1" t="s">
        <v>86</v>
      </c>
      <c r="AY226" s="1" t="s">
        <v>86</v>
      </c>
      <c r="AZ226" s="1" t="s">
        <v>86</v>
      </c>
      <c r="BA226" s="1" t="s">
        <v>86</v>
      </c>
      <c r="BB226" s="1" t="s">
        <v>86</v>
      </c>
      <c r="BC226" s="1" t="s">
        <v>86</v>
      </c>
      <c r="BD226" s="1" t="s">
        <v>86</v>
      </c>
      <c r="BE226" s="1" t="s">
        <v>86</v>
      </c>
      <c r="BF226" s="1" t="s">
        <v>86</v>
      </c>
      <c r="BG226" s="1" t="s">
        <v>86</v>
      </c>
      <c r="BH226" s="1" t="s">
        <v>182</v>
      </c>
      <c r="BI226" s="1" t="s">
        <v>315</v>
      </c>
      <c r="BJ226" s="1" t="s">
        <v>87</v>
      </c>
      <c r="BK226" s="1">
        <v>0</v>
      </c>
      <c r="BL226" s="1">
        <v>0</v>
      </c>
      <c r="BM226" s="1" t="s">
        <v>398</v>
      </c>
      <c r="BN226" s="1" t="s">
        <v>629</v>
      </c>
      <c r="BO226" s="1" t="s">
        <v>1335</v>
      </c>
      <c r="BP226" s="1" t="s">
        <v>86</v>
      </c>
      <c r="BQ226" s="1" t="s">
        <v>86</v>
      </c>
      <c r="BR226" s="1" t="s">
        <v>86</v>
      </c>
      <c r="BS226" s="1" t="s">
        <v>86</v>
      </c>
      <c r="BT226" s="1" t="s">
        <v>86</v>
      </c>
      <c r="BU226" s="1" t="s">
        <v>163</v>
      </c>
      <c r="BV226" s="1" t="s">
        <v>86</v>
      </c>
      <c r="BW226" s="1" t="s">
        <v>101</v>
      </c>
      <c r="BX226" s="1" t="s">
        <v>414</v>
      </c>
      <c r="BY226" s="1" t="s">
        <v>86</v>
      </c>
      <c r="BZ226" s="1" t="s">
        <v>1336</v>
      </c>
      <c r="CA226" s="1" t="s">
        <v>220</v>
      </c>
      <c r="CB226" s="1" t="s">
        <v>269</v>
      </c>
      <c r="CC226" s="1" t="s">
        <v>86</v>
      </c>
      <c r="CD226" s="1" t="s">
        <v>86</v>
      </c>
      <c r="CE226" s="1" t="s">
        <v>86</v>
      </c>
    </row>
    <row r="227">
      <c r="A227" s="1">
        <v>225</v>
      </c>
      <c r="B227" s="1" t="s">
        <v>395</v>
      </c>
      <c r="C227" s="2">
        <f>=HYPERLINK("https://i.stonehdfile.com/stoneimage?s=87f74f74-5ca3-424f-a08d-87c3a73a2ce6","Image")</f>
      </c>
      <c r="D227" s="2">
        <f>=HYPERLINK("https://dna.stonehdfile.com/hd/viewhd.html?d=83d04d7d-08a8-4e84-9a8d-106b88a7f9f8","View360")</f>
      </c>
      <c r="E227" s="2">
        <f>=HYPERLINK("https://i.stonehdfile.com/Certificate?s=87f74f74-5ca3-424f-a08d-87c3a73a2ce6","GIA")</f>
      </c>
      <c r="F227" s="2">
        <f>=HYPERLINK("https://i.stonehdfile.com/DNAReport?s=87f74f74-5ca3-424f-a08d-87c3a73a2ce6","DNA")</f>
      </c>
      <c r="G227" s="2">
        <f>=HYPERLINK("https://www.gia.edu/report-check?reportno=******3005","Verify")</f>
      </c>
      <c r="H227" s="1" t="s">
        <v>1337</v>
      </c>
      <c r="I227" s="1" t="s">
        <v>46</v>
      </c>
      <c r="J227" s="1">
        <v>2.01</v>
      </c>
      <c r="K227" s="1">
        <v>3</v>
      </c>
      <c r="L227" s="1">
        <v>19500</v>
      </c>
      <c r="M227" s="1">
        <v>7981</v>
      </c>
      <c r="N227" s="1">
        <v>16041.81</v>
      </c>
      <c r="O227" s="1">
        <v>-59.07</v>
      </c>
      <c r="P227" s="1">
        <v>0</v>
      </c>
      <c r="Q227" s="1" t="s">
        <v>86</v>
      </c>
      <c r="R227" s="1">
        <v>0</v>
      </c>
      <c r="S227" s="1" t="s">
        <v>86</v>
      </c>
      <c r="T227" s="1" t="s">
        <v>86</v>
      </c>
      <c r="U227" s="1" t="s">
        <v>136</v>
      </c>
      <c r="V227" s="1" t="s">
        <v>86</v>
      </c>
      <c r="W227" s="1" t="s">
        <v>88</v>
      </c>
      <c r="X227" s="1" t="s">
        <v>86</v>
      </c>
      <c r="Y227" s="1" t="s">
        <v>89</v>
      </c>
      <c r="Z227" s="1" t="s">
        <v>89</v>
      </c>
      <c r="AA227" s="1" t="s">
        <v>108</v>
      </c>
      <c r="AB227" s="1" t="s">
        <v>109</v>
      </c>
      <c r="AC227" s="1" t="s">
        <v>1338</v>
      </c>
      <c r="AD227" s="1">
        <v>69.1</v>
      </c>
      <c r="AE227" s="1">
        <v>65</v>
      </c>
      <c r="AF227" s="1" t="s">
        <v>91</v>
      </c>
      <c r="AG227" s="1">
        <v>3.4</v>
      </c>
      <c r="AH227" s="1">
        <v>35.1</v>
      </c>
      <c r="AI227" s="1" t="s">
        <v>86</v>
      </c>
      <c r="AJ227" s="1">
        <v>1.13</v>
      </c>
      <c r="AK227" s="1" t="s">
        <v>190</v>
      </c>
      <c r="AL227" s="1" t="s">
        <v>93</v>
      </c>
      <c r="AM227" s="1" t="s">
        <v>93</v>
      </c>
      <c r="AN227" s="1" t="s">
        <v>86</v>
      </c>
      <c r="AO227" s="1" t="s">
        <v>94</v>
      </c>
      <c r="AP227" s="1" t="s">
        <v>95</v>
      </c>
      <c r="AQ227" s="1">
        <v>12.4</v>
      </c>
      <c r="AR227" s="1">
        <v>53</v>
      </c>
      <c r="AS227" s="1">
        <v>38.8</v>
      </c>
      <c r="AT227" s="1" t="s">
        <v>96</v>
      </c>
      <c r="AU227" s="1" t="s">
        <v>86</v>
      </c>
      <c r="AV227" s="1" t="s">
        <v>86</v>
      </c>
      <c r="AW227" s="1" t="s">
        <v>86</v>
      </c>
      <c r="AX227" s="1" t="s">
        <v>86</v>
      </c>
      <c r="AY227" s="1" t="s">
        <v>86</v>
      </c>
      <c r="AZ227" s="1" t="s">
        <v>86</v>
      </c>
      <c r="BA227" s="1" t="s">
        <v>86</v>
      </c>
      <c r="BB227" s="1" t="s">
        <v>86</v>
      </c>
      <c r="BC227" s="1" t="s">
        <v>86</v>
      </c>
      <c r="BD227" s="1" t="s">
        <v>86</v>
      </c>
      <c r="BE227" s="1" t="s">
        <v>86</v>
      </c>
      <c r="BF227" s="1" t="s">
        <v>86</v>
      </c>
      <c r="BG227" s="1" t="s">
        <v>86</v>
      </c>
      <c r="BH227" s="1" t="s">
        <v>1339</v>
      </c>
      <c r="BI227" s="1" t="s">
        <v>191</v>
      </c>
      <c r="BJ227" s="1" t="s">
        <v>87</v>
      </c>
      <c r="BK227" s="1">
        <v>0</v>
      </c>
      <c r="BL227" s="1">
        <v>0</v>
      </c>
      <c r="BM227" s="1" t="s">
        <v>398</v>
      </c>
      <c r="BN227" s="1" t="s">
        <v>1340</v>
      </c>
      <c r="BO227" s="1" t="s">
        <v>1341</v>
      </c>
      <c r="BP227" s="1" t="s">
        <v>86</v>
      </c>
      <c r="BQ227" s="1" t="s">
        <v>86</v>
      </c>
      <c r="BR227" s="1" t="s">
        <v>86</v>
      </c>
      <c r="BS227" s="1" t="s">
        <v>438</v>
      </c>
      <c r="BT227" s="1" t="s">
        <v>86</v>
      </c>
      <c r="BU227" s="1" t="s">
        <v>163</v>
      </c>
      <c r="BV227" s="1" t="s">
        <v>86</v>
      </c>
      <c r="BW227" s="1" t="s">
        <v>101</v>
      </c>
      <c r="BX227" s="1" t="s">
        <v>530</v>
      </c>
      <c r="BY227" s="1" t="s">
        <v>86</v>
      </c>
      <c r="BZ227" s="1" t="s">
        <v>1342</v>
      </c>
      <c r="CA227" s="1" t="s">
        <v>1343</v>
      </c>
      <c r="CB227" s="1" t="s">
        <v>156</v>
      </c>
      <c r="CC227" s="1" t="s">
        <v>86</v>
      </c>
      <c r="CD227" s="1" t="s">
        <v>86</v>
      </c>
      <c r="CE227" s="1" t="s">
        <v>86</v>
      </c>
    </row>
    <row r="228">
      <c r="A228" s="1">
        <v>226</v>
      </c>
      <c r="B228" s="1" t="s">
        <v>395</v>
      </c>
      <c r="C228" s="2">
        <f>=HYPERLINK("https://i.stonehdfile.com/stoneimage?s=08eca322-fa79-4756-a5e6-6c50ceb1e20e","Image")</f>
      </c>
      <c r="D228" s="2">
        <f>=HYPERLINK("https://dna.stonehdfile.com/hd/viewhd.html?d=c490b571-0d22-4d01-bed1-30ed388467d6","View360")</f>
      </c>
      <c r="E228" s="2">
        <f>=HYPERLINK("https://i.stonehdfile.com/Certificate?s=08eca322-fa79-4756-a5e6-6c50ceb1e20e","GIA")</f>
      </c>
      <c r="F228" s="2">
        <f>=HYPERLINK("https://i.stonehdfile.com/DNAReport?s=08eca322-fa79-4756-a5e6-6c50ceb1e20e","DNA")</f>
      </c>
      <c r="G228" s="2">
        <f>=HYPERLINK("https://www.gia.edu/report-check?reportno=******0561","Verify")</f>
      </c>
      <c r="H228" s="1" t="s">
        <v>1344</v>
      </c>
      <c r="I228" s="1" t="s">
        <v>46</v>
      </c>
      <c r="J228" s="1">
        <v>2.01</v>
      </c>
      <c r="K228" s="1">
        <v>1</v>
      </c>
      <c r="L228" s="1">
        <v>16500</v>
      </c>
      <c r="M228" s="1">
        <v>6780</v>
      </c>
      <c r="N228" s="1">
        <v>13627.8</v>
      </c>
      <c r="O228" s="1">
        <v>-58.91</v>
      </c>
      <c r="P228" s="1">
        <v>0</v>
      </c>
      <c r="Q228" s="1" t="s">
        <v>86</v>
      </c>
      <c r="R228" s="1">
        <v>0</v>
      </c>
      <c r="S228" s="1" t="s">
        <v>86</v>
      </c>
      <c r="T228" s="1" t="s">
        <v>86</v>
      </c>
      <c r="U228" s="1" t="s">
        <v>136</v>
      </c>
      <c r="V228" s="1" t="s">
        <v>86</v>
      </c>
      <c r="W228" s="1" t="s">
        <v>352</v>
      </c>
      <c r="X228" s="1" t="s">
        <v>86</v>
      </c>
      <c r="Y228" s="1" t="s">
        <v>138</v>
      </c>
      <c r="Z228" s="1" t="s">
        <v>89</v>
      </c>
      <c r="AA228" s="1" t="s">
        <v>108</v>
      </c>
      <c r="AB228" s="1" t="s">
        <v>109</v>
      </c>
      <c r="AC228" s="1" t="s">
        <v>1345</v>
      </c>
      <c r="AD228" s="1">
        <v>67.1</v>
      </c>
      <c r="AE228" s="1">
        <v>62</v>
      </c>
      <c r="AF228" s="1" t="s">
        <v>91</v>
      </c>
      <c r="AG228" s="1">
        <v>1.9</v>
      </c>
      <c r="AH228" s="1">
        <v>35.7</v>
      </c>
      <c r="AI228" s="1" t="s">
        <v>86</v>
      </c>
      <c r="AJ228" s="1">
        <v>1.08</v>
      </c>
      <c r="AK228" s="1" t="s">
        <v>92</v>
      </c>
      <c r="AL228" s="1" t="s">
        <v>93</v>
      </c>
      <c r="AM228" s="1" t="s">
        <v>93</v>
      </c>
      <c r="AN228" s="1" t="s">
        <v>1346</v>
      </c>
      <c r="AO228" s="1" t="s">
        <v>94</v>
      </c>
      <c r="AP228" s="1" t="s">
        <v>95</v>
      </c>
      <c r="AQ228" s="1">
        <v>13.9</v>
      </c>
      <c r="AR228" s="1">
        <v>50.9</v>
      </c>
      <c r="AS228" s="1">
        <v>37.9</v>
      </c>
      <c r="AT228" s="1" t="s">
        <v>96</v>
      </c>
      <c r="AU228" s="1" t="s">
        <v>86</v>
      </c>
      <c r="AV228" s="1" t="s">
        <v>141</v>
      </c>
      <c r="AW228" s="1" t="s">
        <v>86</v>
      </c>
      <c r="AX228" s="1" t="s">
        <v>86</v>
      </c>
      <c r="AY228" s="1" t="s">
        <v>86</v>
      </c>
      <c r="AZ228" s="1" t="s">
        <v>86</v>
      </c>
      <c r="BA228" s="1" t="s">
        <v>86</v>
      </c>
      <c r="BB228" s="1" t="s">
        <v>86</v>
      </c>
      <c r="BC228" s="1" t="s">
        <v>86</v>
      </c>
      <c r="BD228" s="1" t="s">
        <v>86</v>
      </c>
      <c r="BE228" s="1" t="s">
        <v>86</v>
      </c>
      <c r="BF228" s="1" t="s">
        <v>86</v>
      </c>
      <c r="BG228" s="1" t="s">
        <v>86</v>
      </c>
      <c r="BH228" s="1" t="s">
        <v>429</v>
      </c>
      <c r="BI228" s="1" t="s">
        <v>658</v>
      </c>
      <c r="BJ228" s="1" t="s">
        <v>87</v>
      </c>
      <c r="BK228" s="1">
        <v>0</v>
      </c>
      <c r="BL228" s="1">
        <v>0</v>
      </c>
      <c r="BM228" s="1" t="s">
        <v>398</v>
      </c>
      <c r="BN228" s="1" t="s">
        <v>1347</v>
      </c>
      <c r="BO228" s="1" t="s">
        <v>636</v>
      </c>
      <c r="BP228" s="1" t="s">
        <v>86</v>
      </c>
      <c r="BQ228" s="1" t="s">
        <v>86</v>
      </c>
      <c r="BR228" s="1" t="s">
        <v>86</v>
      </c>
      <c r="BS228" s="1" t="s">
        <v>86</v>
      </c>
      <c r="BT228" s="1" t="s">
        <v>86</v>
      </c>
      <c r="BU228" s="1" t="s">
        <v>163</v>
      </c>
      <c r="BV228" s="1" t="s">
        <v>86</v>
      </c>
      <c r="BW228" s="1" t="s">
        <v>101</v>
      </c>
      <c r="BX228" s="1" t="s">
        <v>439</v>
      </c>
      <c r="BY228" s="1" t="s">
        <v>86</v>
      </c>
      <c r="BZ228" s="1" t="s">
        <v>1348</v>
      </c>
      <c r="CA228" s="1" t="s">
        <v>332</v>
      </c>
      <c r="CB228" s="1" t="s">
        <v>86</v>
      </c>
      <c r="CC228" s="1" t="s">
        <v>86</v>
      </c>
      <c r="CD228" s="1" t="s">
        <v>86</v>
      </c>
      <c r="CE228" s="1" t="s">
        <v>86</v>
      </c>
    </row>
    <row r="229">
      <c r="A229" s="1">
        <v>227</v>
      </c>
      <c r="B229" s="1" t="s">
        <v>395</v>
      </c>
      <c r="C229" s="2">
        <f>=HYPERLINK("https://i.stonehdfile.com/stoneimage?s=aaaeb641-3718-4a80-9ef0-a50f6e9ab60f","Image")</f>
      </c>
      <c r="D229" s="2">
        <f>=HYPERLINK("https://dna.stonehdfile.com/hd/viewhd.html?d=cb1a793b-1fac-47fe-b375-0c76993e1161","View360")</f>
      </c>
      <c r="E229" s="2">
        <f>=HYPERLINK("https://i.stonehdfile.com/Certificate?s=aaaeb641-3718-4a80-9ef0-a50f6e9ab60f","GIA")</f>
      </c>
      <c r="F229" s="2">
        <f>=HYPERLINK("https://i.stonehdfile.com/DNAReport?s=aaaeb641-3718-4a80-9ef0-a50f6e9ab60f","DNA")</f>
      </c>
      <c r="G229" s="2">
        <f>=HYPERLINK("https://www.gia.edu/report-check?reportno=******4198","Verify")</f>
      </c>
      <c r="H229" s="1" t="s">
        <v>1349</v>
      </c>
      <c r="I229" s="1" t="s">
        <v>46</v>
      </c>
      <c r="J229" s="1">
        <v>2.5</v>
      </c>
      <c r="K229" s="1">
        <v>7</v>
      </c>
      <c r="L229" s="1">
        <v>16500</v>
      </c>
      <c r="M229" s="1">
        <v>10387</v>
      </c>
      <c r="N229" s="1">
        <v>25967.5</v>
      </c>
      <c r="O229" s="1">
        <v>-37.05</v>
      </c>
      <c r="P229" s="1">
        <v>0</v>
      </c>
      <c r="Q229" s="1" t="s">
        <v>86</v>
      </c>
      <c r="R229" s="1">
        <v>0</v>
      </c>
      <c r="S229" s="1" t="s">
        <v>86</v>
      </c>
      <c r="T229" s="1" t="s">
        <v>86</v>
      </c>
      <c r="U229" s="1" t="s">
        <v>427</v>
      </c>
      <c r="V229" s="1" t="s">
        <v>86</v>
      </c>
      <c r="W229" s="1" t="s">
        <v>352</v>
      </c>
      <c r="X229" s="1" t="s">
        <v>86</v>
      </c>
      <c r="Y229" s="1" t="s">
        <v>89</v>
      </c>
      <c r="Z229" s="1" t="s">
        <v>89</v>
      </c>
      <c r="AA229" s="1" t="s">
        <v>119</v>
      </c>
      <c r="AB229" s="1" t="s">
        <v>86</v>
      </c>
      <c r="AC229" s="1" t="s">
        <v>1350</v>
      </c>
      <c r="AD229" s="1">
        <v>69.1</v>
      </c>
      <c r="AE229" s="1">
        <v>61</v>
      </c>
      <c r="AF229" s="1" t="s">
        <v>91</v>
      </c>
      <c r="AG229" s="1">
        <v>3.8</v>
      </c>
      <c r="AH229" s="1">
        <v>36.5</v>
      </c>
      <c r="AI229" s="1" t="s">
        <v>86</v>
      </c>
      <c r="AJ229" s="1">
        <v>1.02</v>
      </c>
      <c r="AK229" s="1" t="s">
        <v>190</v>
      </c>
      <c r="AL229" s="1" t="s">
        <v>140</v>
      </c>
      <c r="AM229" s="1" t="s">
        <v>140</v>
      </c>
      <c r="AN229" s="1" t="s">
        <v>307</v>
      </c>
      <c r="AO229" s="1" t="s">
        <v>94</v>
      </c>
      <c r="AP229" s="1" t="s">
        <v>95</v>
      </c>
      <c r="AQ229" s="1">
        <v>14.6</v>
      </c>
      <c r="AR229" s="1">
        <v>50.1</v>
      </c>
      <c r="AS229" s="1">
        <v>38.5</v>
      </c>
      <c r="AT229" s="1" t="s">
        <v>96</v>
      </c>
      <c r="AU229" s="1" t="s">
        <v>86</v>
      </c>
      <c r="AV229" s="1" t="s">
        <v>86</v>
      </c>
      <c r="AW229" s="1" t="s">
        <v>86</v>
      </c>
      <c r="AX229" s="1" t="s">
        <v>86</v>
      </c>
      <c r="AY229" s="1" t="s">
        <v>86</v>
      </c>
      <c r="AZ229" s="1" t="s">
        <v>86</v>
      </c>
      <c r="BA229" s="1" t="s">
        <v>86</v>
      </c>
      <c r="BB229" s="1" t="s">
        <v>86</v>
      </c>
      <c r="BC229" s="1" t="s">
        <v>86</v>
      </c>
      <c r="BD229" s="1" t="s">
        <v>86</v>
      </c>
      <c r="BE229" s="1" t="s">
        <v>86</v>
      </c>
      <c r="BF229" s="1" t="s">
        <v>86</v>
      </c>
      <c r="BG229" s="1" t="s">
        <v>86</v>
      </c>
      <c r="BH229" s="1" t="s">
        <v>215</v>
      </c>
      <c r="BI229" s="1" t="s">
        <v>216</v>
      </c>
      <c r="BJ229" s="1" t="s">
        <v>87</v>
      </c>
      <c r="BK229" s="1">
        <v>0</v>
      </c>
      <c r="BL229" s="1">
        <v>0</v>
      </c>
      <c r="BM229" s="1" t="s">
        <v>398</v>
      </c>
      <c r="BN229" s="1" t="s">
        <v>1351</v>
      </c>
      <c r="BO229" s="1" t="s">
        <v>529</v>
      </c>
      <c r="BP229" s="1" t="s">
        <v>86</v>
      </c>
      <c r="BQ229" s="1" t="s">
        <v>86</v>
      </c>
      <c r="BR229" s="1" t="s">
        <v>86</v>
      </c>
      <c r="BS229" s="1" t="s">
        <v>86</v>
      </c>
      <c r="BT229" s="1" t="s">
        <v>86</v>
      </c>
      <c r="BU229" s="1" t="s">
        <v>163</v>
      </c>
      <c r="BV229" s="1" t="s">
        <v>86</v>
      </c>
      <c r="BW229" s="1" t="s">
        <v>101</v>
      </c>
      <c r="BX229" s="1" t="s">
        <v>423</v>
      </c>
      <c r="BY229" s="1" t="s">
        <v>86</v>
      </c>
      <c r="BZ229" s="1" t="s">
        <v>1352</v>
      </c>
      <c r="CA229" s="1" t="s">
        <v>220</v>
      </c>
      <c r="CB229" s="1" t="s">
        <v>269</v>
      </c>
      <c r="CC229" s="1" t="s">
        <v>86</v>
      </c>
      <c r="CD229" s="1" t="s">
        <v>86</v>
      </c>
      <c r="CE229" s="1" t="s">
        <v>86</v>
      </c>
    </row>
    <row r="230">
      <c r="A230" s="1">
        <v>228</v>
      </c>
      <c r="B230" s="1" t="s">
        <v>395</v>
      </c>
      <c r="C230" s="2">
        <f>=HYPERLINK("https://i.stonehdfile.com/stoneimage?s=1dd44c21-ca4b-4cc6-a1ca-275fca7f33f2","Image")</f>
      </c>
      <c r="D230" s="2">
        <f>=HYPERLINK("https://dna.stonehdfile.com/hd/viewhd.html?d=d5d69af3-5a1e-4278-92e2-a34f709e03a7","View360")</f>
      </c>
      <c r="E230" s="2">
        <f>=HYPERLINK("https://i.stonehdfile.com/Certificate?s=1dd44c21-ca4b-4cc6-a1ca-275fca7f33f2","GIA")</f>
      </c>
      <c r="F230" s="2">
        <f>=HYPERLINK("https://i.stonehdfile.com/DNAReport?s=1dd44c21-ca4b-4cc6-a1ca-275fca7f33f2","DNA")</f>
      </c>
      <c r="G230" s="2">
        <f>=HYPERLINK("https://www.gia.edu/report-check?reportno=******8749","Verify")</f>
      </c>
      <c r="H230" s="1" t="s">
        <v>1353</v>
      </c>
      <c r="I230" s="1" t="s">
        <v>46</v>
      </c>
      <c r="J230" s="1">
        <v>2.22</v>
      </c>
      <c r="K230" s="1">
        <v>0</v>
      </c>
      <c r="L230" s="1">
        <v>16500</v>
      </c>
      <c r="M230" s="1">
        <v>8693</v>
      </c>
      <c r="N230" s="1">
        <v>19298.46</v>
      </c>
      <c r="O230" s="1">
        <v>-47.32</v>
      </c>
      <c r="P230" s="1">
        <v>0</v>
      </c>
      <c r="Q230" s="1" t="s">
        <v>86</v>
      </c>
      <c r="R230" s="1">
        <v>0</v>
      </c>
      <c r="S230" s="1" t="s">
        <v>86</v>
      </c>
      <c r="T230" s="1" t="s">
        <v>86</v>
      </c>
      <c r="U230" s="1" t="s">
        <v>136</v>
      </c>
      <c r="V230" s="1" t="s">
        <v>86</v>
      </c>
      <c r="W230" s="1" t="s">
        <v>223</v>
      </c>
      <c r="X230" s="1" t="s">
        <v>86</v>
      </c>
      <c r="Y230" s="1" t="s">
        <v>89</v>
      </c>
      <c r="Z230" s="1" t="s">
        <v>89</v>
      </c>
      <c r="AA230" s="1" t="s">
        <v>119</v>
      </c>
      <c r="AB230" s="1" t="s">
        <v>86</v>
      </c>
      <c r="AC230" s="1" t="s">
        <v>1354</v>
      </c>
      <c r="AD230" s="1">
        <v>68.8</v>
      </c>
      <c r="AE230" s="1">
        <v>63</v>
      </c>
      <c r="AF230" s="1" t="s">
        <v>91</v>
      </c>
      <c r="AG230" s="1">
        <v>3.3</v>
      </c>
      <c r="AH230" s="1">
        <v>35.5</v>
      </c>
      <c r="AI230" s="1" t="s">
        <v>86</v>
      </c>
      <c r="AJ230" s="1">
        <v>1.05</v>
      </c>
      <c r="AK230" s="1" t="s">
        <v>190</v>
      </c>
      <c r="AL230" s="1" t="s">
        <v>128</v>
      </c>
      <c r="AM230" s="1" t="s">
        <v>140</v>
      </c>
      <c r="AN230" s="1" t="s">
        <v>171</v>
      </c>
      <c r="AO230" s="1" t="s">
        <v>94</v>
      </c>
      <c r="AP230" s="1" t="s">
        <v>95</v>
      </c>
      <c r="AQ230" s="1">
        <v>13.1</v>
      </c>
      <c r="AR230" s="1">
        <v>51.9</v>
      </c>
      <c r="AS230" s="1">
        <v>39.8</v>
      </c>
      <c r="AT230" s="1" t="s">
        <v>96</v>
      </c>
      <c r="AU230" s="1" t="s">
        <v>86</v>
      </c>
      <c r="AV230" s="1" t="s">
        <v>86</v>
      </c>
      <c r="AW230" s="1" t="s">
        <v>86</v>
      </c>
      <c r="AX230" s="1" t="s">
        <v>86</v>
      </c>
      <c r="AY230" s="1" t="s">
        <v>86</v>
      </c>
      <c r="AZ230" s="1" t="s">
        <v>86</v>
      </c>
      <c r="BA230" s="1" t="s">
        <v>86</v>
      </c>
      <c r="BB230" s="1" t="s">
        <v>86</v>
      </c>
      <c r="BC230" s="1" t="s">
        <v>86</v>
      </c>
      <c r="BD230" s="1" t="s">
        <v>86</v>
      </c>
      <c r="BE230" s="1" t="s">
        <v>86</v>
      </c>
      <c r="BF230" s="1" t="s">
        <v>86</v>
      </c>
      <c r="BG230" s="1" t="s">
        <v>86</v>
      </c>
      <c r="BH230" s="1" t="s">
        <v>97</v>
      </c>
      <c r="BI230" s="1" t="s">
        <v>232</v>
      </c>
      <c r="BJ230" s="1" t="s">
        <v>87</v>
      </c>
      <c r="BK230" s="1">
        <v>0</v>
      </c>
      <c r="BL230" s="1">
        <v>0</v>
      </c>
      <c r="BM230" s="1" t="s">
        <v>398</v>
      </c>
      <c r="BN230" s="1" t="s">
        <v>1355</v>
      </c>
      <c r="BO230" s="1" t="s">
        <v>726</v>
      </c>
      <c r="BP230" s="1" t="s">
        <v>86</v>
      </c>
      <c r="BQ230" s="1" t="s">
        <v>86</v>
      </c>
      <c r="BR230" s="1" t="s">
        <v>86</v>
      </c>
      <c r="BS230" s="1" t="s">
        <v>86</v>
      </c>
      <c r="BT230" s="1" t="s">
        <v>86</v>
      </c>
      <c r="BU230" s="1" t="s">
        <v>163</v>
      </c>
      <c r="BV230" s="1" t="s">
        <v>86</v>
      </c>
      <c r="BW230" s="1" t="s">
        <v>101</v>
      </c>
      <c r="BX230" s="1" t="s">
        <v>478</v>
      </c>
      <c r="BY230" s="1" t="s">
        <v>86</v>
      </c>
      <c r="BZ230" s="1" t="s">
        <v>1356</v>
      </c>
      <c r="CA230" s="1" t="s">
        <v>220</v>
      </c>
      <c r="CB230" s="1" t="s">
        <v>221</v>
      </c>
      <c r="CC230" s="1" t="s">
        <v>86</v>
      </c>
      <c r="CD230" s="1" t="s">
        <v>86</v>
      </c>
      <c r="CE230" s="1" t="s">
        <v>86</v>
      </c>
    </row>
    <row r="231">
      <c r="A231" s="1">
        <v>229</v>
      </c>
      <c r="B231" s="1" t="s">
        <v>395</v>
      </c>
      <c r="C231" s="2">
        <f>=HYPERLINK("https://i.stonehdfile.com/stoneimage?s=6f0a9944-ca8b-4a4b-b7ef-fc89888a652c","Image")</f>
      </c>
      <c r="D231" s="2">
        <f>=HYPERLINK("https://dna.stonehdfile.com/hd/viewhd.html?d=65a15bba-1fc8-4f28-83cd-89f01523f879","View360")</f>
      </c>
      <c r="E231" s="2">
        <f>=HYPERLINK("https://i.stonehdfile.com/Certificate?s=6f0a9944-ca8b-4a4b-b7ef-fc89888a652c","GIA")</f>
      </c>
      <c r="F231" s="2">
        <f>=HYPERLINK("https://i.stonehdfile.com/DNAReport?s=6f0a9944-ca8b-4a4b-b7ef-fc89888a652c","DNA")</f>
      </c>
      <c r="G231" s="2">
        <f>=HYPERLINK("https://www.gia.edu/report-check?reportno=******4836","Verify")</f>
      </c>
      <c r="H231" s="1" t="s">
        <v>1357</v>
      </c>
      <c r="I231" s="1" t="s">
        <v>46</v>
      </c>
      <c r="J231" s="1">
        <v>2.01</v>
      </c>
      <c r="K231" s="1">
        <v>3</v>
      </c>
      <c r="L231" s="1">
        <v>13500</v>
      </c>
      <c r="M231" s="1">
        <v>6374</v>
      </c>
      <c r="N231" s="1">
        <v>12811.74</v>
      </c>
      <c r="O231" s="1">
        <v>-52.79</v>
      </c>
      <c r="P231" s="1">
        <v>0</v>
      </c>
      <c r="Q231" s="1" t="s">
        <v>86</v>
      </c>
      <c r="R231" s="1">
        <v>0</v>
      </c>
      <c r="S231" s="1" t="s">
        <v>86</v>
      </c>
      <c r="T231" s="1" t="s">
        <v>86</v>
      </c>
      <c r="U231" s="1" t="s">
        <v>427</v>
      </c>
      <c r="V231" s="1" t="s">
        <v>86</v>
      </c>
      <c r="W231" s="1" t="s">
        <v>169</v>
      </c>
      <c r="X231" s="1" t="s">
        <v>86</v>
      </c>
      <c r="Y231" s="1" t="s">
        <v>89</v>
      </c>
      <c r="Z231" s="1" t="s">
        <v>89</v>
      </c>
      <c r="AA231" s="1" t="s">
        <v>119</v>
      </c>
      <c r="AB231" s="1" t="s">
        <v>86</v>
      </c>
      <c r="AC231" s="1" t="s">
        <v>1358</v>
      </c>
      <c r="AD231" s="1">
        <v>69.5</v>
      </c>
      <c r="AE231" s="1">
        <v>60</v>
      </c>
      <c r="AF231" s="1" t="s">
        <v>91</v>
      </c>
      <c r="AG231" s="1">
        <v>3.8</v>
      </c>
      <c r="AH231" s="1">
        <v>36.1</v>
      </c>
      <c r="AI231" s="1" t="s">
        <v>86</v>
      </c>
      <c r="AJ231" s="1">
        <v>1.11</v>
      </c>
      <c r="AK231" s="1" t="s">
        <v>111</v>
      </c>
      <c r="AL231" s="1" t="s">
        <v>93</v>
      </c>
      <c r="AM231" s="1" t="s">
        <v>128</v>
      </c>
      <c r="AN231" s="1" t="s">
        <v>171</v>
      </c>
      <c r="AO231" s="1" t="s">
        <v>94</v>
      </c>
      <c r="AP231" s="1" t="s">
        <v>95</v>
      </c>
      <c r="AQ231" s="1">
        <v>14.6</v>
      </c>
      <c r="AR231" s="1">
        <v>51</v>
      </c>
      <c r="AS231" s="1">
        <v>38.4</v>
      </c>
      <c r="AT231" s="1" t="s">
        <v>96</v>
      </c>
      <c r="AU231" s="1" t="s">
        <v>86</v>
      </c>
      <c r="AV231" s="1" t="s">
        <v>86</v>
      </c>
      <c r="AW231" s="1" t="s">
        <v>86</v>
      </c>
      <c r="AX231" s="1" t="s">
        <v>86</v>
      </c>
      <c r="AY231" s="1" t="s">
        <v>86</v>
      </c>
      <c r="AZ231" s="1" t="s">
        <v>86</v>
      </c>
      <c r="BA231" s="1" t="s">
        <v>86</v>
      </c>
      <c r="BB231" s="1" t="s">
        <v>86</v>
      </c>
      <c r="BC231" s="1" t="s">
        <v>86</v>
      </c>
      <c r="BD231" s="1" t="s">
        <v>86</v>
      </c>
      <c r="BE231" s="1" t="s">
        <v>86</v>
      </c>
      <c r="BF231" s="1" t="s">
        <v>86</v>
      </c>
      <c r="BG231" s="1" t="s">
        <v>86</v>
      </c>
      <c r="BH231" s="1" t="s">
        <v>215</v>
      </c>
      <c r="BI231" s="1" t="s">
        <v>216</v>
      </c>
      <c r="BJ231" s="1" t="s">
        <v>87</v>
      </c>
      <c r="BK231" s="1">
        <v>0</v>
      </c>
      <c r="BL231" s="1">
        <v>0</v>
      </c>
      <c r="BM231" s="1" t="s">
        <v>398</v>
      </c>
      <c r="BN231" s="1" t="s">
        <v>1359</v>
      </c>
      <c r="BO231" s="1" t="s">
        <v>1047</v>
      </c>
      <c r="BP231" s="1" t="s">
        <v>86</v>
      </c>
      <c r="BQ231" s="1" t="s">
        <v>86</v>
      </c>
      <c r="BR231" s="1" t="s">
        <v>86</v>
      </c>
      <c r="BS231" s="1" t="s">
        <v>86</v>
      </c>
      <c r="BT231" s="1" t="s">
        <v>86</v>
      </c>
      <c r="BU231" s="1" t="s">
        <v>163</v>
      </c>
      <c r="BV231" s="1" t="s">
        <v>86</v>
      </c>
      <c r="BW231" s="1" t="s">
        <v>101</v>
      </c>
      <c r="BX231" s="1" t="s">
        <v>545</v>
      </c>
      <c r="BY231" s="1" t="s">
        <v>86</v>
      </c>
      <c r="BZ231" s="1" t="s">
        <v>1360</v>
      </c>
      <c r="CA231" s="1" t="s">
        <v>1361</v>
      </c>
      <c r="CB231" s="1" t="s">
        <v>166</v>
      </c>
      <c r="CC231" s="1" t="s">
        <v>86</v>
      </c>
      <c r="CD231" s="1" t="s">
        <v>86</v>
      </c>
      <c r="CE231" s="1" t="s">
        <v>86</v>
      </c>
    </row>
    <row r="232">
      <c r="A232" s="1">
        <v>230</v>
      </c>
      <c r="B232" s="1" t="s">
        <v>395</v>
      </c>
      <c r="C232" s="2">
        <f>=HYPERLINK("https://i.stonehdfile.com/stoneimage?s=2fb08483-b44d-4045-abad-30e6eed54798","Image")</f>
      </c>
      <c r="D232" s="2">
        <f>=HYPERLINK("https://dna.stonehdfile.com/hd/viewhd.html?d=8d3d9473-2d3f-46c2-a74d-7d0b2ee19dc4","View360")</f>
      </c>
      <c r="E232" s="2">
        <f>=HYPERLINK("https://i.stonehdfile.com/Certificate?s=2fb08483-b44d-4045-abad-30e6eed54798","GIA")</f>
      </c>
      <c r="F232" s="2">
        <f>=HYPERLINK("https://i.stonehdfile.com/DNAReport?s=2fb08483-b44d-4045-abad-30e6eed54798","DNA")</f>
      </c>
      <c r="G232" s="2">
        <f>=HYPERLINK("https://www.gia.edu/report-check?reportno=******6554","Verify")</f>
      </c>
      <c r="H232" s="1" t="s">
        <v>1362</v>
      </c>
      <c r="I232" s="1" t="s">
        <v>46</v>
      </c>
      <c r="J232" s="1">
        <v>2.01</v>
      </c>
      <c r="K232" s="1">
        <v>5</v>
      </c>
      <c r="L232" s="1">
        <v>10900</v>
      </c>
      <c r="M232" s="1">
        <v>4731</v>
      </c>
      <c r="N232" s="1">
        <v>9509.31</v>
      </c>
      <c r="O232" s="1">
        <v>-56.6</v>
      </c>
      <c r="P232" s="1">
        <v>0</v>
      </c>
      <c r="Q232" s="1" t="s">
        <v>86</v>
      </c>
      <c r="R232" s="1">
        <v>0</v>
      </c>
      <c r="S232" s="1" t="s">
        <v>86</v>
      </c>
      <c r="T232" s="1" t="s">
        <v>86</v>
      </c>
      <c r="U232" s="1" t="s">
        <v>427</v>
      </c>
      <c r="V232" s="1" t="s">
        <v>86</v>
      </c>
      <c r="W232" s="1" t="s">
        <v>213</v>
      </c>
      <c r="X232" s="1" t="s">
        <v>86</v>
      </c>
      <c r="Y232" s="1" t="s">
        <v>89</v>
      </c>
      <c r="Z232" s="1" t="s">
        <v>89</v>
      </c>
      <c r="AA232" s="1" t="s">
        <v>87</v>
      </c>
      <c r="AB232" s="1" t="s">
        <v>86</v>
      </c>
      <c r="AC232" s="1" t="s">
        <v>1363</v>
      </c>
      <c r="AD232" s="1">
        <v>72</v>
      </c>
      <c r="AE232" s="1">
        <v>61</v>
      </c>
      <c r="AF232" s="1" t="s">
        <v>91</v>
      </c>
      <c r="AG232" s="1">
        <v>5.2</v>
      </c>
      <c r="AH232" s="1">
        <v>37.2</v>
      </c>
      <c r="AI232" s="1" t="s">
        <v>86</v>
      </c>
      <c r="AJ232" s="1">
        <v>1.17</v>
      </c>
      <c r="AK232" s="1" t="s">
        <v>111</v>
      </c>
      <c r="AL232" s="1" t="s">
        <v>93</v>
      </c>
      <c r="AM232" s="1" t="s">
        <v>140</v>
      </c>
      <c r="AN232" s="1" t="s">
        <v>171</v>
      </c>
      <c r="AO232" s="1" t="s">
        <v>208</v>
      </c>
      <c r="AP232" s="1" t="s">
        <v>95</v>
      </c>
      <c r="AQ232" s="1">
        <v>15</v>
      </c>
      <c r="AR232" s="1">
        <v>51.4</v>
      </c>
      <c r="AS232" s="1">
        <v>38.1</v>
      </c>
      <c r="AT232" s="1" t="s">
        <v>96</v>
      </c>
      <c r="AU232" s="1" t="s">
        <v>86</v>
      </c>
      <c r="AV232" s="1" t="s">
        <v>86</v>
      </c>
      <c r="AW232" s="1" t="s">
        <v>86</v>
      </c>
      <c r="AX232" s="1" t="s">
        <v>86</v>
      </c>
      <c r="AY232" s="1" t="s">
        <v>86</v>
      </c>
      <c r="AZ232" s="1" t="s">
        <v>86</v>
      </c>
      <c r="BA232" s="1" t="s">
        <v>86</v>
      </c>
      <c r="BB232" s="1" t="s">
        <v>86</v>
      </c>
      <c r="BC232" s="1" t="s">
        <v>86</v>
      </c>
      <c r="BD232" s="1" t="s">
        <v>86</v>
      </c>
      <c r="BE232" s="1" t="s">
        <v>86</v>
      </c>
      <c r="BF232" s="1" t="s">
        <v>282</v>
      </c>
      <c r="BG232" s="1" t="s">
        <v>172</v>
      </c>
      <c r="BH232" s="1" t="s">
        <v>243</v>
      </c>
      <c r="BI232" s="1" t="s">
        <v>1364</v>
      </c>
      <c r="BJ232" s="1" t="s">
        <v>87</v>
      </c>
      <c r="BK232" s="1">
        <v>0</v>
      </c>
      <c r="BL232" s="1">
        <v>0</v>
      </c>
      <c r="BM232" s="1" t="s">
        <v>398</v>
      </c>
      <c r="BN232" s="1" t="s">
        <v>1365</v>
      </c>
      <c r="BO232" s="1" t="s">
        <v>1366</v>
      </c>
      <c r="BP232" s="1" t="s">
        <v>86</v>
      </c>
      <c r="BQ232" s="1" t="s">
        <v>86</v>
      </c>
      <c r="BR232" s="1" t="s">
        <v>86</v>
      </c>
      <c r="BS232" s="1" t="s">
        <v>86</v>
      </c>
      <c r="BT232" s="1" t="s">
        <v>86</v>
      </c>
      <c r="BU232" s="1" t="s">
        <v>163</v>
      </c>
      <c r="BV232" s="1" t="s">
        <v>86</v>
      </c>
      <c r="BW232" s="1" t="s">
        <v>101</v>
      </c>
      <c r="BX232" s="1" t="s">
        <v>414</v>
      </c>
      <c r="BY232" s="1" t="s">
        <v>86</v>
      </c>
      <c r="BZ232" s="1" t="s">
        <v>1367</v>
      </c>
      <c r="CA232" s="1" t="s">
        <v>220</v>
      </c>
      <c r="CB232" s="1" t="s">
        <v>722</v>
      </c>
      <c r="CC232" s="1" t="s">
        <v>86</v>
      </c>
      <c r="CD232" s="1" t="s">
        <v>86</v>
      </c>
      <c r="CE232" s="1" t="s">
        <v>86</v>
      </c>
    </row>
    <row r="233">
      <c r="A233" s="1">
        <v>231</v>
      </c>
      <c r="B233" s="1" t="s">
        <v>395</v>
      </c>
      <c r="C233" s="2">
        <f>=HYPERLINK("https://i.stonehdfile.com/stoneimage?s=6875fc3e-aef2-4dd2-9cb9-a2984adacba5","Image")</f>
      </c>
      <c r="D233" s="2">
        <f>=HYPERLINK("https://dna.stonehdfile.com/hd/viewhd.html?d=a3b5e748-189f-41b6-8a12-9fe79d6dc3a5","View360")</f>
      </c>
      <c r="E233" s="2">
        <f>=HYPERLINK("https://i.stonehdfile.com/Certificate?s=6875fc3e-aef2-4dd2-9cb9-a2984adacba5","GIA")</f>
      </c>
      <c r="F233" s="2">
        <f>=HYPERLINK("https://i.stonehdfile.com/DNAReport?s=6875fc3e-aef2-4dd2-9cb9-a2984adacba5","DNA")</f>
      </c>
      <c r="G233" s="2">
        <f>=HYPERLINK("https://www.gia.edu/report-check?reportno=******0258","Verify")</f>
      </c>
      <c r="H233" s="1" t="s">
        <v>1368</v>
      </c>
      <c r="I233" s="1" t="s">
        <v>46</v>
      </c>
      <c r="J233" s="1">
        <v>2.5</v>
      </c>
      <c r="K233" s="1">
        <v>8</v>
      </c>
      <c r="L233" s="1">
        <v>17000</v>
      </c>
      <c r="M233" s="1">
        <v>11090</v>
      </c>
      <c r="N233" s="1">
        <v>27725</v>
      </c>
      <c r="O233" s="1">
        <v>-34.76</v>
      </c>
      <c r="P233" s="1">
        <v>0</v>
      </c>
      <c r="Q233" s="1" t="s">
        <v>86</v>
      </c>
      <c r="R233" s="1">
        <v>0</v>
      </c>
      <c r="S233" s="1" t="s">
        <v>86</v>
      </c>
      <c r="T233" s="1" t="s">
        <v>86</v>
      </c>
      <c r="U233" s="1" t="s">
        <v>482</v>
      </c>
      <c r="V233" s="1" t="s">
        <v>86</v>
      </c>
      <c r="W233" s="1" t="s">
        <v>107</v>
      </c>
      <c r="X233" s="1" t="s">
        <v>86</v>
      </c>
      <c r="Y233" s="1" t="s">
        <v>89</v>
      </c>
      <c r="Z233" s="1" t="s">
        <v>89</v>
      </c>
      <c r="AA233" s="1" t="s">
        <v>119</v>
      </c>
      <c r="AB233" s="1" t="s">
        <v>86</v>
      </c>
      <c r="AC233" s="1" t="s">
        <v>1369</v>
      </c>
      <c r="AD233" s="1">
        <v>69.3</v>
      </c>
      <c r="AE233" s="1">
        <v>64</v>
      </c>
      <c r="AF233" s="1" t="s">
        <v>91</v>
      </c>
      <c r="AG233" s="1">
        <v>2.7</v>
      </c>
      <c r="AH233" s="1">
        <v>35.8</v>
      </c>
      <c r="AI233" s="1" t="s">
        <v>86</v>
      </c>
      <c r="AJ233" s="1">
        <v>1.23</v>
      </c>
      <c r="AK233" s="1" t="s">
        <v>92</v>
      </c>
      <c r="AL233" s="1" t="s">
        <v>93</v>
      </c>
      <c r="AM233" s="1" t="s">
        <v>93</v>
      </c>
      <c r="AN233" s="1" t="s">
        <v>86</v>
      </c>
      <c r="AO233" s="1" t="s">
        <v>94</v>
      </c>
      <c r="AP233" s="1" t="s">
        <v>95</v>
      </c>
      <c r="AQ233" s="1">
        <v>12.9</v>
      </c>
      <c r="AR233" s="1">
        <v>53.2</v>
      </c>
      <c r="AS233" s="1">
        <v>37.8</v>
      </c>
      <c r="AT233" s="1" t="s">
        <v>96</v>
      </c>
      <c r="AU233" s="1" t="s">
        <v>86</v>
      </c>
      <c r="AV233" s="1" t="s">
        <v>86</v>
      </c>
      <c r="AW233" s="1" t="s">
        <v>86</v>
      </c>
      <c r="AX233" s="1" t="s">
        <v>86</v>
      </c>
      <c r="AY233" s="1" t="s">
        <v>86</v>
      </c>
      <c r="AZ233" s="1" t="s">
        <v>86</v>
      </c>
      <c r="BA233" s="1" t="s">
        <v>86</v>
      </c>
      <c r="BB233" s="1" t="s">
        <v>86</v>
      </c>
      <c r="BC233" s="1" t="s">
        <v>86</v>
      </c>
      <c r="BD233" s="1" t="s">
        <v>86</v>
      </c>
      <c r="BE233" s="1" t="s">
        <v>86</v>
      </c>
      <c r="BF233" s="1" t="s">
        <v>86</v>
      </c>
      <c r="BG233" s="1" t="s">
        <v>86</v>
      </c>
      <c r="BH233" s="1" t="s">
        <v>97</v>
      </c>
      <c r="BI233" s="1" t="s">
        <v>430</v>
      </c>
      <c r="BJ233" s="1" t="s">
        <v>87</v>
      </c>
      <c r="BK233" s="1">
        <v>0</v>
      </c>
      <c r="BL233" s="1">
        <v>0</v>
      </c>
      <c r="BM233" s="1" t="s">
        <v>398</v>
      </c>
      <c r="BN233" s="1" t="s">
        <v>1370</v>
      </c>
      <c r="BO233" s="1" t="s">
        <v>732</v>
      </c>
      <c r="BP233" s="1" t="s">
        <v>86</v>
      </c>
      <c r="BQ233" s="1" t="s">
        <v>86</v>
      </c>
      <c r="BR233" s="1" t="s">
        <v>86</v>
      </c>
      <c r="BS233" s="1" t="s">
        <v>86</v>
      </c>
      <c r="BT233" s="1" t="s">
        <v>86</v>
      </c>
      <c r="BU233" s="1" t="s">
        <v>163</v>
      </c>
      <c r="BV233" s="1" t="s">
        <v>86</v>
      </c>
      <c r="BW233" s="1" t="s">
        <v>101</v>
      </c>
      <c r="BX233" s="1" t="s">
        <v>470</v>
      </c>
      <c r="BY233" s="1" t="s">
        <v>86</v>
      </c>
      <c r="BZ233" s="1" t="s">
        <v>1371</v>
      </c>
      <c r="CA233" s="1" t="s">
        <v>332</v>
      </c>
      <c r="CB233" s="1" t="s">
        <v>86</v>
      </c>
      <c r="CC233" s="1" t="s">
        <v>86</v>
      </c>
      <c r="CD233" s="1" t="s">
        <v>86</v>
      </c>
      <c r="CE233" s="1" t="s">
        <v>86</v>
      </c>
    </row>
    <row r="234">
      <c r="A234" s="1">
        <v>232</v>
      </c>
      <c r="B234" s="1" t="s">
        <v>395</v>
      </c>
      <c r="C234" s="2">
        <f>=HYPERLINK("https://i.stonehdfile.com/stoneimage?s=551d3ec6-0dd9-4d4b-bd46-a943bcdd615b","Image")</f>
      </c>
      <c r="D234" s="2">
        <f>=HYPERLINK("https://dna.stonehdfile.com/hd/viewhd.html?d=2ecb8b12-0244-4ec7-b9c9-2e9655d9a66a","View360")</f>
      </c>
      <c r="E234" s="2">
        <f>=HYPERLINK("https://i.stonehdfile.com/Certificate?s=551d3ec6-0dd9-4d4b-bd46-a943bcdd615b","GIA")</f>
      </c>
      <c r="F234" s="2">
        <f>=HYPERLINK("https://i.stonehdfile.com/DNAReport?s=551d3ec6-0dd9-4d4b-bd46-a943bcdd615b","DNA")</f>
      </c>
      <c r="G234" s="2">
        <f>=HYPERLINK("https://www.gia.edu/report-check?reportno=******1096","Verify")</f>
      </c>
      <c r="H234" s="1" t="s">
        <v>1372</v>
      </c>
      <c r="I234" s="1" t="s">
        <v>46</v>
      </c>
      <c r="J234" s="1">
        <v>2.26</v>
      </c>
      <c r="K234" s="1">
        <v>2</v>
      </c>
      <c r="L234" s="1">
        <v>17000</v>
      </c>
      <c r="M234" s="1">
        <v>9155</v>
      </c>
      <c r="N234" s="1">
        <v>20690.3</v>
      </c>
      <c r="O234" s="1">
        <v>-46.15</v>
      </c>
      <c r="P234" s="1">
        <v>0</v>
      </c>
      <c r="Q234" s="1" t="s">
        <v>86</v>
      </c>
      <c r="R234" s="1">
        <v>0</v>
      </c>
      <c r="S234" s="1" t="s">
        <v>86</v>
      </c>
      <c r="T234" s="1" t="s">
        <v>86</v>
      </c>
      <c r="U234" s="1" t="s">
        <v>87</v>
      </c>
      <c r="V234" s="1" t="s">
        <v>86</v>
      </c>
      <c r="W234" s="1" t="s">
        <v>149</v>
      </c>
      <c r="X234" s="1" t="s">
        <v>86</v>
      </c>
      <c r="Y234" s="1" t="s">
        <v>89</v>
      </c>
      <c r="Z234" s="1" t="s">
        <v>89</v>
      </c>
      <c r="AA234" s="1" t="s">
        <v>119</v>
      </c>
      <c r="AB234" s="1" t="s">
        <v>86</v>
      </c>
      <c r="AC234" s="1" t="s">
        <v>1373</v>
      </c>
      <c r="AD234" s="1">
        <v>69.1</v>
      </c>
      <c r="AE234" s="1">
        <v>61</v>
      </c>
      <c r="AF234" s="1" t="s">
        <v>91</v>
      </c>
      <c r="AG234" s="1">
        <v>3.6</v>
      </c>
      <c r="AH234" s="1">
        <v>36.3</v>
      </c>
      <c r="AI234" s="1" t="s">
        <v>86</v>
      </c>
      <c r="AJ234" s="1">
        <v>1.05</v>
      </c>
      <c r="AK234" s="1" t="s">
        <v>190</v>
      </c>
      <c r="AL234" s="1" t="s">
        <v>140</v>
      </c>
      <c r="AM234" s="1" t="s">
        <v>140</v>
      </c>
      <c r="AN234" s="1" t="s">
        <v>86</v>
      </c>
      <c r="AO234" s="1" t="s">
        <v>94</v>
      </c>
      <c r="AP234" s="1" t="s">
        <v>95</v>
      </c>
      <c r="AQ234" s="1">
        <v>14.3</v>
      </c>
      <c r="AR234" s="1">
        <v>50.6</v>
      </c>
      <c r="AS234" s="1">
        <v>39.6</v>
      </c>
      <c r="AT234" s="1" t="s">
        <v>96</v>
      </c>
      <c r="AU234" s="1" t="s">
        <v>86</v>
      </c>
      <c r="AV234" s="1" t="s">
        <v>86</v>
      </c>
      <c r="AW234" s="1" t="s">
        <v>86</v>
      </c>
      <c r="AX234" s="1" t="s">
        <v>86</v>
      </c>
      <c r="AY234" s="1" t="s">
        <v>86</v>
      </c>
      <c r="AZ234" s="1" t="s">
        <v>86</v>
      </c>
      <c r="BA234" s="1" t="s">
        <v>86</v>
      </c>
      <c r="BB234" s="1" t="s">
        <v>86</v>
      </c>
      <c r="BC234" s="1" t="s">
        <v>86</v>
      </c>
      <c r="BD234" s="1" t="s">
        <v>86</v>
      </c>
      <c r="BE234" s="1" t="s">
        <v>86</v>
      </c>
      <c r="BF234" s="1" t="s">
        <v>86</v>
      </c>
      <c r="BG234" s="1" t="s">
        <v>86</v>
      </c>
      <c r="BH234" s="1" t="s">
        <v>215</v>
      </c>
      <c r="BI234" s="1" t="s">
        <v>576</v>
      </c>
      <c r="BJ234" s="1" t="s">
        <v>87</v>
      </c>
      <c r="BK234" s="1">
        <v>0</v>
      </c>
      <c r="BL234" s="1">
        <v>0</v>
      </c>
      <c r="BM234" s="1" t="s">
        <v>398</v>
      </c>
      <c r="BN234" s="1" t="s">
        <v>1374</v>
      </c>
      <c r="BO234" s="1" t="s">
        <v>432</v>
      </c>
      <c r="BP234" s="1" t="s">
        <v>86</v>
      </c>
      <c r="BQ234" s="1" t="s">
        <v>86</v>
      </c>
      <c r="BR234" s="1" t="s">
        <v>86</v>
      </c>
      <c r="BS234" s="1" t="s">
        <v>86</v>
      </c>
      <c r="BT234" s="1" t="s">
        <v>86</v>
      </c>
      <c r="BU234" s="1" t="s">
        <v>163</v>
      </c>
      <c r="BV234" s="1" t="s">
        <v>86</v>
      </c>
      <c r="BW234" s="1" t="s">
        <v>101</v>
      </c>
      <c r="BX234" s="1" t="s">
        <v>545</v>
      </c>
      <c r="BY234" s="1" t="s">
        <v>86</v>
      </c>
      <c r="BZ234" s="1" t="s">
        <v>1375</v>
      </c>
      <c r="CA234" s="1" t="s">
        <v>297</v>
      </c>
      <c r="CB234" s="1" t="s">
        <v>166</v>
      </c>
      <c r="CC234" s="1" t="s">
        <v>86</v>
      </c>
      <c r="CD234" s="1" t="s">
        <v>86</v>
      </c>
      <c r="CE234" s="1" t="s">
        <v>86</v>
      </c>
    </row>
    <row r="235">
      <c r="A235" s="1">
        <v>233</v>
      </c>
      <c r="B235" s="1" t="s">
        <v>395</v>
      </c>
      <c r="C235" s="2">
        <f>=HYPERLINK("https://i.stonehdfile.com/stoneimage?s=bf47d567-9498-47e1-b579-16ee3ef847a3","Image")</f>
      </c>
      <c r="D235" s="2">
        <f>=HYPERLINK("https://dna.stonehdfile.com/hd/viewhd.html?d=cae5841f-383b-463d-a4f6-ef4dbfdb9e39","View360")</f>
      </c>
      <c r="E235" s="2">
        <f>=HYPERLINK("https://i.stonehdfile.com/Certificate?s=bf47d567-9498-47e1-b579-16ee3ef847a3","GIA")</f>
      </c>
      <c r="F235" s="2">
        <f>=HYPERLINK("https://i.stonehdfile.com/DNAReport?s=bf47d567-9498-47e1-b579-16ee3ef847a3","DNA")</f>
      </c>
      <c r="G235" s="2">
        <f>=HYPERLINK("https://www.gia.edu/report-check?reportno=******1083","Verify")</f>
      </c>
      <c r="H235" s="1" t="s">
        <v>1376</v>
      </c>
      <c r="I235" s="1" t="s">
        <v>46</v>
      </c>
      <c r="J235" s="1">
        <v>2.51</v>
      </c>
      <c r="K235" s="1">
        <v>1</v>
      </c>
      <c r="L235" s="1">
        <v>15500</v>
      </c>
      <c r="M235" s="1">
        <v>8683</v>
      </c>
      <c r="N235" s="1">
        <v>21794.33</v>
      </c>
      <c r="O235" s="1">
        <v>-43.98</v>
      </c>
      <c r="P235" s="1">
        <v>0</v>
      </c>
      <c r="Q235" s="1" t="s">
        <v>86</v>
      </c>
      <c r="R235" s="1">
        <v>0</v>
      </c>
      <c r="S235" s="1" t="s">
        <v>86</v>
      </c>
      <c r="T235" s="1" t="s">
        <v>86</v>
      </c>
      <c r="U235" s="1" t="s">
        <v>87</v>
      </c>
      <c r="V235" s="1" t="s">
        <v>86</v>
      </c>
      <c r="W235" s="1" t="s">
        <v>223</v>
      </c>
      <c r="X235" s="1" t="s">
        <v>86</v>
      </c>
      <c r="Y235" s="1" t="s">
        <v>89</v>
      </c>
      <c r="Z235" s="1" t="s">
        <v>89</v>
      </c>
      <c r="AA235" s="1" t="s">
        <v>119</v>
      </c>
      <c r="AB235" s="1" t="s">
        <v>86</v>
      </c>
      <c r="AC235" s="1" t="s">
        <v>1377</v>
      </c>
      <c r="AD235" s="1">
        <v>69.2</v>
      </c>
      <c r="AE235" s="1">
        <v>60</v>
      </c>
      <c r="AF235" s="1" t="s">
        <v>91</v>
      </c>
      <c r="AG235" s="1">
        <v>3.2</v>
      </c>
      <c r="AH235" s="1">
        <v>36.2</v>
      </c>
      <c r="AI235" s="1" t="s">
        <v>86</v>
      </c>
      <c r="AJ235" s="1">
        <v>1.02</v>
      </c>
      <c r="AK235" s="1" t="s">
        <v>111</v>
      </c>
      <c r="AL235" s="1" t="s">
        <v>93</v>
      </c>
      <c r="AM235" s="1" t="s">
        <v>140</v>
      </c>
      <c r="AN235" s="1" t="s">
        <v>171</v>
      </c>
      <c r="AO235" s="1" t="s">
        <v>94</v>
      </c>
      <c r="AP235" s="1" t="s">
        <v>95</v>
      </c>
      <c r="AQ235" s="1">
        <v>14.5</v>
      </c>
      <c r="AR235" s="1">
        <v>51.5</v>
      </c>
      <c r="AS235" s="1">
        <v>39.6</v>
      </c>
      <c r="AT235" s="1" t="s">
        <v>96</v>
      </c>
      <c r="AU235" s="1" t="s">
        <v>86</v>
      </c>
      <c r="AV235" s="1" t="s">
        <v>86</v>
      </c>
      <c r="AW235" s="1" t="s">
        <v>86</v>
      </c>
      <c r="AX235" s="1" t="s">
        <v>86</v>
      </c>
      <c r="AY235" s="1" t="s">
        <v>86</v>
      </c>
      <c r="AZ235" s="1" t="s">
        <v>86</v>
      </c>
      <c r="BA235" s="1" t="s">
        <v>86</v>
      </c>
      <c r="BB235" s="1" t="s">
        <v>86</v>
      </c>
      <c r="BC235" s="1" t="s">
        <v>86</v>
      </c>
      <c r="BD235" s="1" t="s">
        <v>86</v>
      </c>
      <c r="BE235" s="1" t="s">
        <v>86</v>
      </c>
      <c r="BF235" s="1" t="s">
        <v>86</v>
      </c>
      <c r="BG235" s="1" t="s">
        <v>86</v>
      </c>
      <c r="BH235" s="1" t="s">
        <v>97</v>
      </c>
      <c r="BI235" s="1" t="s">
        <v>199</v>
      </c>
      <c r="BJ235" s="1" t="s">
        <v>87</v>
      </c>
      <c r="BK235" s="1">
        <v>0</v>
      </c>
      <c r="BL235" s="1">
        <v>0</v>
      </c>
      <c r="BM235" s="1" t="s">
        <v>398</v>
      </c>
      <c r="BN235" s="1" t="s">
        <v>1378</v>
      </c>
      <c r="BO235" s="1" t="s">
        <v>432</v>
      </c>
      <c r="BP235" s="1" t="s">
        <v>86</v>
      </c>
      <c r="BQ235" s="1" t="s">
        <v>86</v>
      </c>
      <c r="BR235" s="1" t="s">
        <v>86</v>
      </c>
      <c r="BS235" s="1" t="s">
        <v>86</v>
      </c>
      <c r="BT235" s="1" t="s">
        <v>86</v>
      </c>
      <c r="BU235" s="1" t="s">
        <v>163</v>
      </c>
      <c r="BV235" s="1" t="s">
        <v>86</v>
      </c>
      <c r="BW235" s="1" t="s">
        <v>101</v>
      </c>
      <c r="BX235" s="1" t="s">
        <v>478</v>
      </c>
      <c r="BY235" s="1" t="s">
        <v>86</v>
      </c>
      <c r="BZ235" s="1" t="s">
        <v>1379</v>
      </c>
      <c r="CA235" s="1" t="s">
        <v>229</v>
      </c>
      <c r="CB235" s="1" t="s">
        <v>269</v>
      </c>
      <c r="CC235" s="1" t="s">
        <v>86</v>
      </c>
      <c r="CD235" s="1" t="s">
        <v>86</v>
      </c>
      <c r="CE235" s="1" t="s">
        <v>86</v>
      </c>
    </row>
    <row r="236">
      <c r="A236" s="1">
        <v>234</v>
      </c>
      <c r="B236" s="1" t="s">
        <v>395</v>
      </c>
      <c r="C236" s="2">
        <f>=HYPERLINK("https://i.stonehdfile.com/stoneimage?s=e4bd9cfd-b5d1-4a9f-bf56-843e0c9d5bcf","Image")</f>
      </c>
      <c r="D236" s="2">
        <f>=HYPERLINK("https://dna.stonehdfile.com/hd/viewhd.html?d=323c63e7-335e-4dab-8154-7766cb74f904","View360")</f>
      </c>
      <c r="E236" s="2">
        <f>=HYPERLINK("https://i.stonehdfile.com/Certificate?s=e4bd9cfd-b5d1-4a9f-bf56-843e0c9d5bcf","GIA")</f>
      </c>
      <c r="F236" s="2">
        <f>=HYPERLINK("https://i.stonehdfile.com/DNAReport?s=e4bd9cfd-b5d1-4a9f-bf56-843e0c9d5bcf","DNA")</f>
      </c>
      <c r="G236" s="2">
        <f>=HYPERLINK("https://www.gia.edu/report-check?reportno=******4719","Verify")</f>
      </c>
      <c r="H236" s="1" t="s">
        <v>1380</v>
      </c>
      <c r="I236" s="1" t="s">
        <v>46</v>
      </c>
      <c r="J236" s="1">
        <v>2.57</v>
      </c>
      <c r="K236" s="1">
        <v>8</v>
      </c>
      <c r="L236" s="1">
        <v>15500</v>
      </c>
      <c r="M236" s="1">
        <v>7484</v>
      </c>
      <c r="N236" s="1">
        <v>19233.88</v>
      </c>
      <c r="O236" s="1">
        <v>-51.72</v>
      </c>
      <c r="P236" s="1">
        <v>0</v>
      </c>
      <c r="Q236" s="1" t="s">
        <v>86</v>
      </c>
      <c r="R236" s="1">
        <v>0</v>
      </c>
      <c r="S236" s="1" t="s">
        <v>86</v>
      </c>
      <c r="T236" s="1" t="s">
        <v>86</v>
      </c>
      <c r="U236" s="1" t="s">
        <v>87</v>
      </c>
      <c r="V236" s="1" t="s">
        <v>86</v>
      </c>
      <c r="W236" s="1" t="s">
        <v>223</v>
      </c>
      <c r="X236" s="1" t="s">
        <v>86</v>
      </c>
      <c r="Y236" s="1" t="s">
        <v>89</v>
      </c>
      <c r="Z236" s="1" t="s">
        <v>89</v>
      </c>
      <c r="AA236" s="1" t="s">
        <v>119</v>
      </c>
      <c r="AB236" s="1" t="s">
        <v>86</v>
      </c>
      <c r="AC236" s="1" t="s">
        <v>1381</v>
      </c>
      <c r="AD236" s="1">
        <v>66.4</v>
      </c>
      <c r="AE236" s="1">
        <v>61</v>
      </c>
      <c r="AF236" s="1" t="s">
        <v>91</v>
      </c>
      <c r="AG236" s="1">
        <v>2.9</v>
      </c>
      <c r="AH236" s="1">
        <v>35.7</v>
      </c>
      <c r="AI236" s="1" t="s">
        <v>86</v>
      </c>
      <c r="AJ236" s="1">
        <v>1</v>
      </c>
      <c r="AK236" s="1" t="s">
        <v>198</v>
      </c>
      <c r="AL236" s="1" t="s">
        <v>140</v>
      </c>
      <c r="AM236" s="1" t="s">
        <v>151</v>
      </c>
      <c r="AN236" s="1" t="s">
        <v>171</v>
      </c>
      <c r="AO236" s="1" t="s">
        <v>94</v>
      </c>
      <c r="AP236" s="1" t="s">
        <v>95</v>
      </c>
      <c r="AQ236" s="1">
        <v>14</v>
      </c>
      <c r="AR236" s="1">
        <v>49.2</v>
      </c>
      <c r="AS236" s="1">
        <v>38.3</v>
      </c>
      <c r="AT236" s="1" t="s">
        <v>96</v>
      </c>
      <c r="AU236" s="1" t="s">
        <v>86</v>
      </c>
      <c r="AV236" s="1" t="s">
        <v>86</v>
      </c>
      <c r="AW236" s="1" t="s">
        <v>86</v>
      </c>
      <c r="AX236" s="1" t="s">
        <v>86</v>
      </c>
      <c r="AY236" s="1" t="s">
        <v>86</v>
      </c>
      <c r="AZ236" s="1" t="s">
        <v>86</v>
      </c>
      <c r="BA236" s="1" t="s">
        <v>86</v>
      </c>
      <c r="BB236" s="1" t="s">
        <v>86</v>
      </c>
      <c r="BC236" s="1" t="s">
        <v>86</v>
      </c>
      <c r="BD236" s="1" t="s">
        <v>86</v>
      </c>
      <c r="BE236" s="1" t="s">
        <v>86</v>
      </c>
      <c r="BF236" s="1" t="s">
        <v>86</v>
      </c>
      <c r="BG236" s="1" t="s">
        <v>86</v>
      </c>
      <c r="BH236" s="1" t="s">
        <v>182</v>
      </c>
      <c r="BI236" s="1" t="s">
        <v>387</v>
      </c>
      <c r="BJ236" s="1" t="s">
        <v>87</v>
      </c>
      <c r="BK236" s="1">
        <v>0</v>
      </c>
      <c r="BL236" s="1">
        <v>0</v>
      </c>
      <c r="BM236" s="1" t="s">
        <v>86</v>
      </c>
      <c r="BN236" s="1" t="s">
        <v>1382</v>
      </c>
      <c r="BO236" s="1" t="s">
        <v>1383</v>
      </c>
      <c r="BP236" s="1" t="s">
        <v>86</v>
      </c>
      <c r="BQ236" s="1" t="s">
        <v>86</v>
      </c>
      <c r="BR236" s="1" t="s">
        <v>86</v>
      </c>
      <c r="BS236" s="1" t="s">
        <v>86</v>
      </c>
      <c r="BT236" s="1" t="s">
        <v>86</v>
      </c>
      <c r="BU236" s="1" t="s">
        <v>163</v>
      </c>
      <c r="BV236" s="1" t="s">
        <v>86</v>
      </c>
      <c r="BW236" s="1" t="s">
        <v>101</v>
      </c>
      <c r="BX236" s="1" t="s">
        <v>545</v>
      </c>
      <c r="BY236" s="1" t="s">
        <v>86</v>
      </c>
      <c r="BZ236" s="1" t="s">
        <v>1384</v>
      </c>
      <c r="CA236" s="1" t="s">
        <v>178</v>
      </c>
      <c r="CB236" s="1" t="s">
        <v>166</v>
      </c>
      <c r="CC236" s="1" t="s">
        <v>86</v>
      </c>
      <c r="CD236" s="1" t="s">
        <v>86</v>
      </c>
      <c r="CE236" s="1" t="s">
        <v>86</v>
      </c>
    </row>
    <row r="237">
      <c r="A237" s="1">
        <v>235</v>
      </c>
      <c r="B237" s="1" t="s">
        <v>395</v>
      </c>
      <c r="C237" s="2">
        <f>=HYPERLINK("https://i.stonehdfile.com/stoneimage?s=7fc14bf8-ab08-4643-b00a-c191b183e93c","Image")</f>
      </c>
      <c r="D237" s="2">
        <f>=HYPERLINK("https://dna.stonehdfile.com/hd/viewhd.html?d=3fff5a52-6167-4643-96f9-d546b7867f66","View360")</f>
      </c>
      <c r="E237" s="2">
        <f>=HYPERLINK("https://i.stonehdfile.com/Certificate?s=7fc14bf8-ab08-4643-b00a-c191b183e93c","GIA")</f>
      </c>
      <c r="F237" s="2">
        <f>=HYPERLINK("https://i.stonehdfile.com/DNAReport?s=7fc14bf8-ab08-4643-b00a-c191b183e93c","DNA")</f>
      </c>
      <c r="G237" s="2">
        <f>=HYPERLINK("https://www.gia.edu/report-check?reportno=******7473","Verify")</f>
      </c>
      <c r="H237" s="1" t="s">
        <v>1385</v>
      </c>
      <c r="I237" s="1" t="s">
        <v>46</v>
      </c>
      <c r="J237" s="1">
        <v>2.01</v>
      </c>
      <c r="K237" s="1">
        <v>7</v>
      </c>
      <c r="L237" s="1">
        <v>16500</v>
      </c>
      <c r="M237" s="1">
        <v>9026</v>
      </c>
      <c r="N237" s="1">
        <v>18142.26</v>
      </c>
      <c r="O237" s="1">
        <v>-45.3</v>
      </c>
      <c r="P237" s="1">
        <v>0</v>
      </c>
      <c r="Q237" s="1" t="s">
        <v>86</v>
      </c>
      <c r="R237" s="1">
        <v>0</v>
      </c>
      <c r="S237" s="1" t="s">
        <v>86</v>
      </c>
      <c r="T237" s="1" t="s">
        <v>86</v>
      </c>
      <c r="U237" s="1" t="s">
        <v>106</v>
      </c>
      <c r="V237" s="1" t="s">
        <v>86</v>
      </c>
      <c r="W237" s="1" t="s">
        <v>88</v>
      </c>
      <c r="X237" s="1" t="s">
        <v>86</v>
      </c>
      <c r="Y237" s="1" t="s">
        <v>89</v>
      </c>
      <c r="Z237" s="1" t="s">
        <v>89</v>
      </c>
      <c r="AA237" s="1" t="s">
        <v>119</v>
      </c>
      <c r="AB237" s="1" t="s">
        <v>86</v>
      </c>
      <c r="AC237" s="1" t="s">
        <v>1386</v>
      </c>
      <c r="AD237" s="1">
        <v>67.2</v>
      </c>
      <c r="AE237" s="1">
        <v>64</v>
      </c>
      <c r="AF237" s="1" t="s">
        <v>91</v>
      </c>
      <c r="AG237" s="1">
        <v>3.5</v>
      </c>
      <c r="AH237" s="1">
        <v>35.7</v>
      </c>
      <c r="AI237" s="1" t="s">
        <v>86</v>
      </c>
      <c r="AJ237" s="1">
        <v>1.18</v>
      </c>
      <c r="AK237" s="1" t="s">
        <v>111</v>
      </c>
      <c r="AL237" s="1" t="s">
        <v>93</v>
      </c>
      <c r="AM237" s="1" t="s">
        <v>140</v>
      </c>
      <c r="AN237" s="1" t="s">
        <v>86</v>
      </c>
      <c r="AO237" s="1" t="s">
        <v>94</v>
      </c>
      <c r="AP237" s="1" t="s">
        <v>95</v>
      </c>
      <c r="AQ237" s="1">
        <v>13.1</v>
      </c>
      <c r="AR237" s="1">
        <v>50.6</v>
      </c>
      <c r="AS237" s="1">
        <v>38.1</v>
      </c>
      <c r="AT237" s="1" t="s">
        <v>96</v>
      </c>
      <c r="AU237" s="1" t="s">
        <v>86</v>
      </c>
      <c r="AV237" s="1" t="s">
        <v>86</v>
      </c>
      <c r="AW237" s="1" t="s">
        <v>86</v>
      </c>
      <c r="AX237" s="1" t="s">
        <v>86</v>
      </c>
      <c r="AY237" s="1" t="s">
        <v>86</v>
      </c>
      <c r="AZ237" s="1" t="s">
        <v>86</v>
      </c>
      <c r="BA237" s="1" t="s">
        <v>86</v>
      </c>
      <c r="BB237" s="1" t="s">
        <v>86</v>
      </c>
      <c r="BC237" s="1" t="s">
        <v>86</v>
      </c>
      <c r="BD237" s="1" t="s">
        <v>86</v>
      </c>
      <c r="BE237" s="1" t="s">
        <v>86</v>
      </c>
      <c r="BF237" s="1" t="s">
        <v>86</v>
      </c>
      <c r="BG237" s="1" t="s">
        <v>86</v>
      </c>
      <c r="BH237" s="1" t="s">
        <v>1339</v>
      </c>
      <c r="BI237" s="1" t="s">
        <v>183</v>
      </c>
      <c r="BJ237" s="1" t="s">
        <v>87</v>
      </c>
      <c r="BK237" s="1">
        <v>0</v>
      </c>
      <c r="BL237" s="1">
        <v>0</v>
      </c>
      <c r="BM237" s="1" t="s">
        <v>398</v>
      </c>
      <c r="BN237" s="1" t="s">
        <v>1387</v>
      </c>
      <c r="BO237" s="1" t="s">
        <v>1388</v>
      </c>
      <c r="BP237" s="1" t="s">
        <v>86</v>
      </c>
      <c r="BQ237" s="1" t="s">
        <v>86</v>
      </c>
      <c r="BR237" s="1" t="s">
        <v>86</v>
      </c>
      <c r="BS237" s="1" t="s">
        <v>86</v>
      </c>
      <c r="BT237" s="1" t="s">
        <v>86</v>
      </c>
      <c r="BU237" s="1" t="s">
        <v>163</v>
      </c>
      <c r="BV237" s="1" t="s">
        <v>86</v>
      </c>
      <c r="BW237" s="1" t="s">
        <v>101</v>
      </c>
      <c r="BX237" s="1" t="s">
        <v>478</v>
      </c>
      <c r="BY237" s="1" t="s">
        <v>86</v>
      </c>
      <c r="BZ237" s="1" t="s">
        <v>1389</v>
      </c>
      <c r="CA237" s="1" t="s">
        <v>165</v>
      </c>
      <c r="CB237" s="1" t="s">
        <v>86</v>
      </c>
      <c r="CC237" s="1" t="s">
        <v>86</v>
      </c>
      <c r="CD237" s="1" t="s">
        <v>86</v>
      </c>
      <c r="CE237" s="1" t="s">
        <v>86</v>
      </c>
    </row>
    <row r="238">
      <c r="A238" s="1">
        <v>236</v>
      </c>
      <c r="B238" s="1" t="s">
        <v>395</v>
      </c>
      <c r="C238" s="2">
        <f>=HYPERLINK("https://i.stonehdfile.com/stoneimage?s=9a801320-d88c-4de8-b22f-455df04d2264","Image")</f>
      </c>
      <c r="D238" s="2">
        <f>=HYPERLINK("https://dna.stonehdfile.com/hd/viewhd.html?d=14e679ce-fb71-4201-be03-4c5db93a63ef","View360")</f>
      </c>
      <c r="E238" s="2">
        <f>=HYPERLINK("https://i.stonehdfile.com/Certificate?s=9a801320-d88c-4de8-b22f-455df04d2264","GIA")</f>
      </c>
      <c r="F238" s="2">
        <f>=HYPERLINK("https://i.stonehdfile.com/DNAReport?s=9a801320-d88c-4de8-b22f-455df04d2264","DNA")</f>
      </c>
      <c r="G238" s="2">
        <f>=HYPERLINK("https://www.gia.edu/report-check?reportno=******7683","Verify")</f>
      </c>
      <c r="H238" s="1" t="s">
        <v>1390</v>
      </c>
      <c r="I238" s="1" t="s">
        <v>46</v>
      </c>
      <c r="J238" s="1">
        <v>2.01</v>
      </c>
      <c r="K238" s="1">
        <v>3</v>
      </c>
      <c r="L238" s="1">
        <v>15500</v>
      </c>
      <c r="M238" s="1">
        <v>8064</v>
      </c>
      <c r="N238" s="1">
        <v>16208.64</v>
      </c>
      <c r="O238" s="1">
        <v>-47.97</v>
      </c>
      <c r="P238" s="1">
        <v>0</v>
      </c>
      <c r="Q238" s="1" t="s">
        <v>86</v>
      </c>
      <c r="R238" s="1">
        <v>0</v>
      </c>
      <c r="S238" s="1" t="s">
        <v>86</v>
      </c>
      <c r="T238" s="1" t="s">
        <v>86</v>
      </c>
      <c r="U238" s="1" t="s">
        <v>241</v>
      </c>
      <c r="V238" s="1" t="s">
        <v>86</v>
      </c>
      <c r="W238" s="1" t="s">
        <v>149</v>
      </c>
      <c r="X238" s="1" t="s">
        <v>86</v>
      </c>
      <c r="Y238" s="1" t="s">
        <v>89</v>
      </c>
      <c r="Z238" s="1" t="s">
        <v>89</v>
      </c>
      <c r="AA238" s="1" t="s">
        <v>119</v>
      </c>
      <c r="AB238" s="1" t="s">
        <v>86</v>
      </c>
      <c r="AC238" s="1" t="s">
        <v>1391</v>
      </c>
      <c r="AD238" s="1">
        <v>69.3</v>
      </c>
      <c r="AE238" s="1">
        <v>61</v>
      </c>
      <c r="AF238" s="1" t="s">
        <v>91</v>
      </c>
      <c r="AG238" s="1">
        <v>2.9</v>
      </c>
      <c r="AH238" s="1">
        <v>35.9</v>
      </c>
      <c r="AI238" s="1" t="s">
        <v>86</v>
      </c>
      <c r="AJ238" s="1">
        <v>1.17</v>
      </c>
      <c r="AK238" s="1" t="s">
        <v>111</v>
      </c>
      <c r="AL238" s="1" t="s">
        <v>93</v>
      </c>
      <c r="AM238" s="1" t="s">
        <v>140</v>
      </c>
      <c r="AN238" s="1" t="s">
        <v>86</v>
      </c>
      <c r="AO238" s="1" t="s">
        <v>94</v>
      </c>
      <c r="AP238" s="1" t="s">
        <v>95</v>
      </c>
      <c r="AQ238" s="1">
        <v>14</v>
      </c>
      <c r="AR238" s="1">
        <v>52.1</v>
      </c>
      <c r="AS238" s="1">
        <v>38.2</v>
      </c>
      <c r="AT238" s="1" t="s">
        <v>96</v>
      </c>
      <c r="AU238" s="1" t="s">
        <v>141</v>
      </c>
      <c r="AV238" s="1" t="s">
        <v>86</v>
      </c>
      <c r="AW238" s="1" t="s">
        <v>86</v>
      </c>
      <c r="AX238" s="1" t="s">
        <v>86</v>
      </c>
      <c r="AY238" s="1" t="s">
        <v>86</v>
      </c>
      <c r="AZ238" s="1" t="s">
        <v>86</v>
      </c>
      <c r="BA238" s="1" t="s">
        <v>86</v>
      </c>
      <c r="BB238" s="1" t="s">
        <v>86</v>
      </c>
      <c r="BC238" s="1" t="s">
        <v>86</v>
      </c>
      <c r="BD238" s="1" t="s">
        <v>86</v>
      </c>
      <c r="BE238" s="1" t="s">
        <v>86</v>
      </c>
      <c r="BF238" s="1" t="s">
        <v>86</v>
      </c>
      <c r="BG238" s="1" t="s">
        <v>86</v>
      </c>
      <c r="BH238" s="1" t="s">
        <v>182</v>
      </c>
      <c r="BI238" s="1" t="s">
        <v>387</v>
      </c>
      <c r="BJ238" s="1" t="s">
        <v>87</v>
      </c>
      <c r="BK238" s="1">
        <v>0</v>
      </c>
      <c r="BL238" s="1">
        <v>0</v>
      </c>
      <c r="BM238" s="1" t="s">
        <v>398</v>
      </c>
      <c r="BN238" s="1" t="s">
        <v>1392</v>
      </c>
      <c r="BO238" s="1" t="s">
        <v>496</v>
      </c>
      <c r="BP238" s="1" t="s">
        <v>86</v>
      </c>
      <c r="BQ238" s="1" t="s">
        <v>86</v>
      </c>
      <c r="BR238" s="1" t="s">
        <v>86</v>
      </c>
      <c r="BS238" s="1" t="s">
        <v>86</v>
      </c>
      <c r="BT238" s="1" t="s">
        <v>86</v>
      </c>
      <c r="BU238" s="1" t="s">
        <v>163</v>
      </c>
      <c r="BV238" s="1" t="s">
        <v>86</v>
      </c>
      <c r="BW238" s="1" t="s">
        <v>101</v>
      </c>
      <c r="BX238" s="1" t="s">
        <v>439</v>
      </c>
      <c r="BY238" s="1" t="s">
        <v>86</v>
      </c>
      <c r="BZ238" s="1" t="s">
        <v>1393</v>
      </c>
      <c r="CA238" s="1" t="s">
        <v>178</v>
      </c>
      <c r="CB238" s="1" t="s">
        <v>269</v>
      </c>
      <c r="CC238" s="1" t="s">
        <v>86</v>
      </c>
      <c r="CD238" s="1" t="s">
        <v>86</v>
      </c>
      <c r="CE238" s="1" t="s">
        <v>86</v>
      </c>
    </row>
    <row r="239">
      <c r="A239" s="1">
        <v>237</v>
      </c>
      <c r="B239" s="1" t="s">
        <v>395</v>
      </c>
      <c r="C239" s="2">
        <f>=HYPERLINK("https://i.stonehdfile.com/stoneimage?s=0311f34a-93b2-4ba1-9830-67f008c145b2","Image")</f>
      </c>
      <c r="D239" s="2">
        <f>=HYPERLINK("https://dna.stonehdfile.com/hd/viewhd.html?d=e4f2b571-2d56-4718-9efe-be0a7ab78c92","View360")</f>
      </c>
      <c r="E239" s="2">
        <f>=HYPERLINK("https://i.stonehdfile.com/Certificate?s=0311f34a-93b2-4ba1-9830-67f008c145b2","GIA")</f>
      </c>
      <c r="F239" s="2">
        <f>=HYPERLINK("https://i.stonehdfile.com/DNAReport?s=0311f34a-93b2-4ba1-9830-67f008c145b2","DNA")</f>
      </c>
      <c r="G239" s="2">
        <f>=HYPERLINK("https://www.gia.edu/report-check?reportno=******0186","Verify")</f>
      </c>
      <c r="H239" s="1" t="s">
        <v>1394</v>
      </c>
      <c r="I239" s="1" t="s">
        <v>46</v>
      </c>
      <c r="J239" s="1">
        <v>2.01</v>
      </c>
      <c r="K239" s="1">
        <v>8</v>
      </c>
      <c r="L239" s="1">
        <v>15500</v>
      </c>
      <c r="M239" s="1">
        <v>7375</v>
      </c>
      <c r="N239" s="1">
        <v>14823.75</v>
      </c>
      <c r="O239" s="1">
        <v>-52.42</v>
      </c>
      <c r="P239" s="1">
        <v>0</v>
      </c>
      <c r="Q239" s="1" t="s">
        <v>86</v>
      </c>
      <c r="R239" s="1">
        <v>0</v>
      </c>
      <c r="S239" s="1" t="s">
        <v>86</v>
      </c>
      <c r="T239" s="1" t="s">
        <v>86</v>
      </c>
      <c r="U239" s="1" t="s">
        <v>106</v>
      </c>
      <c r="V239" s="1" t="s">
        <v>86</v>
      </c>
      <c r="W239" s="1" t="s">
        <v>149</v>
      </c>
      <c r="X239" s="1" t="s">
        <v>86</v>
      </c>
      <c r="Y239" s="1" t="s">
        <v>89</v>
      </c>
      <c r="Z239" s="1" t="s">
        <v>89</v>
      </c>
      <c r="AA239" s="1" t="s">
        <v>119</v>
      </c>
      <c r="AB239" s="1" t="s">
        <v>86</v>
      </c>
      <c r="AC239" s="1" t="s">
        <v>1395</v>
      </c>
      <c r="AD239" s="1">
        <v>68.3</v>
      </c>
      <c r="AE239" s="1">
        <v>62</v>
      </c>
      <c r="AF239" s="1" t="s">
        <v>91</v>
      </c>
      <c r="AG239" s="1">
        <v>3.3</v>
      </c>
      <c r="AH239" s="1">
        <v>34.1</v>
      </c>
      <c r="AI239" s="1" t="s">
        <v>86</v>
      </c>
      <c r="AJ239" s="1">
        <v>1.1</v>
      </c>
      <c r="AK239" s="1" t="s">
        <v>111</v>
      </c>
      <c r="AL239" s="1" t="s">
        <v>93</v>
      </c>
      <c r="AM239" s="1" t="s">
        <v>93</v>
      </c>
      <c r="AN239" s="1" t="s">
        <v>86</v>
      </c>
      <c r="AO239" s="1" t="s">
        <v>94</v>
      </c>
      <c r="AP239" s="1" t="s">
        <v>95</v>
      </c>
      <c r="AQ239" s="1">
        <v>13</v>
      </c>
      <c r="AR239" s="1">
        <v>51.4</v>
      </c>
      <c r="AS239" s="1">
        <v>38.4</v>
      </c>
      <c r="AT239" s="1" t="s">
        <v>96</v>
      </c>
      <c r="AU239" s="1" t="s">
        <v>86</v>
      </c>
      <c r="AV239" s="1" t="s">
        <v>86</v>
      </c>
      <c r="AW239" s="1" t="s">
        <v>86</v>
      </c>
      <c r="AX239" s="1" t="s">
        <v>86</v>
      </c>
      <c r="AY239" s="1" t="s">
        <v>86</v>
      </c>
      <c r="AZ239" s="1" t="s">
        <v>86</v>
      </c>
      <c r="BA239" s="1" t="s">
        <v>86</v>
      </c>
      <c r="BB239" s="1" t="s">
        <v>86</v>
      </c>
      <c r="BC239" s="1" t="s">
        <v>86</v>
      </c>
      <c r="BD239" s="1" t="s">
        <v>86</v>
      </c>
      <c r="BE239" s="1" t="s">
        <v>86</v>
      </c>
      <c r="BF239" s="1" t="s">
        <v>86</v>
      </c>
      <c r="BG239" s="1" t="s">
        <v>86</v>
      </c>
      <c r="BH239" s="1" t="s">
        <v>215</v>
      </c>
      <c r="BI239" s="1" t="s">
        <v>232</v>
      </c>
      <c r="BJ239" s="1" t="s">
        <v>87</v>
      </c>
      <c r="BK239" s="1">
        <v>0</v>
      </c>
      <c r="BL239" s="1">
        <v>0</v>
      </c>
      <c r="BM239" s="1" t="s">
        <v>398</v>
      </c>
      <c r="BN239" s="1" t="s">
        <v>1396</v>
      </c>
      <c r="BO239" s="1" t="s">
        <v>1397</v>
      </c>
      <c r="BP239" s="1" t="s">
        <v>86</v>
      </c>
      <c r="BQ239" s="1" t="s">
        <v>86</v>
      </c>
      <c r="BR239" s="1" t="s">
        <v>86</v>
      </c>
      <c r="BS239" s="1" t="s">
        <v>86</v>
      </c>
      <c r="BT239" s="1" t="s">
        <v>86</v>
      </c>
      <c r="BU239" s="1" t="s">
        <v>163</v>
      </c>
      <c r="BV239" s="1" t="s">
        <v>86</v>
      </c>
      <c r="BW239" s="1" t="s">
        <v>101</v>
      </c>
      <c r="BX239" s="1" t="s">
        <v>401</v>
      </c>
      <c r="BY239" s="1" t="s">
        <v>86</v>
      </c>
      <c r="BZ239" s="1" t="s">
        <v>1398</v>
      </c>
      <c r="CA239" s="1" t="s">
        <v>297</v>
      </c>
      <c r="CB239" s="1" t="s">
        <v>269</v>
      </c>
      <c r="CC239" s="1" t="s">
        <v>86</v>
      </c>
      <c r="CD239" s="1" t="s">
        <v>86</v>
      </c>
      <c r="CE239" s="1" t="s">
        <v>86</v>
      </c>
    </row>
    <row r="240">
      <c r="A240" s="1">
        <v>238</v>
      </c>
      <c r="B240" s="1" t="s">
        <v>395</v>
      </c>
      <c r="C240" s="2">
        <f>=HYPERLINK("https://i.stonehdfile.com/stoneimage?s=fdf7a392-4a2e-4840-be21-2ca6d2025473","Image")</f>
      </c>
      <c r="D240" s="2">
        <f>=HYPERLINK("https://dna.stonehdfile.com/hd/viewhd.html?d=ac634fff-4b11-4cb9-adca-b51ccdb78d61","View360")</f>
      </c>
      <c r="E240" s="2">
        <f>=HYPERLINK("https://i.stonehdfile.com/Certificate?s=fdf7a392-4a2e-4840-be21-2ca6d2025473","GIA")</f>
      </c>
      <c r="F240" s="2">
        <f>=HYPERLINK("https://i.stonehdfile.com/DNAReport?s=fdf7a392-4a2e-4840-be21-2ca6d2025473","DNA")</f>
      </c>
      <c r="G240" s="2">
        <f>=HYPERLINK("https://www.gia.edu/report-check?reportno=******2035","Verify")</f>
      </c>
      <c r="H240" s="1" t="s">
        <v>1399</v>
      </c>
      <c r="I240" s="1" t="s">
        <v>46</v>
      </c>
      <c r="J240" s="1">
        <v>2.02</v>
      </c>
      <c r="K240" s="1">
        <v>8</v>
      </c>
      <c r="L240" s="1">
        <v>15500</v>
      </c>
      <c r="M240" s="1">
        <v>7281</v>
      </c>
      <c r="N240" s="1">
        <v>14707.62</v>
      </c>
      <c r="O240" s="1">
        <v>-53.03</v>
      </c>
      <c r="P240" s="1">
        <v>0</v>
      </c>
      <c r="Q240" s="1" t="s">
        <v>86</v>
      </c>
      <c r="R240" s="1">
        <v>0</v>
      </c>
      <c r="S240" s="1" t="s">
        <v>86</v>
      </c>
      <c r="T240" s="1" t="s">
        <v>86</v>
      </c>
      <c r="U240" s="1" t="s">
        <v>106</v>
      </c>
      <c r="V240" s="1" t="s">
        <v>86</v>
      </c>
      <c r="W240" s="1" t="s">
        <v>149</v>
      </c>
      <c r="X240" s="1" t="s">
        <v>86</v>
      </c>
      <c r="Y240" s="1" t="s">
        <v>138</v>
      </c>
      <c r="Z240" s="1" t="s">
        <v>89</v>
      </c>
      <c r="AA240" s="1" t="s">
        <v>87</v>
      </c>
      <c r="AB240" s="1" t="s">
        <v>86</v>
      </c>
      <c r="AC240" s="1" t="s">
        <v>1400</v>
      </c>
      <c r="AD240" s="1">
        <v>67.9</v>
      </c>
      <c r="AE240" s="1">
        <v>65</v>
      </c>
      <c r="AF240" s="1" t="s">
        <v>91</v>
      </c>
      <c r="AG240" s="1">
        <v>2.7</v>
      </c>
      <c r="AH240" s="1">
        <v>35.2</v>
      </c>
      <c r="AI240" s="1" t="s">
        <v>86</v>
      </c>
      <c r="AJ240" s="1">
        <v>1.01</v>
      </c>
      <c r="AK240" s="1" t="s">
        <v>111</v>
      </c>
      <c r="AL240" s="1" t="s">
        <v>93</v>
      </c>
      <c r="AM240" s="1" t="s">
        <v>93</v>
      </c>
      <c r="AN240" s="1" t="s">
        <v>86</v>
      </c>
      <c r="AO240" s="1" t="s">
        <v>94</v>
      </c>
      <c r="AP240" s="1" t="s">
        <v>95</v>
      </c>
      <c r="AQ240" s="1">
        <v>12.4</v>
      </c>
      <c r="AR240" s="1">
        <v>52.7</v>
      </c>
      <c r="AS240" s="1">
        <v>41.6</v>
      </c>
      <c r="AT240" s="1" t="s">
        <v>96</v>
      </c>
      <c r="AU240" s="1" t="s">
        <v>86</v>
      </c>
      <c r="AV240" s="1" t="s">
        <v>86</v>
      </c>
      <c r="AW240" s="1" t="s">
        <v>86</v>
      </c>
      <c r="AX240" s="1" t="s">
        <v>86</v>
      </c>
      <c r="AY240" s="1" t="s">
        <v>86</v>
      </c>
      <c r="AZ240" s="1" t="s">
        <v>86</v>
      </c>
      <c r="BA240" s="1" t="s">
        <v>86</v>
      </c>
      <c r="BB240" s="1" t="s">
        <v>86</v>
      </c>
      <c r="BC240" s="1" t="s">
        <v>86</v>
      </c>
      <c r="BD240" s="1" t="s">
        <v>86</v>
      </c>
      <c r="BE240" s="1" t="s">
        <v>86</v>
      </c>
      <c r="BF240" s="1" t="s">
        <v>86</v>
      </c>
      <c r="BG240" s="1" t="s">
        <v>86</v>
      </c>
      <c r="BH240" s="1" t="s">
        <v>657</v>
      </c>
      <c r="BI240" s="1" t="s">
        <v>430</v>
      </c>
      <c r="BJ240" s="1" t="s">
        <v>87</v>
      </c>
      <c r="BK240" s="1">
        <v>0</v>
      </c>
      <c r="BL240" s="1">
        <v>0</v>
      </c>
      <c r="BM240" s="1" t="s">
        <v>398</v>
      </c>
      <c r="BN240" s="1" t="s">
        <v>1401</v>
      </c>
      <c r="BO240" s="1" t="s">
        <v>496</v>
      </c>
      <c r="BP240" s="1" t="s">
        <v>86</v>
      </c>
      <c r="BQ240" s="1" t="s">
        <v>86</v>
      </c>
      <c r="BR240" s="1" t="s">
        <v>86</v>
      </c>
      <c r="BS240" s="1" t="s">
        <v>86</v>
      </c>
      <c r="BT240" s="1" t="s">
        <v>86</v>
      </c>
      <c r="BU240" s="1" t="s">
        <v>163</v>
      </c>
      <c r="BV240" s="1" t="s">
        <v>86</v>
      </c>
      <c r="BW240" s="1" t="s">
        <v>101</v>
      </c>
      <c r="BX240" s="1" t="s">
        <v>401</v>
      </c>
      <c r="BY240" s="1" t="s">
        <v>86</v>
      </c>
      <c r="BZ240" s="1" t="s">
        <v>1402</v>
      </c>
      <c r="CA240" s="1" t="s">
        <v>1343</v>
      </c>
      <c r="CB240" s="1" t="s">
        <v>1107</v>
      </c>
      <c r="CC240" s="1" t="s">
        <v>86</v>
      </c>
      <c r="CD240" s="1" t="s">
        <v>86</v>
      </c>
      <c r="CE240" s="1" t="s">
        <v>86</v>
      </c>
    </row>
    <row r="241">
      <c r="A241" s="1">
        <v>239</v>
      </c>
      <c r="B241" s="1" t="s">
        <v>395</v>
      </c>
      <c r="C241" s="2">
        <f>=HYPERLINK("https://i.stonehdfile.com/stoneimage?s=13b0704c-e2ee-40c1-b913-2fcba8243790","Image")</f>
      </c>
      <c r="D241" s="2">
        <f>=HYPERLINK("https://dna.stonehdfile.com/hd/viewhd.html?d=facdacda-b627-426f-8a67-fa55c0e61e56","View360")</f>
      </c>
      <c r="E241" s="2">
        <f>=HYPERLINK("https://i.stonehdfile.com/Certificate?s=13b0704c-e2ee-40c1-b913-2fcba8243790","GIA")</f>
      </c>
      <c r="F241" s="2">
        <f>=HYPERLINK("https://i.stonehdfile.com/DNAReport?s=13b0704c-e2ee-40c1-b913-2fcba8243790","DNA")</f>
      </c>
      <c r="G241" s="2">
        <f>=HYPERLINK("https://www.gia.edu/report-check?reportno=******2368","Verify")</f>
      </c>
      <c r="H241" s="1" t="s">
        <v>1403</v>
      </c>
      <c r="I241" s="1" t="s">
        <v>46</v>
      </c>
      <c r="J241" s="1">
        <v>2.03</v>
      </c>
      <c r="K241" s="1">
        <v>3</v>
      </c>
      <c r="L241" s="1">
        <v>15500</v>
      </c>
      <c r="M241" s="1">
        <v>7501</v>
      </c>
      <c r="N241" s="1">
        <v>15227.03</v>
      </c>
      <c r="O241" s="1">
        <v>-51.61</v>
      </c>
      <c r="P241" s="1">
        <v>0</v>
      </c>
      <c r="Q241" s="1" t="s">
        <v>86</v>
      </c>
      <c r="R241" s="1">
        <v>0</v>
      </c>
      <c r="S241" s="1" t="s">
        <v>86</v>
      </c>
      <c r="T241" s="1" t="s">
        <v>86</v>
      </c>
      <c r="U241" s="1" t="s">
        <v>106</v>
      </c>
      <c r="V241" s="1" t="s">
        <v>86</v>
      </c>
      <c r="W241" s="1" t="s">
        <v>149</v>
      </c>
      <c r="X241" s="1" t="s">
        <v>86</v>
      </c>
      <c r="Y241" s="1" t="s">
        <v>89</v>
      </c>
      <c r="Z241" s="1" t="s">
        <v>89</v>
      </c>
      <c r="AA241" s="1" t="s">
        <v>119</v>
      </c>
      <c r="AB241" s="1" t="s">
        <v>86</v>
      </c>
      <c r="AC241" s="1" t="s">
        <v>1404</v>
      </c>
      <c r="AD241" s="1">
        <v>68</v>
      </c>
      <c r="AE241" s="1">
        <v>60</v>
      </c>
      <c r="AF241" s="1" t="s">
        <v>91</v>
      </c>
      <c r="AG241" s="1">
        <v>3</v>
      </c>
      <c r="AH241" s="1">
        <v>35.9</v>
      </c>
      <c r="AI241" s="1" t="s">
        <v>86</v>
      </c>
      <c r="AJ241" s="1">
        <v>1.03</v>
      </c>
      <c r="AK241" s="1" t="s">
        <v>111</v>
      </c>
      <c r="AL241" s="1" t="s">
        <v>93</v>
      </c>
      <c r="AM241" s="1" t="s">
        <v>128</v>
      </c>
      <c r="AN241" s="1" t="s">
        <v>86</v>
      </c>
      <c r="AO241" s="1" t="s">
        <v>94</v>
      </c>
      <c r="AP241" s="1" t="s">
        <v>95</v>
      </c>
      <c r="AQ241" s="1">
        <v>14.2</v>
      </c>
      <c r="AR241" s="1">
        <v>50.8</v>
      </c>
      <c r="AS241" s="1">
        <v>39.3</v>
      </c>
      <c r="AT241" s="1" t="s">
        <v>96</v>
      </c>
      <c r="AU241" s="1" t="s">
        <v>86</v>
      </c>
      <c r="AV241" s="1" t="s">
        <v>86</v>
      </c>
      <c r="AW241" s="1" t="s">
        <v>86</v>
      </c>
      <c r="AX241" s="1" t="s">
        <v>86</v>
      </c>
      <c r="AY241" s="1" t="s">
        <v>86</v>
      </c>
      <c r="AZ241" s="1" t="s">
        <v>86</v>
      </c>
      <c r="BA241" s="1" t="s">
        <v>86</v>
      </c>
      <c r="BB241" s="1" t="s">
        <v>86</v>
      </c>
      <c r="BC241" s="1" t="s">
        <v>86</v>
      </c>
      <c r="BD241" s="1" t="s">
        <v>86</v>
      </c>
      <c r="BE241" s="1" t="s">
        <v>86</v>
      </c>
      <c r="BF241" s="1" t="s">
        <v>86</v>
      </c>
      <c r="BG241" s="1" t="s">
        <v>172</v>
      </c>
      <c r="BH241" s="1" t="s">
        <v>97</v>
      </c>
      <c r="BI241" s="1" t="s">
        <v>315</v>
      </c>
      <c r="BJ241" s="1" t="s">
        <v>87</v>
      </c>
      <c r="BK241" s="1">
        <v>0</v>
      </c>
      <c r="BL241" s="1">
        <v>0</v>
      </c>
      <c r="BM241" s="1" t="s">
        <v>398</v>
      </c>
      <c r="BN241" s="1" t="s">
        <v>1405</v>
      </c>
      <c r="BO241" s="1" t="s">
        <v>705</v>
      </c>
      <c r="BP241" s="1" t="s">
        <v>86</v>
      </c>
      <c r="BQ241" s="1" t="s">
        <v>86</v>
      </c>
      <c r="BR241" s="1" t="s">
        <v>86</v>
      </c>
      <c r="BS241" s="1" t="s">
        <v>86</v>
      </c>
      <c r="BT241" s="1" t="s">
        <v>86</v>
      </c>
      <c r="BU241" s="1" t="s">
        <v>163</v>
      </c>
      <c r="BV241" s="1" t="s">
        <v>86</v>
      </c>
      <c r="BW241" s="1" t="s">
        <v>101</v>
      </c>
      <c r="BX241" s="1" t="s">
        <v>478</v>
      </c>
      <c r="BY241" s="1" t="s">
        <v>86</v>
      </c>
      <c r="BZ241" s="1" t="s">
        <v>1406</v>
      </c>
      <c r="CA241" s="1" t="s">
        <v>532</v>
      </c>
      <c r="CB241" s="1" t="s">
        <v>1407</v>
      </c>
      <c r="CC241" s="1" t="s">
        <v>86</v>
      </c>
      <c r="CD241" s="1" t="s">
        <v>86</v>
      </c>
      <c r="CE241" s="1" t="s">
        <v>86</v>
      </c>
    </row>
    <row r="242">
      <c r="A242" s="4">
        <v>240</v>
      </c>
      <c r="B242" s="4" t="s">
        <v>395</v>
      </c>
      <c r="C242" s="2">
        <f>=HYPERLINK("https://i.stonehdfile.com/stoneimage?s=5d336ab8-7b06-4c28-8fae-85b05e7b5c15","Image")</f>
      </c>
      <c r="D242" s="2">
        <f>=HYPERLINK("https://dna.stonehdfile.com/hd/viewhd.html?d=e31eef80-a41a-484b-9d4a-0d53d8e2b789","View360")</f>
      </c>
      <c r="E242" s="2">
        <f>=HYPERLINK("https://i.stonehdfile.com/Certificate?s=5d336ab8-7b06-4c28-8fae-85b05e7b5c15","GIA")</f>
      </c>
      <c r="F242" s="2">
        <f>=HYPERLINK("https://i.stonehdfile.com/DNAReport?s=5d336ab8-7b06-4c28-8fae-85b05e7b5c15","DNA")</f>
      </c>
      <c r="G242" s="2">
        <f>=HYPERLINK("https://www.gia.edu/report-check?reportno=******4306","Verify")</f>
      </c>
      <c r="H242" s="4" t="s">
        <v>1408</v>
      </c>
      <c r="I242" s="4" t="s">
        <v>46</v>
      </c>
      <c r="J242" s="4">
        <v>2.07</v>
      </c>
      <c r="K242" s="4">
        <v>0</v>
      </c>
      <c r="L242" s="4">
        <v>15500</v>
      </c>
      <c r="M242" s="4">
        <v>7532</v>
      </c>
      <c r="N242" s="4">
        <v>15591.24</v>
      </c>
      <c r="O242" s="4">
        <v>-51.41</v>
      </c>
      <c r="P242" s="4">
        <v>0</v>
      </c>
      <c r="Q242" s="4" t="s">
        <v>1097</v>
      </c>
      <c r="R242" s="4">
        <v>0</v>
      </c>
      <c r="S242" s="4" t="s">
        <v>86</v>
      </c>
      <c r="T242" s="4" t="s">
        <v>1098</v>
      </c>
      <c r="U242" s="4" t="s">
        <v>106</v>
      </c>
      <c r="V242" s="4" t="s">
        <v>86</v>
      </c>
      <c r="W242" s="4" t="s">
        <v>149</v>
      </c>
      <c r="X242" s="4" t="s">
        <v>86</v>
      </c>
      <c r="Y242" s="4" t="s">
        <v>89</v>
      </c>
      <c r="Z242" s="4" t="s">
        <v>89</v>
      </c>
      <c r="AA242" s="4" t="s">
        <v>119</v>
      </c>
      <c r="AB242" s="4" t="s">
        <v>86</v>
      </c>
      <c r="AC242" s="4" t="s">
        <v>1409</v>
      </c>
      <c r="AD242" s="4">
        <v>68.9</v>
      </c>
      <c r="AE242" s="4">
        <v>66</v>
      </c>
      <c r="AF242" s="4" t="s">
        <v>91</v>
      </c>
      <c r="AG242" s="4">
        <v>3.2</v>
      </c>
      <c r="AH242" s="4">
        <v>35.9</v>
      </c>
      <c r="AI242" s="4" t="s">
        <v>86</v>
      </c>
      <c r="AJ242" s="4">
        <v>1.05</v>
      </c>
      <c r="AK242" s="4" t="s">
        <v>111</v>
      </c>
      <c r="AL242" s="4" t="s">
        <v>93</v>
      </c>
      <c r="AM242" s="4" t="s">
        <v>140</v>
      </c>
      <c r="AN242" s="4" t="s">
        <v>86</v>
      </c>
      <c r="AO242" s="4" t="s">
        <v>94</v>
      </c>
      <c r="AP242" s="4" t="s">
        <v>95</v>
      </c>
      <c r="AQ242" s="4">
        <v>12.3</v>
      </c>
      <c r="AR242" s="4">
        <v>53.2</v>
      </c>
      <c r="AS242" s="4">
        <v>40.4</v>
      </c>
      <c r="AT242" s="4" t="s">
        <v>96</v>
      </c>
      <c r="AU242" s="4" t="s">
        <v>86</v>
      </c>
      <c r="AV242" s="4" t="s">
        <v>86</v>
      </c>
      <c r="AW242" s="4" t="s">
        <v>86</v>
      </c>
      <c r="AX242" s="4" t="s">
        <v>86</v>
      </c>
      <c r="AY242" s="4" t="s">
        <v>86</v>
      </c>
      <c r="AZ242" s="4" t="s">
        <v>86</v>
      </c>
      <c r="BA242" s="4" t="s">
        <v>86</v>
      </c>
      <c r="BB242" s="4" t="s">
        <v>86</v>
      </c>
      <c r="BC242" s="4" t="s">
        <v>86</v>
      </c>
      <c r="BD242" s="4" t="s">
        <v>86</v>
      </c>
      <c r="BE242" s="4" t="s">
        <v>86</v>
      </c>
      <c r="BF242" s="4" t="s">
        <v>86</v>
      </c>
      <c r="BG242" s="4" t="s">
        <v>86</v>
      </c>
      <c r="BH242" s="4" t="s">
        <v>182</v>
      </c>
      <c r="BI242" s="4" t="s">
        <v>199</v>
      </c>
      <c r="BJ242" s="4" t="s">
        <v>87</v>
      </c>
      <c r="BK242" s="4">
        <v>0</v>
      </c>
      <c r="BL242" s="4">
        <v>0</v>
      </c>
      <c r="BM242" s="4" t="s">
        <v>398</v>
      </c>
      <c r="BN242" s="4" t="s">
        <v>1410</v>
      </c>
      <c r="BO242" s="4" t="s">
        <v>1052</v>
      </c>
      <c r="BP242" s="4" t="s">
        <v>86</v>
      </c>
      <c r="BQ242" s="4" t="s">
        <v>86</v>
      </c>
      <c r="BR242" s="4" t="s">
        <v>86</v>
      </c>
      <c r="BS242" s="4" t="s">
        <v>86</v>
      </c>
      <c r="BT242" s="4" t="s">
        <v>86</v>
      </c>
      <c r="BU242" s="4" t="s">
        <v>163</v>
      </c>
      <c r="BV242" s="4" t="s">
        <v>86</v>
      </c>
      <c r="BW242" s="4" t="s">
        <v>101</v>
      </c>
      <c r="BX242" s="4" t="s">
        <v>423</v>
      </c>
      <c r="BY242" s="4" t="s">
        <v>86</v>
      </c>
      <c r="BZ242" s="4" t="s">
        <v>1411</v>
      </c>
      <c r="CA242" s="4" t="s">
        <v>1412</v>
      </c>
      <c r="CB242" s="4" t="s">
        <v>156</v>
      </c>
      <c r="CC242" s="4" t="s">
        <v>86</v>
      </c>
      <c r="CD242" s="4" t="s">
        <v>86</v>
      </c>
      <c r="CE242" s="4" t="s">
        <v>86</v>
      </c>
    </row>
    <row r="243">
      <c r="A243" s="1">
        <v>241</v>
      </c>
      <c r="B243" s="1" t="s">
        <v>395</v>
      </c>
      <c r="C243" s="2">
        <f>=HYPERLINK("https://i.stonehdfile.com/stoneimage?s=8a91f176-d3a9-4399-9941-580b8a7c4c76","Image")</f>
      </c>
      <c r="D243" s="2">
        <f>=HYPERLINK("https://dna.stonehdfile.com/hd/viewhd.html?d=581ec408-1c7a-4fde-b592-2a813ebba490","View360")</f>
      </c>
      <c r="E243" s="2">
        <f>=HYPERLINK("https://i.stonehdfile.com/Certificate?s=8a91f176-d3a9-4399-9941-580b8a7c4c76","GIA")</f>
      </c>
      <c r="F243" s="2">
        <f>=HYPERLINK("https://i.stonehdfile.com/DNAReport?s=8a91f176-d3a9-4399-9941-580b8a7c4c76","DNA")</f>
      </c>
      <c r="G243" s="2">
        <f>=HYPERLINK("https://www.gia.edu/report-check?reportno=******0702","Verify")</f>
      </c>
      <c r="H243" s="1" t="s">
        <v>1413</v>
      </c>
      <c r="I243" s="1" t="s">
        <v>46</v>
      </c>
      <c r="J243" s="1">
        <v>2.02</v>
      </c>
      <c r="K243" s="1">
        <v>1</v>
      </c>
      <c r="L243" s="1">
        <v>14500</v>
      </c>
      <c r="M243" s="1">
        <v>6982</v>
      </c>
      <c r="N243" s="1">
        <v>14103.64</v>
      </c>
      <c r="O243" s="1">
        <v>-51.85</v>
      </c>
      <c r="P243" s="1">
        <v>0</v>
      </c>
      <c r="Q243" s="1" t="s">
        <v>86</v>
      </c>
      <c r="R243" s="1">
        <v>0</v>
      </c>
      <c r="S243" s="1" t="s">
        <v>86</v>
      </c>
      <c r="T243" s="1" t="s">
        <v>86</v>
      </c>
      <c r="U243" s="1" t="s">
        <v>106</v>
      </c>
      <c r="V243" s="1" t="s">
        <v>86</v>
      </c>
      <c r="W243" s="1" t="s">
        <v>352</v>
      </c>
      <c r="X243" s="1" t="s">
        <v>86</v>
      </c>
      <c r="Y243" s="1" t="s">
        <v>89</v>
      </c>
      <c r="Z243" s="1" t="s">
        <v>89</v>
      </c>
      <c r="AA243" s="1" t="s">
        <v>119</v>
      </c>
      <c r="AB243" s="1" t="s">
        <v>86</v>
      </c>
      <c r="AC243" s="1" t="s">
        <v>1414</v>
      </c>
      <c r="AD243" s="1">
        <v>69</v>
      </c>
      <c r="AE243" s="1">
        <v>64</v>
      </c>
      <c r="AF243" s="1" t="s">
        <v>91</v>
      </c>
      <c r="AG243" s="1">
        <v>1.7</v>
      </c>
      <c r="AH243" s="1">
        <v>34.7</v>
      </c>
      <c r="AI243" s="1" t="s">
        <v>86</v>
      </c>
      <c r="AJ243" s="1">
        <v>1.05</v>
      </c>
      <c r="AK243" s="1" t="s">
        <v>111</v>
      </c>
      <c r="AL243" s="1" t="s">
        <v>93</v>
      </c>
      <c r="AM243" s="1" t="s">
        <v>140</v>
      </c>
      <c r="AN243" s="1" t="s">
        <v>171</v>
      </c>
      <c r="AO243" s="1" t="s">
        <v>94</v>
      </c>
      <c r="AP243" s="1" t="s">
        <v>95</v>
      </c>
      <c r="AQ243" s="1">
        <v>12.2</v>
      </c>
      <c r="AR243" s="1">
        <v>54.5</v>
      </c>
      <c r="AS243" s="1">
        <v>40.1</v>
      </c>
      <c r="AT243" s="1" t="s">
        <v>96</v>
      </c>
      <c r="AU243" s="1" t="s">
        <v>86</v>
      </c>
      <c r="AV243" s="1" t="s">
        <v>86</v>
      </c>
      <c r="AW243" s="1" t="s">
        <v>86</v>
      </c>
      <c r="AX243" s="1" t="s">
        <v>86</v>
      </c>
      <c r="AY243" s="1" t="s">
        <v>86</v>
      </c>
      <c r="AZ243" s="1" t="s">
        <v>86</v>
      </c>
      <c r="BA243" s="1" t="s">
        <v>86</v>
      </c>
      <c r="BB243" s="1" t="s">
        <v>86</v>
      </c>
      <c r="BC243" s="1" t="s">
        <v>86</v>
      </c>
      <c r="BD243" s="1" t="s">
        <v>86</v>
      </c>
      <c r="BE243" s="1" t="s">
        <v>86</v>
      </c>
      <c r="BF243" s="1" t="s">
        <v>86</v>
      </c>
      <c r="BG243" s="1" t="s">
        <v>86</v>
      </c>
      <c r="BH243" s="1" t="s">
        <v>142</v>
      </c>
      <c r="BI243" s="1" t="s">
        <v>265</v>
      </c>
      <c r="BJ243" s="1" t="s">
        <v>87</v>
      </c>
      <c r="BK243" s="1">
        <v>0</v>
      </c>
      <c r="BL243" s="1">
        <v>0</v>
      </c>
      <c r="BM243" s="1" t="s">
        <v>398</v>
      </c>
      <c r="BN243" s="1" t="s">
        <v>1415</v>
      </c>
      <c r="BO243" s="1" t="s">
        <v>432</v>
      </c>
      <c r="BP243" s="1" t="s">
        <v>86</v>
      </c>
      <c r="BQ243" s="1" t="s">
        <v>86</v>
      </c>
      <c r="BR243" s="1" t="s">
        <v>86</v>
      </c>
      <c r="BS243" s="1" t="s">
        <v>86</v>
      </c>
      <c r="BT243" s="1" t="s">
        <v>86</v>
      </c>
      <c r="BU243" s="1" t="s">
        <v>163</v>
      </c>
      <c r="BV243" s="1" t="s">
        <v>86</v>
      </c>
      <c r="BW243" s="1" t="s">
        <v>101</v>
      </c>
      <c r="BX243" s="1" t="s">
        <v>414</v>
      </c>
      <c r="BY243" s="1" t="s">
        <v>86</v>
      </c>
      <c r="BZ243" s="1" t="s">
        <v>1416</v>
      </c>
      <c r="CA243" s="1" t="s">
        <v>312</v>
      </c>
      <c r="CB243" s="1" t="s">
        <v>166</v>
      </c>
      <c r="CC243" s="1" t="s">
        <v>86</v>
      </c>
      <c r="CD243" s="1" t="s">
        <v>86</v>
      </c>
      <c r="CE243" s="1" t="s">
        <v>86</v>
      </c>
    </row>
    <row r="244">
      <c r="A244" s="1">
        <v>242</v>
      </c>
      <c r="B244" s="1" t="s">
        <v>395</v>
      </c>
      <c r="C244" s="2">
        <f>=HYPERLINK("https://i.stonehdfile.com/stoneimage?s=24607e89-8f4a-4983-8095-f2db02d5d952","Image")</f>
      </c>
      <c r="D244" s="2">
        <f>=HYPERLINK("https://dna.stonehdfile.com/hd/viewhd.html?d=c8e8e1d6-2a4a-403f-af39-584a40f6ac85","View360")</f>
      </c>
      <c r="E244" s="2">
        <f>=HYPERLINK("https://i.stonehdfile.com/Certificate?s=24607e89-8f4a-4983-8095-f2db02d5d952","GIA")</f>
      </c>
      <c r="F244" s="2">
        <f>=HYPERLINK("https://i.stonehdfile.com/DNAReport?s=24607e89-8f4a-4983-8095-f2db02d5d952","DNA")</f>
      </c>
      <c r="G244" s="2">
        <f>=HYPERLINK("https://www.gia.edu/report-check?reportno=******1976","Verify")</f>
      </c>
      <c r="H244" s="1" t="s">
        <v>1417</v>
      </c>
      <c r="I244" s="1" t="s">
        <v>46</v>
      </c>
      <c r="J244" s="1">
        <v>2.02</v>
      </c>
      <c r="K244" s="1">
        <v>3</v>
      </c>
      <c r="L244" s="1">
        <v>11700</v>
      </c>
      <c r="M244" s="1">
        <v>4403</v>
      </c>
      <c r="N244" s="1">
        <v>8894.06</v>
      </c>
      <c r="O244" s="1">
        <v>-62.37</v>
      </c>
      <c r="P244" s="1">
        <v>0</v>
      </c>
      <c r="Q244" s="1" t="s">
        <v>86</v>
      </c>
      <c r="R244" s="1">
        <v>0</v>
      </c>
      <c r="S244" s="1" t="s">
        <v>86</v>
      </c>
      <c r="T244" s="1" t="s">
        <v>86</v>
      </c>
      <c r="U244" s="1" t="s">
        <v>106</v>
      </c>
      <c r="V244" s="1" t="s">
        <v>86</v>
      </c>
      <c r="W244" s="1" t="s">
        <v>206</v>
      </c>
      <c r="X244" s="1" t="s">
        <v>86</v>
      </c>
      <c r="Y244" s="1" t="s">
        <v>89</v>
      </c>
      <c r="Z244" s="1" t="s">
        <v>89</v>
      </c>
      <c r="AA244" s="1" t="s">
        <v>108</v>
      </c>
      <c r="AB244" s="1" t="s">
        <v>109</v>
      </c>
      <c r="AC244" s="1" t="s">
        <v>1418</v>
      </c>
      <c r="AD244" s="1">
        <v>71.5</v>
      </c>
      <c r="AE244" s="1">
        <v>61</v>
      </c>
      <c r="AF244" s="1" t="s">
        <v>91</v>
      </c>
      <c r="AG244" s="1">
        <v>3.3</v>
      </c>
      <c r="AH244" s="1">
        <v>36.9</v>
      </c>
      <c r="AI244" s="1" t="s">
        <v>86</v>
      </c>
      <c r="AJ244" s="1">
        <v>1.04</v>
      </c>
      <c r="AK244" s="1" t="s">
        <v>198</v>
      </c>
      <c r="AL244" s="1" t="s">
        <v>93</v>
      </c>
      <c r="AM244" s="1" t="s">
        <v>93</v>
      </c>
      <c r="AN244" s="1" t="s">
        <v>168</v>
      </c>
      <c r="AO244" s="1" t="s">
        <v>208</v>
      </c>
      <c r="AP244" s="1" t="s">
        <v>95</v>
      </c>
      <c r="AQ244" s="1">
        <v>14.9</v>
      </c>
      <c r="AR244" s="1">
        <v>52.8</v>
      </c>
      <c r="AS244" s="1">
        <v>38.6</v>
      </c>
      <c r="AT244" s="1" t="s">
        <v>96</v>
      </c>
      <c r="AU244" s="1" t="s">
        <v>86</v>
      </c>
      <c r="AV244" s="1" t="s">
        <v>86</v>
      </c>
      <c r="AW244" s="1" t="s">
        <v>86</v>
      </c>
      <c r="AX244" s="1" t="s">
        <v>86</v>
      </c>
      <c r="AY244" s="1" t="s">
        <v>86</v>
      </c>
      <c r="AZ244" s="1" t="s">
        <v>86</v>
      </c>
      <c r="BA244" s="1" t="s">
        <v>86</v>
      </c>
      <c r="BB244" s="1" t="s">
        <v>86</v>
      </c>
      <c r="BC244" s="1" t="s">
        <v>86</v>
      </c>
      <c r="BD244" s="1" t="s">
        <v>86</v>
      </c>
      <c r="BE244" s="1" t="s">
        <v>86</v>
      </c>
      <c r="BF244" s="1" t="s">
        <v>86</v>
      </c>
      <c r="BG244" s="1" t="s">
        <v>86</v>
      </c>
      <c r="BH244" s="1" t="s">
        <v>97</v>
      </c>
      <c r="BI244" s="1" t="s">
        <v>232</v>
      </c>
      <c r="BJ244" s="1" t="s">
        <v>87</v>
      </c>
      <c r="BK244" s="1">
        <v>0</v>
      </c>
      <c r="BL244" s="1">
        <v>0</v>
      </c>
      <c r="BM244" s="1" t="s">
        <v>86</v>
      </c>
      <c r="BN244" s="1" t="s">
        <v>1419</v>
      </c>
      <c r="BO244" s="1" t="s">
        <v>1420</v>
      </c>
      <c r="BP244" s="1" t="s">
        <v>86</v>
      </c>
      <c r="BQ244" s="1" t="s">
        <v>86</v>
      </c>
      <c r="BR244" s="1" t="s">
        <v>86</v>
      </c>
      <c r="BS244" s="1" t="s">
        <v>86</v>
      </c>
      <c r="BT244" s="1" t="s">
        <v>86</v>
      </c>
      <c r="BU244" s="1" t="s">
        <v>163</v>
      </c>
      <c r="BV244" s="1" t="s">
        <v>86</v>
      </c>
      <c r="BW244" s="1" t="s">
        <v>101</v>
      </c>
      <c r="BX244" s="1" t="s">
        <v>401</v>
      </c>
      <c r="BY244" s="1" t="s">
        <v>86</v>
      </c>
      <c r="BZ244" s="1" t="s">
        <v>1421</v>
      </c>
      <c r="CA244" s="1" t="s">
        <v>254</v>
      </c>
      <c r="CB244" s="1" t="s">
        <v>86</v>
      </c>
      <c r="CC244" s="1" t="s">
        <v>86</v>
      </c>
      <c r="CD244" s="1" t="s">
        <v>86</v>
      </c>
      <c r="CE244" s="1" t="s">
        <v>86</v>
      </c>
    </row>
    <row r="245">
      <c r="A245" s="1">
        <v>243</v>
      </c>
      <c r="B245" s="1" t="s">
        <v>395</v>
      </c>
      <c r="C245" s="2">
        <f>=HYPERLINK("https://i.stonehdfile.com/stoneimage?s=3f60abc7-7445-4c2d-8e4e-452c7527355f","Image")</f>
      </c>
      <c r="D245" s="2">
        <f>=HYPERLINK("https://dna.stonehdfile.com/hd/viewhd.html?d=b73dc7cf-2637-4a63-ad7c-f60e548adb2b","View360")</f>
      </c>
      <c r="E245" s="2">
        <f>=HYPERLINK("https://i.stonehdfile.com/Certificate?s=3f60abc7-7445-4c2d-8e4e-452c7527355f","GIA")</f>
      </c>
      <c r="F245" s="2">
        <f>=HYPERLINK("https://i.stonehdfile.com/DNAReport?s=3f60abc7-7445-4c2d-8e4e-452c7527355f","DNA")</f>
      </c>
      <c r="G245" s="2">
        <f>=HYPERLINK("https://www.gia.edu/report-check?reportno=******2546","Verify")</f>
      </c>
      <c r="H245" s="1" t="s">
        <v>1422</v>
      </c>
      <c r="I245" s="1" t="s">
        <v>46</v>
      </c>
      <c r="J245" s="1">
        <v>2.01</v>
      </c>
      <c r="K245" s="1">
        <v>5</v>
      </c>
      <c r="L245" s="1">
        <v>9900</v>
      </c>
      <c r="M245" s="1">
        <v>4825</v>
      </c>
      <c r="N245" s="1">
        <v>9698.25</v>
      </c>
      <c r="O245" s="1">
        <v>-51.26</v>
      </c>
      <c r="P245" s="1">
        <v>0</v>
      </c>
      <c r="Q245" s="1" t="s">
        <v>86</v>
      </c>
      <c r="R245" s="1">
        <v>0</v>
      </c>
      <c r="S245" s="1" t="s">
        <v>86</v>
      </c>
      <c r="T245" s="1" t="s">
        <v>86</v>
      </c>
      <c r="U245" s="1" t="s">
        <v>106</v>
      </c>
      <c r="V245" s="1" t="s">
        <v>86</v>
      </c>
      <c r="W245" s="1" t="s">
        <v>213</v>
      </c>
      <c r="X245" s="1" t="s">
        <v>86</v>
      </c>
      <c r="Y245" s="1" t="s">
        <v>89</v>
      </c>
      <c r="Z245" s="1" t="s">
        <v>138</v>
      </c>
      <c r="AA245" s="1" t="s">
        <v>119</v>
      </c>
      <c r="AB245" s="1" t="s">
        <v>86</v>
      </c>
      <c r="AC245" s="1" t="s">
        <v>1423</v>
      </c>
      <c r="AD245" s="1">
        <v>69.1</v>
      </c>
      <c r="AE245" s="1">
        <v>61</v>
      </c>
      <c r="AF245" s="1" t="s">
        <v>91</v>
      </c>
      <c r="AG245" s="1">
        <v>3.9</v>
      </c>
      <c r="AH245" s="1">
        <v>36.3</v>
      </c>
      <c r="AI245" s="1" t="s">
        <v>86</v>
      </c>
      <c r="AJ245" s="1">
        <v>1.11</v>
      </c>
      <c r="AK245" s="1" t="s">
        <v>111</v>
      </c>
      <c r="AL245" s="1" t="s">
        <v>140</v>
      </c>
      <c r="AM245" s="1" t="s">
        <v>140</v>
      </c>
      <c r="AN245" s="1" t="s">
        <v>171</v>
      </c>
      <c r="AO245" s="1" t="s">
        <v>208</v>
      </c>
      <c r="AP245" s="1" t="s">
        <v>95</v>
      </c>
      <c r="AQ245" s="1">
        <v>14.3</v>
      </c>
      <c r="AR245" s="1">
        <v>50.6</v>
      </c>
      <c r="AS245" s="1">
        <v>37.5</v>
      </c>
      <c r="AT245" s="1" t="s">
        <v>96</v>
      </c>
      <c r="AU245" s="1" t="s">
        <v>86</v>
      </c>
      <c r="AV245" s="1" t="s">
        <v>86</v>
      </c>
      <c r="AW245" s="1" t="s">
        <v>86</v>
      </c>
      <c r="AX245" s="1" t="s">
        <v>86</v>
      </c>
      <c r="AY245" s="1" t="s">
        <v>86</v>
      </c>
      <c r="AZ245" s="1" t="s">
        <v>86</v>
      </c>
      <c r="BA245" s="1" t="s">
        <v>86</v>
      </c>
      <c r="BB245" s="1" t="s">
        <v>86</v>
      </c>
      <c r="BC245" s="1" t="s">
        <v>86</v>
      </c>
      <c r="BD245" s="1" t="s">
        <v>86</v>
      </c>
      <c r="BE245" s="1" t="s">
        <v>86</v>
      </c>
      <c r="BF245" s="1" t="s">
        <v>86</v>
      </c>
      <c r="BG245" s="1" t="s">
        <v>86</v>
      </c>
      <c r="BH245" s="1" t="s">
        <v>215</v>
      </c>
      <c r="BI245" s="1" t="s">
        <v>562</v>
      </c>
      <c r="BJ245" s="1" t="s">
        <v>87</v>
      </c>
      <c r="BK245" s="1">
        <v>0</v>
      </c>
      <c r="BL245" s="1">
        <v>0</v>
      </c>
      <c r="BM245" s="1" t="s">
        <v>398</v>
      </c>
      <c r="BN245" s="1" t="s">
        <v>1424</v>
      </c>
      <c r="BO245" s="1" t="s">
        <v>1425</v>
      </c>
      <c r="BP245" s="1" t="s">
        <v>86</v>
      </c>
      <c r="BQ245" s="1" t="s">
        <v>86</v>
      </c>
      <c r="BR245" s="1" t="s">
        <v>86</v>
      </c>
      <c r="BS245" s="1" t="s">
        <v>86</v>
      </c>
      <c r="BT245" s="1" t="s">
        <v>86</v>
      </c>
      <c r="BU245" s="1" t="s">
        <v>163</v>
      </c>
      <c r="BV245" s="1" t="s">
        <v>86</v>
      </c>
      <c r="BW245" s="1" t="s">
        <v>101</v>
      </c>
      <c r="BX245" s="1" t="s">
        <v>565</v>
      </c>
      <c r="BY245" s="1" t="s">
        <v>86</v>
      </c>
      <c r="BZ245" s="1" t="s">
        <v>1426</v>
      </c>
      <c r="CA245" s="1" t="s">
        <v>178</v>
      </c>
      <c r="CB245" s="1" t="s">
        <v>166</v>
      </c>
      <c r="CC245" s="1" t="s">
        <v>86</v>
      </c>
      <c r="CD245" s="1" t="s">
        <v>86</v>
      </c>
      <c r="CE245" s="1" t="s">
        <v>86</v>
      </c>
    </row>
    <row r="246">
      <c r="A246" s="1">
        <v>244</v>
      </c>
      <c r="B246" s="1" t="s">
        <v>395</v>
      </c>
      <c r="C246" s="2">
        <f>=HYPERLINK("https://i.stonehdfile.com/stoneimage?s=99255a4d-bde3-428c-9ec7-1b777568d0f4","Image")</f>
      </c>
      <c r="D246" s="2">
        <f>=HYPERLINK("https://dna.stonehdfile.com/hd/viewhd.html?d=e9fca0bf-1cdf-4048-bfa7-90c506b6015d","View360")</f>
      </c>
      <c r="E246" s="2">
        <f>=HYPERLINK("https://i.stonehdfile.com/Certificate?s=99255a4d-bde3-428c-9ec7-1b777568d0f4","GIA")</f>
      </c>
      <c r="F246" s="2">
        <f>=HYPERLINK("https://i.stonehdfile.com/DNAReport?s=99255a4d-bde3-428c-9ec7-1b777568d0f4","DNA")</f>
      </c>
      <c r="G246" s="2">
        <f>=HYPERLINK("https://www.gia.edu/report-check?reportno=******3510","Verify")</f>
      </c>
      <c r="H246" s="1" t="s">
        <v>1427</v>
      </c>
      <c r="I246" s="1" t="s">
        <v>46</v>
      </c>
      <c r="J246" s="1">
        <v>2.04</v>
      </c>
      <c r="K246" s="1">
        <v>0</v>
      </c>
      <c r="L246" s="1">
        <v>9900</v>
      </c>
      <c r="M246" s="1">
        <v>4732</v>
      </c>
      <c r="N246" s="1">
        <v>9653.28</v>
      </c>
      <c r="O246" s="1">
        <v>-52.2</v>
      </c>
      <c r="P246" s="1">
        <v>0</v>
      </c>
      <c r="Q246" s="1" t="s">
        <v>86</v>
      </c>
      <c r="R246" s="1">
        <v>0</v>
      </c>
      <c r="S246" s="1" t="s">
        <v>86</v>
      </c>
      <c r="T246" s="1" t="s">
        <v>86</v>
      </c>
      <c r="U246" s="1" t="s">
        <v>106</v>
      </c>
      <c r="V246" s="1" t="s">
        <v>86</v>
      </c>
      <c r="W246" s="1" t="s">
        <v>213</v>
      </c>
      <c r="X246" s="1" t="s">
        <v>86</v>
      </c>
      <c r="Y246" s="1" t="s">
        <v>89</v>
      </c>
      <c r="Z246" s="1" t="s">
        <v>89</v>
      </c>
      <c r="AA246" s="1" t="s">
        <v>119</v>
      </c>
      <c r="AB246" s="1" t="s">
        <v>86</v>
      </c>
      <c r="AC246" s="1" t="s">
        <v>1428</v>
      </c>
      <c r="AD246" s="1">
        <v>68.5</v>
      </c>
      <c r="AE246" s="1">
        <v>61</v>
      </c>
      <c r="AF246" s="1" t="s">
        <v>91</v>
      </c>
      <c r="AG246" s="1">
        <v>2.8</v>
      </c>
      <c r="AH246" s="1">
        <v>36.1</v>
      </c>
      <c r="AI246" s="1" t="s">
        <v>86</v>
      </c>
      <c r="AJ246" s="1">
        <v>1.03</v>
      </c>
      <c r="AK246" s="1" t="s">
        <v>198</v>
      </c>
      <c r="AL246" s="1" t="s">
        <v>93</v>
      </c>
      <c r="AM246" s="1" t="s">
        <v>140</v>
      </c>
      <c r="AN246" s="1" t="s">
        <v>168</v>
      </c>
      <c r="AO246" s="1" t="s">
        <v>208</v>
      </c>
      <c r="AP246" s="1" t="s">
        <v>95</v>
      </c>
      <c r="AQ246" s="1">
        <v>14.1</v>
      </c>
      <c r="AR246" s="1">
        <v>51</v>
      </c>
      <c r="AS246" s="1">
        <v>38.9</v>
      </c>
      <c r="AT246" s="1" t="s">
        <v>96</v>
      </c>
      <c r="AU246" s="1" t="s">
        <v>86</v>
      </c>
      <c r="AV246" s="1" t="s">
        <v>86</v>
      </c>
      <c r="AW246" s="1" t="s">
        <v>86</v>
      </c>
      <c r="AX246" s="1" t="s">
        <v>86</v>
      </c>
      <c r="AY246" s="1" t="s">
        <v>86</v>
      </c>
      <c r="AZ246" s="1" t="s">
        <v>86</v>
      </c>
      <c r="BA246" s="1" t="s">
        <v>86</v>
      </c>
      <c r="BB246" s="1" t="s">
        <v>86</v>
      </c>
      <c r="BC246" s="1" t="s">
        <v>86</v>
      </c>
      <c r="BD246" s="1" t="s">
        <v>86</v>
      </c>
      <c r="BE246" s="1" t="s">
        <v>86</v>
      </c>
      <c r="BF246" s="1" t="s">
        <v>282</v>
      </c>
      <c r="BG246" s="1" t="s">
        <v>86</v>
      </c>
      <c r="BH246" s="1" t="s">
        <v>182</v>
      </c>
      <c r="BI246" s="1" t="s">
        <v>322</v>
      </c>
      <c r="BJ246" s="1" t="s">
        <v>87</v>
      </c>
      <c r="BK246" s="1">
        <v>0</v>
      </c>
      <c r="BL246" s="1">
        <v>0</v>
      </c>
      <c r="BM246" s="1" t="s">
        <v>398</v>
      </c>
      <c r="BN246" s="1" t="s">
        <v>1429</v>
      </c>
      <c r="BO246" s="1" t="s">
        <v>572</v>
      </c>
      <c r="BP246" s="1" t="s">
        <v>86</v>
      </c>
      <c r="BQ246" s="1" t="s">
        <v>86</v>
      </c>
      <c r="BR246" s="1" t="s">
        <v>86</v>
      </c>
      <c r="BS246" s="1" t="s">
        <v>86</v>
      </c>
      <c r="BT246" s="1" t="s">
        <v>86</v>
      </c>
      <c r="BU246" s="1" t="s">
        <v>163</v>
      </c>
      <c r="BV246" s="1" t="s">
        <v>86</v>
      </c>
      <c r="BW246" s="1" t="s">
        <v>101</v>
      </c>
      <c r="BX246" s="1" t="s">
        <v>545</v>
      </c>
      <c r="BY246" s="1" t="s">
        <v>86</v>
      </c>
      <c r="BZ246" s="1" t="s">
        <v>1430</v>
      </c>
      <c r="CA246" s="1" t="s">
        <v>297</v>
      </c>
      <c r="CB246" s="1" t="s">
        <v>286</v>
      </c>
      <c r="CC246" s="1" t="s">
        <v>86</v>
      </c>
      <c r="CD246" s="1" t="s">
        <v>86</v>
      </c>
      <c r="CE246" s="1" t="s">
        <v>86</v>
      </c>
    </row>
    <row r="247">
      <c r="A247" s="1">
        <v>245</v>
      </c>
      <c r="B247" s="1" t="s">
        <v>395</v>
      </c>
      <c r="C247" s="2">
        <f>=HYPERLINK("https://i.stonehdfile.com/stoneimage?s=da73da8b-7313-405c-8c88-44fc7ed4797e","Image")</f>
      </c>
      <c r="D247" s="2">
        <f>=HYPERLINK("https://dna.stonehdfile.com/hd/viewhd.html?d=e4605ef5-1b38-42a7-bc17-533bc0992102","View360")</f>
      </c>
      <c r="E247" s="2">
        <f>=HYPERLINK("https://i.stonehdfile.com/Certificate?s=da73da8b-7313-405c-8c88-44fc7ed4797e","GIA")</f>
      </c>
      <c r="F247" s="2">
        <f>=HYPERLINK("https://i.stonehdfile.com/DNAReport?s=da73da8b-7313-405c-8c88-44fc7ed4797e","DNA")</f>
      </c>
      <c r="G247" s="2">
        <f>=HYPERLINK("https://www.gia.edu/report-check?reportno=******2922","Verify")</f>
      </c>
      <c r="H247" s="1" t="s">
        <v>1431</v>
      </c>
      <c r="I247" s="1" t="s">
        <v>46</v>
      </c>
      <c r="J247" s="1">
        <v>2.51</v>
      </c>
      <c r="K247" s="1">
        <v>5</v>
      </c>
      <c r="L247" s="1">
        <v>9900</v>
      </c>
      <c r="M247" s="1">
        <v>4870</v>
      </c>
      <c r="N247" s="1">
        <v>12223.7</v>
      </c>
      <c r="O247" s="1">
        <v>-50.81</v>
      </c>
      <c r="P247" s="1">
        <v>0</v>
      </c>
      <c r="Q247" s="1" t="s">
        <v>86</v>
      </c>
      <c r="R247" s="1">
        <v>0</v>
      </c>
      <c r="S247" s="1" t="s">
        <v>86</v>
      </c>
      <c r="T247" s="1" t="s">
        <v>86</v>
      </c>
      <c r="U247" s="1" t="s">
        <v>106</v>
      </c>
      <c r="V247" s="1" t="s">
        <v>86</v>
      </c>
      <c r="W247" s="1" t="s">
        <v>213</v>
      </c>
      <c r="X247" s="1" t="s">
        <v>86</v>
      </c>
      <c r="Y247" s="1" t="s">
        <v>89</v>
      </c>
      <c r="Z247" s="1" t="s">
        <v>89</v>
      </c>
      <c r="AA247" s="1" t="s">
        <v>119</v>
      </c>
      <c r="AB247" s="1" t="s">
        <v>86</v>
      </c>
      <c r="AC247" s="1" t="s">
        <v>1432</v>
      </c>
      <c r="AD247" s="1">
        <v>71.5</v>
      </c>
      <c r="AE247" s="1">
        <v>58</v>
      </c>
      <c r="AF247" s="1" t="s">
        <v>91</v>
      </c>
      <c r="AG247" s="1">
        <v>4.1</v>
      </c>
      <c r="AH247" s="1">
        <v>37.1</v>
      </c>
      <c r="AI247" s="1" t="s">
        <v>86</v>
      </c>
      <c r="AJ247" s="1">
        <v>1.07</v>
      </c>
      <c r="AK247" s="1" t="s">
        <v>198</v>
      </c>
      <c r="AL247" s="1" t="s">
        <v>93</v>
      </c>
      <c r="AM247" s="1" t="s">
        <v>140</v>
      </c>
      <c r="AN247" s="1" t="s">
        <v>171</v>
      </c>
      <c r="AO247" s="1" t="s">
        <v>208</v>
      </c>
      <c r="AP247" s="1" t="s">
        <v>95</v>
      </c>
      <c r="AQ247" s="1">
        <v>15.7</v>
      </c>
      <c r="AR247" s="1">
        <v>51.1</v>
      </c>
      <c r="AS247" s="1">
        <v>38</v>
      </c>
      <c r="AT247" s="1" t="s">
        <v>96</v>
      </c>
      <c r="AU247" s="1" t="s">
        <v>86</v>
      </c>
      <c r="AV247" s="1" t="s">
        <v>86</v>
      </c>
      <c r="AW247" s="1" t="s">
        <v>86</v>
      </c>
      <c r="AX247" s="1" t="s">
        <v>86</v>
      </c>
      <c r="AY247" s="1" t="s">
        <v>86</v>
      </c>
      <c r="AZ247" s="1" t="s">
        <v>86</v>
      </c>
      <c r="BA247" s="1" t="s">
        <v>86</v>
      </c>
      <c r="BB247" s="1" t="s">
        <v>86</v>
      </c>
      <c r="BC247" s="1" t="s">
        <v>86</v>
      </c>
      <c r="BD247" s="1" t="s">
        <v>86</v>
      </c>
      <c r="BE247" s="1" t="s">
        <v>86</v>
      </c>
      <c r="BF247" s="1" t="s">
        <v>86</v>
      </c>
      <c r="BG247" s="1" t="s">
        <v>172</v>
      </c>
      <c r="BH247" s="1" t="s">
        <v>215</v>
      </c>
      <c r="BI247" s="1" t="s">
        <v>341</v>
      </c>
      <c r="BJ247" s="1" t="s">
        <v>87</v>
      </c>
      <c r="BK247" s="1">
        <v>0</v>
      </c>
      <c r="BL247" s="1">
        <v>0</v>
      </c>
      <c r="BM247" s="1" t="s">
        <v>86</v>
      </c>
      <c r="BN247" s="1" t="s">
        <v>1276</v>
      </c>
      <c r="BO247" s="1" t="s">
        <v>761</v>
      </c>
      <c r="BP247" s="1" t="s">
        <v>86</v>
      </c>
      <c r="BQ247" s="1" t="s">
        <v>86</v>
      </c>
      <c r="BR247" s="1" t="s">
        <v>86</v>
      </c>
      <c r="BS247" s="1" t="s">
        <v>86</v>
      </c>
      <c r="BT247" s="1" t="s">
        <v>86</v>
      </c>
      <c r="BU247" s="1" t="s">
        <v>163</v>
      </c>
      <c r="BV247" s="1" t="s">
        <v>86</v>
      </c>
      <c r="BW247" s="1" t="s">
        <v>101</v>
      </c>
      <c r="BX247" s="1" t="s">
        <v>401</v>
      </c>
      <c r="BY247" s="1" t="s">
        <v>86</v>
      </c>
      <c r="BZ247" s="1" t="s">
        <v>1433</v>
      </c>
      <c r="CA247" s="1" t="s">
        <v>1326</v>
      </c>
      <c r="CB247" s="1" t="s">
        <v>952</v>
      </c>
      <c r="CC247" s="1" t="s">
        <v>86</v>
      </c>
      <c r="CD247" s="1" t="s">
        <v>86</v>
      </c>
      <c r="CE247" s="1" t="s">
        <v>86</v>
      </c>
    </row>
    <row r="248">
      <c r="A248" s="1">
        <v>246</v>
      </c>
      <c r="B248" s="1" t="s">
        <v>395</v>
      </c>
      <c r="C248" s="2">
        <f>=HYPERLINK("https://i.stonehdfile.com/stoneimage?s=83dd4608-e0a4-463d-8f1e-31848deb0bb3","Image")</f>
      </c>
      <c r="D248" s="2">
        <f>=HYPERLINK("https://dna.stonehdfile.com/hd/viewhd.html?d=cbeb5bea-d877-4c8b-9aa0-fb3eb9792848","View360")</f>
      </c>
      <c r="E248" s="2">
        <f>=HYPERLINK("https://i.stonehdfile.com/Certificate?s=83dd4608-e0a4-463d-8f1e-31848deb0bb3","GIA")</f>
      </c>
      <c r="F248" s="2">
        <f>=HYPERLINK("https://i.stonehdfile.com/DNAReport?s=83dd4608-e0a4-463d-8f1e-31848deb0bb3","DNA")</f>
      </c>
      <c r="G248" s="2">
        <f>=HYPERLINK("https://www.gia.edu/report-check?reportno=******7315","Verify")</f>
      </c>
      <c r="H248" s="1" t="s">
        <v>1434</v>
      </c>
      <c r="I248" s="1" t="s">
        <v>46</v>
      </c>
      <c r="J248" s="1">
        <v>2.01</v>
      </c>
      <c r="K248" s="1">
        <v>3</v>
      </c>
      <c r="L248" s="1">
        <v>13500</v>
      </c>
      <c r="M248" s="1">
        <v>7830</v>
      </c>
      <c r="N248" s="1">
        <v>15738.3</v>
      </c>
      <c r="O248" s="1">
        <v>-42</v>
      </c>
      <c r="P248" s="1">
        <v>0</v>
      </c>
      <c r="Q248" s="1" t="s">
        <v>86</v>
      </c>
      <c r="R248" s="1">
        <v>0</v>
      </c>
      <c r="S248" s="1" t="s">
        <v>86</v>
      </c>
      <c r="T248" s="1" t="s">
        <v>86</v>
      </c>
      <c r="U248" s="1" t="s">
        <v>271</v>
      </c>
      <c r="V248" s="1" t="s">
        <v>86</v>
      </c>
      <c r="W248" s="1" t="s">
        <v>474</v>
      </c>
      <c r="X248" s="1" t="s">
        <v>86</v>
      </c>
      <c r="Y248" s="1" t="s">
        <v>89</v>
      </c>
      <c r="Z248" s="1" t="s">
        <v>89</v>
      </c>
      <c r="AA248" s="1" t="s">
        <v>119</v>
      </c>
      <c r="AB248" s="1" t="s">
        <v>86</v>
      </c>
      <c r="AC248" s="1" t="s">
        <v>1435</v>
      </c>
      <c r="AD248" s="1">
        <v>68</v>
      </c>
      <c r="AE248" s="1">
        <v>61</v>
      </c>
      <c r="AF248" s="1" t="s">
        <v>91</v>
      </c>
      <c r="AG248" s="1">
        <v>2.8</v>
      </c>
      <c r="AH248" s="1">
        <v>36.3</v>
      </c>
      <c r="AI248" s="1" t="s">
        <v>86</v>
      </c>
      <c r="AJ248" s="1">
        <v>1.09</v>
      </c>
      <c r="AK248" s="1" t="s">
        <v>92</v>
      </c>
      <c r="AL248" s="1" t="s">
        <v>93</v>
      </c>
      <c r="AM248" s="1" t="s">
        <v>93</v>
      </c>
      <c r="AN248" s="1" t="s">
        <v>86</v>
      </c>
      <c r="AO248" s="1" t="s">
        <v>94</v>
      </c>
      <c r="AP248" s="1" t="s">
        <v>95</v>
      </c>
      <c r="AQ248" s="1">
        <v>14.5</v>
      </c>
      <c r="AR248" s="1">
        <v>50.8</v>
      </c>
      <c r="AS248" s="1">
        <v>38.8</v>
      </c>
      <c r="AT248" s="1" t="s">
        <v>96</v>
      </c>
      <c r="AU248" s="1" t="s">
        <v>86</v>
      </c>
      <c r="AV248" s="1" t="s">
        <v>86</v>
      </c>
      <c r="AW248" s="1" t="s">
        <v>86</v>
      </c>
      <c r="AX248" s="1" t="s">
        <v>86</v>
      </c>
      <c r="AY248" s="1" t="s">
        <v>86</v>
      </c>
      <c r="AZ248" s="1" t="s">
        <v>86</v>
      </c>
      <c r="BA248" s="1" t="s">
        <v>86</v>
      </c>
      <c r="BB248" s="1" t="s">
        <v>86</v>
      </c>
      <c r="BC248" s="1" t="s">
        <v>86</v>
      </c>
      <c r="BD248" s="1" t="s">
        <v>86</v>
      </c>
      <c r="BE248" s="1" t="s">
        <v>86</v>
      </c>
      <c r="BF248" s="1" t="s">
        <v>86</v>
      </c>
      <c r="BG248" s="1" t="s">
        <v>86</v>
      </c>
      <c r="BH248" s="1" t="s">
        <v>97</v>
      </c>
      <c r="BI248" s="1" t="s">
        <v>322</v>
      </c>
      <c r="BJ248" s="1" t="s">
        <v>87</v>
      </c>
      <c r="BK248" s="1">
        <v>0</v>
      </c>
      <c r="BL248" s="1">
        <v>0</v>
      </c>
      <c r="BM248" s="1" t="s">
        <v>398</v>
      </c>
      <c r="BN248" s="1" t="s">
        <v>1436</v>
      </c>
      <c r="BO248" s="1" t="s">
        <v>407</v>
      </c>
      <c r="BP248" s="1" t="s">
        <v>86</v>
      </c>
      <c r="BQ248" s="1" t="s">
        <v>86</v>
      </c>
      <c r="BR248" s="1" t="s">
        <v>86</v>
      </c>
      <c r="BS248" s="1" t="s">
        <v>86</v>
      </c>
      <c r="BT248" s="1" t="s">
        <v>86</v>
      </c>
      <c r="BU248" s="1" t="s">
        <v>163</v>
      </c>
      <c r="BV248" s="1" t="s">
        <v>86</v>
      </c>
      <c r="BW248" s="1" t="s">
        <v>101</v>
      </c>
      <c r="BX248" s="1" t="s">
        <v>478</v>
      </c>
      <c r="BY248" s="1" t="s">
        <v>86</v>
      </c>
      <c r="BZ248" s="1" t="s">
        <v>1437</v>
      </c>
      <c r="CA248" s="1" t="s">
        <v>1017</v>
      </c>
      <c r="CB248" s="1" t="s">
        <v>86</v>
      </c>
      <c r="CC248" s="1" t="s">
        <v>86</v>
      </c>
      <c r="CD248" s="1" t="s">
        <v>86</v>
      </c>
      <c r="CE248" s="1" t="s">
        <v>86</v>
      </c>
    </row>
    <row r="249">
      <c r="A249" s="1">
        <v>247</v>
      </c>
      <c r="B249" s="1" t="s">
        <v>395</v>
      </c>
      <c r="C249" s="2">
        <f>=HYPERLINK("https://i.stonehdfile.com/stoneimage?s=d9082c1f-de5c-4199-81f5-fbbb557f27bd","Image")</f>
      </c>
      <c r="D249" s="2">
        <f>=HYPERLINK("https://dna.stonehdfile.com/hd/viewhd.html?d=82d1bc03-cfb8-4290-ac5a-c6fdebc93eb9","View360")</f>
      </c>
      <c r="E249" s="2">
        <f>=HYPERLINK("https://i.stonehdfile.com/Certificate?s=d9082c1f-de5c-4199-81f5-fbbb557f27bd","GIA")</f>
      </c>
      <c r="F249" s="2">
        <f>=HYPERLINK("https://i.stonehdfile.com/DNAReport?s=d9082c1f-de5c-4199-81f5-fbbb557f27bd","DNA")</f>
      </c>
      <c r="G249" s="2">
        <f>=HYPERLINK("https://www.gia.edu/report-check?reportno=******5730","Verify")</f>
      </c>
      <c r="H249" s="1" t="s">
        <v>1438</v>
      </c>
      <c r="I249" s="1" t="s">
        <v>46</v>
      </c>
      <c r="J249" s="1">
        <v>2.5</v>
      </c>
      <c r="K249" s="1">
        <v>1</v>
      </c>
      <c r="L249" s="1">
        <v>13500</v>
      </c>
      <c r="M249" s="1">
        <v>6615</v>
      </c>
      <c r="N249" s="1">
        <v>16537.5</v>
      </c>
      <c r="O249" s="1">
        <v>-51</v>
      </c>
      <c r="P249" s="1">
        <v>0</v>
      </c>
      <c r="Q249" s="1" t="s">
        <v>86</v>
      </c>
      <c r="R249" s="1">
        <v>0</v>
      </c>
      <c r="S249" s="1" t="s">
        <v>86</v>
      </c>
      <c r="T249" s="1" t="s">
        <v>86</v>
      </c>
      <c r="U249" s="1" t="s">
        <v>375</v>
      </c>
      <c r="V249" s="1" t="s">
        <v>86</v>
      </c>
      <c r="W249" s="1" t="s">
        <v>474</v>
      </c>
      <c r="X249" s="1" t="s">
        <v>86</v>
      </c>
      <c r="Y249" s="1" t="s">
        <v>89</v>
      </c>
      <c r="Z249" s="1" t="s">
        <v>89</v>
      </c>
      <c r="AA249" s="1" t="s">
        <v>108</v>
      </c>
      <c r="AB249" s="1" t="s">
        <v>109</v>
      </c>
      <c r="AC249" s="1" t="s">
        <v>1439</v>
      </c>
      <c r="AD249" s="1">
        <v>68.6</v>
      </c>
      <c r="AE249" s="1">
        <v>64</v>
      </c>
      <c r="AF249" s="1" t="s">
        <v>91</v>
      </c>
      <c r="AG249" s="1">
        <v>2.9</v>
      </c>
      <c r="AH249" s="1">
        <v>36.2</v>
      </c>
      <c r="AI249" s="1" t="s">
        <v>86</v>
      </c>
      <c r="AJ249" s="1">
        <v>1.01</v>
      </c>
      <c r="AK249" s="1" t="s">
        <v>92</v>
      </c>
      <c r="AL249" s="1" t="s">
        <v>93</v>
      </c>
      <c r="AM249" s="1" t="s">
        <v>93</v>
      </c>
      <c r="AN249" s="1" t="s">
        <v>86</v>
      </c>
      <c r="AO249" s="1" t="s">
        <v>94</v>
      </c>
      <c r="AP249" s="1" t="s">
        <v>95</v>
      </c>
      <c r="AQ249" s="1">
        <v>13</v>
      </c>
      <c r="AR249" s="1">
        <v>52.4</v>
      </c>
      <c r="AS249" s="1">
        <v>39.6</v>
      </c>
      <c r="AT249" s="1" t="s">
        <v>96</v>
      </c>
      <c r="AU249" s="1" t="s">
        <v>86</v>
      </c>
      <c r="AV249" s="1" t="s">
        <v>86</v>
      </c>
      <c r="AW249" s="1" t="s">
        <v>86</v>
      </c>
      <c r="AX249" s="1" t="s">
        <v>86</v>
      </c>
      <c r="AY249" s="1" t="s">
        <v>86</v>
      </c>
      <c r="AZ249" s="1" t="s">
        <v>86</v>
      </c>
      <c r="BA249" s="1" t="s">
        <v>86</v>
      </c>
      <c r="BB249" s="1" t="s">
        <v>86</v>
      </c>
      <c r="BC249" s="1" t="s">
        <v>86</v>
      </c>
      <c r="BD249" s="1" t="s">
        <v>86</v>
      </c>
      <c r="BE249" s="1" t="s">
        <v>86</v>
      </c>
      <c r="BF249" s="1" t="s">
        <v>282</v>
      </c>
      <c r="BG249" s="1" t="s">
        <v>86</v>
      </c>
      <c r="BH249" s="1" t="s">
        <v>97</v>
      </c>
      <c r="BI249" s="1" t="s">
        <v>387</v>
      </c>
      <c r="BJ249" s="1" t="s">
        <v>87</v>
      </c>
      <c r="BK249" s="1">
        <v>0</v>
      </c>
      <c r="BL249" s="1">
        <v>0</v>
      </c>
      <c r="BM249" s="1" t="s">
        <v>398</v>
      </c>
      <c r="BN249" s="1" t="s">
        <v>1440</v>
      </c>
      <c r="BO249" s="1" t="s">
        <v>444</v>
      </c>
      <c r="BP249" s="1" t="s">
        <v>86</v>
      </c>
      <c r="BQ249" s="1" t="s">
        <v>86</v>
      </c>
      <c r="BR249" s="1" t="s">
        <v>86</v>
      </c>
      <c r="BS249" s="1" t="s">
        <v>86</v>
      </c>
      <c r="BT249" s="1" t="s">
        <v>86</v>
      </c>
      <c r="BU249" s="1" t="s">
        <v>163</v>
      </c>
      <c r="BV249" s="1" t="s">
        <v>86</v>
      </c>
      <c r="BW249" s="1" t="s">
        <v>101</v>
      </c>
      <c r="BX249" s="1" t="s">
        <v>478</v>
      </c>
      <c r="BY249" s="1" t="s">
        <v>86</v>
      </c>
      <c r="BZ249" s="1" t="s">
        <v>1441</v>
      </c>
      <c r="CA249" s="1" t="s">
        <v>319</v>
      </c>
      <c r="CB249" s="1" t="s">
        <v>409</v>
      </c>
      <c r="CC249" s="1" t="s">
        <v>86</v>
      </c>
      <c r="CD249" s="1" t="s">
        <v>86</v>
      </c>
      <c r="CE249" s="1" t="s">
        <v>86</v>
      </c>
    </row>
    <row r="250">
      <c r="A250" s="1">
        <v>248</v>
      </c>
      <c r="B250" s="1" t="s">
        <v>395</v>
      </c>
      <c r="C250" s="2">
        <f>=HYPERLINK("https://i.stonehdfile.com/stoneimage?s=ca7c36fd-f850-42da-9d45-590043340b7e","Image")</f>
      </c>
      <c r="D250" s="2">
        <f>=HYPERLINK("https://dna.stonehdfile.com/hd/viewhd.html?d=73fce02a-183b-4ad0-9778-052b4d37ab21","View360")</f>
      </c>
      <c r="E250" s="2">
        <f>=HYPERLINK("https://i.stonehdfile.com/Certificate?s=ca7c36fd-f850-42da-9d45-590043340b7e","GIA")</f>
      </c>
      <c r="F250" s="2">
        <f>=HYPERLINK("https://i.stonehdfile.com/DNAReport?s=ca7c36fd-f850-42da-9d45-590043340b7e","DNA")</f>
      </c>
      <c r="G250" s="2">
        <f>=HYPERLINK("https://www.gia.edu/report-check?reportno=******3948","Verify")</f>
      </c>
      <c r="H250" s="1" t="s">
        <v>1442</v>
      </c>
      <c r="I250" s="1" t="s">
        <v>46</v>
      </c>
      <c r="J250" s="1">
        <v>2</v>
      </c>
      <c r="K250" s="1">
        <v>0</v>
      </c>
      <c r="L250" s="1">
        <v>13500</v>
      </c>
      <c r="M250" s="1">
        <v>6302</v>
      </c>
      <c r="N250" s="1">
        <v>12604</v>
      </c>
      <c r="O250" s="1">
        <v>-53.32</v>
      </c>
      <c r="P250" s="1">
        <v>0</v>
      </c>
      <c r="Q250" s="1" t="s">
        <v>86</v>
      </c>
      <c r="R250" s="1">
        <v>0</v>
      </c>
      <c r="S250" s="1" t="s">
        <v>86</v>
      </c>
      <c r="T250" s="1" t="s">
        <v>86</v>
      </c>
      <c r="U250" s="1" t="s">
        <v>375</v>
      </c>
      <c r="V250" s="1" t="s">
        <v>86</v>
      </c>
      <c r="W250" s="1" t="s">
        <v>88</v>
      </c>
      <c r="X250" s="1" t="s">
        <v>86</v>
      </c>
      <c r="Y250" s="1" t="s">
        <v>89</v>
      </c>
      <c r="Z250" s="1" t="s">
        <v>138</v>
      </c>
      <c r="AA250" s="1" t="s">
        <v>119</v>
      </c>
      <c r="AB250" s="1" t="s">
        <v>86</v>
      </c>
      <c r="AC250" s="1" t="s">
        <v>1443</v>
      </c>
      <c r="AD250" s="1">
        <v>70.9</v>
      </c>
      <c r="AE250" s="1">
        <v>57</v>
      </c>
      <c r="AF250" s="1" t="s">
        <v>91</v>
      </c>
      <c r="AG250" s="1">
        <v>4.7</v>
      </c>
      <c r="AH250" s="1">
        <v>36.6</v>
      </c>
      <c r="AI250" s="1" t="s">
        <v>86</v>
      </c>
      <c r="AJ250" s="1">
        <v>1.1</v>
      </c>
      <c r="AK250" s="1" t="s">
        <v>111</v>
      </c>
      <c r="AL250" s="1" t="s">
        <v>93</v>
      </c>
      <c r="AM250" s="1" t="s">
        <v>140</v>
      </c>
      <c r="AN250" s="1" t="s">
        <v>86</v>
      </c>
      <c r="AO250" s="1" t="s">
        <v>94</v>
      </c>
      <c r="AP250" s="1" t="s">
        <v>95</v>
      </c>
      <c r="AQ250" s="1">
        <v>15.9</v>
      </c>
      <c r="AR250" s="1">
        <v>49.5</v>
      </c>
      <c r="AS250" s="1">
        <v>37.9</v>
      </c>
      <c r="AT250" s="1" t="s">
        <v>96</v>
      </c>
      <c r="AU250" s="1" t="s">
        <v>86</v>
      </c>
      <c r="AV250" s="1" t="s">
        <v>86</v>
      </c>
      <c r="AW250" s="1" t="s">
        <v>86</v>
      </c>
      <c r="AX250" s="1" t="s">
        <v>86</v>
      </c>
      <c r="AY250" s="1" t="s">
        <v>86</v>
      </c>
      <c r="AZ250" s="1" t="s">
        <v>86</v>
      </c>
      <c r="BA250" s="1" t="s">
        <v>86</v>
      </c>
      <c r="BB250" s="1" t="s">
        <v>86</v>
      </c>
      <c r="BC250" s="1" t="s">
        <v>86</v>
      </c>
      <c r="BD250" s="1" t="s">
        <v>86</v>
      </c>
      <c r="BE250" s="1" t="s">
        <v>112</v>
      </c>
      <c r="BF250" s="1" t="s">
        <v>86</v>
      </c>
      <c r="BG250" s="1" t="s">
        <v>172</v>
      </c>
      <c r="BH250" s="1" t="s">
        <v>215</v>
      </c>
      <c r="BI250" s="1" t="s">
        <v>1444</v>
      </c>
      <c r="BJ250" s="1" t="s">
        <v>87</v>
      </c>
      <c r="BK250" s="1">
        <v>0</v>
      </c>
      <c r="BL250" s="1">
        <v>0</v>
      </c>
      <c r="BM250" s="1" t="s">
        <v>398</v>
      </c>
      <c r="BN250" s="1" t="s">
        <v>1445</v>
      </c>
      <c r="BO250" s="1" t="s">
        <v>477</v>
      </c>
      <c r="BP250" s="1" t="s">
        <v>86</v>
      </c>
      <c r="BQ250" s="1" t="s">
        <v>86</v>
      </c>
      <c r="BR250" s="1" t="s">
        <v>86</v>
      </c>
      <c r="BS250" s="1" t="s">
        <v>86</v>
      </c>
      <c r="BT250" s="1" t="s">
        <v>86</v>
      </c>
      <c r="BU250" s="1" t="s">
        <v>163</v>
      </c>
      <c r="BV250" s="1" t="s">
        <v>86</v>
      </c>
      <c r="BW250" s="1" t="s">
        <v>101</v>
      </c>
      <c r="BX250" s="1" t="s">
        <v>565</v>
      </c>
      <c r="BY250" s="1" t="s">
        <v>86</v>
      </c>
      <c r="BZ250" s="1" t="s">
        <v>1446</v>
      </c>
      <c r="CA250" s="1" t="s">
        <v>1447</v>
      </c>
      <c r="CB250" s="1" t="s">
        <v>700</v>
      </c>
      <c r="CC250" s="1" t="s">
        <v>86</v>
      </c>
      <c r="CD250" s="1" t="s">
        <v>86</v>
      </c>
      <c r="CE250" s="1" t="s">
        <v>86</v>
      </c>
    </row>
    <row r="251">
      <c r="A251" s="1">
        <v>249</v>
      </c>
      <c r="B251" s="1" t="s">
        <v>395</v>
      </c>
      <c r="C251" s="2">
        <f>=HYPERLINK("https://i.stonehdfile.com/stoneimage?s=e626748f-f206-45d1-ab93-2086e8b27ea9","Image")</f>
      </c>
      <c r="D251" s="2">
        <f>=HYPERLINK("https://dna.stonehdfile.com/hd/viewhd.html?d=004eb213-7eef-46be-8a3e-2c388b02b694","View360")</f>
      </c>
      <c r="E251" s="2">
        <f>=HYPERLINK("https://i.stonehdfile.com/Certificate?s=e626748f-f206-45d1-ab93-2086e8b27ea9","GIA")</f>
      </c>
      <c r="F251" s="2">
        <f>=HYPERLINK("https://i.stonehdfile.com/DNAReport?s=e626748f-f206-45d1-ab93-2086e8b27ea9","DNA")</f>
      </c>
      <c r="G251" s="2">
        <f>=HYPERLINK("https://www.gia.edu/report-check?reportno=******9103","Verify")</f>
      </c>
      <c r="H251" s="1" t="s">
        <v>1448</v>
      </c>
      <c r="I251" s="1" t="s">
        <v>46</v>
      </c>
      <c r="J251" s="1">
        <v>2.01</v>
      </c>
      <c r="K251" s="1">
        <v>1</v>
      </c>
      <c r="L251" s="1">
        <v>13500</v>
      </c>
      <c r="M251" s="1">
        <v>7582</v>
      </c>
      <c r="N251" s="1">
        <v>15239.82</v>
      </c>
      <c r="O251" s="1">
        <v>-43.84</v>
      </c>
      <c r="P251" s="1">
        <v>0</v>
      </c>
      <c r="Q251" s="1" t="s">
        <v>86</v>
      </c>
      <c r="R251" s="1">
        <v>0</v>
      </c>
      <c r="S251" s="1" t="s">
        <v>86</v>
      </c>
      <c r="T251" s="1" t="s">
        <v>86</v>
      </c>
      <c r="U251" s="1" t="s">
        <v>375</v>
      </c>
      <c r="V251" s="1" t="s">
        <v>86</v>
      </c>
      <c r="W251" s="1" t="s">
        <v>88</v>
      </c>
      <c r="X251" s="1" t="s">
        <v>86</v>
      </c>
      <c r="Y251" s="1" t="s">
        <v>89</v>
      </c>
      <c r="Z251" s="1" t="s">
        <v>89</v>
      </c>
      <c r="AA251" s="1" t="s">
        <v>119</v>
      </c>
      <c r="AB251" s="1" t="s">
        <v>86</v>
      </c>
      <c r="AC251" s="1" t="s">
        <v>1449</v>
      </c>
      <c r="AD251" s="1">
        <v>67</v>
      </c>
      <c r="AE251" s="1">
        <v>62</v>
      </c>
      <c r="AF251" s="1" t="s">
        <v>91</v>
      </c>
      <c r="AG251" s="1">
        <v>2.3</v>
      </c>
      <c r="AH251" s="1">
        <v>34.6</v>
      </c>
      <c r="AI251" s="1" t="s">
        <v>86</v>
      </c>
      <c r="AJ251" s="1">
        <v>1.18</v>
      </c>
      <c r="AK251" s="1" t="s">
        <v>190</v>
      </c>
      <c r="AL251" s="1" t="s">
        <v>93</v>
      </c>
      <c r="AM251" s="1" t="s">
        <v>93</v>
      </c>
      <c r="AN251" s="1" t="s">
        <v>86</v>
      </c>
      <c r="AO251" s="1" t="s">
        <v>94</v>
      </c>
      <c r="AP251" s="1" t="s">
        <v>95</v>
      </c>
      <c r="AQ251" s="1">
        <v>13.1</v>
      </c>
      <c r="AR251" s="1">
        <v>51.4</v>
      </c>
      <c r="AS251" s="1">
        <v>38.1</v>
      </c>
      <c r="AT251" s="1" t="s">
        <v>96</v>
      </c>
      <c r="AU251" s="1" t="s">
        <v>86</v>
      </c>
      <c r="AV251" s="1" t="s">
        <v>86</v>
      </c>
      <c r="AW251" s="1" t="s">
        <v>86</v>
      </c>
      <c r="AX251" s="1" t="s">
        <v>86</v>
      </c>
      <c r="AY251" s="1" t="s">
        <v>86</v>
      </c>
      <c r="AZ251" s="1" t="s">
        <v>86</v>
      </c>
      <c r="BA251" s="1" t="s">
        <v>86</v>
      </c>
      <c r="BB251" s="1" t="s">
        <v>86</v>
      </c>
      <c r="BC251" s="1" t="s">
        <v>86</v>
      </c>
      <c r="BD251" s="1" t="s">
        <v>86</v>
      </c>
      <c r="BE251" s="1" t="s">
        <v>86</v>
      </c>
      <c r="BF251" s="1" t="s">
        <v>86</v>
      </c>
      <c r="BG251" s="1" t="s">
        <v>86</v>
      </c>
      <c r="BH251" s="1" t="s">
        <v>657</v>
      </c>
      <c r="BI251" s="1" t="s">
        <v>715</v>
      </c>
      <c r="BJ251" s="1" t="s">
        <v>87</v>
      </c>
      <c r="BK251" s="1">
        <v>0</v>
      </c>
      <c r="BL251" s="1">
        <v>0</v>
      </c>
      <c r="BM251" s="1" t="s">
        <v>398</v>
      </c>
      <c r="BN251" s="1" t="s">
        <v>1450</v>
      </c>
      <c r="BO251" s="1" t="s">
        <v>1451</v>
      </c>
      <c r="BP251" s="1" t="s">
        <v>86</v>
      </c>
      <c r="BQ251" s="1" t="s">
        <v>86</v>
      </c>
      <c r="BR251" s="1" t="s">
        <v>86</v>
      </c>
      <c r="BS251" s="1" t="s">
        <v>86</v>
      </c>
      <c r="BT251" s="1" t="s">
        <v>86</v>
      </c>
      <c r="BU251" s="1" t="s">
        <v>163</v>
      </c>
      <c r="BV251" s="1" t="s">
        <v>86</v>
      </c>
      <c r="BW251" s="1" t="s">
        <v>101</v>
      </c>
      <c r="BX251" s="1" t="s">
        <v>423</v>
      </c>
      <c r="BY251" s="1" t="s">
        <v>86</v>
      </c>
      <c r="BZ251" s="1" t="s">
        <v>1452</v>
      </c>
      <c r="CA251" s="1" t="s">
        <v>480</v>
      </c>
      <c r="CB251" s="1" t="s">
        <v>156</v>
      </c>
      <c r="CC251" s="1" t="s">
        <v>86</v>
      </c>
      <c r="CD251" s="1" t="s">
        <v>86</v>
      </c>
      <c r="CE251" s="1" t="s">
        <v>86</v>
      </c>
    </row>
    <row r="252">
      <c r="A252" s="1">
        <v>250</v>
      </c>
      <c r="B252" s="1" t="s">
        <v>395</v>
      </c>
      <c r="C252" s="2">
        <f>=HYPERLINK("https://i.stonehdfile.com/stoneimage?s=3012eafe-8a53-4463-b99b-807c401a14f2","Image")</f>
      </c>
      <c r="D252" s="2">
        <f>=HYPERLINK("https://dna.stonehdfile.com/hd/viewhd.html?d=e63416cd-f216-46e7-8290-a0651d481259","View360")</f>
      </c>
      <c r="E252" s="2">
        <f>=HYPERLINK("https://i.stonehdfile.com/Certificate?s=3012eafe-8a53-4463-b99b-807c401a14f2","GIA")</f>
      </c>
      <c r="F252" s="2">
        <f>=HYPERLINK("https://i.stonehdfile.com/DNAReport?s=3012eafe-8a53-4463-b99b-807c401a14f2","DNA")</f>
      </c>
      <c r="G252" s="2">
        <f>=HYPERLINK("https://www.gia.edu/report-check?reportno=******4818","Verify")</f>
      </c>
      <c r="H252" s="1" t="s">
        <v>1453</v>
      </c>
      <c r="I252" s="1" t="s">
        <v>46</v>
      </c>
      <c r="J252" s="1">
        <v>2.01</v>
      </c>
      <c r="K252" s="1">
        <v>2</v>
      </c>
      <c r="L252" s="1">
        <v>13500</v>
      </c>
      <c r="M252" s="1">
        <v>6719</v>
      </c>
      <c r="N252" s="1">
        <v>13505.19</v>
      </c>
      <c r="O252" s="1">
        <v>-50.23</v>
      </c>
      <c r="P252" s="1">
        <v>0</v>
      </c>
      <c r="Q252" s="1" t="s">
        <v>86</v>
      </c>
      <c r="R252" s="1">
        <v>0</v>
      </c>
      <c r="S252" s="1" t="s">
        <v>86</v>
      </c>
      <c r="T252" s="1" t="s">
        <v>86</v>
      </c>
      <c r="U252" s="1" t="s">
        <v>271</v>
      </c>
      <c r="V252" s="1" t="s">
        <v>86</v>
      </c>
      <c r="W252" s="1" t="s">
        <v>88</v>
      </c>
      <c r="X252" s="1" t="s">
        <v>86</v>
      </c>
      <c r="Y252" s="1" t="s">
        <v>89</v>
      </c>
      <c r="Z252" s="1" t="s">
        <v>89</v>
      </c>
      <c r="AA252" s="1" t="s">
        <v>119</v>
      </c>
      <c r="AB252" s="1" t="s">
        <v>86</v>
      </c>
      <c r="AC252" s="1" t="s">
        <v>1454</v>
      </c>
      <c r="AD252" s="1">
        <v>68.3</v>
      </c>
      <c r="AE252" s="1">
        <v>61</v>
      </c>
      <c r="AF252" s="1" t="s">
        <v>91</v>
      </c>
      <c r="AG252" s="1">
        <v>3.2</v>
      </c>
      <c r="AH252" s="1">
        <v>35.1</v>
      </c>
      <c r="AI252" s="1" t="s">
        <v>86</v>
      </c>
      <c r="AJ252" s="1">
        <v>1.01</v>
      </c>
      <c r="AK252" s="1" t="s">
        <v>111</v>
      </c>
      <c r="AL252" s="1" t="s">
        <v>93</v>
      </c>
      <c r="AM252" s="1" t="s">
        <v>140</v>
      </c>
      <c r="AN252" s="1" t="s">
        <v>86</v>
      </c>
      <c r="AO252" s="1" t="s">
        <v>94</v>
      </c>
      <c r="AP252" s="1" t="s">
        <v>95</v>
      </c>
      <c r="AQ252" s="1">
        <v>13.5</v>
      </c>
      <c r="AR252" s="1">
        <v>50.9</v>
      </c>
      <c r="AS252" s="1">
        <v>38.7</v>
      </c>
      <c r="AT252" s="1" t="s">
        <v>96</v>
      </c>
      <c r="AU252" s="1" t="s">
        <v>86</v>
      </c>
      <c r="AV252" s="1" t="s">
        <v>86</v>
      </c>
      <c r="AW252" s="1" t="s">
        <v>86</v>
      </c>
      <c r="AX252" s="1" t="s">
        <v>86</v>
      </c>
      <c r="AY252" s="1" t="s">
        <v>86</v>
      </c>
      <c r="AZ252" s="1" t="s">
        <v>86</v>
      </c>
      <c r="BA252" s="1" t="s">
        <v>86</v>
      </c>
      <c r="BB252" s="1" t="s">
        <v>86</v>
      </c>
      <c r="BC252" s="1" t="s">
        <v>86</v>
      </c>
      <c r="BD252" s="1" t="s">
        <v>86</v>
      </c>
      <c r="BE252" s="1" t="s">
        <v>86</v>
      </c>
      <c r="BF252" s="1" t="s">
        <v>86</v>
      </c>
      <c r="BG252" s="1" t="s">
        <v>86</v>
      </c>
      <c r="BH252" s="1" t="s">
        <v>97</v>
      </c>
      <c r="BI252" s="1" t="s">
        <v>199</v>
      </c>
      <c r="BJ252" s="1" t="s">
        <v>87</v>
      </c>
      <c r="BK252" s="1">
        <v>0</v>
      </c>
      <c r="BL252" s="1">
        <v>0</v>
      </c>
      <c r="BM252" s="1" t="s">
        <v>398</v>
      </c>
      <c r="BN252" s="1" t="s">
        <v>1455</v>
      </c>
      <c r="BO252" s="1" t="s">
        <v>1456</v>
      </c>
      <c r="BP252" s="1" t="s">
        <v>86</v>
      </c>
      <c r="BQ252" s="1" t="s">
        <v>86</v>
      </c>
      <c r="BR252" s="1" t="s">
        <v>86</v>
      </c>
      <c r="BS252" s="1" t="s">
        <v>86</v>
      </c>
      <c r="BT252" s="1" t="s">
        <v>86</v>
      </c>
      <c r="BU252" s="1" t="s">
        <v>163</v>
      </c>
      <c r="BV252" s="1" t="s">
        <v>86</v>
      </c>
      <c r="BW252" s="1" t="s">
        <v>101</v>
      </c>
      <c r="BX252" s="1" t="s">
        <v>401</v>
      </c>
      <c r="BY252" s="1" t="s">
        <v>86</v>
      </c>
      <c r="BZ252" s="1" t="s">
        <v>1457</v>
      </c>
      <c r="CA252" s="1" t="s">
        <v>165</v>
      </c>
      <c r="CB252" s="1" t="s">
        <v>86</v>
      </c>
      <c r="CC252" s="1" t="s">
        <v>86</v>
      </c>
      <c r="CD252" s="1" t="s">
        <v>86</v>
      </c>
      <c r="CE252" s="1" t="s">
        <v>86</v>
      </c>
    </row>
    <row r="253">
      <c r="A253" s="1">
        <v>251</v>
      </c>
      <c r="B253" s="1" t="s">
        <v>395</v>
      </c>
      <c r="C253" s="2">
        <f>=HYPERLINK("https://i.stonehdfile.com/stoneimage?s=6420bf2b-fde0-4304-a28f-43c4c0223bfd","Image")</f>
      </c>
      <c r="D253" s="2">
        <f>=HYPERLINK("https://dna.stonehdfile.com/hd/viewhd.html?d=d22b11dd-e6d7-4f85-b0af-0191b9107659","View360")</f>
      </c>
      <c r="E253" s="2">
        <f>=HYPERLINK("https://i.stonehdfile.com/Certificate?s=6420bf2b-fde0-4304-a28f-43c4c0223bfd","GIA")</f>
      </c>
      <c r="F253" s="2">
        <f>=HYPERLINK("https://i.stonehdfile.com/DNAReport?s=6420bf2b-fde0-4304-a28f-43c4c0223bfd","DNA")</f>
      </c>
      <c r="G253" s="2">
        <f>=HYPERLINK("https://www.gia.edu/report-check?reportno=******8950","Verify")</f>
      </c>
      <c r="H253" s="1" t="s">
        <v>1458</v>
      </c>
      <c r="I253" s="1" t="s">
        <v>46</v>
      </c>
      <c r="J253" s="1">
        <v>2.02</v>
      </c>
      <c r="K253" s="1">
        <v>6</v>
      </c>
      <c r="L253" s="1">
        <v>13500</v>
      </c>
      <c r="M253" s="1">
        <v>8165</v>
      </c>
      <c r="N253" s="1">
        <v>16493.3</v>
      </c>
      <c r="O253" s="1">
        <v>-39.52</v>
      </c>
      <c r="P253" s="1">
        <v>0</v>
      </c>
      <c r="Q253" s="1" t="s">
        <v>86</v>
      </c>
      <c r="R253" s="1">
        <v>0</v>
      </c>
      <c r="S253" s="1" t="s">
        <v>86</v>
      </c>
      <c r="T253" s="1" t="s">
        <v>86</v>
      </c>
      <c r="U253" s="1" t="s">
        <v>271</v>
      </c>
      <c r="V253" s="1" t="s">
        <v>86</v>
      </c>
      <c r="W253" s="1" t="s">
        <v>88</v>
      </c>
      <c r="X253" s="1" t="s">
        <v>86</v>
      </c>
      <c r="Y253" s="1" t="s">
        <v>89</v>
      </c>
      <c r="Z253" s="1" t="s">
        <v>89</v>
      </c>
      <c r="AA253" s="1" t="s">
        <v>119</v>
      </c>
      <c r="AB253" s="1" t="s">
        <v>86</v>
      </c>
      <c r="AC253" s="1" t="s">
        <v>1459</v>
      </c>
      <c r="AD253" s="1">
        <v>67.1</v>
      </c>
      <c r="AE253" s="1">
        <v>62</v>
      </c>
      <c r="AF253" s="1" t="s">
        <v>91</v>
      </c>
      <c r="AG253" s="1">
        <v>2.2</v>
      </c>
      <c r="AH253" s="1">
        <v>34.1</v>
      </c>
      <c r="AI253" s="1" t="s">
        <v>86</v>
      </c>
      <c r="AJ253" s="1">
        <v>1.19</v>
      </c>
      <c r="AK253" s="1" t="s">
        <v>111</v>
      </c>
      <c r="AL253" s="1" t="s">
        <v>93</v>
      </c>
      <c r="AM253" s="1" t="s">
        <v>93</v>
      </c>
      <c r="AN253" s="1" t="s">
        <v>86</v>
      </c>
      <c r="AO253" s="1" t="s">
        <v>94</v>
      </c>
      <c r="AP253" s="1" t="s">
        <v>95</v>
      </c>
      <c r="AQ253" s="1">
        <v>13</v>
      </c>
      <c r="AR253" s="1">
        <v>52.4</v>
      </c>
      <c r="AS253" s="1">
        <v>39.3</v>
      </c>
      <c r="AT253" s="1" t="s">
        <v>96</v>
      </c>
      <c r="AU253" s="1" t="s">
        <v>86</v>
      </c>
      <c r="AV253" s="1" t="s">
        <v>86</v>
      </c>
      <c r="AW253" s="1" t="s">
        <v>86</v>
      </c>
      <c r="AX253" s="1" t="s">
        <v>86</v>
      </c>
      <c r="AY253" s="1" t="s">
        <v>86</v>
      </c>
      <c r="AZ253" s="1" t="s">
        <v>86</v>
      </c>
      <c r="BA253" s="1" t="s">
        <v>86</v>
      </c>
      <c r="BB253" s="1" t="s">
        <v>86</v>
      </c>
      <c r="BC253" s="1" t="s">
        <v>86</v>
      </c>
      <c r="BD253" s="1" t="s">
        <v>86</v>
      </c>
      <c r="BE253" s="1" t="s">
        <v>86</v>
      </c>
      <c r="BF253" s="1" t="s">
        <v>86</v>
      </c>
      <c r="BG253" s="1" t="s">
        <v>86</v>
      </c>
      <c r="BH253" s="1" t="s">
        <v>142</v>
      </c>
      <c r="BI253" s="1" t="s">
        <v>420</v>
      </c>
      <c r="BJ253" s="1" t="s">
        <v>87</v>
      </c>
      <c r="BK253" s="1">
        <v>0</v>
      </c>
      <c r="BL253" s="1">
        <v>0</v>
      </c>
      <c r="BM253" s="1" t="s">
        <v>398</v>
      </c>
      <c r="BN253" s="1" t="s">
        <v>1460</v>
      </c>
      <c r="BO253" s="1" t="s">
        <v>529</v>
      </c>
      <c r="BP253" s="1" t="s">
        <v>86</v>
      </c>
      <c r="BQ253" s="1" t="s">
        <v>86</v>
      </c>
      <c r="BR253" s="1" t="s">
        <v>86</v>
      </c>
      <c r="BS253" s="1" t="s">
        <v>438</v>
      </c>
      <c r="BT253" s="1" t="s">
        <v>86</v>
      </c>
      <c r="BU253" s="1" t="s">
        <v>163</v>
      </c>
      <c r="BV253" s="1" t="s">
        <v>86</v>
      </c>
      <c r="BW253" s="1" t="s">
        <v>101</v>
      </c>
      <c r="BX253" s="1" t="s">
        <v>530</v>
      </c>
      <c r="BY253" s="1" t="s">
        <v>86</v>
      </c>
      <c r="BZ253" s="1" t="s">
        <v>1461</v>
      </c>
      <c r="CA253" s="1" t="s">
        <v>403</v>
      </c>
      <c r="CB253" s="1" t="s">
        <v>86</v>
      </c>
      <c r="CC253" s="1" t="s">
        <v>86</v>
      </c>
      <c r="CD253" s="1" t="s">
        <v>86</v>
      </c>
      <c r="CE253" s="1" t="s">
        <v>86</v>
      </c>
    </row>
    <row r="254">
      <c r="A254" s="1">
        <v>252</v>
      </c>
      <c r="B254" s="1" t="s">
        <v>395</v>
      </c>
      <c r="C254" s="2">
        <f>=HYPERLINK("https://i.stonehdfile.com/stoneimage?s=f697b778-381c-42da-be20-8fe74b7473f8","Image")</f>
      </c>
      <c r="D254" s="2">
        <f>=HYPERLINK("https://dna.stonehdfile.com/hd/viewhd.html?d=d057a3e2-a519-4b0c-a217-780f9107e1c1","View360")</f>
      </c>
      <c r="E254" s="2">
        <f>=HYPERLINK("https://i.stonehdfile.com/Certificate?s=f697b778-381c-42da-be20-8fe74b7473f8","GIA")</f>
      </c>
      <c r="F254" s="2">
        <f>=HYPERLINK("https://i.stonehdfile.com/DNAReport?s=f697b778-381c-42da-be20-8fe74b7473f8","DNA")</f>
      </c>
      <c r="G254" s="2">
        <f>=HYPERLINK("https://www.gia.edu/report-check?reportno=******7578","Verify")</f>
      </c>
      <c r="H254" s="1" t="s">
        <v>1462</v>
      </c>
      <c r="I254" s="1" t="s">
        <v>46</v>
      </c>
      <c r="J254" s="1">
        <v>2.02</v>
      </c>
      <c r="K254" s="1">
        <v>3</v>
      </c>
      <c r="L254" s="1">
        <v>13000</v>
      </c>
      <c r="M254" s="1">
        <v>7057</v>
      </c>
      <c r="N254" s="1">
        <v>14255.14</v>
      </c>
      <c r="O254" s="1">
        <v>-45.72</v>
      </c>
      <c r="P254" s="1">
        <v>0</v>
      </c>
      <c r="Q254" s="1" t="s">
        <v>86</v>
      </c>
      <c r="R254" s="1">
        <v>0</v>
      </c>
      <c r="S254" s="1" t="s">
        <v>86</v>
      </c>
      <c r="T254" s="1" t="s">
        <v>86</v>
      </c>
      <c r="U254" s="1" t="s">
        <v>271</v>
      </c>
      <c r="V254" s="1" t="s">
        <v>86</v>
      </c>
      <c r="W254" s="1" t="s">
        <v>107</v>
      </c>
      <c r="X254" s="1" t="s">
        <v>86</v>
      </c>
      <c r="Y254" s="1" t="s">
        <v>89</v>
      </c>
      <c r="Z254" s="1" t="s">
        <v>89</v>
      </c>
      <c r="AA254" s="1" t="s">
        <v>119</v>
      </c>
      <c r="AB254" s="1" t="s">
        <v>86</v>
      </c>
      <c r="AC254" s="1" t="s">
        <v>1463</v>
      </c>
      <c r="AD254" s="1">
        <v>68.7</v>
      </c>
      <c r="AE254" s="1">
        <v>62</v>
      </c>
      <c r="AF254" s="1" t="s">
        <v>91</v>
      </c>
      <c r="AG254" s="1">
        <v>3.5</v>
      </c>
      <c r="AH254" s="1">
        <v>36</v>
      </c>
      <c r="AI254" s="1" t="s">
        <v>86</v>
      </c>
      <c r="AJ254" s="1">
        <v>1.01</v>
      </c>
      <c r="AK254" s="1" t="s">
        <v>190</v>
      </c>
      <c r="AL254" s="1" t="s">
        <v>93</v>
      </c>
      <c r="AM254" s="1" t="s">
        <v>93</v>
      </c>
      <c r="AN254" s="1" t="s">
        <v>86</v>
      </c>
      <c r="AO254" s="1" t="s">
        <v>94</v>
      </c>
      <c r="AP254" s="1" t="s">
        <v>95</v>
      </c>
      <c r="AQ254" s="1">
        <v>13.8</v>
      </c>
      <c r="AR254" s="1">
        <v>51.2</v>
      </c>
      <c r="AS254" s="1">
        <v>39.3</v>
      </c>
      <c r="AT254" s="1" t="s">
        <v>96</v>
      </c>
      <c r="AU254" s="1" t="s">
        <v>86</v>
      </c>
      <c r="AV254" s="1" t="s">
        <v>86</v>
      </c>
      <c r="AW254" s="1" t="s">
        <v>86</v>
      </c>
      <c r="AX254" s="1" t="s">
        <v>86</v>
      </c>
      <c r="AY254" s="1" t="s">
        <v>86</v>
      </c>
      <c r="AZ254" s="1" t="s">
        <v>86</v>
      </c>
      <c r="BA254" s="1" t="s">
        <v>86</v>
      </c>
      <c r="BB254" s="1" t="s">
        <v>86</v>
      </c>
      <c r="BC254" s="1" t="s">
        <v>86</v>
      </c>
      <c r="BD254" s="1" t="s">
        <v>86</v>
      </c>
      <c r="BE254" s="1" t="s">
        <v>86</v>
      </c>
      <c r="BF254" s="1" t="s">
        <v>86</v>
      </c>
      <c r="BG254" s="1" t="s">
        <v>86</v>
      </c>
      <c r="BH254" s="1" t="s">
        <v>215</v>
      </c>
      <c r="BI254" s="1" t="s">
        <v>183</v>
      </c>
      <c r="BJ254" s="1" t="s">
        <v>87</v>
      </c>
      <c r="BK254" s="1">
        <v>0</v>
      </c>
      <c r="BL254" s="1">
        <v>0</v>
      </c>
      <c r="BM254" s="1" t="s">
        <v>398</v>
      </c>
      <c r="BN254" s="1" t="s">
        <v>1464</v>
      </c>
      <c r="BO254" s="1" t="s">
        <v>896</v>
      </c>
      <c r="BP254" s="1" t="s">
        <v>86</v>
      </c>
      <c r="BQ254" s="1" t="s">
        <v>86</v>
      </c>
      <c r="BR254" s="1" t="s">
        <v>86</v>
      </c>
      <c r="BS254" s="1" t="s">
        <v>86</v>
      </c>
      <c r="BT254" s="1" t="s">
        <v>86</v>
      </c>
      <c r="BU254" s="1" t="s">
        <v>163</v>
      </c>
      <c r="BV254" s="1" t="s">
        <v>86</v>
      </c>
      <c r="BW254" s="1" t="s">
        <v>101</v>
      </c>
      <c r="BX254" s="1" t="s">
        <v>478</v>
      </c>
      <c r="BY254" s="1" t="s">
        <v>86</v>
      </c>
      <c r="BZ254" s="1" t="s">
        <v>1465</v>
      </c>
      <c r="CA254" s="1" t="s">
        <v>1017</v>
      </c>
      <c r="CB254" s="1" t="s">
        <v>86</v>
      </c>
      <c r="CC254" s="1" t="s">
        <v>86</v>
      </c>
      <c r="CD254" s="1" t="s">
        <v>86</v>
      </c>
      <c r="CE254" s="1" t="s">
        <v>86</v>
      </c>
    </row>
    <row r="255">
      <c r="A255" s="1">
        <v>253</v>
      </c>
      <c r="B255" s="1" t="s">
        <v>395</v>
      </c>
      <c r="C255" s="2">
        <f>=HYPERLINK("https://i.stonehdfile.com/stoneimage?s=17e65a62-92e8-4973-9adc-7c484636ee24","Image")</f>
      </c>
      <c r="D255" s="2">
        <f>=HYPERLINK("https://dna.stonehdfile.com/hd/viewhd.html?d=b731a6c1-02b5-4fcf-bd10-5a7513c7b7ed","View360")</f>
      </c>
      <c r="E255" s="2">
        <f>=HYPERLINK("https://i.stonehdfile.com/Certificate?s=17e65a62-92e8-4973-9adc-7c484636ee24","GIA")</f>
      </c>
      <c r="F255" s="2">
        <f>=HYPERLINK("https://i.stonehdfile.com/DNAReport?s=17e65a62-92e8-4973-9adc-7c484636ee24","DNA")</f>
      </c>
      <c r="G255" s="2">
        <f>=HYPERLINK("https://www.gia.edu/report-check?reportno=******2528","Verify")</f>
      </c>
      <c r="H255" s="1" t="s">
        <v>1466</v>
      </c>
      <c r="I255" s="1" t="s">
        <v>46</v>
      </c>
      <c r="J255" s="1">
        <v>2.05</v>
      </c>
      <c r="K255" s="1">
        <v>3</v>
      </c>
      <c r="L255" s="1">
        <v>13000</v>
      </c>
      <c r="M255" s="1">
        <v>6901</v>
      </c>
      <c r="N255" s="1">
        <v>14147.05</v>
      </c>
      <c r="O255" s="1">
        <v>-46.92</v>
      </c>
      <c r="P255" s="1">
        <v>0</v>
      </c>
      <c r="Q255" s="1" t="s">
        <v>86</v>
      </c>
      <c r="R255" s="1">
        <v>0</v>
      </c>
      <c r="S255" s="1" t="s">
        <v>86</v>
      </c>
      <c r="T255" s="1" t="s">
        <v>86</v>
      </c>
      <c r="U255" s="1" t="s">
        <v>271</v>
      </c>
      <c r="V255" s="1" t="s">
        <v>86</v>
      </c>
      <c r="W255" s="1" t="s">
        <v>107</v>
      </c>
      <c r="X255" s="1" t="s">
        <v>86</v>
      </c>
      <c r="Y255" s="1" t="s">
        <v>89</v>
      </c>
      <c r="Z255" s="1" t="s">
        <v>89</v>
      </c>
      <c r="AA255" s="1" t="s">
        <v>119</v>
      </c>
      <c r="AB255" s="1" t="s">
        <v>86</v>
      </c>
      <c r="AC255" s="1" t="s">
        <v>1467</v>
      </c>
      <c r="AD255" s="1">
        <v>68.3</v>
      </c>
      <c r="AE255" s="1">
        <v>63</v>
      </c>
      <c r="AF255" s="1" t="s">
        <v>91</v>
      </c>
      <c r="AG255" s="1">
        <v>3</v>
      </c>
      <c r="AH255" s="1">
        <v>34.4</v>
      </c>
      <c r="AI255" s="1" t="s">
        <v>86</v>
      </c>
      <c r="AJ255" s="1">
        <v>1.09</v>
      </c>
      <c r="AK255" s="1" t="s">
        <v>111</v>
      </c>
      <c r="AL255" s="1" t="s">
        <v>140</v>
      </c>
      <c r="AM255" s="1" t="s">
        <v>140</v>
      </c>
      <c r="AN255" s="1" t="s">
        <v>86</v>
      </c>
      <c r="AO255" s="1" t="s">
        <v>94</v>
      </c>
      <c r="AP255" s="1" t="s">
        <v>95</v>
      </c>
      <c r="AQ255" s="1">
        <v>12.5</v>
      </c>
      <c r="AR255" s="1">
        <v>52.7</v>
      </c>
      <c r="AS255" s="1">
        <v>40.5</v>
      </c>
      <c r="AT255" s="1" t="s">
        <v>96</v>
      </c>
      <c r="AU255" s="1" t="s">
        <v>86</v>
      </c>
      <c r="AV255" s="1" t="s">
        <v>86</v>
      </c>
      <c r="AW255" s="1" t="s">
        <v>86</v>
      </c>
      <c r="AX255" s="1" t="s">
        <v>86</v>
      </c>
      <c r="AY255" s="1" t="s">
        <v>86</v>
      </c>
      <c r="AZ255" s="1" t="s">
        <v>86</v>
      </c>
      <c r="BA255" s="1" t="s">
        <v>86</v>
      </c>
      <c r="BB255" s="1" t="s">
        <v>86</v>
      </c>
      <c r="BC255" s="1" t="s">
        <v>86</v>
      </c>
      <c r="BD255" s="1" t="s">
        <v>86</v>
      </c>
      <c r="BE255" s="1" t="s">
        <v>86</v>
      </c>
      <c r="BF255" s="1" t="s">
        <v>86</v>
      </c>
      <c r="BG255" s="1" t="s">
        <v>86</v>
      </c>
      <c r="BH255" s="1" t="s">
        <v>182</v>
      </c>
      <c r="BI255" s="1" t="s">
        <v>315</v>
      </c>
      <c r="BJ255" s="1" t="s">
        <v>87</v>
      </c>
      <c r="BK255" s="1">
        <v>0</v>
      </c>
      <c r="BL255" s="1">
        <v>0</v>
      </c>
      <c r="BM255" s="1" t="s">
        <v>398</v>
      </c>
      <c r="BN255" s="1" t="s">
        <v>1468</v>
      </c>
      <c r="BO255" s="1" t="s">
        <v>1469</v>
      </c>
      <c r="BP255" s="1" t="s">
        <v>86</v>
      </c>
      <c r="BQ255" s="1" t="s">
        <v>86</v>
      </c>
      <c r="BR255" s="1" t="s">
        <v>86</v>
      </c>
      <c r="BS255" s="1" t="s">
        <v>86</v>
      </c>
      <c r="BT255" s="1" t="s">
        <v>86</v>
      </c>
      <c r="BU255" s="1" t="s">
        <v>163</v>
      </c>
      <c r="BV255" s="1" t="s">
        <v>86</v>
      </c>
      <c r="BW255" s="1" t="s">
        <v>101</v>
      </c>
      <c r="BX255" s="1" t="s">
        <v>565</v>
      </c>
      <c r="BY255" s="1" t="s">
        <v>86</v>
      </c>
      <c r="BZ255" s="1" t="s">
        <v>1470</v>
      </c>
      <c r="CA255" s="1" t="s">
        <v>103</v>
      </c>
      <c r="CB255" s="1" t="s">
        <v>1471</v>
      </c>
      <c r="CC255" s="1" t="s">
        <v>86</v>
      </c>
      <c r="CD255" s="1" t="s">
        <v>86</v>
      </c>
      <c r="CE255" s="1" t="s">
        <v>86</v>
      </c>
    </row>
    <row r="256">
      <c r="A256" s="1">
        <v>254</v>
      </c>
      <c r="B256" s="1" t="s">
        <v>395</v>
      </c>
      <c r="C256" s="2">
        <f>=HYPERLINK("https://i.stonehdfile.com/stoneimage?s=018aa751-67a3-4593-bcba-cb6cab37b233","Image")</f>
      </c>
      <c r="D256" s="2">
        <f>=HYPERLINK("https://dna.stonehdfile.com/hd/viewhd.html?d=bea3b16e-63a1-42d0-963c-6f8569264e82","View360")</f>
      </c>
      <c r="E256" s="2">
        <f>=HYPERLINK("https://i.stonehdfile.com/Certificate?s=018aa751-67a3-4593-bcba-cb6cab37b233","GIA")</f>
      </c>
      <c r="F256" s="2">
        <f>=HYPERLINK("https://i.stonehdfile.com/DNAReport?s=018aa751-67a3-4593-bcba-cb6cab37b233","DNA")</f>
      </c>
      <c r="G256" s="2">
        <f>=HYPERLINK("https://www.gia.edu/report-check?reportno=******2429","Verify")</f>
      </c>
      <c r="H256" s="1" t="s">
        <v>1472</v>
      </c>
      <c r="I256" s="1" t="s">
        <v>46</v>
      </c>
      <c r="J256" s="1">
        <v>2.01</v>
      </c>
      <c r="K256" s="1">
        <v>5</v>
      </c>
      <c r="L256" s="1">
        <v>13000</v>
      </c>
      <c r="M256" s="1">
        <v>6285</v>
      </c>
      <c r="N256" s="1">
        <v>12632.85</v>
      </c>
      <c r="O256" s="1">
        <v>-51.65</v>
      </c>
      <c r="P256" s="1">
        <v>0</v>
      </c>
      <c r="Q256" s="1" t="s">
        <v>86</v>
      </c>
      <c r="R256" s="1">
        <v>0</v>
      </c>
      <c r="S256" s="1" t="s">
        <v>86</v>
      </c>
      <c r="T256" s="1" t="s">
        <v>86</v>
      </c>
      <c r="U256" s="1" t="s">
        <v>271</v>
      </c>
      <c r="V256" s="1" t="s">
        <v>86</v>
      </c>
      <c r="W256" s="1" t="s">
        <v>149</v>
      </c>
      <c r="X256" s="1" t="s">
        <v>86</v>
      </c>
      <c r="Y256" s="1" t="s">
        <v>89</v>
      </c>
      <c r="Z256" s="1" t="s">
        <v>89</v>
      </c>
      <c r="AA256" s="1" t="s">
        <v>119</v>
      </c>
      <c r="AB256" s="1" t="s">
        <v>86</v>
      </c>
      <c r="AC256" s="1" t="s">
        <v>1473</v>
      </c>
      <c r="AD256" s="1">
        <v>69.2</v>
      </c>
      <c r="AE256" s="1">
        <v>63</v>
      </c>
      <c r="AF256" s="1" t="s">
        <v>91</v>
      </c>
      <c r="AG256" s="1">
        <v>3.8</v>
      </c>
      <c r="AH256" s="1">
        <v>35.9</v>
      </c>
      <c r="AI256" s="1" t="s">
        <v>86</v>
      </c>
      <c r="AJ256" s="1">
        <v>1.13</v>
      </c>
      <c r="AK256" s="1" t="s">
        <v>111</v>
      </c>
      <c r="AL256" s="1" t="s">
        <v>93</v>
      </c>
      <c r="AM256" s="1" t="s">
        <v>140</v>
      </c>
      <c r="AN256" s="1" t="s">
        <v>86</v>
      </c>
      <c r="AO256" s="1" t="s">
        <v>94</v>
      </c>
      <c r="AP256" s="1" t="s">
        <v>95</v>
      </c>
      <c r="AQ256" s="1">
        <v>13.4</v>
      </c>
      <c r="AR256" s="1">
        <v>51.9</v>
      </c>
      <c r="AS256" s="1">
        <v>38.3</v>
      </c>
      <c r="AT256" s="1" t="s">
        <v>96</v>
      </c>
      <c r="AU256" s="1" t="s">
        <v>86</v>
      </c>
      <c r="AV256" s="1" t="s">
        <v>86</v>
      </c>
      <c r="AW256" s="1" t="s">
        <v>86</v>
      </c>
      <c r="AX256" s="1" t="s">
        <v>86</v>
      </c>
      <c r="AY256" s="1" t="s">
        <v>86</v>
      </c>
      <c r="AZ256" s="1" t="s">
        <v>86</v>
      </c>
      <c r="BA256" s="1" t="s">
        <v>86</v>
      </c>
      <c r="BB256" s="1" t="s">
        <v>86</v>
      </c>
      <c r="BC256" s="1" t="s">
        <v>86</v>
      </c>
      <c r="BD256" s="1" t="s">
        <v>86</v>
      </c>
      <c r="BE256" s="1" t="s">
        <v>86</v>
      </c>
      <c r="BF256" s="1" t="s">
        <v>86</v>
      </c>
      <c r="BG256" s="1" t="s">
        <v>86</v>
      </c>
      <c r="BH256" s="1" t="s">
        <v>215</v>
      </c>
      <c r="BI256" s="1" t="s">
        <v>216</v>
      </c>
      <c r="BJ256" s="1" t="s">
        <v>87</v>
      </c>
      <c r="BK256" s="1">
        <v>0</v>
      </c>
      <c r="BL256" s="1">
        <v>0</v>
      </c>
      <c r="BM256" s="1" t="s">
        <v>398</v>
      </c>
      <c r="BN256" s="1" t="s">
        <v>1474</v>
      </c>
      <c r="BO256" s="1" t="s">
        <v>1001</v>
      </c>
      <c r="BP256" s="1" t="s">
        <v>86</v>
      </c>
      <c r="BQ256" s="1" t="s">
        <v>86</v>
      </c>
      <c r="BR256" s="1" t="s">
        <v>86</v>
      </c>
      <c r="BS256" s="1" t="s">
        <v>86</v>
      </c>
      <c r="BT256" s="1" t="s">
        <v>86</v>
      </c>
      <c r="BU256" s="1" t="s">
        <v>163</v>
      </c>
      <c r="BV256" s="1" t="s">
        <v>86</v>
      </c>
      <c r="BW256" s="1" t="s">
        <v>101</v>
      </c>
      <c r="BX256" s="1" t="s">
        <v>401</v>
      </c>
      <c r="BY256" s="1" t="s">
        <v>86</v>
      </c>
      <c r="BZ256" s="1" t="s">
        <v>1475</v>
      </c>
      <c r="CA256" s="1" t="s">
        <v>178</v>
      </c>
      <c r="CB256" s="1" t="s">
        <v>166</v>
      </c>
      <c r="CC256" s="1" t="s">
        <v>86</v>
      </c>
      <c r="CD256" s="1" t="s">
        <v>86</v>
      </c>
      <c r="CE256" s="1" t="s">
        <v>86</v>
      </c>
    </row>
    <row r="257">
      <c r="A257" s="1">
        <v>255</v>
      </c>
      <c r="B257" s="1" t="s">
        <v>395</v>
      </c>
      <c r="C257" s="2">
        <f>=HYPERLINK("https://i.stonehdfile.com/stoneimage?s=0ec45b25-d4fe-4818-b720-362f835a08b2","Image")</f>
      </c>
      <c r="D257" s="2">
        <f>=HYPERLINK("https://dna.stonehdfile.com/hd/viewhd.html?d=811336c9-4243-4eb1-a040-3e95ca8af5ec","View360")</f>
      </c>
      <c r="E257" s="2">
        <f>=HYPERLINK("https://i.stonehdfile.com/Certificate?s=0ec45b25-d4fe-4818-b720-362f835a08b2","GIA")</f>
      </c>
      <c r="F257" s="2">
        <f>=HYPERLINK("https://i.stonehdfile.com/DNAReport?s=0ec45b25-d4fe-4818-b720-362f835a08b2","DNA")</f>
      </c>
      <c r="G257" s="2">
        <f>=HYPERLINK("https://www.gia.edu/report-check?reportno=******1790","Verify")</f>
      </c>
      <c r="H257" s="1" t="s">
        <v>1476</v>
      </c>
      <c r="I257" s="1" t="s">
        <v>46</v>
      </c>
      <c r="J257" s="1">
        <v>2.07</v>
      </c>
      <c r="K257" s="1">
        <v>6</v>
      </c>
      <c r="L257" s="1">
        <v>13000</v>
      </c>
      <c r="M257" s="1">
        <v>6916</v>
      </c>
      <c r="N257" s="1">
        <v>14316.12</v>
      </c>
      <c r="O257" s="1">
        <v>-46.8</v>
      </c>
      <c r="P257" s="1">
        <v>0</v>
      </c>
      <c r="Q257" s="1" t="s">
        <v>86</v>
      </c>
      <c r="R257" s="1">
        <v>0</v>
      </c>
      <c r="S257" s="1" t="s">
        <v>86</v>
      </c>
      <c r="T257" s="1" t="s">
        <v>86</v>
      </c>
      <c r="U257" s="1" t="s">
        <v>271</v>
      </c>
      <c r="V257" s="1" t="s">
        <v>86</v>
      </c>
      <c r="W257" s="1" t="s">
        <v>149</v>
      </c>
      <c r="X257" s="1" t="s">
        <v>86</v>
      </c>
      <c r="Y257" s="1" t="s">
        <v>89</v>
      </c>
      <c r="Z257" s="1" t="s">
        <v>89</v>
      </c>
      <c r="AA257" s="1" t="s">
        <v>119</v>
      </c>
      <c r="AB257" s="1" t="s">
        <v>86</v>
      </c>
      <c r="AC257" s="1" t="s">
        <v>1477</v>
      </c>
      <c r="AD257" s="1">
        <v>68.1</v>
      </c>
      <c r="AE257" s="1">
        <v>64</v>
      </c>
      <c r="AF257" s="1" t="s">
        <v>91</v>
      </c>
      <c r="AG257" s="1">
        <v>3</v>
      </c>
      <c r="AH257" s="1">
        <v>35.4</v>
      </c>
      <c r="AI257" s="1" t="s">
        <v>86</v>
      </c>
      <c r="AJ257" s="1">
        <v>1.08</v>
      </c>
      <c r="AK257" s="1" t="s">
        <v>111</v>
      </c>
      <c r="AL257" s="1" t="s">
        <v>93</v>
      </c>
      <c r="AM257" s="1" t="s">
        <v>140</v>
      </c>
      <c r="AN257" s="1" t="s">
        <v>86</v>
      </c>
      <c r="AO257" s="1" t="s">
        <v>94</v>
      </c>
      <c r="AP257" s="1" t="s">
        <v>95</v>
      </c>
      <c r="AQ257" s="1">
        <v>13</v>
      </c>
      <c r="AR257" s="1">
        <v>51.5</v>
      </c>
      <c r="AS257" s="1">
        <v>38.3</v>
      </c>
      <c r="AT257" s="1" t="s">
        <v>96</v>
      </c>
      <c r="AU257" s="1" t="s">
        <v>86</v>
      </c>
      <c r="AV257" s="1" t="s">
        <v>86</v>
      </c>
      <c r="AW257" s="1" t="s">
        <v>86</v>
      </c>
      <c r="AX257" s="1" t="s">
        <v>86</v>
      </c>
      <c r="AY257" s="1" t="s">
        <v>86</v>
      </c>
      <c r="AZ257" s="1" t="s">
        <v>86</v>
      </c>
      <c r="BA257" s="1" t="s">
        <v>86</v>
      </c>
      <c r="BB257" s="1" t="s">
        <v>86</v>
      </c>
      <c r="BC257" s="1" t="s">
        <v>86</v>
      </c>
      <c r="BD257" s="1" t="s">
        <v>86</v>
      </c>
      <c r="BE257" s="1" t="s">
        <v>86</v>
      </c>
      <c r="BF257" s="1" t="s">
        <v>86</v>
      </c>
      <c r="BG257" s="1" t="s">
        <v>86</v>
      </c>
      <c r="BH257" s="1" t="s">
        <v>97</v>
      </c>
      <c r="BI257" s="1" t="s">
        <v>315</v>
      </c>
      <c r="BJ257" s="1" t="s">
        <v>87</v>
      </c>
      <c r="BK257" s="1">
        <v>0</v>
      </c>
      <c r="BL257" s="1">
        <v>0</v>
      </c>
      <c r="BM257" s="1" t="s">
        <v>398</v>
      </c>
      <c r="BN257" s="1" t="s">
        <v>1478</v>
      </c>
      <c r="BO257" s="1" t="s">
        <v>1479</v>
      </c>
      <c r="BP257" s="1" t="s">
        <v>86</v>
      </c>
      <c r="BQ257" s="1" t="s">
        <v>86</v>
      </c>
      <c r="BR257" s="1" t="s">
        <v>86</v>
      </c>
      <c r="BS257" s="1" t="s">
        <v>86</v>
      </c>
      <c r="BT257" s="1" t="s">
        <v>86</v>
      </c>
      <c r="BU257" s="1" t="s">
        <v>163</v>
      </c>
      <c r="BV257" s="1" t="s">
        <v>86</v>
      </c>
      <c r="BW257" s="1" t="s">
        <v>101</v>
      </c>
      <c r="BX257" s="1" t="s">
        <v>545</v>
      </c>
      <c r="BY257" s="1" t="s">
        <v>86</v>
      </c>
      <c r="BZ257" s="1" t="s">
        <v>1480</v>
      </c>
      <c r="CA257" s="1" t="s">
        <v>165</v>
      </c>
      <c r="CB257" s="1" t="s">
        <v>166</v>
      </c>
      <c r="CC257" s="1" t="s">
        <v>86</v>
      </c>
      <c r="CD257" s="1" t="s">
        <v>86</v>
      </c>
      <c r="CE257" s="1" t="s">
        <v>86</v>
      </c>
    </row>
    <row r="258">
      <c r="A258" s="1">
        <v>256</v>
      </c>
      <c r="B258" s="1" t="s">
        <v>395</v>
      </c>
      <c r="C258" s="2">
        <f>=HYPERLINK("https://i.stonehdfile.com/stoneimage?s=6b77797d-e027-4841-8428-91eec0f413d6","Image")</f>
      </c>
      <c r="D258" s="2">
        <f>=HYPERLINK("https://dna.stonehdfile.com/hd/viewhd.html?d=26426622-180b-43db-aa8a-86387e07c38f","View360")</f>
      </c>
      <c r="E258" s="2">
        <f>=HYPERLINK("https://i.stonehdfile.com/Certificate?s=6b77797d-e027-4841-8428-91eec0f413d6","GIA")</f>
      </c>
      <c r="F258" s="2">
        <f>=HYPERLINK("https://i.stonehdfile.com/DNAReport?s=6b77797d-e027-4841-8428-91eec0f413d6","DNA")</f>
      </c>
      <c r="G258" s="2">
        <f>=HYPERLINK("https://www.gia.edu/report-check?reportno=******4795","Verify")</f>
      </c>
      <c r="H258" s="1" t="s">
        <v>1481</v>
      </c>
      <c r="I258" s="1" t="s">
        <v>46</v>
      </c>
      <c r="J258" s="1">
        <v>2.2</v>
      </c>
      <c r="K258" s="1">
        <v>1</v>
      </c>
      <c r="L258" s="1">
        <v>12000</v>
      </c>
      <c r="M258" s="1">
        <v>6079</v>
      </c>
      <c r="N258" s="1">
        <v>13373.8</v>
      </c>
      <c r="O258" s="1">
        <v>-49.34</v>
      </c>
      <c r="P258" s="1">
        <v>0</v>
      </c>
      <c r="Q258" s="1" t="s">
        <v>86</v>
      </c>
      <c r="R258" s="1">
        <v>0</v>
      </c>
      <c r="S258" s="1" t="s">
        <v>86</v>
      </c>
      <c r="T258" s="1" t="s">
        <v>86</v>
      </c>
      <c r="U258" s="1" t="s">
        <v>271</v>
      </c>
      <c r="V258" s="1" t="s">
        <v>86</v>
      </c>
      <c r="W258" s="1" t="s">
        <v>352</v>
      </c>
      <c r="X258" s="1" t="s">
        <v>86</v>
      </c>
      <c r="Y258" s="1" t="s">
        <v>89</v>
      </c>
      <c r="Z258" s="1" t="s">
        <v>89</v>
      </c>
      <c r="AA258" s="1" t="s">
        <v>119</v>
      </c>
      <c r="AB258" s="1" t="s">
        <v>86</v>
      </c>
      <c r="AC258" s="1" t="s">
        <v>1482</v>
      </c>
      <c r="AD258" s="1">
        <v>69</v>
      </c>
      <c r="AE258" s="1">
        <v>62</v>
      </c>
      <c r="AF258" s="1" t="s">
        <v>91</v>
      </c>
      <c r="AG258" s="1">
        <v>3.3</v>
      </c>
      <c r="AH258" s="1">
        <v>36.1</v>
      </c>
      <c r="AI258" s="1" t="s">
        <v>86</v>
      </c>
      <c r="AJ258" s="1">
        <v>1.03</v>
      </c>
      <c r="AK258" s="1" t="s">
        <v>190</v>
      </c>
      <c r="AL258" s="1" t="s">
        <v>93</v>
      </c>
      <c r="AM258" s="1" t="s">
        <v>140</v>
      </c>
      <c r="AN258" s="1" t="s">
        <v>307</v>
      </c>
      <c r="AO258" s="1" t="s">
        <v>94</v>
      </c>
      <c r="AP258" s="1" t="s">
        <v>95</v>
      </c>
      <c r="AQ258" s="1">
        <v>13.7</v>
      </c>
      <c r="AR258" s="1">
        <v>51.8</v>
      </c>
      <c r="AS258" s="1">
        <v>39.2</v>
      </c>
      <c r="AT258" s="1" t="s">
        <v>96</v>
      </c>
      <c r="AU258" s="1" t="s">
        <v>86</v>
      </c>
      <c r="AV258" s="1" t="s">
        <v>86</v>
      </c>
      <c r="AW258" s="1" t="s">
        <v>86</v>
      </c>
      <c r="AX258" s="1" t="s">
        <v>86</v>
      </c>
      <c r="AY258" s="1" t="s">
        <v>86</v>
      </c>
      <c r="AZ258" s="1" t="s">
        <v>86</v>
      </c>
      <c r="BA258" s="1" t="s">
        <v>86</v>
      </c>
      <c r="BB258" s="1" t="s">
        <v>86</v>
      </c>
      <c r="BC258" s="1" t="s">
        <v>86</v>
      </c>
      <c r="BD258" s="1" t="s">
        <v>86</v>
      </c>
      <c r="BE258" s="1" t="s">
        <v>86</v>
      </c>
      <c r="BF258" s="1" t="s">
        <v>282</v>
      </c>
      <c r="BG258" s="1" t="s">
        <v>86</v>
      </c>
      <c r="BH258" s="1" t="s">
        <v>97</v>
      </c>
      <c r="BI258" s="1" t="s">
        <v>232</v>
      </c>
      <c r="BJ258" s="1" t="s">
        <v>87</v>
      </c>
      <c r="BK258" s="1">
        <v>0</v>
      </c>
      <c r="BL258" s="1">
        <v>0</v>
      </c>
      <c r="BM258" s="1" t="s">
        <v>398</v>
      </c>
      <c r="BN258" s="1" t="s">
        <v>1483</v>
      </c>
      <c r="BO258" s="1" t="s">
        <v>193</v>
      </c>
      <c r="BP258" s="1" t="s">
        <v>86</v>
      </c>
      <c r="BQ258" s="1" t="s">
        <v>86</v>
      </c>
      <c r="BR258" s="1" t="s">
        <v>86</v>
      </c>
      <c r="BS258" s="1" t="s">
        <v>86</v>
      </c>
      <c r="BT258" s="1" t="s">
        <v>86</v>
      </c>
      <c r="BU258" s="1" t="s">
        <v>163</v>
      </c>
      <c r="BV258" s="1" t="s">
        <v>86</v>
      </c>
      <c r="BW258" s="1" t="s">
        <v>101</v>
      </c>
      <c r="BX258" s="1" t="s">
        <v>470</v>
      </c>
      <c r="BY258" s="1" t="s">
        <v>86</v>
      </c>
      <c r="BZ258" s="1" t="s">
        <v>1484</v>
      </c>
      <c r="CA258" s="1" t="s">
        <v>165</v>
      </c>
      <c r="CB258" s="1" t="s">
        <v>286</v>
      </c>
      <c r="CC258" s="1" t="s">
        <v>86</v>
      </c>
      <c r="CD258" s="1" t="s">
        <v>86</v>
      </c>
      <c r="CE258" s="1" t="s">
        <v>86</v>
      </c>
    </row>
    <row r="259">
      <c r="A259" s="1">
        <v>257</v>
      </c>
      <c r="B259" s="1" t="s">
        <v>395</v>
      </c>
      <c r="C259" s="2">
        <f>=HYPERLINK("https://i.stonehdfile.com/stoneimage?s=0d4e00b8-90b1-400b-abed-1483721b46cd","Image")</f>
      </c>
      <c r="D259" s="2">
        <f>=HYPERLINK("https://dna.stonehdfile.com/hd/viewhd.html?d=9c0f1d94-8ef5-4a15-8c2f-4e2c982641e2","View360")</f>
      </c>
      <c r="E259" s="2">
        <f>=HYPERLINK("https://i.stonehdfile.com/Certificate?s=0d4e00b8-90b1-400b-abed-1483721b46cd","GIA")</f>
      </c>
      <c r="F259" s="2">
        <f>=HYPERLINK("https://i.stonehdfile.com/DNAReport?s=0d4e00b8-90b1-400b-abed-1483721b46cd","DNA")</f>
      </c>
      <c r="G259" s="2">
        <f>=HYPERLINK("https://www.gia.edu/report-check?reportno=******4490","Verify")</f>
      </c>
      <c r="H259" s="1" t="s">
        <v>1485</v>
      </c>
      <c r="I259" s="1" t="s">
        <v>46</v>
      </c>
      <c r="J259" s="1">
        <v>2.01</v>
      </c>
      <c r="K259" s="1">
        <v>5</v>
      </c>
      <c r="L259" s="1">
        <v>12000</v>
      </c>
      <c r="M259" s="1">
        <v>5617</v>
      </c>
      <c r="N259" s="1">
        <v>11290.17</v>
      </c>
      <c r="O259" s="1">
        <v>-53.19</v>
      </c>
      <c r="P259" s="1">
        <v>0</v>
      </c>
      <c r="Q259" s="1" t="s">
        <v>86</v>
      </c>
      <c r="R259" s="1">
        <v>0</v>
      </c>
      <c r="S259" s="1" t="s">
        <v>86</v>
      </c>
      <c r="T259" s="1" t="s">
        <v>86</v>
      </c>
      <c r="U259" s="1" t="s">
        <v>271</v>
      </c>
      <c r="V259" s="1" t="s">
        <v>86</v>
      </c>
      <c r="W259" s="1" t="s">
        <v>223</v>
      </c>
      <c r="X259" s="1" t="s">
        <v>86</v>
      </c>
      <c r="Y259" s="1" t="s">
        <v>89</v>
      </c>
      <c r="Z259" s="1" t="s">
        <v>89</v>
      </c>
      <c r="AA259" s="1" t="s">
        <v>87</v>
      </c>
      <c r="AB259" s="1" t="s">
        <v>86</v>
      </c>
      <c r="AC259" s="1" t="s">
        <v>1486</v>
      </c>
      <c r="AD259" s="1">
        <v>69.4</v>
      </c>
      <c r="AE259" s="1">
        <v>65</v>
      </c>
      <c r="AF259" s="1" t="s">
        <v>91</v>
      </c>
      <c r="AG259" s="1">
        <v>1.4</v>
      </c>
      <c r="AH259" s="1">
        <v>34.9</v>
      </c>
      <c r="AI259" s="1" t="s">
        <v>86</v>
      </c>
      <c r="AJ259" s="1">
        <v>1.1</v>
      </c>
      <c r="AK259" s="1" t="s">
        <v>111</v>
      </c>
      <c r="AL259" s="1" t="s">
        <v>128</v>
      </c>
      <c r="AM259" s="1" t="s">
        <v>128</v>
      </c>
      <c r="AN259" s="1" t="s">
        <v>171</v>
      </c>
      <c r="AO259" s="1" t="s">
        <v>94</v>
      </c>
      <c r="AP259" s="1" t="s">
        <v>95</v>
      </c>
      <c r="AQ259" s="1">
        <v>11.9</v>
      </c>
      <c r="AR259" s="1">
        <v>55.9</v>
      </c>
      <c r="AS259" s="1">
        <v>41.1</v>
      </c>
      <c r="AT259" s="1" t="s">
        <v>96</v>
      </c>
      <c r="AU259" s="1" t="s">
        <v>86</v>
      </c>
      <c r="AV259" s="1" t="s">
        <v>86</v>
      </c>
      <c r="AW259" s="1" t="s">
        <v>86</v>
      </c>
      <c r="AX259" s="1" t="s">
        <v>86</v>
      </c>
      <c r="AY259" s="1" t="s">
        <v>86</v>
      </c>
      <c r="AZ259" s="1" t="s">
        <v>86</v>
      </c>
      <c r="BA259" s="1" t="s">
        <v>86</v>
      </c>
      <c r="BB259" s="1" t="s">
        <v>86</v>
      </c>
      <c r="BC259" s="1" t="s">
        <v>86</v>
      </c>
      <c r="BD259" s="1" t="s">
        <v>86</v>
      </c>
      <c r="BE259" s="1" t="s">
        <v>86</v>
      </c>
      <c r="BF259" s="1" t="s">
        <v>86</v>
      </c>
      <c r="BG259" s="1" t="s">
        <v>86</v>
      </c>
      <c r="BH259" s="1" t="s">
        <v>1487</v>
      </c>
      <c r="BI259" s="1" t="s">
        <v>274</v>
      </c>
      <c r="BJ259" s="1" t="s">
        <v>87</v>
      </c>
      <c r="BK259" s="1">
        <v>0</v>
      </c>
      <c r="BL259" s="1">
        <v>0</v>
      </c>
      <c r="BM259" s="1" t="s">
        <v>86</v>
      </c>
      <c r="BN259" s="1" t="s">
        <v>674</v>
      </c>
      <c r="BO259" s="1" t="s">
        <v>675</v>
      </c>
      <c r="BP259" s="1" t="s">
        <v>86</v>
      </c>
      <c r="BQ259" s="1" t="s">
        <v>86</v>
      </c>
      <c r="BR259" s="1" t="s">
        <v>86</v>
      </c>
      <c r="BS259" s="1" t="s">
        <v>86</v>
      </c>
      <c r="BT259" s="1" t="s">
        <v>86</v>
      </c>
      <c r="BU259" s="1" t="s">
        <v>163</v>
      </c>
      <c r="BV259" s="1" t="s">
        <v>86</v>
      </c>
      <c r="BW259" s="1" t="s">
        <v>101</v>
      </c>
      <c r="BX259" s="1" t="s">
        <v>545</v>
      </c>
      <c r="BY259" s="1" t="s">
        <v>86</v>
      </c>
      <c r="BZ259" s="1" t="s">
        <v>1488</v>
      </c>
      <c r="CA259" s="1" t="s">
        <v>178</v>
      </c>
      <c r="CB259" s="1" t="s">
        <v>269</v>
      </c>
      <c r="CC259" s="1" t="s">
        <v>86</v>
      </c>
      <c r="CD259" s="1" t="s">
        <v>86</v>
      </c>
      <c r="CE259" s="1" t="s">
        <v>86</v>
      </c>
    </row>
    <row r="260">
      <c r="A260" s="1">
        <v>258</v>
      </c>
      <c r="B260" s="1" t="s">
        <v>395</v>
      </c>
      <c r="C260" s="2">
        <f>=HYPERLINK("https://i.stonehdfile.com/stoneimage?s=0f20cf85-45bf-4c10-81b4-10a204c7576c","Image")</f>
      </c>
      <c r="D260" s="2">
        <f>=HYPERLINK("https://dna.stonehdfile.com/hd/viewhd.html?d=d175d1f1-7eca-4a09-b2ff-24a16a74bf6a","View360")</f>
      </c>
      <c r="E260" s="2">
        <f>=HYPERLINK("https://i.stonehdfile.com/Certificate?s=0f20cf85-45bf-4c10-81b4-10a204c7576c","GIA")</f>
      </c>
      <c r="F260" s="2">
        <f>=HYPERLINK("https://i.stonehdfile.com/DNAReport?s=0f20cf85-45bf-4c10-81b4-10a204c7576c","DNA")</f>
      </c>
      <c r="G260" s="2">
        <f>=HYPERLINK("https://www.gia.edu/report-check?reportno=******0618","Verify")</f>
      </c>
      <c r="H260" s="1" t="s">
        <v>1489</v>
      </c>
      <c r="I260" s="1" t="s">
        <v>46</v>
      </c>
      <c r="J260" s="1">
        <v>2.02</v>
      </c>
      <c r="K260" s="1">
        <v>0</v>
      </c>
      <c r="L260" s="1">
        <v>12000</v>
      </c>
      <c r="M260" s="1">
        <v>6061</v>
      </c>
      <c r="N260" s="1">
        <v>12243.22</v>
      </c>
      <c r="O260" s="1">
        <v>-49.49</v>
      </c>
      <c r="P260" s="1">
        <v>0</v>
      </c>
      <c r="Q260" s="1" t="s">
        <v>86</v>
      </c>
      <c r="R260" s="1">
        <v>0</v>
      </c>
      <c r="S260" s="1" t="s">
        <v>86</v>
      </c>
      <c r="T260" s="1" t="s">
        <v>86</v>
      </c>
      <c r="U260" s="1" t="s">
        <v>271</v>
      </c>
      <c r="V260" s="1" t="s">
        <v>86</v>
      </c>
      <c r="W260" s="1" t="s">
        <v>223</v>
      </c>
      <c r="X260" s="1" t="s">
        <v>86</v>
      </c>
      <c r="Y260" s="1" t="s">
        <v>89</v>
      </c>
      <c r="Z260" s="1" t="s">
        <v>89</v>
      </c>
      <c r="AA260" s="1" t="s">
        <v>119</v>
      </c>
      <c r="AB260" s="1" t="s">
        <v>86</v>
      </c>
      <c r="AC260" s="1" t="s">
        <v>1490</v>
      </c>
      <c r="AD260" s="1">
        <v>68.7</v>
      </c>
      <c r="AE260" s="1">
        <v>64</v>
      </c>
      <c r="AF260" s="1" t="s">
        <v>91</v>
      </c>
      <c r="AG260" s="1">
        <v>3.5</v>
      </c>
      <c r="AH260" s="1">
        <v>36.3</v>
      </c>
      <c r="AI260" s="1" t="s">
        <v>86</v>
      </c>
      <c r="AJ260" s="1">
        <v>1.04</v>
      </c>
      <c r="AK260" s="1" t="s">
        <v>111</v>
      </c>
      <c r="AL260" s="1" t="s">
        <v>93</v>
      </c>
      <c r="AM260" s="1" t="s">
        <v>128</v>
      </c>
      <c r="AN260" s="1" t="s">
        <v>307</v>
      </c>
      <c r="AO260" s="1" t="s">
        <v>94</v>
      </c>
      <c r="AP260" s="1" t="s">
        <v>95</v>
      </c>
      <c r="AQ260" s="1">
        <v>13.3</v>
      </c>
      <c r="AR260" s="1">
        <v>51.3</v>
      </c>
      <c r="AS260" s="1">
        <v>38.2</v>
      </c>
      <c r="AT260" s="1" t="s">
        <v>96</v>
      </c>
      <c r="AU260" s="1" t="s">
        <v>86</v>
      </c>
      <c r="AV260" s="1" t="s">
        <v>86</v>
      </c>
      <c r="AW260" s="1" t="s">
        <v>86</v>
      </c>
      <c r="AX260" s="1" t="s">
        <v>86</v>
      </c>
      <c r="AY260" s="1" t="s">
        <v>86</v>
      </c>
      <c r="AZ260" s="1" t="s">
        <v>86</v>
      </c>
      <c r="BA260" s="1" t="s">
        <v>86</v>
      </c>
      <c r="BB260" s="1" t="s">
        <v>86</v>
      </c>
      <c r="BC260" s="1" t="s">
        <v>86</v>
      </c>
      <c r="BD260" s="1" t="s">
        <v>86</v>
      </c>
      <c r="BE260" s="1" t="s">
        <v>86</v>
      </c>
      <c r="BF260" s="1" t="s">
        <v>86</v>
      </c>
      <c r="BG260" s="1" t="s">
        <v>86</v>
      </c>
      <c r="BH260" s="1" t="s">
        <v>173</v>
      </c>
      <c r="BI260" s="1" t="s">
        <v>183</v>
      </c>
      <c r="BJ260" s="1" t="s">
        <v>87</v>
      </c>
      <c r="BK260" s="1">
        <v>0</v>
      </c>
      <c r="BL260" s="1">
        <v>0</v>
      </c>
      <c r="BM260" s="1" t="s">
        <v>398</v>
      </c>
      <c r="BN260" s="1" t="s">
        <v>1491</v>
      </c>
      <c r="BO260" s="1" t="s">
        <v>176</v>
      </c>
      <c r="BP260" s="1" t="s">
        <v>86</v>
      </c>
      <c r="BQ260" s="1" t="s">
        <v>86</v>
      </c>
      <c r="BR260" s="1" t="s">
        <v>86</v>
      </c>
      <c r="BS260" s="1" t="s">
        <v>86</v>
      </c>
      <c r="BT260" s="1" t="s">
        <v>86</v>
      </c>
      <c r="BU260" s="1" t="s">
        <v>163</v>
      </c>
      <c r="BV260" s="1" t="s">
        <v>86</v>
      </c>
      <c r="BW260" s="1" t="s">
        <v>101</v>
      </c>
      <c r="BX260" s="1" t="s">
        <v>401</v>
      </c>
      <c r="BY260" s="1" t="s">
        <v>86</v>
      </c>
      <c r="BZ260" s="1" t="s">
        <v>1492</v>
      </c>
      <c r="CA260" s="1" t="s">
        <v>312</v>
      </c>
      <c r="CB260" s="1" t="s">
        <v>166</v>
      </c>
      <c r="CC260" s="1" t="s">
        <v>86</v>
      </c>
      <c r="CD260" s="1" t="s">
        <v>86</v>
      </c>
      <c r="CE260" s="1" t="s">
        <v>86</v>
      </c>
    </row>
    <row r="261">
      <c r="A261" s="1">
        <v>259</v>
      </c>
      <c r="B261" s="1" t="s">
        <v>395</v>
      </c>
      <c r="C261" s="2">
        <f>=HYPERLINK("https://i.stonehdfile.com/stoneimage?s=f5ced5c7-2dea-4b24-b40a-4b2427a7c6b3","Image")</f>
      </c>
      <c r="D261" s="2">
        <f>=HYPERLINK("https://dna.stonehdfile.com/hd/viewhd.html?d=c63017bf-bd15-41f7-9037-091087d7bd64","View360")</f>
      </c>
      <c r="E261" s="2">
        <f>=HYPERLINK("https://i.stonehdfile.com/Certificate?s=f5ced5c7-2dea-4b24-b40a-4b2427a7c6b3","GIA")</f>
      </c>
      <c r="F261" s="2">
        <f>=HYPERLINK("https://i.stonehdfile.com/DNAReport?s=f5ced5c7-2dea-4b24-b40a-4b2427a7c6b3","DNA")</f>
      </c>
      <c r="G261" s="2">
        <f>=HYPERLINK("https://www.gia.edu/report-check?reportno=******0156","Verify")</f>
      </c>
      <c r="H261" s="1" t="s">
        <v>1493</v>
      </c>
      <c r="I261" s="1" t="s">
        <v>46</v>
      </c>
      <c r="J261" s="1">
        <v>2.02</v>
      </c>
      <c r="K261" s="1">
        <v>3</v>
      </c>
      <c r="L261" s="1">
        <v>12000</v>
      </c>
      <c r="M261" s="1">
        <v>6603</v>
      </c>
      <c r="N261" s="1">
        <v>13338.06</v>
      </c>
      <c r="O261" s="1">
        <v>-44.98</v>
      </c>
      <c r="P261" s="1">
        <v>0</v>
      </c>
      <c r="Q261" s="1" t="s">
        <v>86</v>
      </c>
      <c r="R261" s="1">
        <v>0</v>
      </c>
      <c r="S261" s="1" t="s">
        <v>86</v>
      </c>
      <c r="T261" s="1" t="s">
        <v>86</v>
      </c>
      <c r="U261" s="1" t="s">
        <v>271</v>
      </c>
      <c r="V261" s="1" t="s">
        <v>86</v>
      </c>
      <c r="W261" s="1" t="s">
        <v>223</v>
      </c>
      <c r="X261" s="1" t="s">
        <v>86</v>
      </c>
      <c r="Y261" s="1" t="s">
        <v>89</v>
      </c>
      <c r="Z261" s="1" t="s">
        <v>89</v>
      </c>
      <c r="AA261" s="1" t="s">
        <v>119</v>
      </c>
      <c r="AB261" s="1" t="s">
        <v>86</v>
      </c>
      <c r="AC261" s="1" t="s">
        <v>1494</v>
      </c>
      <c r="AD261" s="1">
        <v>68.3</v>
      </c>
      <c r="AE261" s="1">
        <v>65</v>
      </c>
      <c r="AF261" s="1" t="s">
        <v>91</v>
      </c>
      <c r="AG261" s="1">
        <v>1.9</v>
      </c>
      <c r="AH261" s="1">
        <v>34.9</v>
      </c>
      <c r="AI261" s="1" t="s">
        <v>86</v>
      </c>
      <c r="AJ261" s="1">
        <v>1.06</v>
      </c>
      <c r="AK261" s="1" t="s">
        <v>111</v>
      </c>
      <c r="AL261" s="1" t="s">
        <v>140</v>
      </c>
      <c r="AM261" s="1" t="s">
        <v>140</v>
      </c>
      <c r="AN261" s="1" t="s">
        <v>307</v>
      </c>
      <c r="AO261" s="1" t="s">
        <v>94</v>
      </c>
      <c r="AP261" s="1" t="s">
        <v>95</v>
      </c>
      <c r="AQ261" s="1">
        <v>12.1</v>
      </c>
      <c r="AR261" s="1">
        <v>54.1</v>
      </c>
      <c r="AS261" s="1">
        <v>40.4</v>
      </c>
      <c r="AT261" s="1" t="s">
        <v>96</v>
      </c>
      <c r="AU261" s="1" t="s">
        <v>86</v>
      </c>
      <c r="AV261" s="1" t="s">
        <v>86</v>
      </c>
      <c r="AW261" s="1" t="s">
        <v>86</v>
      </c>
      <c r="AX261" s="1" t="s">
        <v>86</v>
      </c>
      <c r="AY261" s="1" t="s">
        <v>86</v>
      </c>
      <c r="AZ261" s="1" t="s">
        <v>86</v>
      </c>
      <c r="BA261" s="1" t="s">
        <v>86</v>
      </c>
      <c r="BB261" s="1" t="s">
        <v>86</v>
      </c>
      <c r="BC261" s="1" t="s">
        <v>86</v>
      </c>
      <c r="BD261" s="1" t="s">
        <v>86</v>
      </c>
      <c r="BE261" s="1" t="s">
        <v>86</v>
      </c>
      <c r="BF261" s="1" t="s">
        <v>86</v>
      </c>
      <c r="BG261" s="1" t="s">
        <v>86</v>
      </c>
      <c r="BH261" s="1" t="s">
        <v>142</v>
      </c>
      <c r="BI261" s="1" t="s">
        <v>658</v>
      </c>
      <c r="BJ261" s="1" t="s">
        <v>87</v>
      </c>
      <c r="BK261" s="1">
        <v>0</v>
      </c>
      <c r="BL261" s="1">
        <v>0</v>
      </c>
      <c r="BM261" s="1" t="s">
        <v>398</v>
      </c>
      <c r="BN261" s="1" t="s">
        <v>1495</v>
      </c>
      <c r="BO261" s="1" t="s">
        <v>496</v>
      </c>
      <c r="BP261" s="1" t="s">
        <v>86</v>
      </c>
      <c r="BQ261" s="1" t="s">
        <v>86</v>
      </c>
      <c r="BR261" s="1" t="s">
        <v>86</v>
      </c>
      <c r="BS261" s="1" t="s">
        <v>86</v>
      </c>
      <c r="BT261" s="1" t="s">
        <v>86</v>
      </c>
      <c r="BU261" s="1" t="s">
        <v>163</v>
      </c>
      <c r="BV261" s="1" t="s">
        <v>86</v>
      </c>
      <c r="BW261" s="1" t="s">
        <v>101</v>
      </c>
      <c r="BX261" s="1" t="s">
        <v>478</v>
      </c>
      <c r="BY261" s="1" t="s">
        <v>86</v>
      </c>
      <c r="BZ261" s="1" t="s">
        <v>1496</v>
      </c>
      <c r="CA261" s="1" t="s">
        <v>229</v>
      </c>
      <c r="CB261" s="1" t="s">
        <v>166</v>
      </c>
      <c r="CC261" s="1" t="s">
        <v>86</v>
      </c>
      <c r="CD261" s="1" t="s">
        <v>86</v>
      </c>
      <c r="CE261" s="1" t="s">
        <v>86</v>
      </c>
    </row>
    <row r="262">
      <c r="A262" s="1">
        <v>260</v>
      </c>
      <c r="B262" s="1" t="s">
        <v>395</v>
      </c>
      <c r="C262" s="2">
        <f>=HYPERLINK("https://i.stonehdfile.com/stoneimage?s=f85a17c4-09dc-4f6a-a648-fc6072848191","Image")</f>
      </c>
      <c r="D262" s="2">
        <f>=HYPERLINK("https://dna.stonehdfile.com/hd/viewhd.html?d=8d2c8317-b352-4ea1-b31d-da89378a6f67","View360")</f>
      </c>
      <c r="E262" s="2">
        <f>=HYPERLINK("https://i.stonehdfile.com/Certificate?s=f85a17c4-09dc-4f6a-a648-fc6072848191","GIA")</f>
      </c>
      <c r="F262" s="2">
        <f>=HYPERLINK("https://i.stonehdfile.com/DNAReport?s=f85a17c4-09dc-4f6a-a648-fc6072848191","DNA")</f>
      </c>
      <c r="G262" s="2">
        <f>=HYPERLINK("https://www.gia.edu/report-check?reportno=******9120","Verify")</f>
      </c>
      <c r="H262" s="1" t="s">
        <v>1497</v>
      </c>
      <c r="I262" s="1" t="s">
        <v>46</v>
      </c>
      <c r="J262" s="1">
        <v>2.02</v>
      </c>
      <c r="K262" s="1">
        <v>2</v>
      </c>
      <c r="L262" s="1">
        <v>12000</v>
      </c>
      <c r="M262" s="1">
        <v>6105</v>
      </c>
      <c r="N262" s="1">
        <v>12332.1</v>
      </c>
      <c r="O262" s="1">
        <v>-49.13</v>
      </c>
      <c r="P262" s="1">
        <v>0</v>
      </c>
      <c r="Q262" s="1" t="s">
        <v>86</v>
      </c>
      <c r="R262" s="1">
        <v>0</v>
      </c>
      <c r="S262" s="1" t="s">
        <v>86</v>
      </c>
      <c r="T262" s="1" t="s">
        <v>86</v>
      </c>
      <c r="U262" s="1" t="s">
        <v>271</v>
      </c>
      <c r="V262" s="1" t="s">
        <v>86</v>
      </c>
      <c r="W262" s="1" t="s">
        <v>223</v>
      </c>
      <c r="X262" s="1" t="s">
        <v>86</v>
      </c>
      <c r="Y262" s="1" t="s">
        <v>89</v>
      </c>
      <c r="Z262" s="1" t="s">
        <v>89</v>
      </c>
      <c r="AA262" s="1" t="s">
        <v>119</v>
      </c>
      <c r="AB262" s="1" t="s">
        <v>86</v>
      </c>
      <c r="AC262" s="1" t="s">
        <v>1498</v>
      </c>
      <c r="AD262" s="1">
        <v>68.8</v>
      </c>
      <c r="AE262" s="1">
        <v>63</v>
      </c>
      <c r="AF262" s="1" t="s">
        <v>91</v>
      </c>
      <c r="AG262" s="1">
        <v>2.6</v>
      </c>
      <c r="AH262" s="1">
        <v>34</v>
      </c>
      <c r="AI262" s="1" t="s">
        <v>86</v>
      </c>
      <c r="AJ262" s="1">
        <v>1</v>
      </c>
      <c r="AK262" s="1" t="s">
        <v>111</v>
      </c>
      <c r="AL262" s="1" t="s">
        <v>93</v>
      </c>
      <c r="AM262" s="1" t="s">
        <v>140</v>
      </c>
      <c r="AN262" s="1" t="s">
        <v>171</v>
      </c>
      <c r="AO262" s="1" t="s">
        <v>94</v>
      </c>
      <c r="AP262" s="1" t="s">
        <v>95</v>
      </c>
      <c r="AQ262" s="1">
        <v>12.6</v>
      </c>
      <c r="AR262" s="1">
        <v>53.2</v>
      </c>
      <c r="AS262" s="1">
        <v>40.1</v>
      </c>
      <c r="AT262" s="1" t="s">
        <v>96</v>
      </c>
      <c r="AU262" s="1" t="s">
        <v>141</v>
      </c>
      <c r="AV262" s="1" t="s">
        <v>86</v>
      </c>
      <c r="AW262" s="1" t="s">
        <v>86</v>
      </c>
      <c r="AX262" s="1" t="s">
        <v>86</v>
      </c>
      <c r="AY262" s="1" t="s">
        <v>86</v>
      </c>
      <c r="AZ262" s="1" t="s">
        <v>86</v>
      </c>
      <c r="BA262" s="1" t="s">
        <v>86</v>
      </c>
      <c r="BB262" s="1" t="s">
        <v>86</v>
      </c>
      <c r="BC262" s="1" t="s">
        <v>86</v>
      </c>
      <c r="BD262" s="1" t="s">
        <v>86</v>
      </c>
      <c r="BE262" s="1" t="s">
        <v>86</v>
      </c>
      <c r="BF262" s="1" t="s">
        <v>86</v>
      </c>
      <c r="BG262" s="1" t="s">
        <v>172</v>
      </c>
      <c r="BH262" s="1" t="s">
        <v>97</v>
      </c>
      <c r="BI262" s="1" t="s">
        <v>335</v>
      </c>
      <c r="BJ262" s="1" t="s">
        <v>87</v>
      </c>
      <c r="BK262" s="1">
        <v>0</v>
      </c>
      <c r="BL262" s="1">
        <v>0</v>
      </c>
      <c r="BM262" s="1" t="s">
        <v>86</v>
      </c>
      <c r="BN262" s="1" t="s">
        <v>1499</v>
      </c>
      <c r="BO262" s="1" t="s">
        <v>761</v>
      </c>
      <c r="BP262" s="1" t="s">
        <v>86</v>
      </c>
      <c r="BQ262" s="1" t="s">
        <v>86</v>
      </c>
      <c r="BR262" s="1" t="s">
        <v>86</v>
      </c>
      <c r="BS262" s="1" t="s">
        <v>86</v>
      </c>
      <c r="BT262" s="1" t="s">
        <v>86</v>
      </c>
      <c r="BU262" s="1" t="s">
        <v>163</v>
      </c>
      <c r="BV262" s="1" t="s">
        <v>86</v>
      </c>
      <c r="BW262" s="1" t="s">
        <v>101</v>
      </c>
      <c r="BX262" s="1" t="s">
        <v>401</v>
      </c>
      <c r="BY262" s="1" t="s">
        <v>86</v>
      </c>
      <c r="BZ262" s="1" t="s">
        <v>1500</v>
      </c>
      <c r="CA262" s="1" t="s">
        <v>1106</v>
      </c>
      <c r="CB262" s="1" t="s">
        <v>204</v>
      </c>
      <c r="CC262" s="1" t="s">
        <v>86</v>
      </c>
      <c r="CD262" s="1" t="s">
        <v>86</v>
      </c>
      <c r="CE262" s="1" t="s">
        <v>86</v>
      </c>
    </row>
    <row r="263">
      <c r="A263" s="1">
        <v>261</v>
      </c>
      <c r="B263" s="1" t="s">
        <v>395</v>
      </c>
      <c r="C263" s="2">
        <f>=HYPERLINK("https://i.stonehdfile.com/stoneimage?s=88a597c3-85d1-4e10-8470-1dfe2244431a","Image")</f>
      </c>
      <c r="D263" s="2">
        <f>=HYPERLINK("https://dna.stonehdfile.com/hd/viewhd.html?d=cef15cd0-8f80-43d2-a410-56f2c3311067","View360")</f>
      </c>
      <c r="E263" s="2">
        <f>=HYPERLINK("https://i.stonehdfile.com/Certificate?s=88a597c3-85d1-4e10-8470-1dfe2244431a","GIA")</f>
      </c>
      <c r="F263" s="2">
        <f>=HYPERLINK("https://i.stonehdfile.com/DNAReport?s=88a597c3-85d1-4e10-8470-1dfe2244431a","DNA")</f>
      </c>
      <c r="G263" s="2">
        <f>=HYPERLINK("https://www.gia.edu/report-check?reportno=******3736","Verify")</f>
      </c>
      <c r="H263" s="1" t="s">
        <v>1501</v>
      </c>
      <c r="I263" s="1" t="s">
        <v>46</v>
      </c>
      <c r="J263" s="1">
        <v>2.2</v>
      </c>
      <c r="K263" s="1">
        <v>8</v>
      </c>
      <c r="L263" s="1">
        <v>12000</v>
      </c>
      <c r="M263" s="1">
        <v>6278</v>
      </c>
      <c r="N263" s="1">
        <v>13811.6</v>
      </c>
      <c r="O263" s="1">
        <v>-47.68</v>
      </c>
      <c r="P263" s="1">
        <v>0</v>
      </c>
      <c r="Q263" s="1" t="s">
        <v>86</v>
      </c>
      <c r="R263" s="1">
        <v>0</v>
      </c>
      <c r="S263" s="1" t="s">
        <v>86</v>
      </c>
      <c r="T263" s="1" t="s">
        <v>86</v>
      </c>
      <c r="U263" s="1" t="s">
        <v>375</v>
      </c>
      <c r="V263" s="1" t="s">
        <v>86</v>
      </c>
      <c r="W263" s="1" t="s">
        <v>223</v>
      </c>
      <c r="X263" s="1" t="s">
        <v>86</v>
      </c>
      <c r="Y263" s="1" t="s">
        <v>89</v>
      </c>
      <c r="Z263" s="1" t="s">
        <v>89</v>
      </c>
      <c r="AA263" s="1" t="s">
        <v>119</v>
      </c>
      <c r="AB263" s="1" t="s">
        <v>86</v>
      </c>
      <c r="AC263" s="1" t="s">
        <v>1502</v>
      </c>
      <c r="AD263" s="1">
        <v>69.3</v>
      </c>
      <c r="AE263" s="1">
        <v>61</v>
      </c>
      <c r="AF263" s="1" t="s">
        <v>91</v>
      </c>
      <c r="AG263" s="1">
        <v>3.8</v>
      </c>
      <c r="AH263" s="1">
        <v>36.1</v>
      </c>
      <c r="AI263" s="1" t="s">
        <v>86</v>
      </c>
      <c r="AJ263" s="1">
        <v>1.05</v>
      </c>
      <c r="AK263" s="1" t="s">
        <v>111</v>
      </c>
      <c r="AL263" s="1" t="s">
        <v>93</v>
      </c>
      <c r="AM263" s="1" t="s">
        <v>93</v>
      </c>
      <c r="AN263" s="1" t="s">
        <v>307</v>
      </c>
      <c r="AO263" s="1" t="s">
        <v>94</v>
      </c>
      <c r="AP263" s="1" t="s">
        <v>95</v>
      </c>
      <c r="AQ263" s="1">
        <v>14.1</v>
      </c>
      <c r="AR263" s="1">
        <v>51.3</v>
      </c>
      <c r="AS263" s="1">
        <v>38.2</v>
      </c>
      <c r="AT263" s="1" t="s">
        <v>96</v>
      </c>
      <c r="AU263" s="1" t="s">
        <v>86</v>
      </c>
      <c r="AV263" s="1" t="s">
        <v>86</v>
      </c>
      <c r="AW263" s="1" t="s">
        <v>86</v>
      </c>
      <c r="AX263" s="1" t="s">
        <v>86</v>
      </c>
      <c r="AY263" s="1" t="s">
        <v>86</v>
      </c>
      <c r="AZ263" s="1" t="s">
        <v>86</v>
      </c>
      <c r="BA263" s="1" t="s">
        <v>86</v>
      </c>
      <c r="BB263" s="1" t="s">
        <v>86</v>
      </c>
      <c r="BC263" s="1" t="s">
        <v>86</v>
      </c>
      <c r="BD263" s="1" t="s">
        <v>86</v>
      </c>
      <c r="BE263" s="1" t="s">
        <v>86</v>
      </c>
      <c r="BF263" s="1" t="s">
        <v>86</v>
      </c>
      <c r="BG263" s="1" t="s">
        <v>86</v>
      </c>
      <c r="BH263" s="1" t="s">
        <v>129</v>
      </c>
      <c r="BI263" s="1" t="s">
        <v>216</v>
      </c>
      <c r="BJ263" s="1" t="s">
        <v>87</v>
      </c>
      <c r="BK263" s="1">
        <v>0</v>
      </c>
      <c r="BL263" s="1">
        <v>0</v>
      </c>
      <c r="BM263" s="1" t="s">
        <v>86</v>
      </c>
      <c r="BN263" s="1" t="s">
        <v>1503</v>
      </c>
      <c r="BO263" s="1" t="s">
        <v>1504</v>
      </c>
      <c r="BP263" s="1" t="s">
        <v>86</v>
      </c>
      <c r="BQ263" s="1" t="s">
        <v>86</v>
      </c>
      <c r="BR263" s="1" t="s">
        <v>86</v>
      </c>
      <c r="BS263" s="1" t="s">
        <v>86</v>
      </c>
      <c r="BT263" s="1" t="s">
        <v>86</v>
      </c>
      <c r="BU263" s="1" t="s">
        <v>163</v>
      </c>
      <c r="BV263" s="1" t="s">
        <v>86</v>
      </c>
      <c r="BW263" s="1" t="s">
        <v>101</v>
      </c>
      <c r="BX263" s="1" t="s">
        <v>423</v>
      </c>
      <c r="BY263" s="1" t="s">
        <v>86</v>
      </c>
      <c r="BZ263" s="1" t="s">
        <v>1505</v>
      </c>
      <c r="CA263" s="1" t="s">
        <v>626</v>
      </c>
      <c r="CB263" s="1" t="s">
        <v>166</v>
      </c>
      <c r="CC263" s="1" t="s">
        <v>86</v>
      </c>
      <c r="CD263" s="1" t="s">
        <v>86</v>
      </c>
      <c r="CE263" s="1" t="s">
        <v>86</v>
      </c>
    </row>
    <row r="264">
      <c r="A264" s="1">
        <v>262</v>
      </c>
      <c r="B264" s="1" t="s">
        <v>395</v>
      </c>
      <c r="C264" s="2">
        <f>=HYPERLINK("https://i.stonehdfile.com/stoneimage?s=37a17931-54f3-4b87-86e3-f1ac856a44ac","Image")</f>
      </c>
      <c r="D264" s="2">
        <f>=HYPERLINK("https://dna.stonehdfile.com/hd/viewhd.html?d=18bb78d8-3cd7-4463-91b0-b0335ed59854","View360")</f>
      </c>
      <c r="E264" s="2">
        <f>=HYPERLINK("https://i.stonehdfile.com/Certificate?s=37a17931-54f3-4b87-86e3-f1ac856a44ac","GIA")</f>
      </c>
      <c r="F264" s="2">
        <f>=HYPERLINK("https://i.stonehdfile.com/DNAReport?s=37a17931-54f3-4b87-86e3-f1ac856a44ac","DNA")</f>
      </c>
      <c r="G264" s="2">
        <f>=HYPERLINK("https://www.gia.edu/report-check?reportno=******0389","Verify")</f>
      </c>
      <c r="H264" s="1" t="s">
        <v>1506</v>
      </c>
      <c r="I264" s="1" t="s">
        <v>46</v>
      </c>
      <c r="J264" s="1">
        <v>2.02</v>
      </c>
      <c r="K264" s="1">
        <v>3</v>
      </c>
      <c r="L264" s="1">
        <v>10700</v>
      </c>
      <c r="M264" s="1">
        <v>4534</v>
      </c>
      <c r="N264" s="1">
        <v>9158.68</v>
      </c>
      <c r="O264" s="1">
        <v>-57.63</v>
      </c>
      <c r="P264" s="1">
        <v>0</v>
      </c>
      <c r="Q264" s="1" t="s">
        <v>86</v>
      </c>
      <c r="R264" s="1">
        <v>0</v>
      </c>
      <c r="S264" s="1" t="s">
        <v>86</v>
      </c>
      <c r="T264" s="1" t="s">
        <v>86</v>
      </c>
      <c r="U264" s="1" t="s">
        <v>271</v>
      </c>
      <c r="V264" s="1" t="s">
        <v>86</v>
      </c>
      <c r="W264" s="1" t="s">
        <v>137</v>
      </c>
      <c r="X264" s="1" t="s">
        <v>86</v>
      </c>
      <c r="Y264" s="1" t="s">
        <v>89</v>
      </c>
      <c r="Z264" s="1" t="s">
        <v>89</v>
      </c>
      <c r="AA264" s="1" t="s">
        <v>119</v>
      </c>
      <c r="AB264" s="1" t="s">
        <v>86</v>
      </c>
      <c r="AC264" s="1" t="s">
        <v>1507</v>
      </c>
      <c r="AD264" s="1">
        <v>69</v>
      </c>
      <c r="AE264" s="1">
        <v>65</v>
      </c>
      <c r="AF264" s="1" t="s">
        <v>91</v>
      </c>
      <c r="AG264" s="1">
        <v>1.9</v>
      </c>
      <c r="AH264" s="1">
        <v>33.8</v>
      </c>
      <c r="AI264" s="1" t="s">
        <v>86</v>
      </c>
      <c r="AJ264" s="1">
        <v>1.15</v>
      </c>
      <c r="AK264" s="1" t="s">
        <v>198</v>
      </c>
      <c r="AL264" s="1" t="s">
        <v>93</v>
      </c>
      <c r="AM264" s="1" t="s">
        <v>128</v>
      </c>
      <c r="AN264" s="1" t="s">
        <v>171</v>
      </c>
      <c r="AO264" s="1" t="s">
        <v>94</v>
      </c>
      <c r="AP264" s="1" t="s">
        <v>95</v>
      </c>
      <c r="AQ264" s="1">
        <v>12</v>
      </c>
      <c r="AR264" s="1">
        <v>54.8</v>
      </c>
      <c r="AS264" s="1">
        <v>39.5</v>
      </c>
      <c r="AT264" s="1" t="s">
        <v>96</v>
      </c>
      <c r="AU264" s="1" t="s">
        <v>86</v>
      </c>
      <c r="AV264" s="1" t="s">
        <v>86</v>
      </c>
      <c r="AW264" s="1" t="s">
        <v>86</v>
      </c>
      <c r="AX264" s="1" t="s">
        <v>86</v>
      </c>
      <c r="AY264" s="1" t="s">
        <v>86</v>
      </c>
      <c r="AZ264" s="1" t="s">
        <v>86</v>
      </c>
      <c r="BA264" s="1" t="s">
        <v>86</v>
      </c>
      <c r="BB264" s="1" t="s">
        <v>86</v>
      </c>
      <c r="BC264" s="1" t="s">
        <v>86</v>
      </c>
      <c r="BD264" s="1" t="s">
        <v>86</v>
      </c>
      <c r="BE264" s="1" t="s">
        <v>86</v>
      </c>
      <c r="BF264" s="1" t="s">
        <v>282</v>
      </c>
      <c r="BG264" s="1" t="s">
        <v>86</v>
      </c>
      <c r="BH264" s="1" t="s">
        <v>871</v>
      </c>
      <c r="BI264" s="1" t="s">
        <v>658</v>
      </c>
      <c r="BJ264" s="1" t="s">
        <v>87</v>
      </c>
      <c r="BK264" s="1">
        <v>0</v>
      </c>
      <c r="BL264" s="1">
        <v>0</v>
      </c>
      <c r="BM264" s="1" t="s">
        <v>398</v>
      </c>
      <c r="BN264" s="1" t="s">
        <v>1508</v>
      </c>
      <c r="BO264" s="1" t="s">
        <v>176</v>
      </c>
      <c r="BP264" s="1" t="s">
        <v>86</v>
      </c>
      <c r="BQ264" s="1" t="s">
        <v>86</v>
      </c>
      <c r="BR264" s="1" t="s">
        <v>86</v>
      </c>
      <c r="BS264" s="1" t="s">
        <v>86</v>
      </c>
      <c r="BT264" s="1" t="s">
        <v>86</v>
      </c>
      <c r="BU264" s="1" t="s">
        <v>163</v>
      </c>
      <c r="BV264" s="1" t="s">
        <v>86</v>
      </c>
      <c r="BW264" s="1" t="s">
        <v>101</v>
      </c>
      <c r="BX264" s="1" t="s">
        <v>478</v>
      </c>
      <c r="BY264" s="1" t="s">
        <v>86</v>
      </c>
      <c r="BZ264" s="1" t="s">
        <v>1509</v>
      </c>
      <c r="CA264" s="1" t="s">
        <v>220</v>
      </c>
      <c r="CB264" s="1" t="s">
        <v>740</v>
      </c>
      <c r="CC264" s="1" t="s">
        <v>86</v>
      </c>
      <c r="CD264" s="1" t="s">
        <v>86</v>
      </c>
      <c r="CE264" s="1" t="s">
        <v>86</v>
      </c>
    </row>
    <row r="265">
      <c r="A265" s="1">
        <v>263</v>
      </c>
      <c r="B265" s="1" t="s">
        <v>395</v>
      </c>
      <c r="C265" s="2">
        <f>=HYPERLINK("https://i.stonehdfile.com/stoneimage?s=51f60921-46b8-441b-890f-432754e001ed","Image")</f>
      </c>
      <c r="D265" s="2">
        <f>=HYPERLINK("https://dna.stonehdfile.com/hd/viewhd.html?d=eb98c1e0-98b1-45aa-8dfc-201330b37e82","View360")</f>
      </c>
      <c r="E265" s="2">
        <f>=HYPERLINK("https://i.stonehdfile.com/Certificate?s=51f60921-46b8-441b-890f-432754e001ed","GIA")</f>
      </c>
      <c r="F265" s="2">
        <f>=HYPERLINK("https://i.stonehdfile.com/DNAReport?s=51f60921-46b8-441b-890f-432754e001ed","DNA")</f>
      </c>
      <c r="G265" s="2">
        <f>=HYPERLINK("https://www.gia.edu/report-check?reportno=******9488","Verify")</f>
      </c>
      <c r="H265" s="1" t="s">
        <v>1510</v>
      </c>
      <c r="I265" s="1" t="s">
        <v>46</v>
      </c>
      <c r="J265" s="1">
        <v>2.02</v>
      </c>
      <c r="K265" s="1">
        <v>2</v>
      </c>
      <c r="L265" s="1">
        <v>10700</v>
      </c>
      <c r="M265" s="1">
        <v>5054</v>
      </c>
      <c r="N265" s="1">
        <v>10209.08</v>
      </c>
      <c r="O265" s="1">
        <v>-52.77</v>
      </c>
      <c r="P265" s="1">
        <v>0</v>
      </c>
      <c r="Q265" s="1" t="s">
        <v>86</v>
      </c>
      <c r="R265" s="1">
        <v>0</v>
      </c>
      <c r="S265" s="1" t="s">
        <v>86</v>
      </c>
      <c r="T265" s="1" t="s">
        <v>86</v>
      </c>
      <c r="U265" s="1" t="s">
        <v>271</v>
      </c>
      <c r="V265" s="1" t="s">
        <v>86</v>
      </c>
      <c r="W265" s="1" t="s">
        <v>137</v>
      </c>
      <c r="X265" s="1" t="s">
        <v>86</v>
      </c>
      <c r="Y265" s="1" t="s">
        <v>138</v>
      </c>
      <c r="Z265" s="1" t="s">
        <v>89</v>
      </c>
      <c r="AA265" s="1" t="s">
        <v>119</v>
      </c>
      <c r="AB265" s="1" t="s">
        <v>86</v>
      </c>
      <c r="AC265" s="1" t="s">
        <v>1511</v>
      </c>
      <c r="AD265" s="1">
        <v>68.9</v>
      </c>
      <c r="AE265" s="1">
        <v>62</v>
      </c>
      <c r="AF265" s="1" t="s">
        <v>91</v>
      </c>
      <c r="AG265" s="1">
        <v>2.7</v>
      </c>
      <c r="AH265" s="1">
        <v>35</v>
      </c>
      <c r="AI265" s="1" t="s">
        <v>86</v>
      </c>
      <c r="AJ265" s="1">
        <v>1.12</v>
      </c>
      <c r="AK265" s="1" t="s">
        <v>111</v>
      </c>
      <c r="AL265" s="1" t="s">
        <v>140</v>
      </c>
      <c r="AM265" s="1" t="s">
        <v>140</v>
      </c>
      <c r="AN265" s="1" t="s">
        <v>171</v>
      </c>
      <c r="AO265" s="1" t="s">
        <v>94</v>
      </c>
      <c r="AP265" s="1" t="s">
        <v>95</v>
      </c>
      <c r="AQ265" s="1">
        <v>13.6</v>
      </c>
      <c r="AR265" s="1">
        <v>52.6</v>
      </c>
      <c r="AS265" s="1">
        <v>38.4</v>
      </c>
      <c r="AT265" s="1" t="s">
        <v>96</v>
      </c>
      <c r="AU265" s="1" t="s">
        <v>86</v>
      </c>
      <c r="AV265" s="1" t="s">
        <v>86</v>
      </c>
      <c r="AW265" s="1" t="s">
        <v>86</v>
      </c>
      <c r="AX265" s="1" t="s">
        <v>86</v>
      </c>
      <c r="AY265" s="1" t="s">
        <v>86</v>
      </c>
      <c r="AZ265" s="1" t="s">
        <v>86</v>
      </c>
      <c r="BA265" s="1" t="s">
        <v>86</v>
      </c>
      <c r="BB265" s="1" t="s">
        <v>86</v>
      </c>
      <c r="BC265" s="1" t="s">
        <v>86</v>
      </c>
      <c r="BD265" s="1" t="s">
        <v>86</v>
      </c>
      <c r="BE265" s="1" t="s">
        <v>86</v>
      </c>
      <c r="BF265" s="1" t="s">
        <v>282</v>
      </c>
      <c r="BG265" s="1" t="s">
        <v>172</v>
      </c>
      <c r="BH265" s="1" t="s">
        <v>429</v>
      </c>
      <c r="BI265" s="1" t="s">
        <v>430</v>
      </c>
      <c r="BJ265" s="1" t="s">
        <v>87</v>
      </c>
      <c r="BK265" s="1">
        <v>0</v>
      </c>
      <c r="BL265" s="1">
        <v>0</v>
      </c>
      <c r="BM265" s="1" t="s">
        <v>398</v>
      </c>
      <c r="BN265" s="1" t="s">
        <v>1512</v>
      </c>
      <c r="BO265" s="1" t="s">
        <v>506</v>
      </c>
      <c r="BP265" s="1" t="s">
        <v>86</v>
      </c>
      <c r="BQ265" s="1" t="s">
        <v>86</v>
      </c>
      <c r="BR265" s="1" t="s">
        <v>86</v>
      </c>
      <c r="BS265" s="1" t="s">
        <v>86</v>
      </c>
      <c r="BT265" s="1" t="s">
        <v>86</v>
      </c>
      <c r="BU265" s="1" t="s">
        <v>163</v>
      </c>
      <c r="BV265" s="1" t="s">
        <v>86</v>
      </c>
      <c r="BW265" s="1" t="s">
        <v>101</v>
      </c>
      <c r="BX265" s="1" t="s">
        <v>401</v>
      </c>
      <c r="BY265" s="1" t="s">
        <v>86</v>
      </c>
      <c r="BZ265" s="1" t="s">
        <v>1513</v>
      </c>
      <c r="CA265" s="1" t="s">
        <v>178</v>
      </c>
      <c r="CB265" s="1" t="s">
        <v>358</v>
      </c>
      <c r="CC265" s="1" t="s">
        <v>86</v>
      </c>
      <c r="CD265" s="1" t="s">
        <v>86</v>
      </c>
      <c r="CE265" s="1" t="s">
        <v>86</v>
      </c>
    </row>
    <row r="266">
      <c r="A266" s="1">
        <v>264</v>
      </c>
      <c r="B266" s="1" t="s">
        <v>395</v>
      </c>
      <c r="C266" s="2">
        <f>=HYPERLINK("https://i.stonehdfile.com/stoneimage?s=211ee8c7-99dd-4259-9a8b-a694762f4b3c","Image")</f>
      </c>
      <c r="D266" s="2">
        <f>=HYPERLINK("https://dna.stonehdfile.com/hd/viewhd.html?d=d86cc5b1-c964-4391-8e9d-c7d78ba7f38a","View360")</f>
      </c>
      <c r="E266" s="2">
        <f>=HYPERLINK("https://i.stonehdfile.com/Certificate?s=211ee8c7-99dd-4259-9a8b-a694762f4b3c","GIA")</f>
      </c>
      <c r="F266" s="2">
        <f>=HYPERLINK("https://i.stonehdfile.com/DNAReport?s=211ee8c7-99dd-4259-9a8b-a694762f4b3c","DNA")</f>
      </c>
      <c r="G266" s="2">
        <f>=HYPERLINK("https://www.gia.edu/report-check?reportno=******4323","Verify")</f>
      </c>
      <c r="H266" s="1" t="s">
        <v>1514</v>
      </c>
      <c r="I266" s="1" t="s">
        <v>46</v>
      </c>
      <c r="J266" s="1">
        <v>2.02</v>
      </c>
      <c r="K266" s="1">
        <v>6</v>
      </c>
      <c r="L266" s="1">
        <v>9200</v>
      </c>
      <c r="M266" s="1">
        <v>4705</v>
      </c>
      <c r="N266" s="1">
        <v>9504.1</v>
      </c>
      <c r="O266" s="1">
        <v>-48.86</v>
      </c>
      <c r="P266" s="1">
        <v>0</v>
      </c>
      <c r="Q266" s="1" t="s">
        <v>86</v>
      </c>
      <c r="R266" s="1">
        <v>0</v>
      </c>
      <c r="S266" s="1" t="s">
        <v>86</v>
      </c>
      <c r="T266" s="1" t="s">
        <v>86</v>
      </c>
      <c r="U266" s="1" t="s">
        <v>271</v>
      </c>
      <c r="V266" s="1" t="s">
        <v>86</v>
      </c>
      <c r="W266" s="1" t="s">
        <v>1515</v>
      </c>
      <c r="X266" s="1" t="s">
        <v>86</v>
      </c>
      <c r="Y266" s="1" t="s">
        <v>89</v>
      </c>
      <c r="Z266" s="1" t="s">
        <v>138</v>
      </c>
      <c r="AA266" s="1" t="s">
        <v>119</v>
      </c>
      <c r="AB266" s="1" t="s">
        <v>86</v>
      </c>
      <c r="AC266" s="1" t="s">
        <v>1516</v>
      </c>
      <c r="AD266" s="1">
        <v>68.8</v>
      </c>
      <c r="AE266" s="1">
        <v>64</v>
      </c>
      <c r="AF266" s="1" t="s">
        <v>91</v>
      </c>
      <c r="AG266" s="1">
        <v>2.3</v>
      </c>
      <c r="AH266" s="1">
        <v>34.7</v>
      </c>
      <c r="AI266" s="1" t="s">
        <v>86</v>
      </c>
      <c r="AJ266" s="1">
        <v>1.11</v>
      </c>
      <c r="AK266" s="1" t="s">
        <v>190</v>
      </c>
      <c r="AL266" s="1" t="s">
        <v>140</v>
      </c>
      <c r="AM266" s="1" t="s">
        <v>140</v>
      </c>
      <c r="AN266" s="1" t="s">
        <v>307</v>
      </c>
      <c r="AO266" s="1" t="s">
        <v>94</v>
      </c>
      <c r="AP266" s="1" t="s">
        <v>95</v>
      </c>
      <c r="AQ266" s="1">
        <v>12.2</v>
      </c>
      <c r="AR266" s="1">
        <v>54</v>
      </c>
      <c r="AS266" s="1">
        <v>40.4</v>
      </c>
      <c r="AT266" s="1" t="s">
        <v>96</v>
      </c>
      <c r="AU266" s="1" t="s">
        <v>86</v>
      </c>
      <c r="AV266" s="1" t="s">
        <v>86</v>
      </c>
      <c r="AW266" s="1" t="s">
        <v>86</v>
      </c>
      <c r="AX266" s="1" t="s">
        <v>86</v>
      </c>
      <c r="AY266" s="1" t="s">
        <v>86</v>
      </c>
      <c r="AZ266" s="1" t="s">
        <v>86</v>
      </c>
      <c r="BA266" s="1" t="s">
        <v>86</v>
      </c>
      <c r="BB266" s="1" t="s">
        <v>86</v>
      </c>
      <c r="BC266" s="1" t="s">
        <v>86</v>
      </c>
      <c r="BD266" s="1" t="s">
        <v>86</v>
      </c>
      <c r="BE266" s="1" t="s">
        <v>86</v>
      </c>
      <c r="BF266" s="1" t="s">
        <v>86</v>
      </c>
      <c r="BG266" s="1" t="s">
        <v>172</v>
      </c>
      <c r="BH266" s="1" t="s">
        <v>142</v>
      </c>
      <c r="BI266" s="1" t="s">
        <v>715</v>
      </c>
      <c r="BJ266" s="1" t="s">
        <v>87</v>
      </c>
      <c r="BK266" s="1">
        <v>0</v>
      </c>
      <c r="BL266" s="1">
        <v>0</v>
      </c>
      <c r="BM266" s="1" t="s">
        <v>398</v>
      </c>
      <c r="BN266" s="1" t="s">
        <v>1517</v>
      </c>
      <c r="BO266" s="1" t="s">
        <v>1081</v>
      </c>
      <c r="BP266" s="1" t="s">
        <v>86</v>
      </c>
      <c r="BQ266" s="1" t="s">
        <v>86</v>
      </c>
      <c r="BR266" s="1" t="s">
        <v>86</v>
      </c>
      <c r="BS266" s="1" t="s">
        <v>86</v>
      </c>
      <c r="BT266" s="1" t="s">
        <v>86</v>
      </c>
      <c r="BU266" s="1" t="s">
        <v>163</v>
      </c>
      <c r="BV266" s="1" t="s">
        <v>86</v>
      </c>
      <c r="BW266" s="1" t="s">
        <v>101</v>
      </c>
      <c r="BX266" s="1" t="s">
        <v>478</v>
      </c>
      <c r="BY266" s="1" t="s">
        <v>86</v>
      </c>
      <c r="BZ266" s="1" t="s">
        <v>1518</v>
      </c>
      <c r="CA266" s="1" t="s">
        <v>1054</v>
      </c>
      <c r="CB266" s="1" t="s">
        <v>179</v>
      </c>
      <c r="CC266" s="1" t="s">
        <v>86</v>
      </c>
      <c r="CD266" s="1" t="s">
        <v>86</v>
      </c>
      <c r="CE266" s="1" t="s">
        <v>86</v>
      </c>
    </row>
    <row r="267">
      <c r="A267" s="1">
        <v>265</v>
      </c>
      <c r="B267" s="1" t="s">
        <v>395</v>
      </c>
      <c r="C267" s="2">
        <f>=HYPERLINK("https://i.stonehdfile.com/stoneimage?s=7ba897b1-8228-4966-94c2-2e2289693c4e","Image")</f>
      </c>
      <c r="D267" s="2">
        <f>=HYPERLINK("https://dna.stonehdfile.com/hd/viewhd.html?d=acd9801e-8973-4670-9976-a8dbbec90816","View360")</f>
      </c>
      <c r="E267" s="2">
        <f>=HYPERLINK("https://i.stonehdfile.com/Certificate?s=7ba897b1-8228-4966-94c2-2e2289693c4e","GIA")</f>
      </c>
      <c r="F267" s="2">
        <f>=HYPERLINK("https://i.stonehdfile.com/DNAReport?s=7ba897b1-8228-4966-94c2-2e2289693c4e","DNA")</f>
      </c>
      <c r="G267" s="2">
        <f>=HYPERLINK("https://www.gia.edu/report-check?reportno=******9531","Verify")</f>
      </c>
      <c r="H267" s="1" t="s">
        <v>1519</v>
      </c>
      <c r="I267" s="1" t="s">
        <v>46</v>
      </c>
      <c r="J267" s="1">
        <v>2.01</v>
      </c>
      <c r="K267" s="1">
        <v>6</v>
      </c>
      <c r="L267" s="1">
        <v>9200</v>
      </c>
      <c r="M267" s="1">
        <v>3631</v>
      </c>
      <c r="N267" s="1">
        <v>7298.31</v>
      </c>
      <c r="O267" s="1">
        <v>-60.53</v>
      </c>
      <c r="P267" s="1">
        <v>0</v>
      </c>
      <c r="Q267" s="1" t="s">
        <v>86</v>
      </c>
      <c r="R267" s="1">
        <v>0</v>
      </c>
      <c r="S267" s="1" t="s">
        <v>86</v>
      </c>
      <c r="T267" s="1" t="s">
        <v>86</v>
      </c>
      <c r="U267" s="1" t="s">
        <v>271</v>
      </c>
      <c r="V267" s="1" t="s">
        <v>86</v>
      </c>
      <c r="W267" s="1" t="s">
        <v>213</v>
      </c>
      <c r="X267" s="1" t="s">
        <v>86</v>
      </c>
      <c r="Y267" s="1" t="s">
        <v>89</v>
      </c>
      <c r="Z267" s="1" t="s">
        <v>89</v>
      </c>
      <c r="AA267" s="1" t="s">
        <v>119</v>
      </c>
      <c r="AB267" s="1" t="s">
        <v>86</v>
      </c>
      <c r="AC267" s="1" t="s">
        <v>1520</v>
      </c>
      <c r="AD267" s="1">
        <v>69.7</v>
      </c>
      <c r="AE267" s="1">
        <v>66</v>
      </c>
      <c r="AF267" s="1" t="s">
        <v>91</v>
      </c>
      <c r="AG267" s="1">
        <v>3</v>
      </c>
      <c r="AH267" s="1">
        <v>33.9</v>
      </c>
      <c r="AI267" s="1" t="s">
        <v>86</v>
      </c>
      <c r="AJ267" s="1">
        <v>1.01</v>
      </c>
      <c r="AK267" s="1" t="s">
        <v>198</v>
      </c>
      <c r="AL267" s="1" t="s">
        <v>93</v>
      </c>
      <c r="AM267" s="1" t="s">
        <v>128</v>
      </c>
      <c r="AN267" s="1" t="s">
        <v>171</v>
      </c>
      <c r="AO267" s="1" t="s">
        <v>208</v>
      </c>
      <c r="AP267" s="1" t="s">
        <v>95</v>
      </c>
      <c r="AQ267" s="1">
        <v>11.4</v>
      </c>
      <c r="AR267" s="1">
        <v>55.1</v>
      </c>
      <c r="AS267" s="1">
        <v>41.9</v>
      </c>
      <c r="AT267" s="1" t="s">
        <v>96</v>
      </c>
      <c r="AU267" s="1" t="s">
        <v>86</v>
      </c>
      <c r="AV267" s="1" t="s">
        <v>86</v>
      </c>
      <c r="AW267" s="1" t="s">
        <v>86</v>
      </c>
      <c r="AX267" s="1" t="s">
        <v>86</v>
      </c>
      <c r="AY267" s="1" t="s">
        <v>86</v>
      </c>
      <c r="AZ267" s="1" t="s">
        <v>112</v>
      </c>
      <c r="BA267" s="1" t="s">
        <v>86</v>
      </c>
      <c r="BB267" s="1" t="s">
        <v>86</v>
      </c>
      <c r="BC267" s="1" t="s">
        <v>86</v>
      </c>
      <c r="BD267" s="1" t="s">
        <v>86</v>
      </c>
      <c r="BE267" s="1" t="s">
        <v>86</v>
      </c>
      <c r="BF267" s="1" t="s">
        <v>86</v>
      </c>
      <c r="BG267" s="1" t="s">
        <v>172</v>
      </c>
      <c r="BH267" s="1" t="s">
        <v>97</v>
      </c>
      <c r="BI267" s="1" t="s">
        <v>315</v>
      </c>
      <c r="BJ267" s="1" t="s">
        <v>87</v>
      </c>
      <c r="BK267" s="1">
        <v>0</v>
      </c>
      <c r="BL267" s="1">
        <v>0</v>
      </c>
      <c r="BM267" s="1" t="s">
        <v>398</v>
      </c>
      <c r="BN267" s="1" t="s">
        <v>1521</v>
      </c>
      <c r="BO267" s="1" t="s">
        <v>1211</v>
      </c>
      <c r="BP267" s="1" t="s">
        <v>86</v>
      </c>
      <c r="BQ267" s="1" t="s">
        <v>86</v>
      </c>
      <c r="BR267" s="1" t="s">
        <v>86</v>
      </c>
      <c r="BS267" s="1" t="s">
        <v>86</v>
      </c>
      <c r="BT267" s="1" t="s">
        <v>86</v>
      </c>
      <c r="BU267" s="1" t="s">
        <v>163</v>
      </c>
      <c r="BV267" s="1" t="s">
        <v>86</v>
      </c>
      <c r="BW267" s="1" t="s">
        <v>101</v>
      </c>
      <c r="BX267" s="1" t="s">
        <v>545</v>
      </c>
      <c r="BY267" s="1" t="s">
        <v>86</v>
      </c>
      <c r="BZ267" s="1" t="s">
        <v>1522</v>
      </c>
      <c r="CA267" s="1" t="s">
        <v>810</v>
      </c>
      <c r="CB267" s="1" t="s">
        <v>417</v>
      </c>
      <c r="CC267" s="1" t="s">
        <v>86</v>
      </c>
      <c r="CD267" s="1" t="s">
        <v>86</v>
      </c>
      <c r="CE267" s="1" t="s">
        <v>86</v>
      </c>
    </row>
    <row r="268">
      <c r="A268" s="1">
        <v>266</v>
      </c>
      <c r="B268" s="1" t="s">
        <v>395</v>
      </c>
      <c r="C268" s="2">
        <f>=HYPERLINK("https://i.stonehdfile.com/stoneimage?s=779baa11-aba8-453b-9459-1e5ebc196cb9","Image")</f>
      </c>
      <c r="D268" s="2">
        <f>=HYPERLINK("https://dna.stonehdfile.com/hd/viewhd.html?d=f1941bb5-0154-44fa-a25d-d63d59470fb0","View360")</f>
      </c>
      <c r="E268" s="2">
        <f>=HYPERLINK("https://i.stonehdfile.com/Certificate?s=779baa11-aba8-453b-9459-1e5ebc196cb9","GIA")</f>
      </c>
      <c r="F268" s="2">
        <f>=HYPERLINK("https://i.stonehdfile.com/DNAReport?s=779baa11-aba8-453b-9459-1e5ebc196cb9","DNA")</f>
      </c>
      <c r="G268" s="2">
        <f>=HYPERLINK("https://www.gia.edu/report-check?reportno=******5457","Verify")</f>
      </c>
      <c r="H268" s="1" t="s">
        <v>1523</v>
      </c>
      <c r="I268" s="1" t="s">
        <v>46</v>
      </c>
      <c r="J268" s="1">
        <v>2</v>
      </c>
      <c r="K268" s="1">
        <v>3</v>
      </c>
      <c r="L268" s="1">
        <v>10300</v>
      </c>
      <c r="M268" s="1">
        <v>5203</v>
      </c>
      <c r="N268" s="1">
        <v>10406</v>
      </c>
      <c r="O268" s="1">
        <v>-49.49</v>
      </c>
      <c r="P268" s="1">
        <v>0</v>
      </c>
      <c r="Q268" s="1" t="s">
        <v>86</v>
      </c>
      <c r="R268" s="1">
        <v>0</v>
      </c>
      <c r="S268" s="1" t="s">
        <v>86</v>
      </c>
      <c r="T268" s="1" t="s">
        <v>86</v>
      </c>
      <c r="U268" s="1" t="s">
        <v>159</v>
      </c>
      <c r="V268" s="1" t="s">
        <v>86</v>
      </c>
      <c r="W268" s="1" t="s">
        <v>107</v>
      </c>
      <c r="X268" s="1" t="s">
        <v>86</v>
      </c>
      <c r="Y268" s="1" t="s">
        <v>89</v>
      </c>
      <c r="Z268" s="1" t="s">
        <v>138</v>
      </c>
      <c r="AA268" s="1" t="s">
        <v>119</v>
      </c>
      <c r="AB268" s="1" t="s">
        <v>86</v>
      </c>
      <c r="AC268" s="1" t="s">
        <v>1524</v>
      </c>
      <c r="AD268" s="1">
        <v>70.4</v>
      </c>
      <c r="AE268" s="1">
        <v>64</v>
      </c>
      <c r="AF268" s="1" t="s">
        <v>91</v>
      </c>
      <c r="AG268" s="1">
        <v>3.4</v>
      </c>
      <c r="AH268" s="1">
        <v>36.8</v>
      </c>
      <c r="AI268" s="1" t="s">
        <v>86</v>
      </c>
      <c r="AJ268" s="1">
        <v>1.05</v>
      </c>
      <c r="AK268" s="1" t="s">
        <v>190</v>
      </c>
      <c r="AL268" s="1" t="s">
        <v>128</v>
      </c>
      <c r="AM268" s="1" t="s">
        <v>140</v>
      </c>
      <c r="AN268" s="1" t="s">
        <v>86</v>
      </c>
      <c r="AO268" s="1" t="s">
        <v>94</v>
      </c>
      <c r="AP268" s="1" t="s">
        <v>95</v>
      </c>
      <c r="AQ268" s="1">
        <v>13.6</v>
      </c>
      <c r="AR268" s="1">
        <v>53.2</v>
      </c>
      <c r="AS268" s="1">
        <v>39.2</v>
      </c>
      <c r="AT268" s="1" t="s">
        <v>96</v>
      </c>
      <c r="AU268" s="1" t="s">
        <v>86</v>
      </c>
      <c r="AV268" s="1" t="s">
        <v>86</v>
      </c>
      <c r="AW268" s="1" t="s">
        <v>86</v>
      </c>
      <c r="AX268" s="1" t="s">
        <v>86</v>
      </c>
      <c r="AY268" s="1" t="s">
        <v>86</v>
      </c>
      <c r="AZ268" s="1" t="s">
        <v>86</v>
      </c>
      <c r="BA268" s="1" t="s">
        <v>86</v>
      </c>
      <c r="BB268" s="1" t="s">
        <v>86</v>
      </c>
      <c r="BC268" s="1" t="s">
        <v>86</v>
      </c>
      <c r="BD268" s="1" t="s">
        <v>86</v>
      </c>
      <c r="BE268" s="1" t="s">
        <v>86</v>
      </c>
      <c r="BF268" s="1" t="s">
        <v>86</v>
      </c>
      <c r="BG268" s="1" t="s">
        <v>86</v>
      </c>
      <c r="BH268" s="1" t="s">
        <v>97</v>
      </c>
      <c r="BI268" s="1" t="s">
        <v>191</v>
      </c>
      <c r="BJ268" s="1" t="s">
        <v>87</v>
      </c>
      <c r="BK268" s="1">
        <v>0</v>
      </c>
      <c r="BL268" s="1">
        <v>0</v>
      </c>
      <c r="BM268" s="1" t="s">
        <v>398</v>
      </c>
      <c r="BN268" s="1" t="s">
        <v>1525</v>
      </c>
      <c r="BO268" s="1" t="s">
        <v>432</v>
      </c>
      <c r="BP268" s="1" t="s">
        <v>86</v>
      </c>
      <c r="BQ268" s="1" t="s">
        <v>86</v>
      </c>
      <c r="BR268" s="1" t="s">
        <v>86</v>
      </c>
      <c r="BS268" s="1" t="s">
        <v>86</v>
      </c>
      <c r="BT268" s="1" t="s">
        <v>86</v>
      </c>
      <c r="BU268" s="1" t="s">
        <v>163</v>
      </c>
      <c r="BV268" s="1" t="s">
        <v>86</v>
      </c>
      <c r="BW268" s="1" t="s">
        <v>101</v>
      </c>
      <c r="BX268" s="1" t="s">
        <v>414</v>
      </c>
      <c r="BY268" s="1" t="s">
        <v>86</v>
      </c>
      <c r="BZ268" s="1" t="s">
        <v>1526</v>
      </c>
      <c r="CA268" s="1" t="s">
        <v>416</v>
      </c>
      <c r="CB268" s="1" t="s">
        <v>269</v>
      </c>
      <c r="CC268" s="1" t="s">
        <v>86</v>
      </c>
      <c r="CD268" s="1" t="s">
        <v>86</v>
      </c>
      <c r="CE268" s="1" t="s">
        <v>86</v>
      </c>
    </row>
    <row r="269">
      <c r="A269" s="1">
        <v>267</v>
      </c>
      <c r="B269" s="1" t="s">
        <v>395</v>
      </c>
      <c r="C269" s="2">
        <f>=HYPERLINK("https://i.stonehdfile.com/stoneimage?s=5f07e21c-064d-4ddc-b874-a41654e2a597","Image")</f>
      </c>
      <c r="D269" s="2">
        <f>=HYPERLINK("https://dna.stonehdfile.com/hd/viewhd.html?d=ebf895ad-4c07-4ef4-9217-91ac013fdfeb","View360")</f>
      </c>
      <c r="E269" s="2">
        <f>=HYPERLINK("https://i.stonehdfile.com/Certificate?s=5f07e21c-064d-4ddc-b874-a41654e2a597","GIA")</f>
      </c>
      <c r="F269" s="2">
        <f>=HYPERLINK("https://i.stonehdfile.com/DNAReport?s=5f07e21c-064d-4ddc-b874-a41654e2a597","DNA")</f>
      </c>
      <c r="G269" s="2">
        <f>=HYPERLINK("https://www.gia.edu/report-check?reportno=******0626","Verify")</f>
      </c>
      <c r="H269" s="1" t="s">
        <v>1527</v>
      </c>
      <c r="I269" s="1" t="s">
        <v>46</v>
      </c>
      <c r="J269" s="1">
        <v>2.01</v>
      </c>
      <c r="K269" s="1">
        <v>5</v>
      </c>
      <c r="L269" s="1">
        <v>10300</v>
      </c>
      <c r="M269" s="1">
        <v>5069</v>
      </c>
      <c r="N269" s="1">
        <v>10188.69</v>
      </c>
      <c r="O269" s="1">
        <v>-50.79</v>
      </c>
      <c r="P269" s="1">
        <v>0</v>
      </c>
      <c r="Q269" s="1" t="s">
        <v>86</v>
      </c>
      <c r="R269" s="1">
        <v>0</v>
      </c>
      <c r="S269" s="1" t="s">
        <v>86</v>
      </c>
      <c r="T269" s="1" t="s">
        <v>86</v>
      </c>
      <c r="U269" s="1" t="s">
        <v>118</v>
      </c>
      <c r="V269" s="1" t="s">
        <v>86</v>
      </c>
      <c r="W269" s="1" t="s">
        <v>107</v>
      </c>
      <c r="X269" s="1" t="s">
        <v>86</v>
      </c>
      <c r="Y269" s="1" t="s">
        <v>89</v>
      </c>
      <c r="Z269" s="1" t="s">
        <v>89</v>
      </c>
      <c r="AA269" s="1" t="s">
        <v>87</v>
      </c>
      <c r="AB269" s="1" t="s">
        <v>86</v>
      </c>
      <c r="AC269" s="1" t="s">
        <v>1528</v>
      </c>
      <c r="AD269" s="1">
        <v>69.2</v>
      </c>
      <c r="AE269" s="1">
        <v>66</v>
      </c>
      <c r="AF269" s="1" t="s">
        <v>91</v>
      </c>
      <c r="AG269" s="1">
        <v>3.3</v>
      </c>
      <c r="AH269" s="1">
        <v>36.2</v>
      </c>
      <c r="AI269" s="1" t="s">
        <v>86</v>
      </c>
      <c r="AJ269" s="1">
        <v>1</v>
      </c>
      <c r="AK269" s="1" t="s">
        <v>111</v>
      </c>
      <c r="AL269" s="1" t="s">
        <v>140</v>
      </c>
      <c r="AM269" s="1" t="s">
        <v>128</v>
      </c>
      <c r="AN269" s="1" t="s">
        <v>86</v>
      </c>
      <c r="AO269" s="1" t="s">
        <v>94</v>
      </c>
      <c r="AP269" s="1" t="s">
        <v>95</v>
      </c>
      <c r="AQ269" s="1">
        <v>12.5</v>
      </c>
      <c r="AR269" s="1">
        <v>53.3</v>
      </c>
      <c r="AS269" s="1">
        <v>39.3</v>
      </c>
      <c r="AT269" s="1" t="s">
        <v>96</v>
      </c>
      <c r="AU269" s="1" t="s">
        <v>86</v>
      </c>
      <c r="AV269" s="1" t="s">
        <v>86</v>
      </c>
      <c r="AW269" s="1" t="s">
        <v>86</v>
      </c>
      <c r="AX269" s="1" t="s">
        <v>86</v>
      </c>
      <c r="AY269" s="1" t="s">
        <v>86</v>
      </c>
      <c r="AZ269" s="1" t="s">
        <v>86</v>
      </c>
      <c r="BA269" s="1" t="s">
        <v>86</v>
      </c>
      <c r="BB269" s="1" t="s">
        <v>86</v>
      </c>
      <c r="BC269" s="1" t="s">
        <v>86</v>
      </c>
      <c r="BD269" s="1" t="s">
        <v>86</v>
      </c>
      <c r="BE269" s="1" t="s">
        <v>86</v>
      </c>
      <c r="BF269" s="1" t="s">
        <v>86</v>
      </c>
      <c r="BG269" s="1" t="s">
        <v>86</v>
      </c>
      <c r="BH269" s="1" t="s">
        <v>215</v>
      </c>
      <c r="BI269" s="1" t="s">
        <v>232</v>
      </c>
      <c r="BJ269" s="1" t="s">
        <v>87</v>
      </c>
      <c r="BK269" s="1">
        <v>0</v>
      </c>
      <c r="BL269" s="1">
        <v>0</v>
      </c>
      <c r="BM269" s="1" t="s">
        <v>398</v>
      </c>
      <c r="BN269" s="1" t="s">
        <v>1529</v>
      </c>
      <c r="BO269" s="1" t="s">
        <v>1366</v>
      </c>
      <c r="BP269" s="1" t="s">
        <v>86</v>
      </c>
      <c r="BQ269" s="1" t="s">
        <v>86</v>
      </c>
      <c r="BR269" s="1" t="s">
        <v>86</v>
      </c>
      <c r="BS269" s="1" t="s">
        <v>86</v>
      </c>
      <c r="BT269" s="1" t="s">
        <v>86</v>
      </c>
      <c r="BU269" s="1" t="s">
        <v>163</v>
      </c>
      <c r="BV269" s="1" t="s">
        <v>86</v>
      </c>
      <c r="BW269" s="1" t="s">
        <v>101</v>
      </c>
      <c r="BX269" s="1" t="s">
        <v>565</v>
      </c>
      <c r="BY269" s="1" t="s">
        <v>86</v>
      </c>
      <c r="BZ269" s="1" t="s">
        <v>1530</v>
      </c>
      <c r="CA269" s="1" t="s">
        <v>532</v>
      </c>
      <c r="CB269" s="1" t="s">
        <v>156</v>
      </c>
      <c r="CC269" s="1" t="s">
        <v>86</v>
      </c>
      <c r="CD269" s="1" t="s">
        <v>86</v>
      </c>
      <c r="CE269" s="1" t="s">
        <v>86</v>
      </c>
    </row>
    <row r="270">
      <c r="A270" s="1">
        <v>268</v>
      </c>
      <c r="B270" s="1" t="s">
        <v>395</v>
      </c>
      <c r="C270" s="2">
        <f>=HYPERLINK("https://i.stonehdfile.com/stoneimage?s=cf54ecff-b0dc-4d34-b74c-7de0c7771c00","Image")</f>
      </c>
      <c r="D270" s="2">
        <f>=HYPERLINK("https://dna.stonehdfile.com/hd/viewhd.html?d=e2898cc8-8b61-40aa-9bb9-5c17ff6bfbdc","View360")</f>
      </c>
      <c r="E270" s="2">
        <f>=HYPERLINK("https://i.stonehdfile.com/Certificate?s=cf54ecff-b0dc-4d34-b74c-7de0c7771c00","GIA")</f>
      </c>
      <c r="F270" s="2">
        <f>=HYPERLINK("https://i.stonehdfile.com/DNAReport?s=cf54ecff-b0dc-4d34-b74c-7de0c7771c00","DNA")</f>
      </c>
      <c r="G270" s="2">
        <f>=HYPERLINK("https://www.gia.edu/report-check?reportno=******1715","Verify")</f>
      </c>
      <c r="H270" s="1" t="s">
        <v>1531</v>
      </c>
      <c r="I270" s="1" t="s">
        <v>46</v>
      </c>
      <c r="J270" s="1">
        <v>2.54</v>
      </c>
      <c r="K270" s="1">
        <v>3</v>
      </c>
      <c r="L270" s="1">
        <v>10300</v>
      </c>
      <c r="M270" s="1">
        <v>6700</v>
      </c>
      <c r="N270" s="1">
        <v>17018</v>
      </c>
      <c r="O270" s="1">
        <v>-34.95</v>
      </c>
      <c r="P270" s="1">
        <v>0</v>
      </c>
      <c r="Q270" s="1" t="s">
        <v>86</v>
      </c>
      <c r="R270" s="1">
        <v>0</v>
      </c>
      <c r="S270" s="1" t="s">
        <v>86</v>
      </c>
      <c r="T270" s="1" t="s">
        <v>86</v>
      </c>
      <c r="U270" s="1" t="s">
        <v>118</v>
      </c>
      <c r="V270" s="1" t="s">
        <v>86</v>
      </c>
      <c r="W270" s="1" t="s">
        <v>107</v>
      </c>
      <c r="X270" s="1" t="s">
        <v>86</v>
      </c>
      <c r="Y270" s="1" t="s">
        <v>89</v>
      </c>
      <c r="Z270" s="1" t="s">
        <v>89</v>
      </c>
      <c r="AA270" s="1" t="s">
        <v>119</v>
      </c>
      <c r="AB270" s="1" t="s">
        <v>86</v>
      </c>
      <c r="AC270" s="1" t="s">
        <v>1532</v>
      </c>
      <c r="AD270" s="1">
        <v>68.9</v>
      </c>
      <c r="AE270" s="1">
        <v>64</v>
      </c>
      <c r="AF270" s="1" t="s">
        <v>91</v>
      </c>
      <c r="AG270" s="1">
        <v>3.5</v>
      </c>
      <c r="AH270" s="1">
        <v>35.9</v>
      </c>
      <c r="AI270" s="1" t="s">
        <v>86</v>
      </c>
      <c r="AJ270" s="1">
        <v>1.02</v>
      </c>
      <c r="AK270" s="1" t="s">
        <v>190</v>
      </c>
      <c r="AL270" s="1" t="s">
        <v>140</v>
      </c>
      <c r="AM270" s="1" t="s">
        <v>93</v>
      </c>
      <c r="AN270" s="1" t="s">
        <v>86</v>
      </c>
      <c r="AO270" s="1" t="s">
        <v>94</v>
      </c>
      <c r="AP270" s="1" t="s">
        <v>95</v>
      </c>
      <c r="AQ270" s="1">
        <v>13</v>
      </c>
      <c r="AR270" s="1">
        <v>52.2</v>
      </c>
      <c r="AS270" s="1">
        <v>40.4</v>
      </c>
      <c r="AT270" s="1" t="s">
        <v>96</v>
      </c>
      <c r="AU270" s="1" t="s">
        <v>86</v>
      </c>
      <c r="AV270" s="1" t="s">
        <v>86</v>
      </c>
      <c r="AW270" s="1" t="s">
        <v>86</v>
      </c>
      <c r="AX270" s="1" t="s">
        <v>86</v>
      </c>
      <c r="AY270" s="1" t="s">
        <v>86</v>
      </c>
      <c r="AZ270" s="1" t="s">
        <v>86</v>
      </c>
      <c r="BA270" s="1" t="s">
        <v>86</v>
      </c>
      <c r="BB270" s="1" t="s">
        <v>86</v>
      </c>
      <c r="BC270" s="1" t="s">
        <v>86</v>
      </c>
      <c r="BD270" s="1" t="s">
        <v>86</v>
      </c>
      <c r="BE270" s="1" t="s">
        <v>86</v>
      </c>
      <c r="BF270" s="1" t="s">
        <v>86</v>
      </c>
      <c r="BG270" s="1" t="s">
        <v>86</v>
      </c>
      <c r="BH270" s="1" t="s">
        <v>215</v>
      </c>
      <c r="BI270" s="1" t="s">
        <v>183</v>
      </c>
      <c r="BJ270" s="1" t="s">
        <v>87</v>
      </c>
      <c r="BK270" s="1">
        <v>0</v>
      </c>
      <c r="BL270" s="1">
        <v>0</v>
      </c>
      <c r="BM270" s="1" t="s">
        <v>398</v>
      </c>
      <c r="BN270" s="1" t="s">
        <v>1533</v>
      </c>
      <c r="BO270" s="1" t="s">
        <v>407</v>
      </c>
      <c r="BP270" s="1" t="s">
        <v>86</v>
      </c>
      <c r="BQ270" s="1" t="s">
        <v>86</v>
      </c>
      <c r="BR270" s="1" t="s">
        <v>86</v>
      </c>
      <c r="BS270" s="1" t="s">
        <v>86</v>
      </c>
      <c r="BT270" s="1" t="s">
        <v>86</v>
      </c>
      <c r="BU270" s="1" t="s">
        <v>163</v>
      </c>
      <c r="BV270" s="1" t="s">
        <v>86</v>
      </c>
      <c r="BW270" s="1" t="s">
        <v>101</v>
      </c>
      <c r="BX270" s="1" t="s">
        <v>478</v>
      </c>
      <c r="BY270" s="1" t="s">
        <v>86</v>
      </c>
      <c r="BZ270" s="1" t="s">
        <v>1534</v>
      </c>
      <c r="CA270" s="1" t="s">
        <v>278</v>
      </c>
      <c r="CB270" s="1" t="s">
        <v>221</v>
      </c>
      <c r="CC270" s="1" t="s">
        <v>86</v>
      </c>
      <c r="CD270" s="1" t="s">
        <v>86</v>
      </c>
      <c r="CE270" s="1" t="s">
        <v>86</v>
      </c>
    </row>
    <row r="271">
      <c r="A271" s="1">
        <v>269</v>
      </c>
      <c r="B271" s="1" t="s">
        <v>395</v>
      </c>
      <c r="C271" s="2">
        <f>=HYPERLINK("https://i.stonehdfile.com/stoneimage?s=c7cfc2ed-4dd8-470a-9a4c-90148603f49b","Image")</f>
      </c>
      <c r="D271" s="2">
        <f>=HYPERLINK("https://dna.stonehdfile.com/hd/viewhd.html?d=eaea9ba0-3a37-4712-9aef-ace57786236c","View360")</f>
      </c>
      <c r="E271" s="2">
        <f>=HYPERLINK("https://i.stonehdfile.com/Certificate?s=c7cfc2ed-4dd8-470a-9a4c-90148603f49b","GIA")</f>
      </c>
      <c r="F271" s="2">
        <f>=HYPERLINK("https://i.stonehdfile.com/DNAReport?s=c7cfc2ed-4dd8-470a-9a4c-90148603f49b","DNA")</f>
      </c>
      <c r="G271" s="2">
        <f>=HYPERLINK("https://www.gia.edu/report-check?reportno=******8332","Verify")</f>
      </c>
      <c r="H271" s="1" t="s">
        <v>1535</v>
      </c>
      <c r="I271" s="1" t="s">
        <v>46</v>
      </c>
      <c r="J271" s="1">
        <v>2.75</v>
      </c>
      <c r="K271" s="1">
        <v>7</v>
      </c>
      <c r="L271" s="1">
        <v>10300</v>
      </c>
      <c r="M271" s="1">
        <v>7053</v>
      </c>
      <c r="N271" s="1">
        <v>19395.75</v>
      </c>
      <c r="O271" s="1">
        <v>-31.52</v>
      </c>
      <c r="P271" s="1">
        <v>0</v>
      </c>
      <c r="Q271" s="1" t="s">
        <v>86</v>
      </c>
      <c r="R271" s="1">
        <v>0</v>
      </c>
      <c r="S271" s="1" t="s">
        <v>86</v>
      </c>
      <c r="T271" s="1" t="s">
        <v>86</v>
      </c>
      <c r="U271" s="1" t="s">
        <v>118</v>
      </c>
      <c r="V271" s="1" t="s">
        <v>86</v>
      </c>
      <c r="W271" s="1" t="s">
        <v>107</v>
      </c>
      <c r="X271" s="1" t="s">
        <v>86</v>
      </c>
      <c r="Y271" s="1" t="s">
        <v>89</v>
      </c>
      <c r="Z271" s="1" t="s">
        <v>89</v>
      </c>
      <c r="AA271" s="1" t="s">
        <v>119</v>
      </c>
      <c r="AB271" s="1" t="s">
        <v>86</v>
      </c>
      <c r="AC271" s="1" t="s">
        <v>1536</v>
      </c>
      <c r="AD271" s="1">
        <v>68.3</v>
      </c>
      <c r="AE271" s="1">
        <v>64</v>
      </c>
      <c r="AF271" s="1" t="s">
        <v>91</v>
      </c>
      <c r="AG271" s="1">
        <v>2.5</v>
      </c>
      <c r="AH271" s="1">
        <v>36.1</v>
      </c>
      <c r="AI271" s="1" t="s">
        <v>86</v>
      </c>
      <c r="AJ271" s="1">
        <v>1.1</v>
      </c>
      <c r="AK271" s="1" t="s">
        <v>190</v>
      </c>
      <c r="AL271" s="1" t="s">
        <v>140</v>
      </c>
      <c r="AM271" s="1" t="s">
        <v>93</v>
      </c>
      <c r="AN271" s="1" t="s">
        <v>86</v>
      </c>
      <c r="AO271" s="1" t="s">
        <v>94</v>
      </c>
      <c r="AP271" s="1" t="s">
        <v>95</v>
      </c>
      <c r="AQ271" s="1">
        <v>13.3</v>
      </c>
      <c r="AR271" s="1">
        <v>52.2</v>
      </c>
      <c r="AS271" s="1">
        <v>38.6</v>
      </c>
      <c r="AT271" s="1" t="s">
        <v>96</v>
      </c>
      <c r="AU271" s="1" t="s">
        <v>86</v>
      </c>
      <c r="AV271" s="1" t="s">
        <v>86</v>
      </c>
      <c r="AW271" s="1" t="s">
        <v>86</v>
      </c>
      <c r="AX271" s="1" t="s">
        <v>86</v>
      </c>
      <c r="AY271" s="1" t="s">
        <v>86</v>
      </c>
      <c r="AZ271" s="1" t="s">
        <v>86</v>
      </c>
      <c r="BA271" s="1" t="s">
        <v>86</v>
      </c>
      <c r="BB271" s="1" t="s">
        <v>86</v>
      </c>
      <c r="BC271" s="1" t="s">
        <v>86</v>
      </c>
      <c r="BD271" s="1" t="s">
        <v>86</v>
      </c>
      <c r="BE271" s="1" t="s">
        <v>86</v>
      </c>
      <c r="BF271" s="1" t="s">
        <v>86</v>
      </c>
      <c r="BG271" s="1" t="s">
        <v>86</v>
      </c>
      <c r="BH271" s="1" t="s">
        <v>97</v>
      </c>
      <c r="BI271" s="1" t="s">
        <v>328</v>
      </c>
      <c r="BJ271" s="1" t="s">
        <v>87</v>
      </c>
      <c r="BK271" s="1">
        <v>0</v>
      </c>
      <c r="BL271" s="1">
        <v>0</v>
      </c>
      <c r="BM271" s="1" t="s">
        <v>398</v>
      </c>
      <c r="BN271" s="1" t="s">
        <v>1537</v>
      </c>
      <c r="BO271" s="1" t="s">
        <v>705</v>
      </c>
      <c r="BP271" s="1" t="s">
        <v>86</v>
      </c>
      <c r="BQ271" s="1" t="s">
        <v>86</v>
      </c>
      <c r="BR271" s="1" t="s">
        <v>86</v>
      </c>
      <c r="BS271" s="1" t="s">
        <v>86</v>
      </c>
      <c r="BT271" s="1" t="s">
        <v>86</v>
      </c>
      <c r="BU271" s="1" t="s">
        <v>163</v>
      </c>
      <c r="BV271" s="1" t="s">
        <v>86</v>
      </c>
      <c r="BW271" s="1" t="s">
        <v>101</v>
      </c>
      <c r="BX271" s="1" t="s">
        <v>478</v>
      </c>
      <c r="BY271" s="1" t="s">
        <v>86</v>
      </c>
      <c r="BZ271" s="1" t="s">
        <v>1538</v>
      </c>
      <c r="CA271" s="1" t="s">
        <v>297</v>
      </c>
      <c r="CB271" s="1" t="s">
        <v>1539</v>
      </c>
      <c r="CC271" s="1" t="s">
        <v>86</v>
      </c>
      <c r="CD271" s="1" t="s">
        <v>86</v>
      </c>
      <c r="CE271" s="1" t="s">
        <v>86</v>
      </c>
    </row>
    <row r="272">
      <c r="A272" s="1">
        <v>270</v>
      </c>
      <c r="B272" s="1" t="s">
        <v>395</v>
      </c>
      <c r="C272" s="2">
        <f>=HYPERLINK("https://i.stonehdfile.com/stoneimage?s=9fc329ea-1741-4f75-a17d-4dcc22d7e82e","Image")</f>
      </c>
      <c r="D272" s="2">
        <f>=HYPERLINK("https://dna.stonehdfile.com/hd/viewhd.html?d=02c9edb8-c2a0-48e6-be11-5f9aae962836","View360")</f>
      </c>
      <c r="E272" s="2">
        <f>=HYPERLINK("https://i.stonehdfile.com/Certificate?s=9fc329ea-1741-4f75-a17d-4dcc22d7e82e","GIA")</f>
      </c>
      <c r="F272" s="2">
        <f>=HYPERLINK("https://i.stonehdfile.com/DNAReport?s=9fc329ea-1741-4f75-a17d-4dcc22d7e82e","DNA")</f>
      </c>
      <c r="G272" s="2">
        <f>=HYPERLINK("https://www.gia.edu/report-check?reportno=******1807","Verify")</f>
      </c>
      <c r="H272" s="1" t="s">
        <v>1540</v>
      </c>
      <c r="I272" s="1" t="s">
        <v>46</v>
      </c>
      <c r="J272" s="1">
        <v>2.01</v>
      </c>
      <c r="K272" s="1">
        <v>2</v>
      </c>
      <c r="L272" s="1">
        <v>10300</v>
      </c>
      <c r="M272" s="1">
        <v>4871</v>
      </c>
      <c r="N272" s="1">
        <v>9790.71</v>
      </c>
      <c r="O272" s="1">
        <v>-52.71</v>
      </c>
      <c r="P272" s="1">
        <v>0</v>
      </c>
      <c r="Q272" s="1" t="s">
        <v>86</v>
      </c>
      <c r="R272" s="1">
        <v>0</v>
      </c>
      <c r="S272" s="1" t="s">
        <v>86</v>
      </c>
      <c r="T272" s="1" t="s">
        <v>86</v>
      </c>
      <c r="U272" s="1" t="s">
        <v>118</v>
      </c>
      <c r="V272" s="1" t="s">
        <v>86</v>
      </c>
      <c r="W272" s="1" t="s">
        <v>149</v>
      </c>
      <c r="X272" s="1" t="s">
        <v>86</v>
      </c>
      <c r="Y272" s="1" t="s">
        <v>89</v>
      </c>
      <c r="Z272" s="1" t="s">
        <v>89</v>
      </c>
      <c r="AA272" s="1" t="s">
        <v>119</v>
      </c>
      <c r="AB272" s="1" t="s">
        <v>86</v>
      </c>
      <c r="AC272" s="1" t="s">
        <v>1541</v>
      </c>
      <c r="AD272" s="1">
        <v>69.3</v>
      </c>
      <c r="AE272" s="1">
        <v>65</v>
      </c>
      <c r="AF272" s="1" t="s">
        <v>91</v>
      </c>
      <c r="AG272" s="1">
        <v>2.7</v>
      </c>
      <c r="AH272" s="1">
        <v>34.2</v>
      </c>
      <c r="AI272" s="1" t="s">
        <v>86</v>
      </c>
      <c r="AJ272" s="1">
        <v>1.05</v>
      </c>
      <c r="AK272" s="1" t="s">
        <v>190</v>
      </c>
      <c r="AL272" s="1" t="s">
        <v>93</v>
      </c>
      <c r="AM272" s="1" t="s">
        <v>128</v>
      </c>
      <c r="AN272" s="1" t="s">
        <v>86</v>
      </c>
      <c r="AO272" s="1" t="s">
        <v>94</v>
      </c>
      <c r="AP272" s="1" t="s">
        <v>95</v>
      </c>
      <c r="AQ272" s="1">
        <v>11.9</v>
      </c>
      <c r="AR272" s="1">
        <v>54.4</v>
      </c>
      <c r="AS272" s="1">
        <v>38.7</v>
      </c>
      <c r="AT272" s="1" t="s">
        <v>96</v>
      </c>
      <c r="AU272" s="1" t="s">
        <v>86</v>
      </c>
      <c r="AV272" s="1" t="s">
        <v>86</v>
      </c>
      <c r="AW272" s="1" t="s">
        <v>86</v>
      </c>
      <c r="AX272" s="1" t="s">
        <v>86</v>
      </c>
      <c r="AY272" s="1" t="s">
        <v>86</v>
      </c>
      <c r="AZ272" s="1" t="s">
        <v>86</v>
      </c>
      <c r="BA272" s="1" t="s">
        <v>86</v>
      </c>
      <c r="BB272" s="1" t="s">
        <v>86</v>
      </c>
      <c r="BC272" s="1" t="s">
        <v>86</v>
      </c>
      <c r="BD272" s="1" t="s">
        <v>86</v>
      </c>
      <c r="BE272" s="1" t="s">
        <v>86</v>
      </c>
      <c r="BF272" s="1" t="s">
        <v>86</v>
      </c>
      <c r="BG272" s="1" t="s">
        <v>86</v>
      </c>
      <c r="BH272" s="1" t="s">
        <v>448</v>
      </c>
      <c r="BI272" s="1" t="s">
        <v>430</v>
      </c>
      <c r="BJ272" s="1" t="s">
        <v>87</v>
      </c>
      <c r="BK272" s="1">
        <v>0</v>
      </c>
      <c r="BL272" s="1">
        <v>0</v>
      </c>
      <c r="BM272" s="1" t="s">
        <v>398</v>
      </c>
      <c r="BN272" s="1" t="s">
        <v>1542</v>
      </c>
      <c r="BO272" s="1" t="s">
        <v>1543</v>
      </c>
      <c r="BP272" s="1" t="s">
        <v>86</v>
      </c>
      <c r="BQ272" s="1" t="s">
        <v>86</v>
      </c>
      <c r="BR272" s="1" t="s">
        <v>86</v>
      </c>
      <c r="BS272" s="1" t="s">
        <v>86</v>
      </c>
      <c r="BT272" s="1" t="s">
        <v>86</v>
      </c>
      <c r="BU272" s="1" t="s">
        <v>163</v>
      </c>
      <c r="BV272" s="1" t="s">
        <v>86</v>
      </c>
      <c r="BW272" s="1" t="s">
        <v>101</v>
      </c>
      <c r="BX272" s="1" t="s">
        <v>478</v>
      </c>
      <c r="BY272" s="1" t="s">
        <v>86</v>
      </c>
      <c r="BZ272" s="1" t="s">
        <v>1544</v>
      </c>
      <c r="CA272" s="1" t="s">
        <v>220</v>
      </c>
      <c r="CB272" s="1" t="s">
        <v>269</v>
      </c>
      <c r="CC272" s="1" t="s">
        <v>86</v>
      </c>
      <c r="CD272" s="1" t="s">
        <v>86</v>
      </c>
      <c r="CE272" s="1" t="s">
        <v>86</v>
      </c>
    </row>
    <row r="273">
      <c r="A273" s="1">
        <v>271</v>
      </c>
      <c r="B273" s="1" t="s">
        <v>395</v>
      </c>
      <c r="C273" s="2">
        <f>=HYPERLINK("https://i.stonehdfile.com/stoneimage?s=4328fa74-c743-49a2-babf-4120d88fc936","Image")</f>
      </c>
      <c r="D273" s="2">
        <f>=HYPERLINK("https://dna.stonehdfile.com/hd/viewhd.html?d=d7911ac5-ef75-4a4a-88e8-66074c8e05e0","View360")</f>
      </c>
      <c r="E273" s="2">
        <f>=HYPERLINK("https://i.stonehdfile.com/Certificate?s=4328fa74-c743-49a2-babf-4120d88fc936","GIA")</f>
      </c>
      <c r="F273" s="2">
        <f>=HYPERLINK("https://i.stonehdfile.com/DNAReport?s=4328fa74-c743-49a2-babf-4120d88fc936","DNA")</f>
      </c>
      <c r="G273" s="2">
        <f>=HYPERLINK("https://www.gia.edu/report-check?reportno=******9747","Verify")</f>
      </c>
      <c r="H273" s="1" t="s">
        <v>1545</v>
      </c>
      <c r="I273" s="1" t="s">
        <v>46</v>
      </c>
      <c r="J273" s="1">
        <v>2.01</v>
      </c>
      <c r="K273" s="1">
        <v>5</v>
      </c>
      <c r="L273" s="1">
        <v>10300</v>
      </c>
      <c r="M273" s="1">
        <v>5865</v>
      </c>
      <c r="N273" s="1">
        <v>11788.65</v>
      </c>
      <c r="O273" s="1">
        <v>-43.06</v>
      </c>
      <c r="P273" s="1">
        <v>0</v>
      </c>
      <c r="Q273" s="1" t="s">
        <v>86</v>
      </c>
      <c r="R273" s="1">
        <v>0</v>
      </c>
      <c r="S273" s="1" t="s">
        <v>86</v>
      </c>
      <c r="T273" s="1" t="s">
        <v>86</v>
      </c>
      <c r="U273" s="1" t="s">
        <v>118</v>
      </c>
      <c r="V273" s="1" t="s">
        <v>86</v>
      </c>
      <c r="W273" s="1" t="s">
        <v>149</v>
      </c>
      <c r="X273" s="1" t="s">
        <v>86</v>
      </c>
      <c r="Y273" s="1" t="s">
        <v>89</v>
      </c>
      <c r="Z273" s="1" t="s">
        <v>89</v>
      </c>
      <c r="AA273" s="1" t="s">
        <v>119</v>
      </c>
      <c r="AB273" s="1" t="s">
        <v>86</v>
      </c>
      <c r="AC273" s="1" t="s">
        <v>1546</v>
      </c>
      <c r="AD273" s="1">
        <v>69.1</v>
      </c>
      <c r="AE273" s="1">
        <v>62</v>
      </c>
      <c r="AF273" s="1" t="s">
        <v>91</v>
      </c>
      <c r="AG273" s="1">
        <v>3.8</v>
      </c>
      <c r="AH273" s="1">
        <v>35.8</v>
      </c>
      <c r="AI273" s="1" t="s">
        <v>86</v>
      </c>
      <c r="AJ273" s="1">
        <v>1.13</v>
      </c>
      <c r="AK273" s="1" t="s">
        <v>190</v>
      </c>
      <c r="AL273" s="1" t="s">
        <v>140</v>
      </c>
      <c r="AM273" s="1" t="s">
        <v>93</v>
      </c>
      <c r="AN273" s="1" t="s">
        <v>86</v>
      </c>
      <c r="AO273" s="1" t="s">
        <v>94</v>
      </c>
      <c r="AP273" s="1" t="s">
        <v>95</v>
      </c>
      <c r="AQ273" s="1">
        <v>13.5</v>
      </c>
      <c r="AR273" s="1">
        <v>51.2</v>
      </c>
      <c r="AS273" s="1">
        <v>38.9</v>
      </c>
      <c r="AT273" s="1" t="s">
        <v>96</v>
      </c>
      <c r="AU273" s="1" t="s">
        <v>86</v>
      </c>
      <c r="AV273" s="1" t="s">
        <v>86</v>
      </c>
      <c r="AW273" s="1" t="s">
        <v>86</v>
      </c>
      <c r="AX273" s="1" t="s">
        <v>86</v>
      </c>
      <c r="AY273" s="1" t="s">
        <v>86</v>
      </c>
      <c r="AZ273" s="1" t="s">
        <v>86</v>
      </c>
      <c r="BA273" s="1" t="s">
        <v>86</v>
      </c>
      <c r="BB273" s="1" t="s">
        <v>86</v>
      </c>
      <c r="BC273" s="1" t="s">
        <v>86</v>
      </c>
      <c r="BD273" s="1" t="s">
        <v>86</v>
      </c>
      <c r="BE273" s="1" t="s">
        <v>86</v>
      </c>
      <c r="BF273" s="1" t="s">
        <v>86</v>
      </c>
      <c r="BG273" s="1" t="s">
        <v>86</v>
      </c>
      <c r="BH273" s="1" t="s">
        <v>215</v>
      </c>
      <c r="BI273" s="1" t="s">
        <v>216</v>
      </c>
      <c r="BJ273" s="1" t="s">
        <v>87</v>
      </c>
      <c r="BK273" s="1">
        <v>0</v>
      </c>
      <c r="BL273" s="1">
        <v>0</v>
      </c>
      <c r="BM273" s="1" t="s">
        <v>398</v>
      </c>
      <c r="BN273" s="1" t="s">
        <v>1547</v>
      </c>
      <c r="BO273" s="1" t="s">
        <v>835</v>
      </c>
      <c r="BP273" s="1" t="s">
        <v>86</v>
      </c>
      <c r="BQ273" s="1" t="s">
        <v>86</v>
      </c>
      <c r="BR273" s="1" t="s">
        <v>86</v>
      </c>
      <c r="BS273" s="1" t="s">
        <v>86</v>
      </c>
      <c r="BT273" s="1" t="s">
        <v>86</v>
      </c>
      <c r="BU273" s="1" t="s">
        <v>163</v>
      </c>
      <c r="BV273" s="1" t="s">
        <v>86</v>
      </c>
      <c r="BW273" s="1" t="s">
        <v>101</v>
      </c>
      <c r="BX273" s="1" t="s">
        <v>478</v>
      </c>
      <c r="BY273" s="1" t="s">
        <v>86</v>
      </c>
      <c r="BZ273" s="1" t="s">
        <v>1548</v>
      </c>
      <c r="CA273" s="1" t="s">
        <v>532</v>
      </c>
      <c r="CB273" s="1" t="s">
        <v>86</v>
      </c>
      <c r="CC273" s="1" t="s">
        <v>86</v>
      </c>
      <c r="CD273" s="1" t="s">
        <v>86</v>
      </c>
      <c r="CE273" s="1" t="s">
        <v>86</v>
      </c>
    </row>
    <row r="274">
      <c r="A274" s="1">
        <v>272</v>
      </c>
      <c r="B274" s="1" t="s">
        <v>395</v>
      </c>
      <c r="C274" s="2">
        <f>=HYPERLINK("https://i.stonehdfile.com/stoneimage?s=bb020973-dce3-4db4-b5b1-3ed938ad0c9f","Image")</f>
      </c>
      <c r="D274" s="2">
        <f>=HYPERLINK("https://dna.stonehdfile.com/hd/viewhd.html?d=70964937-691e-49e0-a04f-fa31700d1b89","View360")</f>
      </c>
      <c r="E274" s="2">
        <f>=HYPERLINK("https://i.stonehdfile.com/Certificate?s=bb020973-dce3-4db4-b5b1-3ed938ad0c9f","GIA")</f>
      </c>
      <c r="F274" s="2">
        <f>=HYPERLINK("https://i.stonehdfile.com/DNAReport?s=bb020973-dce3-4db4-b5b1-3ed938ad0c9f","DNA")</f>
      </c>
      <c r="G274" s="2">
        <f>=HYPERLINK("https://www.gia.edu/report-check?reportno=******8946","Verify")</f>
      </c>
      <c r="H274" s="1" t="s">
        <v>1549</v>
      </c>
      <c r="I274" s="1" t="s">
        <v>46</v>
      </c>
      <c r="J274" s="1">
        <v>2.01</v>
      </c>
      <c r="K274" s="1">
        <v>3</v>
      </c>
      <c r="L274" s="1">
        <v>10300</v>
      </c>
      <c r="M274" s="1">
        <v>5879</v>
      </c>
      <c r="N274" s="1">
        <v>11816.79</v>
      </c>
      <c r="O274" s="1">
        <v>-42.92</v>
      </c>
      <c r="P274" s="1">
        <v>0</v>
      </c>
      <c r="Q274" s="1" t="s">
        <v>86</v>
      </c>
      <c r="R274" s="1">
        <v>0</v>
      </c>
      <c r="S274" s="1" t="s">
        <v>86</v>
      </c>
      <c r="T274" s="1" t="s">
        <v>86</v>
      </c>
      <c r="U274" s="1" t="s">
        <v>118</v>
      </c>
      <c r="V274" s="1" t="s">
        <v>86</v>
      </c>
      <c r="W274" s="1" t="s">
        <v>149</v>
      </c>
      <c r="X274" s="1" t="s">
        <v>86</v>
      </c>
      <c r="Y274" s="1" t="s">
        <v>89</v>
      </c>
      <c r="Z274" s="1" t="s">
        <v>89</v>
      </c>
      <c r="AA274" s="1" t="s">
        <v>119</v>
      </c>
      <c r="AB274" s="1" t="s">
        <v>86</v>
      </c>
      <c r="AC274" s="1" t="s">
        <v>1550</v>
      </c>
      <c r="AD274" s="1">
        <v>68.5</v>
      </c>
      <c r="AE274" s="1">
        <v>64</v>
      </c>
      <c r="AF274" s="1" t="s">
        <v>91</v>
      </c>
      <c r="AG274" s="1">
        <v>2.7</v>
      </c>
      <c r="AH274" s="1">
        <v>34.9</v>
      </c>
      <c r="AI274" s="1" t="s">
        <v>86</v>
      </c>
      <c r="AJ274" s="1">
        <v>1.01</v>
      </c>
      <c r="AK274" s="1" t="s">
        <v>111</v>
      </c>
      <c r="AL274" s="1" t="s">
        <v>93</v>
      </c>
      <c r="AM274" s="1" t="s">
        <v>93</v>
      </c>
      <c r="AN274" s="1" t="s">
        <v>86</v>
      </c>
      <c r="AO274" s="1" t="s">
        <v>94</v>
      </c>
      <c r="AP274" s="1" t="s">
        <v>95</v>
      </c>
      <c r="AQ274" s="1">
        <v>12.6</v>
      </c>
      <c r="AR274" s="1">
        <v>53.1</v>
      </c>
      <c r="AS274" s="1">
        <v>40.9</v>
      </c>
      <c r="AT274" s="1" t="s">
        <v>96</v>
      </c>
      <c r="AU274" s="1" t="s">
        <v>86</v>
      </c>
      <c r="AV274" s="1" t="s">
        <v>86</v>
      </c>
      <c r="AW274" s="1" t="s">
        <v>86</v>
      </c>
      <c r="AX274" s="1" t="s">
        <v>86</v>
      </c>
      <c r="AY274" s="1" t="s">
        <v>86</v>
      </c>
      <c r="AZ274" s="1" t="s">
        <v>86</v>
      </c>
      <c r="BA274" s="1" t="s">
        <v>86</v>
      </c>
      <c r="BB274" s="1" t="s">
        <v>86</v>
      </c>
      <c r="BC274" s="1" t="s">
        <v>86</v>
      </c>
      <c r="BD274" s="1" t="s">
        <v>86</v>
      </c>
      <c r="BE274" s="1" t="s">
        <v>86</v>
      </c>
      <c r="BF274" s="1" t="s">
        <v>86</v>
      </c>
      <c r="BG274" s="1" t="s">
        <v>86</v>
      </c>
      <c r="BH274" s="1" t="s">
        <v>182</v>
      </c>
      <c r="BI274" s="1" t="s">
        <v>430</v>
      </c>
      <c r="BJ274" s="1" t="s">
        <v>87</v>
      </c>
      <c r="BK274" s="1">
        <v>0</v>
      </c>
      <c r="BL274" s="1">
        <v>0</v>
      </c>
      <c r="BM274" s="1" t="s">
        <v>398</v>
      </c>
      <c r="BN274" s="1" t="s">
        <v>1551</v>
      </c>
      <c r="BO274" s="1" t="s">
        <v>529</v>
      </c>
      <c r="BP274" s="1" t="s">
        <v>86</v>
      </c>
      <c r="BQ274" s="1" t="s">
        <v>86</v>
      </c>
      <c r="BR274" s="1" t="s">
        <v>86</v>
      </c>
      <c r="BS274" s="1" t="s">
        <v>86</v>
      </c>
      <c r="BT274" s="1" t="s">
        <v>86</v>
      </c>
      <c r="BU274" s="1" t="s">
        <v>163</v>
      </c>
      <c r="BV274" s="1" t="s">
        <v>86</v>
      </c>
      <c r="BW274" s="1" t="s">
        <v>101</v>
      </c>
      <c r="BX274" s="1" t="s">
        <v>478</v>
      </c>
      <c r="BY274" s="1" t="s">
        <v>86</v>
      </c>
      <c r="BZ274" s="1" t="s">
        <v>1552</v>
      </c>
      <c r="CA274" s="1" t="s">
        <v>1553</v>
      </c>
      <c r="CB274" s="1" t="s">
        <v>639</v>
      </c>
      <c r="CC274" s="1" t="s">
        <v>86</v>
      </c>
      <c r="CD274" s="1" t="s">
        <v>86</v>
      </c>
      <c r="CE274" s="1" t="s">
        <v>86</v>
      </c>
    </row>
    <row r="275">
      <c r="A275" s="1">
        <v>273</v>
      </c>
      <c r="B275" s="1" t="s">
        <v>395</v>
      </c>
      <c r="C275" s="2">
        <f>=HYPERLINK("https://i.stonehdfile.com/stoneimage?s=fc2ced3b-dd6f-4e34-b7d1-ad27e94bca6c","Image")</f>
      </c>
      <c r="D275" s="2">
        <f>=HYPERLINK("https://dna.stonehdfile.com/hd/viewhd.html?d=631c6156-a10e-403f-8984-b81a28a62f26","View360")</f>
      </c>
      <c r="E275" s="2">
        <f>=HYPERLINK("https://i.stonehdfile.com/Certificate?s=fc2ced3b-dd6f-4e34-b7d1-ad27e94bca6c","GIA")</f>
      </c>
      <c r="F275" s="2">
        <f>=HYPERLINK("https://i.stonehdfile.com/DNAReport?s=fc2ced3b-dd6f-4e34-b7d1-ad27e94bca6c","DNA")</f>
      </c>
      <c r="G275" s="2">
        <f>=HYPERLINK("https://www.gia.edu/report-check?reportno=******4322","Verify")</f>
      </c>
      <c r="H275" s="1" t="s">
        <v>1554</v>
      </c>
      <c r="I275" s="1" t="s">
        <v>46</v>
      </c>
      <c r="J275" s="1">
        <v>2.02</v>
      </c>
      <c r="K275" s="1">
        <v>0</v>
      </c>
      <c r="L275" s="1">
        <v>10300</v>
      </c>
      <c r="M275" s="1">
        <v>6018</v>
      </c>
      <c r="N275" s="1">
        <v>12156.36</v>
      </c>
      <c r="O275" s="1">
        <v>-41.57</v>
      </c>
      <c r="P275" s="1">
        <v>0</v>
      </c>
      <c r="Q275" s="1" t="s">
        <v>86</v>
      </c>
      <c r="R275" s="1">
        <v>0</v>
      </c>
      <c r="S275" s="1" t="s">
        <v>86</v>
      </c>
      <c r="T275" s="1" t="s">
        <v>86</v>
      </c>
      <c r="U275" s="1" t="s">
        <v>118</v>
      </c>
      <c r="V275" s="1" t="s">
        <v>86</v>
      </c>
      <c r="W275" s="1" t="s">
        <v>149</v>
      </c>
      <c r="X275" s="1" t="s">
        <v>86</v>
      </c>
      <c r="Y275" s="1" t="s">
        <v>89</v>
      </c>
      <c r="Z275" s="1" t="s">
        <v>138</v>
      </c>
      <c r="AA275" s="1" t="s">
        <v>119</v>
      </c>
      <c r="AB275" s="1" t="s">
        <v>86</v>
      </c>
      <c r="AC275" s="1" t="s">
        <v>1555</v>
      </c>
      <c r="AD275" s="1">
        <v>67.1</v>
      </c>
      <c r="AE275" s="1">
        <v>64</v>
      </c>
      <c r="AF275" s="1" t="s">
        <v>91</v>
      </c>
      <c r="AG275" s="1">
        <v>2.2</v>
      </c>
      <c r="AH275" s="1">
        <v>34.9</v>
      </c>
      <c r="AI275" s="1" t="s">
        <v>86</v>
      </c>
      <c r="AJ275" s="1">
        <v>1.18</v>
      </c>
      <c r="AK275" s="1" t="s">
        <v>190</v>
      </c>
      <c r="AL275" s="1" t="s">
        <v>93</v>
      </c>
      <c r="AM275" s="1" t="s">
        <v>93</v>
      </c>
      <c r="AN275" s="1" t="s">
        <v>86</v>
      </c>
      <c r="AO275" s="1" t="s">
        <v>94</v>
      </c>
      <c r="AP275" s="1" t="s">
        <v>95</v>
      </c>
      <c r="AQ275" s="1">
        <v>12.3</v>
      </c>
      <c r="AR275" s="1">
        <v>52.2</v>
      </c>
      <c r="AS275" s="1">
        <v>38.6</v>
      </c>
      <c r="AT275" s="1" t="s">
        <v>96</v>
      </c>
      <c r="AU275" s="1" t="s">
        <v>86</v>
      </c>
      <c r="AV275" s="1" t="s">
        <v>86</v>
      </c>
      <c r="AW275" s="1" t="s">
        <v>86</v>
      </c>
      <c r="AX275" s="1" t="s">
        <v>86</v>
      </c>
      <c r="AY275" s="1" t="s">
        <v>86</v>
      </c>
      <c r="AZ275" s="1" t="s">
        <v>86</v>
      </c>
      <c r="BA275" s="1" t="s">
        <v>86</v>
      </c>
      <c r="BB275" s="1" t="s">
        <v>86</v>
      </c>
      <c r="BC275" s="1" t="s">
        <v>86</v>
      </c>
      <c r="BD275" s="1" t="s">
        <v>86</v>
      </c>
      <c r="BE275" s="1" t="s">
        <v>86</v>
      </c>
      <c r="BF275" s="1" t="s">
        <v>86</v>
      </c>
      <c r="BG275" s="1" t="s">
        <v>86</v>
      </c>
      <c r="BH275" s="1" t="s">
        <v>142</v>
      </c>
      <c r="BI275" s="1" t="s">
        <v>420</v>
      </c>
      <c r="BJ275" s="1" t="s">
        <v>87</v>
      </c>
      <c r="BK275" s="1">
        <v>0</v>
      </c>
      <c r="BL275" s="1">
        <v>0</v>
      </c>
      <c r="BM275" s="1" t="s">
        <v>398</v>
      </c>
      <c r="BN275" s="1" t="s">
        <v>1556</v>
      </c>
      <c r="BO275" s="1" t="s">
        <v>643</v>
      </c>
      <c r="BP275" s="1" t="s">
        <v>86</v>
      </c>
      <c r="BQ275" s="1" t="s">
        <v>86</v>
      </c>
      <c r="BR275" s="1" t="s">
        <v>86</v>
      </c>
      <c r="BS275" s="1" t="s">
        <v>86</v>
      </c>
      <c r="BT275" s="1" t="s">
        <v>86</v>
      </c>
      <c r="BU275" s="1" t="s">
        <v>163</v>
      </c>
      <c r="BV275" s="1" t="s">
        <v>86</v>
      </c>
      <c r="BW275" s="1" t="s">
        <v>101</v>
      </c>
      <c r="BX275" s="1" t="s">
        <v>478</v>
      </c>
      <c r="BY275" s="1" t="s">
        <v>86</v>
      </c>
      <c r="BZ275" s="1" t="s">
        <v>1557</v>
      </c>
      <c r="CA275" s="1" t="s">
        <v>825</v>
      </c>
      <c r="CB275" s="1" t="s">
        <v>298</v>
      </c>
      <c r="CC275" s="1" t="s">
        <v>86</v>
      </c>
      <c r="CD275" s="1" t="s">
        <v>86</v>
      </c>
      <c r="CE275" s="1" t="s">
        <v>86</v>
      </c>
    </row>
    <row r="276">
      <c r="A276" s="1">
        <v>274</v>
      </c>
      <c r="B276" s="1" t="s">
        <v>395</v>
      </c>
      <c r="C276" s="2">
        <f>=HYPERLINK("https://i.stonehdfile.com/stoneimage?s=89746737-41aa-47ad-bb32-dd5026f69ddb","Image")</f>
      </c>
      <c r="D276" s="2">
        <f>=HYPERLINK("https://dna.stonehdfile.com/hd/viewhd.html?d=5302e565-de48-4b33-90be-7dbd7eb553d5","View360")</f>
      </c>
      <c r="E276" s="2">
        <f>=HYPERLINK("https://i.stonehdfile.com/Certificate?s=89746737-41aa-47ad-bb32-dd5026f69ddb","GIA")</f>
      </c>
      <c r="F276" s="2">
        <f>=HYPERLINK("https://i.stonehdfile.com/DNAReport?s=89746737-41aa-47ad-bb32-dd5026f69ddb","DNA")</f>
      </c>
      <c r="G276" s="2">
        <f>=HYPERLINK("https://www.gia.edu/report-check?reportno=******9724","Verify")</f>
      </c>
      <c r="H276" s="1" t="s">
        <v>1558</v>
      </c>
      <c r="I276" s="1" t="s">
        <v>46</v>
      </c>
      <c r="J276" s="1">
        <v>2.09</v>
      </c>
      <c r="K276" s="1">
        <v>1</v>
      </c>
      <c r="L276" s="1">
        <v>10300</v>
      </c>
      <c r="M276" s="1">
        <v>5336</v>
      </c>
      <c r="N276" s="1">
        <v>11152.24</v>
      </c>
      <c r="O276" s="1">
        <v>-48.19</v>
      </c>
      <c r="P276" s="1">
        <v>0</v>
      </c>
      <c r="Q276" s="1" t="s">
        <v>86</v>
      </c>
      <c r="R276" s="1">
        <v>0</v>
      </c>
      <c r="S276" s="1" t="s">
        <v>86</v>
      </c>
      <c r="T276" s="1" t="s">
        <v>86</v>
      </c>
      <c r="U276" s="1" t="s">
        <v>118</v>
      </c>
      <c r="V276" s="1" t="s">
        <v>86</v>
      </c>
      <c r="W276" s="1" t="s">
        <v>149</v>
      </c>
      <c r="X276" s="1" t="s">
        <v>86</v>
      </c>
      <c r="Y276" s="1" t="s">
        <v>89</v>
      </c>
      <c r="Z276" s="1" t="s">
        <v>89</v>
      </c>
      <c r="AA276" s="1" t="s">
        <v>119</v>
      </c>
      <c r="AB276" s="1" t="s">
        <v>86</v>
      </c>
      <c r="AC276" s="1" t="s">
        <v>1559</v>
      </c>
      <c r="AD276" s="1">
        <v>68.9</v>
      </c>
      <c r="AE276" s="1">
        <v>63</v>
      </c>
      <c r="AF276" s="1" t="s">
        <v>91</v>
      </c>
      <c r="AG276" s="1">
        <v>2.8</v>
      </c>
      <c r="AH276" s="1">
        <v>34.8</v>
      </c>
      <c r="AI276" s="1" t="s">
        <v>86</v>
      </c>
      <c r="AJ276" s="1">
        <v>1</v>
      </c>
      <c r="AK276" s="1" t="s">
        <v>111</v>
      </c>
      <c r="AL276" s="1" t="s">
        <v>93</v>
      </c>
      <c r="AM276" s="1" t="s">
        <v>128</v>
      </c>
      <c r="AN276" s="1" t="s">
        <v>86</v>
      </c>
      <c r="AO276" s="1" t="s">
        <v>94</v>
      </c>
      <c r="AP276" s="1" t="s">
        <v>95</v>
      </c>
      <c r="AQ276" s="1">
        <v>13</v>
      </c>
      <c r="AR276" s="1">
        <v>52.4</v>
      </c>
      <c r="AS276" s="1">
        <v>40.8</v>
      </c>
      <c r="AT276" s="1" t="s">
        <v>96</v>
      </c>
      <c r="AU276" s="1" t="s">
        <v>86</v>
      </c>
      <c r="AV276" s="1" t="s">
        <v>86</v>
      </c>
      <c r="AW276" s="1" t="s">
        <v>86</v>
      </c>
      <c r="AX276" s="1" t="s">
        <v>86</v>
      </c>
      <c r="AY276" s="1" t="s">
        <v>86</v>
      </c>
      <c r="AZ276" s="1" t="s">
        <v>86</v>
      </c>
      <c r="BA276" s="1" t="s">
        <v>86</v>
      </c>
      <c r="BB276" s="1" t="s">
        <v>86</v>
      </c>
      <c r="BC276" s="1" t="s">
        <v>86</v>
      </c>
      <c r="BD276" s="1" t="s">
        <v>86</v>
      </c>
      <c r="BE276" s="1" t="s">
        <v>86</v>
      </c>
      <c r="BF276" s="1" t="s">
        <v>86</v>
      </c>
      <c r="BG276" s="1" t="s">
        <v>86</v>
      </c>
      <c r="BH276" s="1" t="s">
        <v>182</v>
      </c>
      <c r="BI276" s="1" t="s">
        <v>322</v>
      </c>
      <c r="BJ276" s="1" t="s">
        <v>87</v>
      </c>
      <c r="BK276" s="1">
        <v>0</v>
      </c>
      <c r="BL276" s="1">
        <v>0</v>
      </c>
      <c r="BM276" s="1" t="s">
        <v>398</v>
      </c>
      <c r="BN276" s="1" t="s">
        <v>1560</v>
      </c>
      <c r="BO276" s="1" t="s">
        <v>1561</v>
      </c>
      <c r="BP276" s="1" t="s">
        <v>86</v>
      </c>
      <c r="BQ276" s="1" t="s">
        <v>86</v>
      </c>
      <c r="BR276" s="1" t="s">
        <v>86</v>
      </c>
      <c r="BS276" s="1" t="s">
        <v>86</v>
      </c>
      <c r="BT276" s="1" t="s">
        <v>86</v>
      </c>
      <c r="BU276" s="1" t="s">
        <v>163</v>
      </c>
      <c r="BV276" s="1" t="s">
        <v>86</v>
      </c>
      <c r="BW276" s="1" t="s">
        <v>101</v>
      </c>
      <c r="BX276" s="1" t="s">
        <v>478</v>
      </c>
      <c r="BY276" s="1" t="s">
        <v>86</v>
      </c>
      <c r="BZ276" s="1" t="s">
        <v>1562</v>
      </c>
      <c r="CA276" s="1" t="s">
        <v>979</v>
      </c>
      <c r="CB276" s="1" t="s">
        <v>86</v>
      </c>
      <c r="CC276" s="1" t="s">
        <v>86</v>
      </c>
      <c r="CD276" s="1" t="s">
        <v>86</v>
      </c>
      <c r="CE276" s="1" t="s">
        <v>86</v>
      </c>
    </row>
    <row r="277">
      <c r="A277" s="1">
        <v>275</v>
      </c>
      <c r="B277" s="1" t="s">
        <v>395</v>
      </c>
      <c r="C277" s="2">
        <f>=HYPERLINK("https://i.stonehdfile.com/stoneimage?s=bfe2e504-ebf9-4ccc-92e9-13bb08396aef","Image")</f>
      </c>
      <c r="D277" s="2">
        <f>=HYPERLINK("https://dna.stonehdfile.com/hd/viewhd.html?d=9be53459-02a9-4d38-9bac-da6ef82d40cf","View360")</f>
      </c>
      <c r="E277" s="2">
        <f>=HYPERLINK("https://i.stonehdfile.com/Certificate?s=bfe2e504-ebf9-4ccc-92e9-13bb08396aef","GIA")</f>
      </c>
      <c r="F277" s="2">
        <f>=HYPERLINK("https://i.stonehdfile.com/DNAReport?s=bfe2e504-ebf9-4ccc-92e9-13bb08396aef","DNA")</f>
      </c>
      <c r="G277" s="2">
        <f>=HYPERLINK("https://www.gia.edu/report-check?reportno=******8727","Verify")</f>
      </c>
      <c r="H277" s="1" t="s">
        <v>1563</v>
      </c>
      <c r="I277" s="1" t="s">
        <v>46</v>
      </c>
      <c r="J277" s="1">
        <v>2.12</v>
      </c>
      <c r="K277" s="1">
        <v>3</v>
      </c>
      <c r="L277" s="1">
        <v>10300</v>
      </c>
      <c r="M277" s="1">
        <v>6135</v>
      </c>
      <c r="N277" s="1">
        <v>13006.2</v>
      </c>
      <c r="O277" s="1">
        <v>-40.44</v>
      </c>
      <c r="P277" s="1">
        <v>0</v>
      </c>
      <c r="Q277" s="1" t="s">
        <v>86</v>
      </c>
      <c r="R277" s="1">
        <v>0</v>
      </c>
      <c r="S277" s="1" t="s">
        <v>86</v>
      </c>
      <c r="T277" s="1" t="s">
        <v>86</v>
      </c>
      <c r="U277" s="1" t="s">
        <v>118</v>
      </c>
      <c r="V277" s="1" t="s">
        <v>86</v>
      </c>
      <c r="W277" s="1" t="s">
        <v>149</v>
      </c>
      <c r="X277" s="1" t="s">
        <v>86</v>
      </c>
      <c r="Y277" s="1" t="s">
        <v>89</v>
      </c>
      <c r="Z277" s="1" t="s">
        <v>89</v>
      </c>
      <c r="AA277" s="1" t="s">
        <v>119</v>
      </c>
      <c r="AB277" s="1" t="s">
        <v>86</v>
      </c>
      <c r="AC277" s="1" t="s">
        <v>1564</v>
      </c>
      <c r="AD277" s="1">
        <v>66.7</v>
      </c>
      <c r="AE277" s="1">
        <v>64</v>
      </c>
      <c r="AF277" s="1" t="s">
        <v>91</v>
      </c>
      <c r="AG277" s="1">
        <v>2.1</v>
      </c>
      <c r="AH277" s="1">
        <v>34.1</v>
      </c>
      <c r="AI277" s="1" t="s">
        <v>86</v>
      </c>
      <c r="AJ277" s="1">
        <v>1.21</v>
      </c>
      <c r="AK277" s="1" t="s">
        <v>190</v>
      </c>
      <c r="AL277" s="1" t="s">
        <v>128</v>
      </c>
      <c r="AM277" s="1" t="s">
        <v>140</v>
      </c>
      <c r="AN277" s="1" t="s">
        <v>86</v>
      </c>
      <c r="AO277" s="1" t="s">
        <v>94</v>
      </c>
      <c r="AP277" s="1" t="s">
        <v>95</v>
      </c>
      <c r="AQ277" s="1">
        <v>12.1</v>
      </c>
      <c r="AR277" s="1">
        <v>52.2</v>
      </c>
      <c r="AS277" s="1">
        <v>38.4</v>
      </c>
      <c r="AT277" s="1" t="s">
        <v>96</v>
      </c>
      <c r="AU277" s="1" t="s">
        <v>86</v>
      </c>
      <c r="AV277" s="1" t="s">
        <v>86</v>
      </c>
      <c r="AW277" s="1" t="s">
        <v>86</v>
      </c>
      <c r="AX277" s="1" t="s">
        <v>86</v>
      </c>
      <c r="AY277" s="1" t="s">
        <v>86</v>
      </c>
      <c r="AZ277" s="1" t="s">
        <v>86</v>
      </c>
      <c r="BA277" s="1" t="s">
        <v>86</v>
      </c>
      <c r="BB277" s="1" t="s">
        <v>86</v>
      </c>
      <c r="BC277" s="1" t="s">
        <v>86</v>
      </c>
      <c r="BD277" s="1" t="s">
        <v>86</v>
      </c>
      <c r="BE277" s="1" t="s">
        <v>86</v>
      </c>
      <c r="BF277" s="1" t="s">
        <v>86</v>
      </c>
      <c r="BG277" s="1" t="s">
        <v>86</v>
      </c>
      <c r="BH277" s="1" t="s">
        <v>142</v>
      </c>
      <c r="BI277" s="1" t="s">
        <v>516</v>
      </c>
      <c r="BJ277" s="1" t="s">
        <v>87</v>
      </c>
      <c r="BK277" s="1">
        <v>0</v>
      </c>
      <c r="BL277" s="1">
        <v>0</v>
      </c>
      <c r="BM277" s="1" t="s">
        <v>398</v>
      </c>
      <c r="BN277" s="1" t="s">
        <v>1565</v>
      </c>
      <c r="BO277" s="1" t="s">
        <v>726</v>
      </c>
      <c r="BP277" s="1" t="s">
        <v>86</v>
      </c>
      <c r="BQ277" s="1" t="s">
        <v>86</v>
      </c>
      <c r="BR277" s="1" t="s">
        <v>86</v>
      </c>
      <c r="BS277" s="1" t="s">
        <v>86</v>
      </c>
      <c r="BT277" s="1" t="s">
        <v>86</v>
      </c>
      <c r="BU277" s="1" t="s">
        <v>163</v>
      </c>
      <c r="BV277" s="1" t="s">
        <v>86</v>
      </c>
      <c r="BW277" s="1" t="s">
        <v>101</v>
      </c>
      <c r="BX277" s="1" t="s">
        <v>478</v>
      </c>
      <c r="BY277" s="1" t="s">
        <v>86</v>
      </c>
      <c r="BZ277" s="1" t="s">
        <v>1566</v>
      </c>
      <c r="CA277" s="1" t="s">
        <v>220</v>
      </c>
      <c r="CB277" s="1" t="s">
        <v>547</v>
      </c>
      <c r="CC277" s="1" t="s">
        <v>86</v>
      </c>
      <c r="CD277" s="1" t="s">
        <v>86</v>
      </c>
      <c r="CE277" s="1" t="s">
        <v>86</v>
      </c>
    </row>
    <row r="278">
      <c r="A278" s="1">
        <v>276</v>
      </c>
      <c r="B278" s="1" t="s">
        <v>395</v>
      </c>
      <c r="C278" s="2">
        <f>=HYPERLINK("https://i.stonehdfile.com/stoneimage?s=cd8d862a-ccd9-492e-a4d0-e20ebb85cf6c","Image")</f>
      </c>
      <c r="D278" s="2">
        <f>=HYPERLINK("https://dna.stonehdfile.com/hd/viewhd.html?d=17e0d863-bcdd-4355-bbd4-348be4b3dce8","View360")</f>
      </c>
      <c r="E278" s="2">
        <f>=HYPERLINK("https://i.stonehdfile.com/Certificate?s=cd8d862a-ccd9-492e-a4d0-e20ebb85cf6c","GIA")</f>
      </c>
      <c r="F278" s="2">
        <f>=HYPERLINK("https://i.stonehdfile.com/DNAReport?s=cd8d862a-ccd9-492e-a4d0-e20ebb85cf6c","DNA")</f>
      </c>
      <c r="G278" s="2">
        <f>=HYPERLINK("https://www.gia.edu/report-check?reportno=******2159","Verify")</f>
      </c>
      <c r="H278" s="1" t="s">
        <v>1567</v>
      </c>
      <c r="I278" s="1" t="s">
        <v>46</v>
      </c>
      <c r="J278" s="1">
        <v>2.25</v>
      </c>
      <c r="K278" s="1">
        <v>8</v>
      </c>
      <c r="L278" s="1">
        <v>10300</v>
      </c>
      <c r="M278" s="1">
        <v>5185</v>
      </c>
      <c r="N278" s="1">
        <v>11666.25</v>
      </c>
      <c r="O278" s="1">
        <v>-49.66</v>
      </c>
      <c r="P278" s="1">
        <v>0</v>
      </c>
      <c r="Q278" s="1" t="s">
        <v>86</v>
      </c>
      <c r="R278" s="1">
        <v>0</v>
      </c>
      <c r="S278" s="1" t="s">
        <v>86</v>
      </c>
      <c r="T278" s="1" t="s">
        <v>86</v>
      </c>
      <c r="U278" s="1" t="s">
        <v>118</v>
      </c>
      <c r="V278" s="1" t="s">
        <v>86</v>
      </c>
      <c r="W278" s="1" t="s">
        <v>149</v>
      </c>
      <c r="X278" s="1" t="s">
        <v>86</v>
      </c>
      <c r="Y278" s="1" t="s">
        <v>89</v>
      </c>
      <c r="Z278" s="1" t="s">
        <v>89</v>
      </c>
      <c r="AA278" s="1" t="s">
        <v>119</v>
      </c>
      <c r="AB278" s="1" t="s">
        <v>86</v>
      </c>
      <c r="AC278" s="1" t="s">
        <v>1568</v>
      </c>
      <c r="AD278" s="1">
        <v>68.7</v>
      </c>
      <c r="AE278" s="1">
        <v>64</v>
      </c>
      <c r="AF278" s="1" t="s">
        <v>91</v>
      </c>
      <c r="AG278" s="1">
        <v>2.5</v>
      </c>
      <c r="AH278" s="1">
        <v>35.3</v>
      </c>
      <c r="AI278" s="1" t="s">
        <v>86</v>
      </c>
      <c r="AJ278" s="1">
        <v>1</v>
      </c>
      <c r="AK278" s="1" t="s">
        <v>111</v>
      </c>
      <c r="AL278" s="1" t="s">
        <v>93</v>
      </c>
      <c r="AM278" s="1" t="s">
        <v>151</v>
      </c>
      <c r="AN278" s="1" t="s">
        <v>86</v>
      </c>
      <c r="AO278" s="1" t="s">
        <v>94</v>
      </c>
      <c r="AP278" s="1" t="s">
        <v>95</v>
      </c>
      <c r="AQ278" s="1">
        <v>12.8</v>
      </c>
      <c r="AR278" s="1">
        <v>53</v>
      </c>
      <c r="AS278" s="1">
        <v>40.8</v>
      </c>
      <c r="AT278" s="1" t="s">
        <v>96</v>
      </c>
      <c r="AU278" s="1" t="s">
        <v>86</v>
      </c>
      <c r="AV278" s="1" t="s">
        <v>86</v>
      </c>
      <c r="AW278" s="1" t="s">
        <v>86</v>
      </c>
      <c r="AX278" s="1" t="s">
        <v>86</v>
      </c>
      <c r="AY278" s="1" t="s">
        <v>86</v>
      </c>
      <c r="AZ278" s="1" t="s">
        <v>86</v>
      </c>
      <c r="BA278" s="1" t="s">
        <v>86</v>
      </c>
      <c r="BB278" s="1" t="s">
        <v>86</v>
      </c>
      <c r="BC278" s="1" t="s">
        <v>86</v>
      </c>
      <c r="BD278" s="1" t="s">
        <v>86</v>
      </c>
      <c r="BE278" s="1" t="s">
        <v>86</v>
      </c>
      <c r="BF278" s="1" t="s">
        <v>86</v>
      </c>
      <c r="BG278" s="1" t="s">
        <v>86</v>
      </c>
      <c r="BH278" s="1" t="s">
        <v>182</v>
      </c>
      <c r="BI278" s="1" t="s">
        <v>328</v>
      </c>
      <c r="BJ278" s="1" t="s">
        <v>87</v>
      </c>
      <c r="BK278" s="1">
        <v>0</v>
      </c>
      <c r="BL278" s="1">
        <v>0</v>
      </c>
      <c r="BM278" s="1" t="s">
        <v>398</v>
      </c>
      <c r="BN278" s="1" t="s">
        <v>1569</v>
      </c>
      <c r="BO278" s="1" t="s">
        <v>477</v>
      </c>
      <c r="BP278" s="1" t="s">
        <v>86</v>
      </c>
      <c r="BQ278" s="1" t="s">
        <v>86</v>
      </c>
      <c r="BR278" s="1" t="s">
        <v>86</v>
      </c>
      <c r="BS278" s="1" t="s">
        <v>86</v>
      </c>
      <c r="BT278" s="1" t="s">
        <v>86</v>
      </c>
      <c r="BU278" s="1" t="s">
        <v>163</v>
      </c>
      <c r="BV278" s="1" t="s">
        <v>86</v>
      </c>
      <c r="BW278" s="1" t="s">
        <v>101</v>
      </c>
      <c r="BX278" s="1" t="s">
        <v>478</v>
      </c>
      <c r="BY278" s="1" t="s">
        <v>86</v>
      </c>
      <c r="BZ278" s="1" t="s">
        <v>1570</v>
      </c>
      <c r="CA278" s="1" t="s">
        <v>638</v>
      </c>
      <c r="CB278" s="1" t="s">
        <v>1571</v>
      </c>
      <c r="CC278" s="1" t="s">
        <v>86</v>
      </c>
      <c r="CD278" s="1" t="s">
        <v>86</v>
      </c>
      <c r="CE278" s="1" t="s">
        <v>86</v>
      </c>
    </row>
    <row r="279">
      <c r="A279" s="4">
        <v>277</v>
      </c>
      <c r="B279" s="4" t="s">
        <v>395</v>
      </c>
      <c r="C279" s="2">
        <f>=HYPERLINK("https://i.stonehdfile.com/stoneimage?s=f9702a55-50b5-4c06-99dc-de693fc50711","Image")</f>
      </c>
      <c r="D279" s="2">
        <f>=HYPERLINK("https://dna.stonehdfile.com/hd/viewhd.html?d=d1f4bc8d-340a-435d-bc2d-2b72b8bde3ec","View360")</f>
      </c>
      <c r="E279" s="2">
        <f>=HYPERLINK("https://i.stonehdfile.com/Certificate?s=f9702a55-50b5-4c06-99dc-de693fc50711","GIA")</f>
      </c>
      <c r="F279" s="2">
        <f>=HYPERLINK("https://i.stonehdfile.com/DNAReport?s=f9702a55-50b5-4c06-99dc-de693fc50711","DNA")</f>
      </c>
      <c r="G279" s="2">
        <f>=HYPERLINK("https://www.gia.edu/report-check?reportno=******4559","Verify")</f>
      </c>
      <c r="H279" s="4" t="s">
        <v>1572</v>
      </c>
      <c r="I279" s="4" t="s">
        <v>46</v>
      </c>
      <c r="J279" s="4">
        <v>2.01</v>
      </c>
      <c r="K279" s="4">
        <v>2</v>
      </c>
      <c r="L279" s="4">
        <v>9700</v>
      </c>
      <c r="M279" s="4">
        <v>4752</v>
      </c>
      <c r="N279" s="4">
        <v>9551.52</v>
      </c>
      <c r="O279" s="4">
        <v>-51.01</v>
      </c>
      <c r="P279" s="4">
        <v>0</v>
      </c>
      <c r="Q279" s="4" t="s">
        <v>1097</v>
      </c>
      <c r="R279" s="4">
        <v>0</v>
      </c>
      <c r="S279" s="4" t="s">
        <v>86</v>
      </c>
      <c r="T279" s="4" t="s">
        <v>1098</v>
      </c>
      <c r="U279" s="4" t="s">
        <v>159</v>
      </c>
      <c r="V279" s="4" t="s">
        <v>86</v>
      </c>
      <c r="W279" s="4" t="s">
        <v>352</v>
      </c>
      <c r="X279" s="4" t="s">
        <v>86</v>
      </c>
      <c r="Y279" s="4" t="s">
        <v>89</v>
      </c>
      <c r="Z279" s="4" t="s">
        <v>89</v>
      </c>
      <c r="AA279" s="4" t="s">
        <v>87</v>
      </c>
      <c r="AB279" s="4" t="s">
        <v>86</v>
      </c>
      <c r="AC279" s="4" t="s">
        <v>1573</v>
      </c>
      <c r="AD279" s="4">
        <v>69.8</v>
      </c>
      <c r="AE279" s="4">
        <v>67</v>
      </c>
      <c r="AF279" s="4" t="s">
        <v>91</v>
      </c>
      <c r="AG279" s="4">
        <v>3.1</v>
      </c>
      <c r="AH279" s="4">
        <v>34.6</v>
      </c>
      <c r="AI279" s="4" t="s">
        <v>86</v>
      </c>
      <c r="AJ279" s="4">
        <v>1.09</v>
      </c>
      <c r="AK279" s="4" t="s">
        <v>111</v>
      </c>
      <c r="AL279" s="4" t="s">
        <v>93</v>
      </c>
      <c r="AM279" s="4" t="s">
        <v>140</v>
      </c>
      <c r="AN279" s="4" t="s">
        <v>307</v>
      </c>
      <c r="AO279" s="4" t="s">
        <v>94</v>
      </c>
      <c r="AP279" s="4" t="s">
        <v>95</v>
      </c>
      <c r="AQ279" s="4">
        <v>11.6</v>
      </c>
      <c r="AR279" s="4">
        <v>54.9</v>
      </c>
      <c r="AS279" s="4">
        <v>40</v>
      </c>
      <c r="AT279" s="4" t="s">
        <v>96</v>
      </c>
      <c r="AU279" s="4" t="s">
        <v>86</v>
      </c>
      <c r="AV279" s="4" t="s">
        <v>86</v>
      </c>
      <c r="AW279" s="4" t="s">
        <v>86</v>
      </c>
      <c r="AX279" s="4" t="s">
        <v>86</v>
      </c>
      <c r="AY279" s="4" t="s">
        <v>86</v>
      </c>
      <c r="AZ279" s="4" t="s">
        <v>86</v>
      </c>
      <c r="BA279" s="4" t="s">
        <v>86</v>
      </c>
      <c r="BB279" s="4" t="s">
        <v>86</v>
      </c>
      <c r="BC279" s="4" t="s">
        <v>86</v>
      </c>
      <c r="BD279" s="4" t="s">
        <v>86</v>
      </c>
      <c r="BE279" s="4" t="s">
        <v>86</v>
      </c>
      <c r="BF279" s="4" t="s">
        <v>86</v>
      </c>
      <c r="BG279" s="4" t="s">
        <v>86</v>
      </c>
      <c r="BH279" s="4" t="s">
        <v>97</v>
      </c>
      <c r="BI279" s="4" t="s">
        <v>174</v>
      </c>
      <c r="BJ279" s="4" t="s">
        <v>87</v>
      </c>
      <c r="BK279" s="4">
        <v>0</v>
      </c>
      <c r="BL279" s="4">
        <v>0</v>
      </c>
      <c r="BM279" s="4" t="s">
        <v>398</v>
      </c>
      <c r="BN279" s="4" t="s">
        <v>1574</v>
      </c>
      <c r="BO279" s="4" t="s">
        <v>529</v>
      </c>
      <c r="BP279" s="4" t="s">
        <v>86</v>
      </c>
      <c r="BQ279" s="4" t="s">
        <v>86</v>
      </c>
      <c r="BR279" s="4" t="s">
        <v>86</v>
      </c>
      <c r="BS279" s="4" t="s">
        <v>86</v>
      </c>
      <c r="BT279" s="4" t="s">
        <v>86</v>
      </c>
      <c r="BU279" s="4" t="s">
        <v>163</v>
      </c>
      <c r="BV279" s="4" t="s">
        <v>86</v>
      </c>
      <c r="BW279" s="4" t="s">
        <v>101</v>
      </c>
      <c r="BX279" s="4" t="s">
        <v>423</v>
      </c>
      <c r="BY279" s="4" t="s">
        <v>86</v>
      </c>
      <c r="BZ279" s="4" t="s">
        <v>1575</v>
      </c>
      <c r="CA279" s="4" t="s">
        <v>1343</v>
      </c>
      <c r="CB279" s="4" t="s">
        <v>156</v>
      </c>
      <c r="CC279" s="4" t="s">
        <v>86</v>
      </c>
      <c r="CD279" s="4" t="s">
        <v>86</v>
      </c>
      <c r="CE279" s="4" t="s">
        <v>86</v>
      </c>
    </row>
    <row r="280">
      <c r="A280" s="1">
        <v>278</v>
      </c>
      <c r="B280" s="1" t="s">
        <v>395</v>
      </c>
      <c r="C280" s="2">
        <f>=HYPERLINK("https://i.stonehdfile.com/stoneimage?s=f5c01839-dbbe-4a6f-8b9b-a0b79caac070","Image")</f>
      </c>
      <c r="D280" s="2">
        <f>=HYPERLINK("https://dna.stonehdfile.com/hd/viewhd.html?d=8232c03c-8f1f-4995-9d12-6c26d8f8ed70","View360")</f>
      </c>
      <c r="E280" s="2">
        <f>=HYPERLINK("https://i.stonehdfile.com/Certificate?s=f5c01839-dbbe-4a6f-8b9b-a0b79caac070","GIA")</f>
      </c>
      <c r="F280" s="2">
        <f>=HYPERLINK("https://i.stonehdfile.com/DNAReport?s=f5c01839-dbbe-4a6f-8b9b-a0b79caac070","DNA")</f>
      </c>
      <c r="G280" s="2">
        <f>=HYPERLINK("https://www.gia.edu/report-check?reportno=******0658","Verify")</f>
      </c>
      <c r="H280" s="1" t="s">
        <v>1576</v>
      </c>
      <c r="I280" s="1" t="s">
        <v>46</v>
      </c>
      <c r="J280" s="1">
        <v>2.02</v>
      </c>
      <c r="K280" s="1">
        <v>9</v>
      </c>
      <c r="L280" s="1">
        <v>9700</v>
      </c>
      <c r="M280" s="1">
        <v>5059</v>
      </c>
      <c r="N280" s="1">
        <v>10219.18</v>
      </c>
      <c r="O280" s="1">
        <v>-47.85</v>
      </c>
      <c r="P280" s="1">
        <v>0</v>
      </c>
      <c r="Q280" s="1" t="s">
        <v>86</v>
      </c>
      <c r="R280" s="1">
        <v>0</v>
      </c>
      <c r="S280" s="1" t="s">
        <v>86</v>
      </c>
      <c r="T280" s="1" t="s">
        <v>86</v>
      </c>
      <c r="U280" s="1" t="s">
        <v>118</v>
      </c>
      <c r="V280" s="1" t="s">
        <v>86</v>
      </c>
      <c r="W280" s="1" t="s">
        <v>352</v>
      </c>
      <c r="X280" s="1" t="s">
        <v>86</v>
      </c>
      <c r="Y280" s="1" t="s">
        <v>89</v>
      </c>
      <c r="Z280" s="1" t="s">
        <v>89</v>
      </c>
      <c r="AA280" s="1" t="s">
        <v>119</v>
      </c>
      <c r="AB280" s="1" t="s">
        <v>86</v>
      </c>
      <c r="AC280" s="1" t="s">
        <v>1577</v>
      </c>
      <c r="AD280" s="1">
        <v>67.9</v>
      </c>
      <c r="AE280" s="1">
        <v>64</v>
      </c>
      <c r="AF280" s="1" t="s">
        <v>91</v>
      </c>
      <c r="AG280" s="1">
        <v>2.9</v>
      </c>
      <c r="AH280" s="1">
        <v>34.9</v>
      </c>
      <c r="AI280" s="1" t="s">
        <v>86</v>
      </c>
      <c r="AJ280" s="1">
        <v>1.15</v>
      </c>
      <c r="AK280" s="1" t="s">
        <v>111</v>
      </c>
      <c r="AL280" s="1" t="s">
        <v>140</v>
      </c>
      <c r="AM280" s="1" t="s">
        <v>128</v>
      </c>
      <c r="AN280" s="1" t="s">
        <v>307</v>
      </c>
      <c r="AO280" s="1" t="s">
        <v>94</v>
      </c>
      <c r="AP280" s="1" t="s">
        <v>95</v>
      </c>
      <c r="AQ280" s="1">
        <v>12.5</v>
      </c>
      <c r="AR280" s="1">
        <v>52.4</v>
      </c>
      <c r="AS280" s="1">
        <v>39</v>
      </c>
      <c r="AT280" s="1" t="s">
        <v>96</v>
      </c>
      <c r="AU280" s="1" t="s">
        <v>86</v>
      </c>
      <c r="AV280" s="1" t="s">
        <v>86</v>
      </c>
      <c r="AW280" s="1" t="s">
        <v>86</v>
      </c>
      <c r="AX280" s="1" t="s">
        <v>86</v>
      </c>
      <c r="AY280" s="1" t="s">
        <v>86</v>
      </c>
      <c r="AZ280" s="1" t="s">
        <v>86</v>
      </c>
      <c r="BA280" s="1" t="s">
        <v>86</v>
      </c>
      <c r="BB280" s="1" t="s">
        <v>86</v>
      </c>
      <c r="BC280" s="1" t="s">
        <v>86</v>
      </c>
      <c r="BD280" s="1" t="s">
        <v>86</v>
      </c>
      <c r="BE280" s="1" t="s">
        <v>86</v>
      </c>
      <c r="BF280" s="1" t="s">
        <v>86</v>
      </c>
      <c r="BG280" s="1" t="s">
        <v>172</v>
      </c>
      <c r="BH280" s="1" t="s">
        <v>182</v>
      </c>
      <c r="BI280" s="1" t="s">
        <v>387</v>
      </c>
      <c r="BJ280" s="1" t="s">
        <v>87</v>
      </c>
      <c r="BK280" s="1">
        <v>0</v>
      </c>
      <c r="BL280" s="1">
        <v>0</v>
      </c>
      <c r="BM280" s="1" t="s">
        <v>398</v>
      </c>
      <c r="BN280" s="1" t="s">
        <v>1578</v>
      </c>
      <c r="BO280" s="1" t="s">
        <v>176</v>
      </c>
      <c r="BP280" s="1" t="s">
        <v>86</v>
      </c>
      <c r="BQ280" s="1" t="s">
        <v>86</v>
      </c>
      <c r="BR280" s="1" t="s">
        <v>86</v>
      </c>
      <c r="BS280" s="1" t="s">
        <v>86</v>
      </c>
      <c r="BT280" s="1" t="s">
        <v>86</v>
      </c>
      <c r="BU280" s="1" t="s">
        <v>163</v>
      </c>
      <c r="BV280" s="1" t="s">
        <v>86</v>
      </c>
      <c r="BW280" s="1" t="s">
        <v>101</v>
      </c>
      <c r="BX280" s="1" t="s">
        <v>565</v>
      </c>
      <c r="BY280" s="1" t="s">
        <v>86</v>
      </c>
      <c r="BZ280" s="1" t="s">
        <v>1579</v>
      </c>
      <c r="CA280" s="1" t="s">
        <v>297</v>
      </c>
      <c r="CB280" s="1" t="s">
        <v>279</v>
      </c>
      <c r="CC280" s="1" t="s">
        <v>86</v>
      </c>
      <c r="CD280" s="1" t="s">
        <v>86</v>
      </c>
      <c r="CE280" s="1" t="s">
        <v>86</v>
      </c>
    </row>
    <row r="281">
      <c r="A281" s="1">
        <v>279</v>
      </c>
      <c r="B281" s="1" t="s">
        <v>395</v>
      </c>
      <c r="C281" s="2">
        <f>=HYPERLINK("https://i.stonehdfile.com/stoneimage?s=c2d7b0ca-da5b-4cc5-be5c-c7987def397f","Image")</f>
      </c>
      <c r="D281" s="2">
        <f>=HYPERLINK("https://dna.stonehdfile.com/hd/viewhd.html?d=33ff944e-86ea-4e7d-999b-ef46bf2c399f","View360")</f>
      </c>
      <c r="E281" s="2">
        <f>=HYPERLINK("https://i.stonehdfile.com/Certificate?s=c2d7b0ca-da5b-4cc5-be5c-c7987def397f","GIA")</f>
      </c>
      <c r="F281" s="2">
        <f>=HYPERLINK("https://i.stonehdfile.com/DNAReport?s=c2d7b0ca-da5b-4cc5-be5c-c7987def397f","DNA")</f>
      </c>
      <c r="G281" s="2">
        <f>=HYPERLINK("https://www.gia.edu/report-check?reportno=******2092","Verify")</f>
      </c>
      <c r="H281" s="1" t="s">
        <v>1580</v>
      </c>
      <c r="I281" s="1" t="s">
        <v>46</v>
      </c>
      <c r="J281" s="1">
        <v>2.53</v>
      </c>
      <c r="K281" s="1">
        <v>1</v>
      </c>
      <c r="L281" s="1">
        <v>9700</v>
      </c>
      <c r="M281" s="1">
        <v>5909</v>
      </c>
      <c r="N281" s="1">
        <v>14949.77</v>
      </c>
      <c r="O281" s="1">
        <v>-39.08</v>
      </c>
      <c r="P281" s="1">
        <v>0</v>
      </c>
      <c r="Q281" s="1" t="s">
        <v>86</v>
      </c>
      <c r="R281" s="1">
        <v>0</v>
      </c>
      <c r="S281" s="1" t="s">
        <v>86</v>
      </c>
      <c r="T281" s="1" t="s">
        <v>86</v>
      </c>
      <c r="U281" s="1" t="s">
        <v>159</v>
      </c>
      <c r="V281" s="1" t="s">
        <v>86</v>
      </c>
      <c r="W281" s="1" t="s">
        <v>352</v>
      </c>
      <c r="X281" s="1" t="s">
        <v>86</v>
      </c>
      <c r="Y281" s="1" t="s">
        <v>89</v>
      </c>
      <c r="Z281" s="1" t="s">
        <v>89</v>
      </c>
      <c r="AA281" s="1" t="s">
        <v>119</v>
      </c>
      <c r="AB281" s="1" t="s">
        <v>86</v>
      </c>
      <c r="AC281" s="1" t="s">
        <v>1581</v>
      </c>
      <c r="AD281" s="1">
        <v>68.9</v>
      </c>
      <c r="AE281" s="1">
        <v>65</v>
      </c>
      <c r="AF281" s="1" t="s">
        <v>91</v>
      </c>
      <c r="AG281" s="1">
        <v>2.7</v>
      </c>
      <c r="AH281" s="1">
        <v>35.1</v>
      </c>
      <c r="AI281" s="1" t="s">
        <v>86</v>
      </c>
      <c r="AJ281" s="1">
        <v>1.01</v>
      </c>
      <c r="AK281" s="1" t="s">
        <v>111</v>
      </c>
      <c r="AL281" s="1" t="s">
        <v>93</v>
      </c>
      <c r="AM281" s="1" t="s">
        <v>128</v>
      </c>
      <c r="AN281" s="1" t="s">
        <v>171</v>
      </c>
      <c r="AO281" s="1" t="s">
        <v>94</v>
      </c>
      <c r="AP281" s="1" t="s">
        <v>95</v>
      </c>
      <c r="AQ281" s="1">
        <v>12.4</v>
      </c>
      <c r="AR281" s="1">
        <v>53.8</v>
      </c>
      <c r="AS281" s="1">
        <v>41.3</v>
      </c>
      <c r="AT281" s="1" t="s">
        <v>96</v>
      </c>
      <c r="AU281" s="1" t="s">
        <v>86</v>
      </c>
      <c r="AV281" s="1" t="s">
        <v>86</v>
      </c>
      <c r="AW281" s="1" t="s">
        <v>86</v>
      </c>
      <c r="AX281" s="1" t="s">
        <v>86</v>
      </c>
      <c r="AY281" s="1" t="s">
        <v>86</v>
      </c>
      <c r="AZ281" s="1" t="s">
        <v>86</v>
      </c>
      <c r="BA281" s="1" t="s">
        <v>86</v>
      </c>
      <c r="BB281" s="1" t="s">
        <v>86</v>
      </c>
      <c r="BC281" s="1" t="s">
        <v>86</v>
      </c>
      <c r="BD281" s="1" t="s">
        <v>86</v>
      </c>
      <c r="BE281" s="1" t="s">
        <v>86</v>
      </c>
      <c r="BF281" s="1" t="s">
        <v>86</v>
      </c>
      <c r="BG281" s="1" t="s">
        <v>86</v>
      </c>
      <c r="BH281" s="1" t="s">
        <v>182</v>
      </c>
      <c r="BI281" s="1" t="s">
        <v>430</v>
      </c>
      <c r="BJ281" s="1" t="s">
        <v>87</v>
      </c>
      <c r="BK281" s="1">
        <v>0</v>
      </c>
      <c r="BL281" s="1">
        <v>0</v>
      </c>
      <c r="BM281" s="1" t="s">
        <v>398</v>
      </c>
      <c r="BN281" s="1" t="s">
        <v>1582</v>
      </c>
      <c r="BO281" s="1" t="s">
        <v>1136</v>
      </c>
      <c r="BP281" s="1" t="s">
        <v>86</v>
      </c>
      <c r="BQ281" s="1" t="s">
        <v>86</v>
      </c>
      <c r="BR281" s="1" t="s">
        <v>86</v>
      </c>
      <c r="BS281" s="1" t="s">
        <v>86</v>
      </c>
      <c r="BT281" s="1" t="s">
        <v>86</v>
      </c>
      <c r="BU281" s="1" t="s">
        <v>163</v>
      </c>
      <c r="BV281" s="1" t="s">
        <v>86</v>
      </c>
      <c r="BW281" s="1" t="s">
        <v>101</v>
      </c>
      <c r="BX281" s="1" t="s">
        <v>478</v>
      </c>
      <c r="BY281" s="1" t="s">
        <v>86</v>
      </c>
      <c r="BZ281" s="1" t="s">
        <v>1583</v>
      </c>
      <c r="CA281" s="1" t="s">
        <v>220</v>
      </c>
      <c r="CB281" s="1" t="s">
        <v>221</v>
      </c>
      <c r="CC281" s="1" t="s">
        <v>86</v>
      </c>
      <c r="CD281" s="1" t="s">
        <v>86</v>
      </c>
      <c r="CE281" s="1" t="s">
        <v>86</v>
      </c>
    </row>
    <row r="282">
      <c r="A282" s="1">
        <v>280</v>
      </c>
      <c r="B282" s="1" t="s">
        <v>395</v>
      </c>
      <c r="C282" s="2">
        <f>=HYPERLINK("https://i.stonehdfile.com/stoneimage?s=4fc4c8eb-ac32-4190-84a6-b0a2b9ba6bc8","Image")</f>
      </c>
      <c r="D282" s="2">
        <f>=HYPERLINK("https://dna.stonehdfile.com/hd/viewhd.html?d=ac30b4f5-341b-4444-8c9e-107b496e22c6","View360")</f>
      </c>
      <c r="E282" s="2">
        <f>=HYPERLINK("https://i.stonehdfile.com/Certificate?s=4fc4c8eb-ac32-4190-84a6-b0a2b9ba6bc8","GIA")</f>
      </c>
      <c r="F282" s="2">
        <f>=HYPERLINK("https://i.stonehdfile.com/DNAReport?s=4fc4c8eb-ac32-4190-84a6-b0a2b9ba6bc8","DNA")</f>
      </c>
      <c r="G282" s="2">
        <f>=HYPERLINK("https://www.gia.edu/report-check?reportno=******8725","Verify")</f>
      </c>
      <c r="H282" s="1" t="s">
        <v>1584</v>
      </c>
      <c r="I282" s="1" t="s">
        <v>46</v>
      </c>
      <c r="J282" s="1">
        <v>2.58</v>
      </c>
      <c r="K282" s="1">
        <v>7</v>
      </c>
      <c r="L282" s="1">
        <v>9700</v>
      </c>
      <c r="M282" s="1">
        <v>6317</v>
      </c>
      <c r="N282" s="1">
        <v>16297.86</v>
      </c>
      <c r="O282" s="1">
        <v>-34.88</v>
      </c>
      <c r="P282" s="1">
        <v>0</v>
      </c>
      <c r="Q282" s="1" t="s">
        <v>86</v>
      </c>
      <c r="R282" s="1">
        <v>0</v>
      </c>
      <c r="S282" s="1" t="s">
        <v>86</v>
      </c>
      <c r="T282" s="1" t="s">
        <v>86</v>
      </c>
      <c r="U282" s="1" t="s">
        <v>118</v>
      </c>
      <c r="V282" s="1" t="s">
        <v>86</v>
      </c>
      <c r="W282" s="1" t="s">
        <v>352</v>
      </c>
      <c r="X282" s="1" t="s">
        <v>86</v>
      </c>
      <c r="Y282" s="1" t="s">
        <v>89</v>
      </c>
      <c r="Z282" s="1" t="s">
        <v>89</v>
      </c>
      <c r="AA282" s="1" t="s">
        <v>119</v>
      </c>
      <c r="AB282" s="1" t="s">
        <v>86</v>
      </c>
      <c r="AC282" s="1" t="s">
        <v>1585</v>
      </c>
      <c r="AD282" s="1">
        <v>67.9</v>
      </c>
      <c r="AE282" s="1">
        <v>62</v>
      </c>
      <c r="AF282" s="1" t="s">
        <v>91</v>
      </c>
      <c r="AG282" s="1">
        <v>3.7</v>
      </c>
      <c r="AH282" s="1">
        <v>35.6</v>
      </c>
      <c r="AI282" s="1" t="s">
        <v>86</v>
      </c>
      <c r="AJ282" s="1">
        <v>1.1</v>
      </c>
      <c r="AK282" s="1" t="s">
        <v>190</v>
      </c>
      <c r="AL282" s="1" t="s">
        <v>128</v>
      </c>
      <c r="AM282" s="1" t="s">
        <v>140</v>
      </c>
      <c r="AN282" s="1" t="s">
        <v>171</v>
      </c>
      <c r="AO282" s="1" t="s">
        <v>94</v>
      </c>
      <c r="AP282" s="1" t="s">
        <v>95</v>
      </c>
      <c r="AQ282" s="1">
        <v>13.7</v>
      </c>
      <c r="AR282" s="1">
        <v>50</v>
      </c>
      <c r="AS282" s="1">
        <v>38.1</v>
      </c>
      <c r="AT282" s="1" t="s">
        <v>96</v>
      </c>
      <c r="AU282" s="1" t="s">
        <v>86</v>
      </c>
      <c r="AV282" s="1" t="s">
        <v>86</v>
      </c>
      <c r="AW282" s="1" t="s">
        <v>86</v>
      </c>
      <c r="AX282" s="1" t="s">
        <v>86</v>
      </c>
      <c r="AY282" s="1" t="s">
        <v>86</v>
      </c>
      <c r="AZ282" s="1" t="s">
        <v>86</v>
      </c>
      <c r="BA282" s="1" t="s">
        <v>86</v>
      </c>
      <c r="BB282" s="1" t="s">
        <v>86</v>
      </c>
      <c r="BC282" s="1" t="s">
        <v>86</v>
      </c>
      <c r="BD282" s="1" t="s">
        <v>86</v>
      </c>
      <c r="BE282" s="1" t="s">
        <v>86</v>
      </c>
      <c r="BF282" s="1" t="s">
        <v>86</v>
      </c>
      <c r="BG282" s="1" t="s">
        <v>86</v>
      </c>
      <c r="BH282" s="1" t="s">
        <v>215</v>
      </c>
      <c r="BI282" s="1" t="s">
        <v>459</v>
      </c>
      <c r="BJ282" s="1" t="s">
        <v>87</v>
      </c>
      <c r="BK282" s="1">
        <v>0</v>
      </c>
      <c r="BL282" s="1">
        <v>0</v>
      </c>
      <c r="BM282" s="1" t="s">
        <v>398</v>
      </c>
      <c r="BN282" s="1" t="s">
        <v>1586</v>
      </c>
      <c r="BO282" s="1" t="s">
        <v>726</v>
      </c>
      <c r="BP282" s="1" t="s">
        <v>86</v>
      </c>
      <c r="BQ282" s="1" t="s">
        <v>86</v>
      </c>
      <c r="BR282" s="1" t="s">
        <v>86</v>
      </c>
      <c r="BS282" s="1" t="s">
        <v>86</v>
      </c>
      <c r="BT282" s="1" t="s">
        <v>86</v>
      </c>
      <c r="BU282" s="1" t="s">
        <v>163</v>
      </c>
      <c r="BV282" s="1" t="s">
        <v>86</v>
      </c>
      <c r="BW282" s="1" t="s">
        <v>101</v>
      </c>
      <c r="BX282" s="1" t="s">
        <v>478</v>
      </c>
      <c r="BY282" s="1" t="s">
        <v>86</v>
      </c>
      <c r="BZ282" s="1" t="s">
        <v>1587</v>
      </c>
      <c r="CA282" s="1" t="s">
        <v>178</v>
      </c>
      <c r="CB282" s="1" t="s">
        <v>166</v>
      </c>
      <c r="CC282" s="1" t="s">
        <v>86</v>
      </c>
      <c r="CD282" s="1" t="s">
        <v>86</v>
      </c>
      <c r="CE282" s="1" t="s">
        <v>86</v>
      </c>
    </row>
    <row r="283">
      <c r="A283" s="1">
        <v>281</v>
      </c>
      <c r="B283" s="1" t="s">
        <v>395</v>
      </c>
      <c r="C283" s="2">
        <f>=HYPERLINK("https://i.stonehdfile.com/stoneimage?s=8511d8e4-f738-4179-a797-a256faa09848","Image")</f>
      </c>
      <c r="D283" s="2">
        <f>=HYPERLINK("https://dna.stonehdfile.com/hd/viewhd.html?d=fbb0fa64-2089-4507-b36b-735b87f5fb60","View360")</f>
      </c>
      <c r="E283" s="2">
        <f>=HYPERLINK("https://i.stonehdfile.com/Certificate?s=8511d8e4-f738-4179-a797-a256faa09848","GIA")</f>
      </c>
      <c r="F283" s="2">
        <f>=HYPERLINK("https://i.stonehdfile.com/DNAReport?s=8511d8e4-f738-4179-a797-a256faa09848","DNA")</f>
      </c>
      <c r="G283" s="2">
        <f>=HYPERLINK("https://www.gia.edu/report-check?reportno=******3074","Verify")</f>
      </c>
      <c r="H283" s="1" t="s">
        <v>1588</v>
      </c>
      <c r="I283" s="1" t="s">
        <v>46</v>
      </c>
      <c r="J283" s="1">
        <v>2.01</v>
      </c>
      <c r="K283" s="1">
        <v>9</v>
      </c>
      <c r="L283" s="1">
        <v>9700</v>
      </c>
      <c r="M283" s="1">
        <v>4997</v>
      </c>
      <c r="N283" s="1">
        <v>10043.97</v>
      </c>
      <c r="O283" s="1">
        <v>-48.48</v>
      </c>
      <c r="P283" s="1">
        <v>0</v>
      </c>
      <c r="Q283" s="1" t="s">
        <v>86</v>
      </c>
      <c r="R283" s="1">
        <v>0</v>
      </c>
      <c r="S283" s="1" t="s">
        <v>86</v>
      </c>
      <c r="T283" s="1" t="s">
        <v>86</v>
      </c>
      <c r="U283" s="1" t="s">
        <v>118</v>
      </c>
      <c r="V283" s="1" t="s">
        <v>86</v>
      </c>
      <c r="W283" s="1" t="s">
        <v>223</v>
      </c>
      <c r="X283" s="1" t="s">
        <v>86</v>
      </c>
      <c r="Y283" s="1" t="s">
        <v>89</v>
      </c>
      <c r="Z283" s="1" t="s">
        <v>89</v>
      </c>
      <c r="AA283" s="1" t="s">
        <v>119</v>
      </c>
      <c r="AB283" s="1" t="s">
        <v>86</v>
      </c>
      <c r="AC283" s="1" t="s">
        <v>1589</v>
      </c>
      <c r="AD283" s="1">
        <v>69.3</v>
      </c>
      <c r="AE283" s="1">
        <v>64</v>
      </c>
      <c r="AF283" s="1" t="s">
        <v>91</v>
      </c>
      <c r="AG283" s="1">
        <v>3.3</v>
      </c>
      <c r="AH283" s="1">
        <v>33.7</v>
      </c>
      <c r="AI283" s="1" t="s">
        <v>86</v>
      </c>
      <c r="AJ283" s="1">
        <v>1.01</v>
      </c>
      <c r="AK283" s="1" t="s">
        <v>111</v>
      </c>
      <c r="AL283" s="1" t="s">
        <v>140</v>
      </c>
      <c r="AM283" s="1" t="s">
        <v>128</v>
      </c>
      <c r="AN283" s="1" t="s">
        <v>171</v>
      </c>
      <c r="AO283" s="1" t="s">
        <v>94</v>
      </c>
      <c r="AP283" s="1" t="s">
        <v>95</v>
      </c>
      <c r="AQ283" s="1">
        <v>12</v>
      </c>
      <c r="AR283" s="1">
        <v>53.9</v>
      </c>
      <c r="AS283" s="1">
        <v>39.9</v>
      </c>
      <c r="AT283" s="1" t="s">
        <v>96</v>
      </c>
      <c r="AU283" s="1" t="s">
        <v>86</v>
      </c>
      <c r="AV283" s="1" t="s">
        <v>86</v>
      </c>
      <c r="AW283" s="1" t="s">
        <v>86</v>
      </c>
      <c r="AX283" s="1" t="s">
        <v>86</v>
      </c>
      <c r="AY283" s="1" t="s">
        <v>86</v>
      </c>
      <c r="AZ283" s="1" t="s">
        <v>86</v>
      </c>
      <c r="BA283" s="1" t="s">
        <v>86</v>
      </c>
      <c r="BB283" s="1" t="s">
        <v>86</v>
      </c>
      <c r="BC283" s="1" t="s">
        <v>86</v>
      </c>
      <c r="BD283" s="1" t="s">
        <v>86</v>
      </c>
      <c r="BE283" s="1" t="s">
        <v>86</v>
      </c>
      <c r="BF283" s="1" t="s">
        <v>86</v>
      </c>
      <c r="BG283" s="1" t="s">
        <v>86</v>
      </c>
      <c r="BH283" s="1" t="s">
        <v>97</v>
      </c>
      <c r="BI283" s="1" t="s">
        <v>232</v>
      </c>
      <c r="BJ283" s="1" t="s">
        <v>87</v>
      </c>
      <c r="BK283" s="1">
        <v>0</v>
      </c>
      <c r="BL283" s="1">
        <v>0</v>
      </c>
      <c r="BM283" s="1" t="s">
        <v>398</v>
      </c>
      <c r="BN283" s="1" t="s">
        <v>1590</v>
      </c>
      <c r="BO283" s="1" t="s">
        <v>246</v>
      </c>
      <c r="BP283" s="1" t="s">
        <v>86</v>
      </c>
      <c r="BQ283" s="1" t="s">
        <v>86</v>
      </c>
      <c r="BR283" s="1" t="s">
        <v>86</v>
      </c>
      <c r="BS283" s="1" t="s">
        <v>86</v>
      </c>
      <c r="BT283" s="1" t="s">
        <v>86</v>
      </c>
      <c r="BU283" s="1" t="s">
        <v>163</v>
      </c>
      <c r="BV283" s="1" t="s">
        <v>86</v>
      </c>
      <c r="BW283" s="1" t="s">
        <v>101</v>
      </c>
      <c r="BX283" s="1" t="s">
        <v>401</v>
      </c>
      <c r="BY283" s="1" t="s">
        <v>86</v>
      </c>
      <c r="BZ283" s="1" t="s">
        <v>1591</v>
      </c>
      <c r="CA283" s="1" t="s">
        <v>297</v>
      </c>
      <c r="CB283" s="1" t="s">
        <v>166</v>
      </c>
      <c r="CC283" s="1" t="s">
        <v>86</v>
      </c>
      <c r="CD283" s="1" t="s">
        <v>86</v>
      </c>
      <c r="CE283" s="1" t="s">
        <v>86</v>
      </c>
    </row>
    <row r="284">
      <c r="A284" s="1">
        <v>282</v>
      </c>
      <c r="B284" s="1" t="s">
        <v>395</v>
      </c>
      <c r="C284" s="2">
        <f>=HYPERLINK("https://i.stonehdfile.com/stoneimage?s=68a30b7c-ee01-43eb-b7bc-c134df50034c","Image")</f>
      </c>
      <c r="D284" s="2">
        <f>=HYPERLINK("https://dna.stonehdfile.com/hd/viewhd.html?d=17cfb062-7537-448d-8b5c-ade5e773237b","View360")</f>
      </c>
      <c r="E284" s="2">
        <f>=HYPERLINK("https://i.stonehdfile.com/Certificate?s=68a30b7c-ee01-43eb-b7bc-c134df50034c","GIA")</f>
      </c>
      <c r="F284" s="2">
        <f>=HYPERLINK("https://i.stonehdfile.com/DNAReport?s=68a30b7c-ee01-43eb-b7bc-c134df50034c","DNA")</f>
      </c>
      <c r="G284" s="2">
        <f>=HYPERLINK("https://www.gia.edu/report-check?reportno=******3397","Verify")</f>
      </c>
      <c r="H284" s="1" t="s">
        <v>1592</v>
      </c>
      <c r="I284" s="1" t="s">
        <v>46</v>
      </c>
      <c r="J284" s="1">
        <v>2.02</v>
      </c>
      <c r="K284" s="1">
        <v>3</v>
      </c>
      <c r="L284" s="1">
        <v>9700</v>
      </c>
      <c r="M284" s="1">
        <v>5229</v>
      </c>
      <c r="N284" s="1">
        <v>10562.58</v>
      </c>
      <c r="O284" s="1">
        <v>-46.09</v>
      </c>
      <c r="P284" s="1">
        <v>0</v>
      </c>
      <c r="Q284" s="1" t="s">
        <v>86</v>
      </c>
      <c r="R284" s="1">
        <v>0</v>
      </c>
      <c r="S284" s="1" t="s">
        <v>86</v>
      </c>
      <c r="T284" s="1" t="s">
        <v>86</v>
      </c>
      <c r="U284" s="1" t="s">
        <v>118</v>
      </c>
      <c r="V284" s="1" t="s">
        <v>86</v>
      </c>
      <c r="W284" s="1" t="s">
        <v>223</v>
      </c>
      <c r="X284" s="1" t="s">
        <v>86</v>
      </c>
      <c r="Y284" s="1" t="s">
        <v>89</v>
      </c>
      <c r="Z284" s="1" t="s">
        <v>89</v>
      </c>
      <c r="AA284" s="1" t="s">
        <v>119</v>
      </c>
      <c r="AB284" s="1" t="s">
        <v>86</v>
      </c>
      <c r="AC284" s="1" t="s">
        <v>1593</v>
      </c>
      <c r="AD284" s="1">
        <v>69</v>
      </c>
      <c r="AE284" s="1">
        <v>63</v>
      </c>
      <c r="AF284" s="1" t="s">
        <v>91</v>
      </c>
      <c r="AG284" s="1">
        <v>1.9</v>
      </c>
      <c r="AH284" s="1">
        <v>35.9</v>
      </c>
      <c r="AI284" s="1" t="s">
        <v>86</v>
      </c>
      <c r="AJ284" s="1">
        <v>1.06</v>
      </c>
      <c r="AK284" s="1" t="s">
        <v>111</v>
      </c>
      <c r="AL284" s="1" t="s">
        <v>93</v>
      </c>
      <c r="AM284" s="1" t="s">
        <v>140</v>
      </c>
      <c r="AN284" s="1" t="s">
        <v>168</v>
      </c>
      <c r="AO284" s="1" t="s">
        <v>94</v>
      </c>
      <c r="AP284" s="1" t="s">
        <v>95</v>
      </c>
      <c r="AQ284" s="1">
        <v>13.5</v>
      </c>
      <c r="AR284" s="1">
        <v>53.3</v>
      </c>
      <c r="AS284" s="1">
        <v>39.7</v>
      </c>
      <c r="AT284" s="1" t="s">
        <v>96</v>
      </c>
      <c r="AU284" s="1" t="s">
        <v>86</v>
      </c>
      <c r="AV284" s="1" t="s">
        <v>86</v>
      </c>
      <c r="AW284" s="1" t="s">
        <v>86</v>
      </c>
      <c r="AX284" s="1" t="s">
        <v>86</v>
      </c>
      <c r="AY284" s="1" t="s">
        <v>86</v>
      </c>
      <c r="AZ284" s="1" t="s">
        <v>86</v>
      </c>
      <c r="BA284" s="1" t="s">
        <v>86</v>
      </c>
      <c r="BB284" s="1" t="s">
        <v>86</v>
      </c>
      <c r="BC284" s="1" t="s">
        <v>86</v>
      </c>
      <c r="BD284" s="1" t="s">
        <v>86</v>
      </c>
      <c r="BE284" s="1" t="s">
        <v>86</v>
      </c>
      <c r="BF284" s="1" t="s">
        <v>282</v>
      </c>
      <c r="BG284" s="1" t="s">
        <v>172</v>
      </c>
      <c r="BH284" s="1" t="s">
        <v>142</v>
      </c>
      <c r="BI284" s="1" t="s">
        <v>658</v>
      </c>
      <c r="BJ284" s="1" t="s">
        <v>87</v>
      </c>
      <c r="BK284" s="1">
        <v>0</v>
      </c>
      <c r="BL284" s="1">
        <v>0</v>
      </c>
      <c r="BM284" s="1" t="s">
        <v>398</v>
      </c>
      <c r="BN284" s="1" t="s">
        <v>1594</v>
      </c>
      <c r="BO284" s="1" t="s">
        <v>1121</v>
      </c>
      <c r="BP284" s="1" t="s">
        <v>86</v>
      </c>
      <c r="BQ284" s="1" t="s">
        <v>86</v>
      </c>
      <c r="BR284" s="1" t="s">
        <v>86</v>
      </c>
      <c r="BS284" s="1" t="s">
        <v>86</v>
      </c>
      <c r="BT284" s="1" t="s">
        <v>86</v>
      </c>
      <c r="BU284" s="1" t="s">
        <v>163</v>
      </c>
      <c r="BV284" s="1" t="s">
        <v>86</v>
      </c>
      <c r="BW284" s="1" t="s">
        <v>101</v>
      </c>
      <c r="BX284" s="1" t="s">
        <v>545</v>
      </c>
      <c r="BY284" s="1" t="s">
        <v>86</v>
      </c>
      <c r="BZ284" s="1" t="s">
        <v>1595</v>
      </c>
      <c r="CA284" s="1" t="s">
        <v>203</v>
      </c>
      <c r="CB284" s="1" t="s">
        <v>1596</v>
      </c>
      <c r="CC284" s="1" t="s">
        <v>86</v>
      </c>
      <c r="CD284" s="1" t="s">
        <v>86</v>
      </c>
      <c r="CE284" s="1" t="s">
        <v>86</v>
      </c>
    </row>
    <row r="285">
      <c r="A285" s="1">
        <v>283</v>
      </c>
      <c r="B285" s="1" t="s">
        <v>395</v>
      </c>
      <c r="C285" s="2">
        <f>=HYPERLINK("https://i.stonehdfile.com/stoneimage?s=d8fea728-bc85-4b53-ad1d-8aaf874be70b","Image")</f>
      </c>
      <c r="D285" s="2">
        <f>=HYPERLINK("https://dna.stonehdfile.com/hd/viewhd.html?d=f591117a-f0d1-4fe1-b73f-13604943a53f","View360")</f>
      </c>
      <c r="E285" s="2">
        <f>=HYPERLINK("https://i.stonehdfile.com/Certificate?s=d8fea728-bc85-4b53-ad1d-8aaf874be70b","GIA")</f>
      </c>
      <c r="F285" s="2">
        <f>=HYPERLINK("https://i.stonehdfile.com/DNAReport?s=d8fea728-bc85-4b53-ad1d-8aaf874be70b","DNA")</f>
      </c>
      <c r="G285" s="2">
        <f>=HYPERLINK("https://www.gia.edu/report-check?reportno=******5309","Verify")</f>
      </c>
      <c r="H285" s="1" t="s">
        <v>1597</v>
      </c>
      <c r="I285" s="1" t="s">
        <v>46</v>
      </c>
      <c r="J285" s="1">
        <v>2.02</v>
      </c>
      <c r="K285" s="1">
        <v>0</v>
      </c>
      <c r="L285" s="1">
        <v>9700</v>
      </c>
      <c r="M285" s="1">
        <v>4861</v>
      </c>
      <c r="N285" s="1">
        <v>9819.22</v>
      </c>
      <c r="O285" s="1">
        <v>-49.89</v>
      </c>
      <c r="P285" s="1">
        <v>0</v>
      </c>
      <c r="Q285" s="1" t="s">
        <v>86</v>
      </c>
      <c r="R285" s="1">
        <v>0</v>
      </c>
      <c r="S285" s="1" t="s">
        <v>86</v>
      </c>
      <c r="T285" s="1" t="s">
        <v>86</v>
      </c>
      <c r="U285" s="1" t="s">
        <v>118</v>
      </c>
      <c r="V285" s="1" t="s">
        <v>86</v>
      </c>
      <c r="W285" s="1" t="s">
        <v>223</v>
      </c>
      <c r="X285" s="1" t="s">
        <v>86</v>
      </c>
      <c r="Y285" s="1" t="s">
        <v>89</v>
      </c>
      <c r="Z285" s="1" t="s">
        <v>89</v>
      </c>
      <c r="AA285" s="1" t="s">
        <v>119</v>
      </c>
      <c r="AB285" s="1" t="s">
        <v>86</v>
      </c>
      <c r="AC285" s="1" t="s">
        <v>1598</v>
      </c>
      <c r="AD285" s="1">
        <v>69.3</v>
      </c>
      <c r="AE285" s="1">
        <v>64</v>
      </c>
      <c r="AF285" s="1" t="s">
        <v>91</v>
      </c>
      <c r="AG285" s="1">
        <v>3.7</v>
      </c>
      <c r="AH285" s="1">
        <v>35.9</v>
      </c>
      <c r="AI285" s="1" t="s">
        <v>86</v>
      </c>
      <c r="AJ285" s="1">
        <v>1.01</v>
      </c>
      <c r="AK285" s="1" t="s">
        <v>111</v>
      </c>
      <c r="AL285" s="1" t="s">
        <v>93</v>
      </c>
      <c r="AM285" s="1" t="s">
        <v>140</v>
      </c>
      <c r="AN285" s="1" t="s">
        <v>171</v>
      </c>
      <c r="AO285" s="1" t="s">
        <v>94</v>
      </c>
      <c r="AP285" s="1" t="s">
        <v>95</v>
      </c>
      <c r="AQ285" s="1">
        <v>13.2</v>
      </c>
      <c r="AR285" s="1">
        <v>51.9</v>
      </c>
      <c r="AS285" s="1">
        <v>39.7</v>
      </c>
      <c r="AT285" s="1" t="s">
        <v>96</v>
      </c>
      <c r="AU285" s="1" t="s">
        <v>86</v>
      </c>
      <c r="AV285" s="1" t="s">
        <v>86</v>
      </c>
      <c r="AW285" s="1" t="s">
        <v>86</v>
      </c>
      <c r="AX285" s="1" t="s">
        <v>86</v>
      </c>
      <c r="AY285" s="1" t="s">
        <v>86</v>
      </c>
      <c r="AZ285" s="1" t="s">
        <v>86</v>
      </c>
      <c r="BA285" s="1" t="s">
        <v>86</v>
      </c>
      <c r="BB285" s="1" t="s">
        <v>86</v>
      </c>
      <c r="BC285" s="1" t="s">
        <v>86</v>
      </c>
      <c r="BD285" s="1" t="s">
        <v>86</v>
      </c>
      <c r="BE285" s="1" t="s">
        <v>86</v>
      </c>
      <c r="BF285" s="1" t="s">
        <v>86</v>
      </c>
      <c r="BG285" s="1" t="s">
        <v>86</v>
      </c>
      <c r="BH285" s="1" t="s">
        <v>97</v>
      </c>
      <c r="BI285" s="1" t="s">
        <v>459</v>
      </c>
      <c r="BJ285" s="1" t="s">
        <v>87</v>
      </c>
      <c r="BK285" s="1">
        <v>0</v>
      </c>
      <c r="BL285" s="1">
        <v>0</v>
      </c>
      <c r="BM285" s="1" t="s">
        <v>398</v>
      </c>
      <c r="BN285" s="1" t="s">
        <v>1599</v>
      </c>
      <c r="BO285" s="1" t="s">
        <v>259</v>
      </c>
      <c r="BP285" s="1" t="s">
        <v>86</v>
      </c>
      <c r="BQ285" s="1" t="s">
        <v>86</v>
      </c>
      <c r="BR285" s="1" t="s">
        <v>86</v>
      </c>
      <c r="BS285" s="1" t="s">
        <v>86</v>
      </c>
      <c r="BT285" s="1" t="s">
        <v>86</v>
      </c>
      <c r="BU285" s="1" t="s">
        <v>163</v>
      </c>
      <c r="BV285" s="1" t="s">
        <v>86</v>
      </c>
      <c r="BW285" s="1" t="s">
        <v>101</v>
      </c>
      <c r="BX285" s="1" t="s">
        <v>401</v>
      </c>
      <c r="BY285" s="1" t="s">
        <v>86</v>
      </c>
      <c r="BZ285" s="1" t="s">
        <v>1600</v>
      </c>
      <c r="CA285" s="1" t="s">
        <v>297</v>
      </c>
      <c r="CB285" s="1" t="s">
        <v>166</v>
      </c>
      <c r="CC285" s="1" t="s">
        <v>86</v>
      </c>
      <c r="CD285" s="1" t="s">
        <v>86</v>
      </c>
      <c r="CE285" s="1" t="s">
        <v>86</v>
      </c>
    </row>
    <row r="286">
      <c r="A286" s="1">
        <v>284</v>
      </c>
      <c r="B286" s="1" t="s">
        <v>395</v>
      </c>
      <c r="C286" s="2">
        <f>=HYPERLINK("https://i.stonehdfile.com/stoneimage?s=e83461a6-5c05-4cc1-853b-a0650e1bd680","Image")</f>
      </c>
      <c r="D286" s="2">
        <f>=HYPERLINK("https://dna.stonehdfile.com/hd/viewhd.html?d=fe3680a9-ebe6-4cb4-be91-4c905dc23742","View360")</f>
      </c>
      <c r="E286" s="2">
        <f>=HYPERLINK("https://i.stonehdfile.com/Certificate?s=e83461a6-5c05-4cc1-853b-a0650e1bd680","GIA")</f>
      </c>
      <c r="F286" s="2">
        <f>=HYPERLINK("https://i.stonehdfile.com/DNAReport?s=e83461a6-5c05-4cc1-853b-a0650e1bd680","DNA")</f>
      </c>
      <c r="G286" s="2">
        <f>=HYPERLINK("https://www.gia.edu/report-check?reportno=******8640","Verify")</f>
      </c>
      <c r="H286" s="1" t="s">
        <v>1601</v>
      </c>
      <c r="I286" s="1" t="s">
        <v>46</v>
      </c>
      <c r="J286" s="1">
        <v>2.02</v>
      </c>
      <c r="K286" s="1">
        <v>8</v>
      </c>
      <c r="L286" s="1">
        <v>9700</v>
      </c>
      <c r="M286" s="1">
        <v>5151</v>
      </c>
      <c r="N286" s="1">
        <v>10405.02</v>
      </c>
      <c r="O286" s="1">
        <v>-46.9</v>
      </c>
      <c r="P286" s="1">
        <v>0</v>
      </c>
      <c r="Q286" s="1" t="s">
        <v>86</v>
      </c>
      <c r="R286" s="1">
        <v>0</v>
      </c>
      <c r="S286" s="1" t="s">
        <v>86</v>
      </c>
      <c r="T286" s="1" t="s">
        <v>86</v>
      </c>
      <c r="U286" s="1" t="s">
        <v>159</v>
      </c>
      <c r="V286" s="1" t="s">
        <v>86</v>
      </c>
      <c r="W286" s="1" t="s">
        <v>223</v>
      </c>
      <c r="X286" s="1" t="s">
        <v>86</v>
      </c>
      <c r="Y286" s="1" t="s">
        <v>89</v>
      </c>
      <c r="Z286" s="1" t="s">
        <v>89</v>
      </c>
      <c r="AA286" s="1" t="s">
        <v>119</v>
      </c>
      <c r="AB286" s="1" t="s">
        <v>86</v>
      </c>
      <c r="AC286" s="1" t="s">
        <v>1602</v>
      </c>
      <c r="AD286" s="1">
        <v>68.3</v>
      </c>
      <c r="AE286" s="1">
        <v>62</v>
      </c>
      <c r="AF286" s="1" t="s">
        <v>91</v>
      </c>
      <c r="AG286" s="1">
        <v>3</v>
      </c>
      <c r="AH286" s="1">
        <v>34.5</v>
      </c>
      <c r="AI286" s="1" t="s">
        <v>86</v>
      </c>
      <c r="AJ286" s="1">
        <v>1.04</v>
      </c>
      <c r="AK286" s="1" t="s">
        <v>111</v>
      </c>
      <c r="AL286" s="1" t="s">
        <v>93</v>
      </c>
      <c r="AM286" s="1" t="s">
        <v>128</v>
      </c>
      <c r="AN286" s="1" t="s">
        <v>171</v>
      </c>
      <c r="AO286" s="1" t="s">
        <v>94</v>
      </c>
      <c r="AP286" s="1" t="s">
        <v>95</v>
      </c>
      <c r="AQ286" s="1">
        <v>13.1</v>
      </c>
      <c r="AR286" s="1">
        <v>51.8</v>
      </c>
      <c r="AS286" s="1">
        <v>39.3</v>
      </c>
      <c r="AT286" s="1" t="s">
        <v>96</v>
      </c>
      <c r="AU286" s="1" t="s">
        <v>86</v>
      </c>
      <c r="AV286" s="1" t="s">
        <v>86</v>
      </c>
      <c r="AW286" s="1" t="s">
        <v>86</v>
      </c>
      <c r="AX286" s="1" t="s">
        <v>86</v>
      </c>
      <c r="AY286" s="1" t="s">
        <v>86</v>
      </c>
      <c r="AZ286" s="1" t="s">
        <v>86</v>
      </c>
      <c r="BA286" s="1" t="s">
        <v>86</v>
      </c>
      <c r="BB286" s="1" t="s">
        <v>86</v>
      </c>
      <c r="BC286" s="1" t="s">
        <v>86</v>
      </c>
      <c r="BD286" s="1" t="s">
        <v>86</v>
      </c>
      <c r="BE286" s="1" t="s">
        <v>86</v>
      </c>
      <c r="BF286" s="1" t="s">
        <v>86</v>
      </c>
      <c r="BG286" s="1" t="s">
        <v>86</v>
      </c>
      <c r="BH286" s="1" t="s">
        <v>182</v>
      </c>
      <c r="BI286" s="1" t="s">
        <v>315</v>
      </c>
      <c r="BJ286" s="1" t="s">
        <v>87</v>
      </c>
      <c r="BK286" s="1">
        <v>0</v>
      </c>
      <c r="BL286" s="1">
        <v>0</v>
      </c>
      <c r="BM286" s="1" t="s">
        <v>86</v>
      </c>
      <c r="BN286" s="1" t="s">
        <v>1603</v>
      </c>
      <c r="BO286" s="1" t="s">
        <v>1604</v>
      </c>
      <c r="BP286" s="1" t="s">
        <v>86</v>
      </c>
      <c r="BQ286" s="1" t="s">
        <v>86</v>
      </c>
      <c r="BR286" s="1" t="s">
        <v>86</v>
      </c>
      <c r="BS286" s="1" t="s">
        <v>86</v>
      </c>
      <c r="BT286" s="1" t="s">
        <v>86</v>
      </c>
      <c r="BU286" s="1" t="s">
        <v>163</v>
      </c>
      <c r="BV286" s="1" t="s">
        <v>86</v>
      </c>
      <c r="BW286" s="1" t="s">
        <v>101</v>
      </c>
      <c r="BX286" s="1" t="s">
        <v>545</v>
      </c>
      <c r="BY286" s="1" t="s">
        <v>86</v>
      </c>
      <c r="BZ286" s="1" t="s">
        <v>1605</v>
      </c>
      <c r="CA286" s="1" t="s">
        <v>195</v>
      </c>
      <c r="CB286" s="1" t="s">
        <v>166</v>
      </c>
      <c r="CC286" s="1" t="s">
        <v>86</v>
      </c>
      <c r="CD286" s="1" t="s">
        <v>86</v>
      </c>
      <c r="CE286" s="1" t="s">
        <v>86</v>
      </c>
    </row>
    <row r="287">
      <c r="A287" s="1">
        <v>285</v>
      </c>
      <c r="B287" s="1" t="s">
        <v>395</v>
      </c>
      <c r="C287" s="2">
        <f>=HYPERLINK("https://i.stonehdfile.com/stoneimage?s=e3826da7-cfb0-4cdc-baf0-965d92251c1c","Image")</f>
      </c>
      <c r="D287" s="2">
        <f>=HYPERLINK("https://dna.stonehdfile.com/hd/viewhd.html?d=20f11aab-d0ea-48c3-8b38-0ded137f6d60","View360")</f>
      </c>
      <c r="E287" s="2">
        <f>=HYPERLINK("https://i.stonehdfile.com/Certificate?s=e3826da7-cfb0-4cdc-baf0-965d92251c1c","GIA")</f>
      </c>
      <c r="F287" s="2">
        <f>=HYPERLINK("https://i.stonehdfile.com/DNAReport?s=e3826da7-cfb0-4cdc-baf0-965d92251c1c","DNA")</f>
      </c>
      <c r="G287" s="2">
        <f>=HYPERLINK("https://www.gia.edu/report-check?reportno=******8000","Verify")</f>
      </c>
      <c r="H287" s="1" t="s">
        <v>1606</v>
      </c>
      <c r="I287" s="1" t="s">
        <v>46</v>
      </c>
      <c r="J287" s="1">
        <v>2.01</v>
      </c>
      <c r="K287" s="1">
        <v>3</v>
      </c>
      <c r="L287" s="1">
        <v>9300</v>
      </c>
      <c r="M287" s="1">
        <v>4635</v>
      </c>
      <c r="N287" s="1">
        <v>9316.35</v>
      </c>
      <c r="O287" s="1">
        <v>-50.16</v>
      </c>
      <c r="P287" s="1">
        <v>0</v>
      </c>
      <c r="Q287" s="1" t="s">
        <v>86</v>
      </c>
      <c r="R287" s="1">
        <v>0</v>
      </c>
      <c r="S287" s="1" t="s">
        <v>86</v>
      </c>
      <c r="T287" s="1" t="s">
        <v>86</v>
      </c>
      <c r="U287" s="1" t="s">
        <v>118</v>
      </c>
      <c r="V287" s="1" t="s">
        <v>86</v>
      </c>
      <c r="W287" s="1" t="s">
        <v>137</v>
      </c>
      <c r="X287" s="1" t="s">
        <v>86</v>
      </c>
      <c r="Y287" s="1" t="s">
        <v>89</v>
      </c>
      <c r="Z287" s="1" t="s">
        <v>89</v>
      </c>
      <c r="AA287" s="1" t="s">
        <v>119</v>
      </c>
      <c r="AB287" s="1" t="s">
        <v>86</v>
      </c>
      <c r="AC287" s="1" t="s">
        <v>1607</v>
      </c>
      <c r="AD287" s="1">
        <v>69.7</v>
      </c>
      <c r="AE287" s="1">
        <v>62</v>
      </c>
      <c r="AF287" s="1" t="s">
        <v>91</v>
      </c>
      <c r="AG287" s="1">
        <v>3.3</v>
      </c>
      <c r="AH287" s="1">
        <v>36.2</v>
      </c>
      <c r="AI287" s="1" t="s">
        <v>86</v>
      </c>
      <c r="AJ287" s="1">
        <v>1.01</v>
      </c>
      <c r="AK287" s="1" t="s">
        <v>198</v>
      </c>
      <c r="AL287" s="1" t="s">
        <v>93</v>
      </c>
      <c r="AM287" s="1" t="s">
        <v>140</v>
      </c>
      <c r="AN287" s="1" t="s">
        <v>171</v>
      </c>
      <c r="AO287" s="1" t="s">
        <v>208</v>
      </c>
      <c r="AP287" s="1" t="s">
        <v>95</v>
      </c>
      <c r="AQ287" s="1">
        <v>14.2</v>
      </c>
      <c r="AR287" s="1">
        <v>51.7</v>
      </c>
      <c r="AS287" s="1">
        <v>39.5</v>
      </c>
      <c r="AT287" s="1" t="s">
        <v>96</v>
      </c>
      <c r="AU287" s="1" t="s">
        <v>86</v>
      </c>
      <c r="AV287" s="1" t="s">
        <v>86</v>
      </c>
      <c r="AW287" s="1" t="s">
        <v>86</v>
      </c>
      <c r="AX287" s="1" t="s">
        <v>86</v>
      </c>
      <c r="AY287" s="1" t="s">
        <v>86</v>
      </c>
      <c r="AZ287" s="1" t="s">
        <v>86</v>
      </c>
      <c r="BA287" s="1" t="s">
        <v>86</v>
      </c>
      <c r="BB287" s="1" t="s">
        <v>86</v>
      </c>
      <c r="BC287" s="1" t="s">
        <v>86</v>
      </c>
      <c r="BD287" s="1" t="s">
        <v>86</v>
      </c>
      <c r="BE287" s="1" t="s">
        <v>1608</v>
      </c>
      <c r="BF287" s="1" t="s">
        <v>86</v>
      </c>
      <c r="BG287" s="1" t="s">
        <v>86</v>
      </c>
      <c r="BH287" s="1" t="s">
        <v>97</v>
      </c>
      <c r="BI287" s="1" t="s">
        <v>232</v>
      </c>
      <c r="BJ287" s="1" t="s">
        <v>87</v>
      </c>
      <c r="BK287" s="1">
        <v>0</v>
      </c>
      <c r="BL287" s="1">
        <v>0</v>
      </c>
      <c r="BM287" s="1" t="s">
        <v>398</v>
      </c>
      <c r="BN287" s="1" t="s">
        <v>1609</v>
      </c>
      <c r="BO287" s="1" t="s">
        <v>324</v>
      </c>
      <c r="BP287" s="1" t="s">
        <v>86</v>
      </c>
      <c r="BQ287" s="1" t="s">
        <v>86</v>
      </c>
      <c r="BR287" s="1" t="s">
        <v>86</v>
      </c>
      <c r="BS287" s="1" t="s">
        <v>86</v>
      </c>
      <c r="BT287" s="1" t="s">
        <v>86</v>
      </c>
      <c r="BU287" s="1" t="s">
        <v>163</v>
      </c>
      <c r="BV287" s="1" t="s">
        <v>86</v>
      </c>
      <c r="BW287" s="1" t="s">
        <v>101</v>
      </c>
      <c r="BX287" s="1" t="s">
        <v>401</v>
      </c>
      <c r="BY287" s="1" t="s">
        <v>86</v>
      </c>
      <c r="BZ287" s="1" t="s">
        <v>1610</v>
      </c>
      <c r="CA287" s="1" t="s">
        <v>567</v>
      </c>
      <c r="CB287" s="1" t="s">
        <v>166</v>
      </c>
      <c r="CC287" s="1" t="s">
        <v>86</v>
      </c>
      <c r="CD287" s="1" t="s">
        <v>86</v>
      </c>
      <c r="CE287" s="1" t="s">
        <v>86</v>
      </c>
    </row>
    <row r="288">
      <c r="A288" s="1">
        <v>286</v>
      </c>
      <c r="B288" s="1" t="s">
        <v>395</v>
      </c>
      <c r="C288" s="2">
        <f>=HYPERLINK("https://i.stonehdfile.com/stoneimage?s=023836d4-9c78-42a3-82f6-78d15e270a9d","Image")</f>
      </c>
      <c r="D288" s="2">
        <f>=HYPERLINK("https://dna.stonehdfile.com/hd/viewhd.html?d=f2e8176d-dcfc-4444-9b05-3a1e6c0aaec7","View360")</f>
      </c>
      <c r="E288" s="2">
        <f>=HYPERLINK("https://i.stonehdfile.com/Certificate?s=023836d4-9c78-42a3-82f6-78d15e270a9d","GIA")</f>
      </c>
      <c r="F288" s="2">
        <f>=HYPERLINK("https://i.stonehdfile.com/DNAReport?s=023836d4-9c78-42a3-82f6-78d15e270a9d","DNA")</f>
      </c>
      <c r="G288" s="2">
        <f>=HYPERLINK("https://www.gia.edu/report-check?reportno=******0648","Verify")</f>
      </c>
      <c r="H288" s="1" t="s">
        <v>1611</v>
      </c>
      <c r="I288" s="1" t="s">
        <v>46</v>
      </c>
      <c r="J288" s="1">
        <v>2.01</v>
      </c>
      <c r="K288" s="1">
        <v>8</v>
      </c>
      <c r="L288" s="1">
        <v>9300</v>
      </c>
      <c r="M288" s="1">
        <v>4077</v>
      </c>
      <c r="N288" s="1">
        <v>8194.77</v>
      </c>
      <c r="O288" s="1">
        <v>-56.16</v>
      </c>
      <c r="P288" s="1">
        <v>0</v>
      </c>
      <c r="Q288" s="1" t="s">
        <v>86</v>
      </c>
      <c r="R288" s="1">
        <v>0</v>
      </c>
      <c r="S288" s="1" t="s">
        <v>86</v>
      </c>
      <c r="T288" s="1" t="s">
        <v>86</v>
      </c>
      <c r="U288" s="1" t="s">
        <v>118</v>
      </c>
      <c r="V288" s="1" t="s">
        <v>86</v>
      </c>
      <c r="W288" s="1" t="s">
        <v>137</v>
      </c>
      <c r="X288" s="1" t="s">
        <v>86</v>
      </c>
      <c r="Y288" s="1" t="s">
        <v>89</v>
      </c>
      <c r="Z288" s="1" t="s">
        <v>89</v>
      </c>
      <c r="AA288" s="1" t="s">
        <v>119</v>
      </c>
      <c r="AB288" s="1" t="s">
        <v>86</v>
      </c>
      <c r="AC288" s="1" t="s">
        <v>1612</v>
      </c>
      <c r="AD288" s="1">
        <v>67.8</v>
      </c>
      <c r="AE288" s="1">
        <v>63</v>
      </c>
      <c r="AF288" s="1" t="s">
        <v>91</v>
      </c>
      <c r="AG288" s="1">
        <v>2.1</v>
      </c>
      <c r="AH288" s="1">
        <v>34.5</v>
      </c>
      <c r="AI288" s="1" t="s">
        <v>86</v>
      </c>
      <c r="AJ288" s="1">
        <v>1.11</v>
      </c>
      <c r="AK288" s="1" t="s">
        <v>111</v>
      </c>
      <c r="AL288" s="1" t="s">
        <v>93</v>
      </c>
      <c r="AM288" s="1" t="s">
        <v>151</v>
      </c>
      <c r="AN288" s="1" t="s">
        <v>171</v>
      </c>
      <c r="AO288" s="1" t="s">
        <v>94</v>
      </c>
      <c r="AP288" s="1" t="s">
        <v>95</v>
      </c>
      <c r="AQ288" s="1">
        <v>13.3</v>
      </c>
      <c r="AR288" s="1">
        <v>52.1</v>
      </c>
      <c r="AS288" s="1">
        <v>38.6</v>
      </c>
      <c r="AT288" s="1" t="s">
        <v>96</v>
      </c>
      <c r="AU288" s="1" t="s">
        <v>141</v>
      </c>
      <c r="AV288" s="1" t="s">
        <v>86</v>
      </c>
      <c r="AW288" s="1" t="s">
        <v>86</v>
      </c>
      <c r="AX288" s="1" t="s">
        <v>86</v>
      </c>
      <c r="AY288" s="1" t="s">
        <v>86</v>
      </c>
      <c r="AZ288" s="1" t="s">
        <v>86</v>
      </c>
      <c r="BA288" s="1" t="s">
        <v>86</v>
      </c>
      <c r="BB288" s="1" t="s">
        <v>86</v>
      </c>
      <c r="BC288" s="1" t="s">
        <v>86</v>
      </c>
      <c r="BD288" s="1" t="s">
        <v>86</v>
      </c>
      <c r="BE288" s="1" t="s">
        <v>86</v>
      </c>
      <c r="BF288" s="1" t="s">
        <v>86</v>
      </c>
      <c r="BG288" s="1" t="s">
        <v>86</v>
      </c>
      <c r="BH288" s="1" t="s">
        <v>429</v>
      </c>
      <c r="BI288" s="1" t="s">
        <v>516</v>
      </c>
      <c r="BJ288" s="1" t="s">
        <v>87</v>
      </c>
      <c r="BK288" s="1">
        <v>0</v>
      </c>
      <c r="BL288" s="1">
        <v>0</v>
      </c>
      <c r="BM288" s="1" t="s">
        <v>398</v>
      </c>
      <c r="BN288" s="1" t="s">
        <v>1613</v>
      </c>
      <c r="BO288" s="1" t="s">
        <v>176</v>
      </c>
      <c r="BP288" s="1" t="s">
        <v>86</v>
      </c>
      <c r="BQ288" s="1" t="s">
        <v>86</v>
      </c>
      <c r="BR288" s="1" t="s">
        <v>86</v>
      </c>
      <c r="BS288" s="1" t="s">
        <v>86</v>
      </c>
      <c r="BT288" s="1" t="s">
        <v>86</v>
      </c>
      <c r="BU288" s="1" t="s">
        <v>163</v>
      </c>
      <c r="BV288" s="1" t="s">
        <v>86</v>
      </c>
      <c r="BW288" s="1" t="s">
        <v>101</v>
      </c>
      <c r="BX288" s="1" t="s">
        <v>423</v>
      </c>
      <c r="BY288" s="1" t="s">
        <v>86</v>
      </c>
      <c r="BZ288" s="1" t="s">
        <v>1614</v>
      </c>
      <c r="CA288" s="1" t="s">
        <v>229</v>
      </c>
      <c r="CB288" s="1" t="s">
        <v>166</v>
      </c>
      <c r="CC288" s="1" t="s">
        <v>86</v>
      </c>
      <c r="CD288" s="1" t="s">
        <v>86</v>
      </c>
      <c r="CE288" s="1" t="s">
        <v>86</v>
      </c>
    </row>
    <row r="289">
      <c r="A289" s="1">
        <v>287</v>
      </c>
      <c r="B289" s="1" t="s">
        <v>395</v>
      </c>
      <c r="C289" s="2">
        <f>=HYPERLINK("https://i.stonehdfile.com/stoneimage?s=9c93d219-5130-4a17-a9a2-416d819dd401","Image")</f>
      </c>
      <c r="D289" s="2">
        <f>=HYPERLINK("https://dna.stonehdfile.com/hd/viewhd.html?d=ca8f031f-c5f5-4338-ae1e-c9280b70e85c","View360")</f>
      </c>
      <c r="E289" s="2">
        <f>=HYPERLINK("https://i.stonehdfile.com/Certificate?s=9c93d219-5130-4a17-a9a2-416d819dd401","GIA")</f>
      </c>
      <c r="F289" s="2">
        <f>=HYPERLINK("https://i.stonehdfile.com/DNAReport?s=9c93d219-5130-4a17-a9a2-416d819dd401","DNA")</f>
      </c>
      <c r="G289" s="2">
        <f>=HYPERLINK("https://www.gia.edu/report-check?reportno=******9206","Verify")</f>
      </c>
      <c r="H289" s="1" t="s">
        <v>1615</v>
      </c>
      <c r="I289" s="1" t="s">
        <v>46</v>
      </c>
      <c r="J289" s="1">
        <v>2.01</v>
      </c>
      <c r="K289" s="1">
        <v>0</v>
      </c>
      <c r="L289" s="1">
        <v>9300</v>
      </c>
      <c r="M289" s="1">
        <v>4163</v>
      </c>
      <c r="N289" s="1">
        <v>8367.63</v>
      </c>
      <c r="O289" s="1">
        <v>-55.24</v>
      </c>
      <c r="P289" s="1">
        <v>0</v>
      </c>
      <c r="Q289" s="1" t="s">
        <v>86</v>
      </c>
      <c r="R289" s="1">
        <v>0</v>
      </c>
      <c r="S289" s="1" t="s">
        <v>86</v>
      </c>
      <c r="T289" s="1" t="s">
        <v>86</v>
      </c>
      <c r="U289" s="1" t="s">
        <v>118</v>
      </c>
      <c r="V289" s="1" t="s">
        <v>86</v>
      </c>
      <c r="W289" s="1" t="s">
        <v>137</v>
      </c>
      <c r="X289" s="1" t="s">
        <v>86</v>
      </c>
      <c r="Y289" s="1" t="s">
        <v>89</v>
      </c>
      <c r="Z289" s="1" t="s">
        <v>89</v>
      </c>
      <c r="AA289" s="1" t="s">
        <v>119</v>
      </c>
      <c r="AB289" s="1" t="s">
        <v>86</v>
      </c>
      <c r="AC289" s="1" t="s">
        <v>1616</v>
      </c>
      <c r="AD289" s="1">
        <v>67.5</v>
      </c>
      <c r="AE289" s="1">
        <v>64</v>
      </c>
      <c r="AF289" s="1" t="s">
        <v>91</v>
      </c>
      <c r="AG289" s="1">
        <v>2.22</v>
      </c>
      <c r="AH289" s="1">
        <v>35</v>
      </c>
      <c r="AI289" s="1" t="s">
        <v>86</v>
      </c>
      <c r="AJ289" s="1">
        <v>1.17</v>
      </c>
      <c r="AK289" s="1" t="s">
        <v>111</v>
      </c>
      <c r="AL289" s="1" t="s">
        <v>93</v>
      </c>
      <c r="AM289" s="1" t="s">
        <v>128</v>
      </c>
      <c r="AN289" s="1" t="s">
        <v>171</v>
      </c>
      <c r="AO289" s="1" t="s">
        <v>94</v>
      </c>
      <c r="AP289" s="1" t="s">
        <v>95</v>
      </c>
      <c r="AQ289" s="1">
        <v>12.7</v>
      </c>
      <c r="AR289" s="1">
        <v>52.6</v>
      </c>
      <c r="AS289" s="1">
        <v>38</v>
      </c>
      <c r="AT289" s="1" t="s">
        <v>96</v>
      </c>
      <c r="AU289" s="1" t="s">
        <v>86</v>
      </c>
      <c r="AV289" s="1" t="s">
        <v>86</v>
      </c>
      <c r="AW289" s="1" t="s">
        <v>86</v>
      </c>
      <c r="AX289" s="1" t="s">
        <v>86</v>
      </c>
      <c r="AY289" s="1" t="s">
        <v>86</v>
      </c>
      <c r="AZ289" s="1" t="s">
        <v>86</v>
      </c>
      <c r="BA289" s="1" t="s">
        <v>86</v>
      </c>
      <c r="BB289" s="1" t="s">
        <v>86</v>
      </c>
      <c r="BC289" s="1" t="s">
        <v>86</v>
      </c>
      <c r="BD289" s="1" t="s">
        <v>86</v>
      </c>
      <c r="BE289" s="1" t="s">
        <v>86</v>
      </c>
      <c r="BF289" s="1" t="s">
        <v>282</v>
      </c>
      <c r="BG289" s="1" t="s">
        <v>86</v>
      </c>
      <c r="BH289" s="1" t="s">
        <v>142</v>
      </c>
      <c r="BI289" s="1" t="s">
        <v>1617</v>
      </c>
      <c r="BJ289" s="1" t="s">
        <v>87</v>
      </c>
      <c r="BK289" s="1">
        <v>0</v>
      </c>
      <c r="BL289" s="1">
        <v>0</v>
      </c>
      <c r="BM289" s="1" t="s">
        <v>398</v>
      </c>
      <c r="BN289" s="1" t="s">
        <v>1618</v>
      </c>
      <c r="BO289" s="1" t="s">
        <v>1619</v>
      </c>
      <c r="BP289" s="1" t="s">
        <v>86</v>
      </c>
      <c r="BQ289" s="1" t="s">
        <v>86</v>
      </c>
      <c r="BR289" s="1" t="s">
        <v>86</v>
      </c>
      <c r="BS289" s="1" t="s">
        <v>86</v>
      </c>
      <c r="BT289" s="1" t="s">
        <v>86</v>
      </c>
      <c r="BU289" s="1" t="s">
        <v>163</v>
      </c>
      <c r="BV289" s="1" t="s">
        <v>86</v>
      </c>
      <c r="BW289" s="1" t="s">
        <v>101</v>
      </c>
      <c r="BX289" s="1" t="s">
        <v>478</v>
      </c>
      <c r="BY289" s="1" t="s">
        <v>86</v>
      </c>
      <c r="BZ289" s="1" t="s">
        <v>1620</v>
      </c>
      <c r="CA289" s="1" t="s">
        <v>220</v>
      </c>
      <c r="CB289" s="1" t="s">
        <v>650</v>
      </c>
      <c r="CC289" s="1" t="s">
        <v>86</v>
      </c>
      <c r="CD289" s="1" t="s">
        <v>86</v>
      </c>
      <c r="CE289" s="1" t="s">
        <v>86</v>
      </c>
    </row>
    <row r="290">
      <c r="A290" s="1">
        <v>288</v>
      </c>
      <c r="B290" s="1" t="s">
        <v>395</v>
      </c>
      <c r="C290" s="2">
        <f>=HYPERLINK("https://i.stonehdfile.com/stoneimage?s=4bc2243c-fc3b-4250-9642-f5b57cf474e7","Image")</f>
      </c>
      <c r="D290" s="2">
        <f>=HYPERLINK("https://dna.stonehdfile.com/hd/viewhd.html?d=9847b556-a414-48dd-9d2a-bd32b55a0f3b","View360")</f>
      </c>
      <c r="E290" s="2">
        <f>=HYPERLINK("https://i.stonehdfile.com/Certificate?s=4bc2243c-fc3b-4250-9642-f5b57cf474e7","GIA")</f>
      </c>
      <c r="F290" s="2">
        <f>=HYPERLINK("https://i.stonehdfile.com/DNAReport?s=4bc2243c-fc3b-4250-9642-f5b57cf474e7","DNA")</f>
      </c>
      <c r="G290" s="2">
        <f>=HYPERLINK("https://www.gia.edu/report-check?reportno=******8734","Verify")</f>
      </c>
      <c r="H290" s="1" t="s">
        <v>1621</v>
      </c>
      <c r="I290" s="1" t="s">
        <v>46</v>
      </c>
      <c r="J290" s="1">
        <v>2.01</v>
      </c>
      <c r="K290" s="1">
        <v>5</v>
      </c>
      <c r="L290" s="1">
        <v>9300</v>
      </c>
      <c r="M290" s="1">
        <v>4104</v>
      </c>
      <c r="N290" s="1">
        <v>8249.04</v>
      </c>
      <c r="O290" s="1">
        <v>-55.87</v>
      </c>
      <c r="P290" s="1">
        <v>0</v>
      </c>
      <c r="Q290" s="1" t="s">
        <v>86</v>
      </c>
      <c r="R290" s="1">
        <v>0</v>
      </c>
      <c r="S290" s="1" t="s">
        <v>86</v>
      </c>
      <c r="T290" s="1" t="s">
        <v>86</v>
      </c>
      <c r="U290" s="1" t="s">
        <v>118</v>
      </c>
      <c r="V290" s="1" t="s">
        <v>86</v>
      </c>
      <c r="W290" s="1" t="s">
        <v>137</v>
      </c>
      <c r="X290" s="1" t="s">
        <v>86</v>
      </c>
      <c r="Y290" s="1" t="s">
        <v>89</v>
      </c>
      <c r="Z290" s="1" t="s">
        <v>89</v>
      </c>
      <c r="AA290" s="1" t="s">
        <v>119</v>
      </c>
      <c r="AB290" s="1" t="s">
        <v>86</v>
      </c>
      <c r="AC290" s="1" t="s">
        <v>1622</v>
      </c>
      <c r="AD290" s="1">
        <v>70.9</v>
      </c>
      <c r="AE290" s="1">
        <v>66</v>
      </c>
      <c r="AF290" s="1" t="s">
        <v>91</v>
      </c>
      <c r="AG290" s="1">
        <v>3.6</v>
      </c>
      <c r="AH290" s="1">
        <v>35.5</v>
      </c>
      <c r="AI290" s="1" t="s">
        <v>86</v>
      </c>
      <c r="AJ290" s="1">
        <v>1.13</v>
      </c>
      <c r="AK290" s="1" t="s">
        <v>111</v>
      </c>
      <c r="AL290" s="1" t="s">
        <v>128</v>
      </c>
      <c r="AM290" s="1" t="s">
        <v>151</v>
      </c>
      <c r="AN290" s="1" t="s">
        <v>171</v>
      </c>
      <c r="AO290" s="1" t="s">
        <v>94</v>
      </c>
      <c r="AP290" s="1" t="s">
        <v>95</v>
      </c>
      <c r="AQ290" s="1">
        <v>12.3</v>
      </c>
      <c r="AR290" s="1">
        <v>54.7</v>
      </c>
      <c r="AS290" s="1">
        <v>40.8</v>
      </c>
      <c r="AT290" s="1" t="s">
        <v>96</v>
      </c>
      <c r="AU290" s="1" t="s">
        <v>86</v>
      </c>
      <c r="AV290" s="1" t="s">
        <v>86</v>
      </c>
      <c r="AW290" s="1" t="s">
        <v>86</v>
      </c>
      <c r="AX290" s="1" t="s">
        <v>86</v>
      </c>
      <c r="AY290" s="1" t="s">
        <v>86</v>
      </c>
      <c r="AZ290" s="1" t="s">
        <v>86</v>
      </c>
      <c r="BA290" s="1" t="s">
        <v>86</v>
      </c>
      <c r="BB290" s="1" t="s">
        <v>86</v>
      </c>
      <c r="BC290" s="1" t="s">
        <v>86</v>
      </c>
      <c r="BD290" s="1" t="s">
        <v>86</v>
      </c>
      <c r="BE290" s="1" t="s">
        <v>86</v>
      </c>
      <c r="BF290" s="1" t="s">
        <v>86</v>
      </c>
      <c r="BG290" s="1" t="s">
        <v>86</v>
      </c>
      <c r="BH290" s="1" t="s">
        <v>97</v>
      </c>
      <c r="BI290" s="1" t="s">
        <v>576</v>
      </c>
      <c r="BJ290" s="1" t="s">
        <v>87</v>
      </c>
      <c r="BK290" s="1">
        <v>0</v>
      </c>
      <c r="BL290" s="1">
        <v>0</v>
      </c>
      <c r="BM290" s="1" t="s">
        <v>398</v>
      </c>
      <c r="BN290" s="1" t="s">
        <v>1623</v>
      </c>
      <c r="BO290" s="1" t="s">
        <v>726</v>
      </c>
      <c r="BP290" s="1" t="s">
        <v>86</v>
      </c>
      <c r="BQ290" s="1" t="s">
        <v>86</v>
      </c>
      <c r="BR290" s="1" t="s">
        <v>86</v>
      </c>
      <c r="BS290" s="1" t="s">
        <v>86</v>
      </c>
      <c r="BT290" s="1" t="s">
        <v>86</v>
      </c>
      <c r="BU290" s="1" t="s">
        <v>163</v>
      </c>
      <c r="BV290" s="1" t="s">
        <v>86</v>
      </c>
      <c r="BW290" s="1" t="s">
        <v>101</v>
      </c>
      <c r="BX290" s="1" t="s">
        <v>478</v>
      </c>
      <c r="BY290" s="1" t="s">
        <v>86</v>
      </c>
      <c r="BZ290" s="1" t="s">
        <v>1624</v>
      </c>
      <c r="CA290" s="1" t="s">
        <v>178</v>
      </c>
      <c r="CB290" s="1" t="s">
        <v>166</v>
      </c>
      <c r="CC290" s="1" t="s">
        <v>86</v>
      </c>
      <c r="CD290" s="1" t="s">
        <v>86</v>
      </c>
      <c r="CE290" s="1" t="s">
        <v>86</v>
      </c>
    </row>
    <row r="291">
      <c r="A291" s="1">
        <v>289</v>
      </c>
      <c r="B291" s="1" t="s">
        <v>395</v>
      </c>
      <c r="C291" s="2">
        <f>=HYPERLINK("https://i.stonehdfile.com/stoneimage?s=0dcdde57-c20b-4021-8095-a838709b8237","Image")</f>
      </c>
      <c r="D291" s="2">
        <f>=HYPERLINK("https://dna.stonehdfile.com/hd/viewhd.html?d=1c1ed302-b6d5-463c-85f1-b8d3f1d78622","View360")</f>
      </c>
      <c r="E291" s="2">
        <f>=HYPERLINK("https://i.stonehdfile.com/Certificate?s=0dcdde57-c20b-4021-8095-a838709b8237","GIA")</f>
      </c>
      <c r="F291" s="2">
        <f>=HYPERLINK("https://i.stonehdfile.com/DNAReport?s=0dcdde57-c20b-4021-8095-a838709b8237","DNA")</f>
      </c>
      <c r="G291" s="2">
        <f>=HYPERLINK("https://www.gia.edu/report-check?reportno=******0060","Verify")</f>
      </c>
      <c r="H291" s="1" t="s">
        <v>1625</v>
      </c>
      <c r="I291" s="1" t="s">
        <v>46</v>
      </c>
      <c r="J291" s="1">
        <v>2.02</v>
      </c>
      <c r="K291" s="1">
        <v>1</v>
      </c>
      <c r="L291" s="1">
        <v>9300</v>
      </c>
      <c r="M291" s="1">
        <v>4014</v>
      </c>
      <c r="N291" s="1">
        <v>8108.28</v>
      </c>
      <c r="O291" s="1">
        <v>-56.84</v>
      </c>
      <c r="P291" s="1">
        <v>0</v>
      </c>
      <c r="Q291" s="1" t="s">
        <v>86</v>
      </c>
      <c r="R291" s="1">
        <v>0</v>
      </c>
      <c r="S291" s="1" t="s">
        <v>86</v>
      </c>
      <c r="T291" s="1" t="s">
        <v>86</v>
      </c>
      <c r="U291" s="1" t="s">
        <v>118</v>
      </c>
      <c r="V291" s="1" t="s">
        <v>86</v>
      </c>
      <c r="W291" s="1" t="s">
        <v>137</v>
      </c>
      <c r="X291" s="1" t="s">
        <v>86</v>
      </c>
      <c r="Y291" s="1" t="s">
        <v>89</v>
      </c>
      <c r="Z291" s="1" t="s">
        <v>89</v>
      </c>
      <c r="AA291" s="1" t="s">
        <v>119</v>
      </c>
      <c r="AB291" s="1" t="s">
        <v>86</v>
      </c>
      <c r="AC291" s="1" t="s">
        <v>1626</v>
      </c>
      <c r="AD291" s="1">
        <v>71.6</v>
      </c>
      <c r="AE291" s="1">
        <v>61</v>
      </c>
      <c r="AF291" s="1" t="s">
        <v>91</v>
      </c>
      <c r="AG291" s="1">
        <v>4.5</v>
      </c>
      <c r="AH291" s="1">
        <v>37</v>
      </c>
      <c r="AI291" s="1" t="s">
        <v>86</v>
      </c>
      <c r="AJ291" s="1">
        <v>1.08</v>
      </c>
      <c r="AK291" s="1" t="s">
        <v>111</v>
      </c>
      <c r="AL291" s="1" t="s">
        <v>140</v>
      </c>
      <c r="AM291" s="1" t="s">
        <v>128</v>
      </c>
      <c r="AN291" s="1" t="s">
        <v>171</v>
      </c>
      <c r="AO291" s="1" t="s">
        <v>208</v>
      </c>
      <c r="AP291" s="1" t="s">
        <v>95</v>
      </c>
      <c r="AQ291" s="1">
        <v>14.8</v>
      </c>
      <c r="AR291" s="1">
        <v>51.7</v>
      </c>
      <c r="AS291" s="1">
        <v>38.3</v>
      </c>
      <c r="AT291" s="1" t="s">
        <v>96</v>
      </c>
      <c r="AU291" s="1" t="s">
        <v>86</v>
      </c>
      <c r="AV291" s="1" t="s">
        <v>86</v>
      </c>
      <c r="AW291" s="1" t="s">
        <v>86</v>
      </c>
      <c r="AX291" s="1" t="s">
        <v>86</v>
      </c>
      <c r="AY291" s="1" t="s">
        <v>86</v>
      </c>
      <c r="AZ291" s="1" t="s">
        <v>86</v>
      </c>
      <c r="BA291" s="1" t="s">
        <v>86</v>
      </c>
      <c r="BB291" s="1" t="s">
        <v>86</v>
      </c>
      <c r="BC291" s="1" t="s">
        <v>86</v>
      </c>
      <c r="BD291" s="1" t="s">
        <v>86</v>
      </c>
      <c r="BE291" s="1" t="s">
        <v>86</v>
      </c>
      <c r="BF291" s="1" t="s">
        <v>86</v>
      </c>
      <c r="BG291" s="1" t="s">
        <v>86</v>
      </c>
      <c r="BH291" s="1" t="s">
        <v>129</v>
      </c>
      <c r="BI291" s="1" t="s">
        <v>813</v>
      </c>
      <c r="BJ291" s="1" t="s">
        <v>87</v>
      </c>
      <c r="BK291" s="1">
        <v>0</v>
      </c>
      <c r="BL291" s="1">
        <v>0</v>
      </c>
      <c r="BM291" s="1" t="s">
        <v>398</v>
      </c>
      <c r="BN291" s="1" t="s">
        <v>1627</v>
      </c>
      <c r="BO291" s="1" t="s">
        <v>1628</v>
      </c>
      <c r="BP291" s="1" t="s">
        <v>86</v>
      </c>
      <c r="BQ291" s="1" t="s">
        <v>86</v>
      </c>
      <c r="BR291" s="1" t="s">
        <v>86</v>
      </c>
      <c r="BS291" s="1" t="s">
        <v>86</v>
      </c>
      <c r="BT291" s="1" t="s">
        <v>86</v>
      </c>
      <c r="BU291" s="1" t="s">
        <v>163</v>
      </c>
      <c r="BV291" s="1" t="s">
        <v>86</v>
      </c>
      <c r="BW291" s="1" t="s">
        <v>101</v>
      </c>
      <c r="BX291" s="1" t="s">
        <v>401</v>
      </c>
      <c r="BY291" s="1" t="s">
        <v>86</v>
      </c>
      <c r="BZ291" s="1" t="s">
        <v>1629</v>
      </c>
      <c r="CA291" s="1" t="s">
        <v>229</v>
      </c>
      <c r="CB291" s="1" t="s">
        <v>166</v>
      </c>
      <c r="CC291" s="1" t="s">
        <v>86</v>
      </c>
      <c r="CD291" s="1" t="s">
        <v>86</v>
      </c>
      <c r="CE291" s="1" t="s">
        <v>86</v>
      </c>
    </row>
    <row r="292">
      <c r="A292" s="1">
        <v>290</v>
      </c>
      <c r="B292" s="1" t="s">
        <v>395</v>
      </c>
      <c r="C292" s="2">
        <f>=HYPERLINK("https://i.stonehdfile.com/stoneimage?s=7134ecfd-7401-446c-9264-ff153d672807","Image")</f>
      </c>
      <c r="D292" s="2">
        <f>=HYPERLINK("https://dna.stonehdfile.com/hd/viewhd.html?d=d320fa47-cfa2-458a-b30a-1b76cf46a840","View360")</f>
      </c>
      <c r="E292" s="2">
        <f>=HYPERLINK("https://i.stonehdfile.com/Certificate?s=7134ecfd-7401-446c-9264-ff153d672807","GIA")</f>
      </c>
      <c r="F292" s="2">
        <f>=HYPERLINK("https://i.stonehdfile.com/DNAReport?s=7134ecfd-7401-446c-9264-ff153d672807","DNA")</f>
      </c>
      <c r="G292" s="2">
        <f>=HYPERLINK("https://www.gia.edu/report-check?reportno=******4216","Verify")</f>
      </c>
      <c r="H292" s="1" t="s">
        <v>1630</v>
      </c>
      <c r="I292" s="1" t="s">
        <v>46</v>
      </c>
      <c r="J292" s="1">
        <v>2.21</v>
      </c>
      <c r="K292" s="1">
        <v>6</v>
      </c>
      <c r="L292" s="1">
        <v>9300</v>
      </c>
      <c r="M292" s="1">
        <v>4452</v>
      </c>
      <c r="N292" s="1">
        <v>9838.92</v>
      </c>
      <c r="O292" s="1">
        <v>-52.13</v>
      </c>
      <c r="P292" s="1">
        <v>0</v>
      </c>
      <c r="Q292" s="1" t="s">
        <v>86</v>
      </c>
      <c r="R292" s="1">
        <v>0</v>
      </c>
      <c r="S292" s="1" t="s">
        <v>86</v>
      </c>
      <c r="T292" s="1" t="s">
        <v>86</v>
      </c>
      <c r="U292" s="1" t="s">
        <v>118</v>
      </c>
      <c r="V292" s="1" t="s">
        <v>86</v>
      </c>
      <c r="W292" s="1" t="s">
        <v>137</v>
      </c>
      <c r="X292" s="1" t="s">
        <v>86</v>
      </c>
      <c r="Y292" s="1" t="s">
        <v>89</v>
      </c>
      <c r="Z292" s="1" t="s">
        <v>138</v>
      </c>
      <c r="AA292" s="1" t="s">
        <v>119</v>
      </c>
      <c r="AB292" s="1" t="s">
        <v>86</v>
      </c>
      <c r="AC292" s="1" t="s">
        <v>1631</v>
      </c>
      <c r="AD292" s="1">
        <v>68.4</v>
      </c>
      <c r="AE292" s="1">
        <v>64</v>
      </c>
      <c r="AF292" s="1" t="s">
        <v>91</v>
      </c>
      <c r="AG292" s="1">
        <v>3.7</v>
      </c>
      <c r="AH292" s="1">
        <v>36.1</v>
      </c>
      <c r="AI292" s="1" t="s">
        <v>86</v>
      </c>
      <c r="AJ292" s="1">
        <v>1.08</v>
      </c>
      <c r="AK292" s="1" t="s">
        <v>111</v>
      </c>
      <c r="AL292" s="1" t="s">
        <v>140</v>
      </c>
      <c r="AM292" s="1" t="s">
        <v>151</v>
      </c>
      <c r="AN292" s="1" t="s">
        <v>171</v>
      </c>
      <c r="AO292" s="1" t="s">
        <v>94</v>
      </c>
      <c r="AP292" s="1" t="s">
        <v>95</v>
      </c>
      <c r="AQ292" s="1">
        <v>13.1</v>
      </c>
      <c r="AR292" s="1">
        <v>51.3</v>
      </c>
      <c r="AS292" s="1">
        <v>38.7</v>
      </c>
      <c r="AT292" s="1" t="s">
        <v>96</v>
      </c>
      <c r="AU292" s="1" t="s">
        <v>86</v>
      </c>
      <c r="AV292" s="1" t="s">
        <v>86</v>
      </c>
      <c r="AW292" s="1" t="s">
        <v>86</v>
      </c>
      <c r="AX292" s="1" t="s">
        <v>86</v>
      </c>
      <c r="AY292" s="1" t="s">
        <v>86</v>
      </c>
      <c r="AZ292" s="1" t="s">
        <v>86</v>
      </c>
      <c r="BA292" s="1" t="s">
        <v>86</v>
      </c>
      <c r="BB292" s="1" t="s">
        <v>86</v>
      </c>
      <c r="BC292" s="1" t="s">
        <v>86</v>
      </c>
      <c r="BD292" s="1" t="s">
        <v>86</v>
      </c>
      <c r="BE292" s="1" t="s">
        <v>86</v>
      </c>
      <c r="BF292" s="1" t="s">
        <v>86</v>
      </c>
      <c r="BG292" s="1" t="s">
        <v>86</v>
      </c>
      <c r="BH292" s="1" t="s">
        <v>215</v>
      </c>
      <c r="BI292" s="1" t="s">
        <v>459</v>
      </c>
      <c r="BJ292" s="1" t="s">
        <v>87</v>
      </c>
      <c r="BK292" s="1">
        <v>0</v>
      </c>
      <c r="BL292" s="1">
        <v>0</v>
      </c>
      <c r="BM292" s="1" t="s">
        <v>398</v>
      </c>
      <c r="BN292" s="1" t="s">
        <v>1632</v>
      </c>
      <c r="BO292" s="1" t="s">
        <v>732</v>
      </c>
      <c r="BP292" s="1" t="s">
        <v>86</v>
      </c>
      <c r="BQ292" s="1" t="s">
        <v>86</v>
      </c>
      <c r="BR292" s="1" t="s">
        <v>86</v>
      </c>
      <c r="BS292" s="1" t="s">
        <v>86</v>
      </c>
      <c r="BT292" s="1" t="s">
        <v>86</v>
      </c>
      <c r="BU292" s="1" t="s">
        <v>163</v>
      </c>
      <c r="BV292" s="1" t="s">
        <v>86</v>
      </c>
      <c r="BW292" s="1" t="s">
        <v>101</v>
      </c>
      <c r="BX292" s="1" t="s">
        <v>545</v>
      </c>
      <c r="BY292" s="1" t="s">
        <v>86</v>
      </c>
      <c r="BZ292" s="1" t="s">
        <v>1633</v>
      </c>
      <c r="CA292" s="1" t="s">
        <v>220</v>
      </c>
      <c r="CB292" s="1" t="s">
        <v>221</v>
      </c>
      <c r="CC292" s="1" t="s">
        <v>86</v>
      </c>
      <c r="CD292" s="1" t="s">
        <v>86</v>
      </c>
      <c r="CE292" s="1" t="s">
        <v>86</v>
      </c>
    </row>
    <row r="293">
      <c r="A293" s="1">
        <v>291</v>
      </c>
      <c r="B293" s="1" t="s">
        <v>395</v>
      </c>
      <c r="C293" s="2">
        <f>=HYPERLINK("https://i.stonehdfile.com/stoneimage?s=4220d3a6-e667-4591-94cf-e9b504146a95","Image")</f>
      </c>
      <c r="D293" s="2">
        <f>=HYPERLINK("https://dna.stonehdfile.com/hd/viewhd.html?d=85fa3fd1-7048-4687-985c-a728147f10aa","View360")</f>
      </c>
      <c r="E293" s="2">
        <f>=HYPERLINK("https://i.stonehdfile.com/Certificate?s=4220d3a6-e667-4591-94cf-e9b504146a95","GIA")</f>
      </c>
      <c r="F293" s="2">
        <f>=HYPERLINK("https://i.stonehdfile.com/DNAReport?s=4220d3a6-e667-4591-94cf-e9b504146a95","DNA")</f>
      </c>
      <c r="G293" s="2">
        <f>=HYPERLINK("https://www.gia.edu/report-check?reportno=******2497","Verify")</f>
      </c>
      <c r="H293" s="1" t="s">
        <v>1634</v>
      </c>
      <c r="I293" s="1" t="s">
        <v>46</v>
      </c>
      <c r="J293" s="1">
        <v>2.23</v>
      </c>
      <c r="K293" s="1">
        <v>1</v>
      </c>
      <c r="L293" s="1">
        <v>9300</v>
      </c>
      <c r="M293" s="1">
        <v>3891</v>
      </c>
      <c r="N293" s="1">
        <v>8676.93</v>
      </c>
      <c r="O293" s="1">
        <v>-58.16</v>
      </c>
      <c r="P293" s="1">
        <v>0</v>
      </c>
      <c r="Q293" s="1" t="s">
        <v>86</v>
      </c>
      <c r="R293" s="1">
        <v>0</v>
      </c>
      <c r="S293" s="1" t="s">
        <v>86</v>
      </c>
      <c r="T293" s="1" t="s">
        <v>86</v>
      </c>
      <c r="U293" s="1" t="s">
        <v>118</v>
      </c>
      <c r="V293" s="1" t="s">
        <v>86</v>
      </c>
      <c r="W293" s="1" t="s">
        <v>137</v>
      </c>
      <c r="X293" s="1" t="s">
        <v>86</v>
      </c>
      <c r="Y293" s="1" t="s">
        <v>89</v>
      </c>
      <c r="Z293" s="1" t="s">
        <v>89</v>
      </c>
      <c r="AA293" s="1" t="s">
        <v>119</v>
      </c>
      <c r="AB293" s="1" t="s">
        <v>86</v>
      </c>
      <c r="AC293" s="1" t="s">
        <v>1635</v>
      </c>
      <c r="AD293" s="1">
        <v>69.5</v>
      </c>
      <c r="AE293" s="1">
        <v>60</v>
      </c>
      <c r="AF293" s="1" t="s">
        <v>91</v>
      </c>
      <c r="AG293" s="1">
        <v>2.3</v>
      </c>
      <c r="AH293" s="1">
        <v>33.8</v>
      </c>
      <c r="AI293" s="1" t="s">
        <v>86</v>
      </c>
      <c r="AJ293" s="1">
        <v>1.01</v>
      </c>
      <c r="AK293" s="1" t="s">
        <v>198</v>
      </c>
      <c r="AL293" s="1" t="s">
        <v>93</v>
      </c>
      <c r="AM293" s="1" t="s">
        <v>151</v>
      </c>
      <c r="AN293" s="1" t="s">
        <v>168</v>
      </c>
      <c r="AO293" s="1" t="s">
        <v>208</v>
      </c>
      <c r="AP293" s="1" t="s">
        <v>95</v>
      </c>
      <c r="AQ293" s="1">
        <v>13.3</v>
      </c>
      <c r="AR293" s="1">
        <v>53.7</v>
      </c>
      <c r="AS293" s="1">
        <v>39.7</v>
      </c>
      <c r="AT293" s="1" t="s">
        <v>96</v>
      </c>
      <c r="AU293" s="1" t="s">
        <v>86</v>
      </c>
      <c r="AV293" s="1" t="s">
        <v>86</v>
      </c>
      <c r="AW293" s="1" t="s">
        <v>86</v>
      </c>
      <c r="AX293" s="1" t="s">
        <v>86</v>
      </c>
      <c r="AY293" s="1" t="s">
        <v>86</v>
      </c>
      <c r="AZ293" s="1" t="s">
        <v>86</v>
      </c>
      <c r="BA293" s="1" t="s">
        <v>86</v>
      </c>
      <c r="BB293" s="1" t="s">
        <v>86</v>
      </c>
      <c r="BC293" s="1" t="s">
        <v>86</v>
      </c>
      <c r="BD293" s="1" t="s">
        <v>86</v>
      </c>
      <c r="BE293" s="1" t="s">
        <v>86</v>
      </c>
      <c r="BF293" s="1" t="s">
        <v>86</v>
      </c>
      <c r="BG293" s="1" t="s">
        <v>86</v>
      </c>
      <c r="BH293" s="1" t="s">
        <v>182</v>
      </c>
      <c r="BI293" s="1" t="s">
        <v>715</v>
      </c>
      <c r="BJ293" s="1" t="s">
        <v>87</v>
      </c>
      <c r="BK293" s="1">
        <v>0</v>
      </c>
      <c r="BL293" s="1">
        <v>0</v>
      </c>
      <c r="BM293" s="1" t="s">
        <v>398</v>
      </c>
      <c r="BN293" s="1" t="s">
        <v>1636</v>
      </c>
      <c r="BO293" s="1" t="s">
        <v>1121</v>
      </c>
      <c r="BP293" s="1" t="s">
        <v>86</v>
      </c>
      <c r="BQ293" s="1" t="s">
        <v>86</v>
      </c>
      <c r="BR293" s="1" t="s">
        <v>86</v>
      </c>
      <c r="BS293" s="1" t="s">
        <v>86</v>
      </c>
      <c r="BT293" s="1" t="s">
        <v>86</v>
      </c>
      <c r="BU293" s="1" t="s">
        <v>163</v>
      </c>
      <c r="BV293" s="1" t="s">
        <v>86</v>
      </c>
      <c r="BW293" s="1" t="s">
        <v>101</v>
      </c>
      <c r="BX293" s="1" t="s">
        <v>545</v>
      </c>
      <c r="BY293" s="1" t="s">
        <v>86</v>
      </c>
      <c r="BZ293" s="1" t="s">
        <v>1637</v>
      </c>
      <c r="CA293" s="1" t="s">
        <v>278</v>
      </c>
      <c r="CB293" s="1" t="s">
        <v>547</v>
      </c>
      <c r="CC293" s="1" t="s">
        <v>86</v>
      </c>
      <c r="CD293" s="1" t="s">
        <v>86</v>
      </c>
      <c r="CE293" s="1" t="s">
        <v>86</v>
      </c>
    </row>
    <row r="294">
      <c r="A294" s="1">
        <v>292</v>
      </c>
      <c r="B294" s="1" t="s">
        <v>395</v>
      </c>
      <c r="C294" s="2">
        <f>=HYPERLINK("https://i.stonehdfile.com/stoneimage?s=51ab7e83-c8cb-4f27-82f7-46bd088964f9","Image")</f>
      </c>
      <c r="D294" s="2">
        <f>=HYPERLINK("https://dna.stonehdfile.com/hd/viewhd.html?d=441ed277-1516-4dd0-aac6-33d1d4c4dc34","View360")</f>
      </c>
      <c r="E294" s="2">
        <f>=HYPERLINK("https://i.stonehdfile.com/Certificate?s=51ab7e83-c8cb-4f27-82f7-46bd088964f9","GIA")</f>
      </c>
      <c r="F294" s="2">
        <f>=HYPERLINK("https://i.stonehdfile.com/DNAReport?s=51ab7e83-c8cb-4f27-82f7-46bd088964f9","DNA")</f>
      </c>
      <c r="G294" s="2">
        <f>=HYPERLINK("https://www.gia.edu/report-check?reportno=******2991","Verify")</f>
      </c>
      <c r="H294" s="1" t="s">
        <v>1638</v>
      </c>
      <c r="I294" s="1" t="s">
        <v>46</v>
      </c>
      <c r="J294" s="1">
        <v>2.03</v>
      </c>
      <c r="K294" s="1">
        <v>6</v>
      </c>
      <c r="L294" s="1">
        <v>8500</v>
      </c>
      <c r="M294" s="1">
        <v>4031</v>
      </c>
      <c r="N294" s="1">
        <v>8182.93</v>
      </c>
      <c r="O294" s="1">
        <v>-52.58</v>
      </c>
      <c r="P294" s="1">
        <v>0</v>
      </c>
      <c r="Q294" s="1" t="s">
        <v>86</v>
      </c>
      <c r="R294" s="1">
        <v>0</v>
      </c>
      <c r="S294" s="1" t="s">
        <v>86</v>
      </c>
      <c r="T294" s="1" t="s">
        <v>86</v>
      </c>
      <c r="U294" s="1" t="s">
        <v>118</v>
      </c>
      <c r="V294" s="1" t="s">
        <v>86</v>
      </c>
      <c r="W294" s="1" t="s">
        <v>213</v>
      </c>
      <c r="X294" s="1" t="s">
        <v>86</v>
      </c>
      <c r="Y294" s="1" t="s">
        <v>89</v>
      </c>
      <c r="Z294" s="1" t="s">
        <v>138</v>
      </c>
      <c r="AA294" s="1" t="s">
        <v>119</v>
      </c>
      <c r="AB294" s="1" t="s">
        <v>86</v>
      </c>
      <c r="AC294" s="1" t="s">
        <v>1639</v>
      </c>
      <c r="AD294" s="1">
        <v>68.1</v>
      </c>
      <c r="AE294" s="1">
        <v>65</v>
      </c>
      <c r="AF294" s="1" t="s">
        <v>91</v>
      </c>
      <c r="AG294" s="1">
        <v>3.1</v>
      </c>
      <c r="AH294" s="1">
        <v>35.4</v>
      </c>
      <c r="AI294" s="1" t="s">
        <v>86</v>
      </c>
      <c r="AJ294" s="1">
        <v>1.07</v>
      </c>
      <c r="AK294" s="1" t="s">
        <v>111</v>
      </c>
      <c r="AL294" s="1" t="s">
        <v>93</v>
      </c>
      <c r="AM294" s="1" t="s">
        <v>140</v>
      </c>
      <c r="AN294" s="1" t="s">
        <v>168</v>
      </c>
      <c r="AO294" s="1" t="s">
        <v>208</v>
      </c>
      <c r="AP294" s="1" t="s">
        <v>95</v>
      </c>
      <c r="AQ294" s="1">
        <v>12.7</v>
      </c>
      <c r="AR294" s="1">
        <v>52.2</v>
      </c>
      <c r="AS294" s="1">
        <v>39.2</v>
      </c>
      <c r="AT294" s="1" t="s">
        <v>96</v>
      </c>
      <c r="AU294" s="1" t="s">
        <v>86</v>
      </c>
      <c r="AV294" s="1" t="s">
        <v>86</v>
      </c>
      <c r="AW294" s="1" t="s">
        <v>86</v>
      </c>
      <c r="AX294" s="1" t="s">
        <v>86</v>
      </c>
      <c r="AY294" s="1" t="s">
        <v>86</v>
      </c>
      <c r="AZ294" s="1" t="s">
        <v>86</v>
      </c>
      <c r="BA294" s="1" t="s">
        <v>86</v>
      </c>
      <c r="BB294" s="1" t="s">
        <v>86</v>
      </c>
      <c r="BC294" s="1" t="s">
        <v>86</v>
      </c>
      <c r="BD294" s="1" t="s">
        <v>86</v>
      </c>
      <c r="BE294" s="1" t="s">
        <v>86</v>
      </c>
      <c r="BF294" s="1" t="s">
        <v>86</v>
      </c>
      <c r="BG294" s="1" t="s">
        <v>86</v>
      </c>
      <c r="BH294" s="1" t="s">
        <v>97</v>
      </c>
      <c r="BI294" s="1" t="s">
        <v>174</v>
      </c>
      <c r="BJ294" s="1" t="s">
        <v>87</v>
      </c>
      <c r="BK294" s="1">
        <v>0</v>
      </c>
      <c r="BL294" s="1">
        <v>0</v>
      </c>
      <c r="BM294" s="1" t="s">
        <v>398</v>
      </c>
      <c r="BN294" s="1" t="s">
        <v>1640</v>
      </c>
      <c r="BO294" s="1" t="s">
        <v>630</v>
      </c>
      <c r="BP294" s="1" t="s">
        <v>86</v>
      </c>
      <c r="BQ294" s="1" t="s">
        <v>86</v>
      </c>
      <c r="BR294" s="1" t="s">
        <v>86</v>
      </c>
      <c r="BS294" s="1" t="s">
        <v>86</v>
      </c>
      <c r="BT294" s="1" t="s">
        <v>86</v>
      </c>
      <c r="BU294" s="1" t="s">
        <v>163</v>
      </c>
      <c r="BV294" s="1" t="s">
        <v>86</v>
      </c>
      <c r="BW294" s="1" t="s">
        <v>101</v>
      </c>
      <c r="BX294" s="1" t="s">
        <v>478</v>
      </c>
      <c r="BY294" s="1" t="s">
        <v>86</v>
      </c>
      <c r="BZ294" s="1" t="s">
        <v>1641</v>
      </c>
      <c r="CA294" s="1" t="s">
        <v>769</v>
      </c>
      <c r="CB294" s="1" t="s">
        <v>166</v>
      </c>
      <c r="CC294" s="1" t="s">
        <v>86</v>
      </c>
      <c r="CD294" s="1" t="s">
        <v>86</v>
      </c>
      <c r="CE294" s="1" t="s">
        <v>86</v>
      </c>
    </row>
    <row r="295">
      <c r="A295" s="1">
        <v>293</v>
      </c>
      <c r="B295" s="1" t="s">
        <v>395</v>
      </c>
      <c r="C295" s="2">
        <f>=HYPERLINK("https://i.stonehdfile.com/stoneimage?s=25b818d5-4549-40bb-b75d-ad7bd76da1fe","Image")</f>
      </c>
      <c r="D295" s="2">
        <f>=HYPERLINK("https://dna.stonehdfile.com/hd/viewhd.html?d=22c5eb58-a08e-40af-ab86-ce1ed122c735","View360")</f>
      </c>
      <c r="E295" s="2">
        <f>=HYPERLINK("https://i.stonehdfile.com/Certificate?s=25b818d5-4549-40bb-b75d-ad7bd76da1fe","GIA")</f>
      </c>
      <c r="F295" s="2">
        <f>=HYPERLINK("https://i.stonehdfile.com/DNAReport?s=25b818d5-4549-40bb-b75d-ad7bd76da1fe","DNA")</f>
      </c>
      <c r="G295" s="2">
        <f>=HYPERLINK("https://www.gia.edu/report-check?reportno=******3751","Verify")</f>
      </c>
      <c r="H295" s="1" t="s">
        <v>1642</v>
      </c>
      <c r="I295" s="1" t="s">
        <v>46</v>
      </c>
      <c r="J295" s="1">
        <v>3.01</v>
      </c>
      <c r="K295" s="1">
        <v>8</v>
      </c>
      <c r="L295" s="1">
        <v>23000</v>
      </c>
      <c r="M295" s="1">
        <v>12925</v>
      </c>
      <c r="N295" s="1">
        <v>38904.25</v>
      </c>
      <c r="O295" s="1">
        <v>-43.8</v>
      </c>
      <c r="P295" s="1">
        <v>0</v>
      </c>
      <c r="Q295" s="1" t="s">
        <v>86</v>
      </c>
      <c r="R295" s="1">
        <v>0</v>
      </c>
      <c r="S295" s="1" t="s">
        <v>86</v>
      </c>
      <c r="T295" s="1" t="s">
        <v>86</v>
      </c>
      <c r="U295" s="1" t="s">
        <v>168</v>
      </c>
      <c r="V295" s="1" t="s">
        <v>86</v>
      </c>
      <c r="W295" s="1" t="s">
        <v>169</v>
      </c>
      <c r="X295" s="1" t="s">
        <v>86</v>
      </c>
      <c r="Y295" s="1" t="s">
        <v>89</v>
      </c>
      <c r="Z295" s="1" t="s">
        <v>89</v>
      </c>
      <c r="AA295" s="1" t="s">
        <v>119</v>
      </c>
      <c r="AB295" s="1" t="s">
        <v>86</v>
      </c>
      <c r="AC295" s="1" t="s">
        <v>1643</v>
      </c>
      <c r="AD295" s="1">
        <v>69</v>
      </c>
      <c r="AE295" s="1">
        <v>59</v>
      </c>
      <c r="AF295" s="1" t="s">
        <v>91</v>
      </c>
      <c r="AG295" s="1">
        <v>2.3</v>
      </c>
      <c r="AH295" s="1">
        <v>34.5</v>
      </c>
      <c r="AI295" s="1" t="s">
        <v>86</v>
      </c>
      <c r="AJ295" s="1">
        <v>1.11</v>
      </c>
      <c r="AK295" s="1" t="s">
        <v>190</v>
      </c>
      <c r="AL295" s="1" t="s">
        <v>93</v>
      </c>
      <c r="AM295" s="1" t="s">
        <v>93</v>
      </c>
      <c r="AN295" s="1" t="s">
        <v>168</v>
      </c>
      <c r="AO295" s="1" t="s">
        <v>94</v>
      </c>
      <c r="AP295" s="1" t="s">
        <v>95</v>
      </c>
      <c r="AQ295" s="1">
        <v>14.1</v>
      </c>
      <c r="AR295" s="1">
        <v>52.2</v>
      </c>
      <c r="AS295" s="1">
        <v>38.2</v>
      </c>
      <c r="AT295" s="1" t="s">
        <v>96</v>
      </c>
      <c r="AU295" s="1" t="s">
        <v>86</v>
      </c>
      <c r="AV295" s="1" t="s">
        <v>86</v>
      </c>
      <c r="AW295" s="1" t="s">
        <v>86</v>
      </c>
      <c r="AX295" s="1" t="s">
        <v>86</v>
      </c>
      <c r="AY295" s="1" t="s">
        <v>86</v>
      </c>
      <c r="AZ295" s="1" t="s">
        <v>86</v>
      </c>
      <c r="BA295" s="1" t="s">
        <v>86</v>
      </c>
      <c r="BB295" s="1" t="s">
        <v>86</v>
      </c>
      <c r="BC295" s="1" t="s">
        <v>86</v>
      </c>
      <c r="BD295" s="1" t="s">
        <v>86</v>
      </c>
      <c r="BE295" s="1" t="s">
        <v>86</v>
      </c>
      <c r="BF295" s="1" t="s">
        <v>86</v>
      </c>
      <c r="BG295" s="1" t="s">
        <v>86</v>
      </c>
      <c r="BH295" s="1" t="s">
        <v>142</v>
      </c>
      <c r="BI295" s="1" t="s">
        <v>715</v>
      </c>
      <c r="BJ295" s="1" t="s">
        <v>87</v>
      </c>
      <c r="BK295" s="1">
        <v>0</v>
      </c>
      <c r="BL295" s="1">
        <v>0</v>
      </c>
      <c r="BM295" s="1" t="s">
        <v>398</v>
      </c>
      <c r="BN295" s="1" t="s">
        <v>1644</v>
      </c>
      <c r="BO295" s="1" t="s">
        <v>1645</v>
      </c>
      <c r="BP295" s="1" t="s">
        <v>86</v>
      </c>
      <c r="BQ295" s="1" t="s">
        <v>86</v>
      </c>
      <c r="BR295" s="1" t="s">
        <v>86</v>
      </c>
      <c r="BS295" s="1" t="s">
        <v>86</v>
      </c>
      <c r="BT295" s="1" t="s">
        <v>86</v>
      </c>
      <c r="BU295" s="1" t="s">
        <v>163</v>
      </c>
      <c r="BV295" s="1" t="s">
        <v>86</v>
      </c>
      <c r="BW295" s="1" t="s">
        <v>101</v>
      </c>
      <c r="BX295" s="1" t="s">
        <v>414</v>
      </c>
      <c r="BY295" s="1" t="s">
        <v>86</v>
      </c>
      <c r="BZ295" s="1" t="s">
        <v>1646</v>
      </c>
      <c r="CA295" s="1" t="s">
        <v>946</v>
      </c>
      <c r="CB295" s="1" t="s">
        <v>269</v>
      </c>
      <c r="CC295" s="1" t="s">
        <v>86</v>
      </c>
      <c r="CD295" s="1" t="s">
        <v>86</v>
      </c>
      <c r="CE295" s="1" t="s">
        <v>86</v>
      </c>
    </row>
    <row r="296">
      <c r="A296" s="1">
        <v>294</v>
      </c>
      <c r="B296" s="1" t="s">
        <v>395</v>
      </c>
      <c r="C296" s="2">
        <f>=HYPERLINK("https://i.stonehdfile.com/stoneimage?s=e7829287-a6e3-406c-bca2-5b425ec9e7a3","Image")</f>
      </c>
      <c r="D296" s="2">
        <f>=HYPERLINK("https://dna.stonehdfile.com/hd/viewhd.html?d=18ee28e3-23fe-400b-97f3-c7f1f47bf775","View360")</f>
      </c>
      <c r="E296" s="2">
        <f>=HYPERLINK("https://i.stonehdfile.com/Certificate?s=e7829287-a6e3-406c-bca2-5b425ec9e7a3","GIA")</f>
      </c>
      <c r="F296" s="2">
        <f>=HYPERLINK("https://i.stonehdfile.com/DNAReport?s=e7829287-a6e3-406c-bca2-5b425ec9e7a3","DNA")</f>
      </c>
      <c r="G296" s="2">
        <f>=HYPERLINK("https://www.gia.edu/report-check?reportno=******3274","Verify")</f>
      </c>
      <c r="H296" s="1" t="s">
        <v>1647</v>
      </c>
      <c r="I296" s="1" t="s">
        <v>46</v>
      </c>
      <c r="J296" s="1">
        <v>3</v>
      </c>
      <c r="K296" s="1">
        <v>3</v>
      </c>
      <c r="L296" s="1">
        <v>17500</v>
      </c>
      <c r="M296" s="1">
        <v>8594</v>
      </c>
      <c r="N296" s="1">
        <v>25782</v>
      </c>
      <c r="O296" s="1">
        <v>-50.89</v>
      </c>
      <c r="P296" s="1">
        <v>0</v>
      </c>
      <c r="Q296" s="1" t="s">
        <v>86</v>
      </c>
      <c r="R296" s="1">
        <v>0</v>
      </c>
      <c r="S296" s="1" t="s">
        <v>86</v>
      </c>
      <c r="T296" s="1" t="s">
        <v>86</v>
      </c>
      <c r="U296" s="1" t="s">
        <v>168</v>
      </c>
      <c r="V296" s="1" t="s">
        <v>86</v>
      </c>
      <c r="W296" s="1" t="s">
        <v>213</v>
      </c>
      <c r="X296" s="1" t="s">
        <v>86</v>
      </c>
      <c r="Y296" s="1" t="s">
        <v>89</v>
      </c>
      <c r="Z296" s="1" t="s">
        <v>89</v>
      </c>
      <c r="AA296" s="1" t="s">
        <v>119</v>
      </c>
      <c r="AB296" s="1" t="s">
        <v>86</v>
      </c>
      <c r="AC296" s="1" t="s">
        <v>1648</v>
      </c>
      <c r="AD296" s="1">
        <v>67.7</v>
      </c>
      <c r="AE296" s="1">
        <v>64</v>
      </c>
      <c r="AF296" s="1" t="s">
        <v>91</v>
      </c>
      <c r="AG296" s="1">
        <v>3.3</v>
      </c>
      <c r="AH296" s="1">
        <v>34.2</v>
      </c>
      <c r="AI296" s="1" t="s">
        <v>86</v>
      </c>
      <c r="AJ296" s="1">
        <v>1.13</v>
      </c>
      <c r="AK296" s="1" t="s">
        <v>111</v>
      </c>
      <c r="AL296" s="1" t="s">
        <v>93</v>
      </c>
      <c r="AM296" s="1" t="s">
        <v>151</v>
      </c>
      <c r="AN296" s="1" t="s">
        <v>168</v>
      </c>
      <c r="AO296" s="1" t="s">
        <v>208</v>
      </c>
      <c r="AP296" s="1" t="s">
        <v>95</v>
      </c>
      <c r="AQ296" s="1">
        <v>12.4</v>
      </c>
      <c r="AR296" s="1">
        <v>52</v>
      </c>
      <c r="AS296" s="1">
        <v>38.6</v>
      </c>
      <c r="AT296" s="1" t="s">
        <v>96</v>
      </c>
      <c r="AU296" s="1" t="s">
        <v>86</v>
      </c>
      <c r="AV296" s="1" t="s">
        <v>86</v>
      </c>
      <c r="AW296" s="1" t="s">
        <v>141</v>
      </c>
      <c r="AX296" s="1" t="s">
        <v>86</v>
      </c>
      <c r="AY296" s="1" t="s">
        <v>86</v>
      </c>
      <c r="AZ296" s="1" t="s">
        <v>86</v>
      </c>
      <c r="BA296" s="1" t="s">
        <v>86</v>
      </c>
      <c r="BB296" s="1" t="s">
        <v>86</v>
      </c>
      <c r="BC296" s="1" t="s">
        <v>86</v>
      </c>
      <c r="BD296" s="1" t="s">
        <v>86</v>
      </c>
      <c r="BE296" s="1" t="s">
        <v>86</v>
      </c>
      <c r="BF296" s="1" t="s">
        <v>86</v>
      </c>
      <c r="BG296" s="1" t="s">
        <v>86</v>
      </c>
      <c r="BH296" s="1" t="s">
        <v>97</v>
      </c>
      <c r="BI296" s="1" t="s">
        <v>232</v>
      </c>
      <c r="BJ296" s="1" t="s">
        <v>87</v>
      </c>
      <c r="BK296" s="1">
        <v>0</v>
      </c>
      <c r="BL296" s="1">
        <v>0</v>
      </c>
      <c r="BM296" s="1" t="s">
        <v>398</v>
      </c>
      <c r="BN296" s="1" t="s">
        <v>1649</v>
      </c>
      <c r="BO296" s="1" t="s">
        <v>705</v>
      </c>
      <c r="BP296" s="1" t="s">
        <v>86</v>
      </c>
      <c r="BQ296" s="1" t="s">
        <v>86</v>
      </c>
      <c r="BR296" s="1" t="s">
        <v>86</v>
      </c>
      <c r="BS296" s="1" t="s">
        <v>86</v>
      </c>
      <c r="BT296" s="1" t="s">
        <v>86</v>
      </c>
      <c r="BU296" s="1" t="s">
        <v>163</v>
      </c>
      <c r="BV296" s="1" t="s">
        <v>86</v>
      </c>
      <c r="BW296" s="1" t="s">
        <v>101</v>
      </c>
      <c r="BX296" s="1" t="s">
        <v>470</v>
      </c>
      <c r="BY296" s="1" t="s">
        <v>86</v>
      </c>
      <c r="BZ296" s="1" t="s">
        <v>1650</v>
      </c>
      <c r="CA296" s="1" t="s">
        <v>671</v>
      </c>
      <c r="CB296" s="1" t="s">
        <v>221</v>
      </c>
      <c r="CC296" s="1" t="s">
        <v>86</v>
      </c>
      <c r="CD296" s="1" t="s">
        <v>86</v>
      </c>
      <c r="CE296" s="1" t="s">
        <v>86</v>
      </c>
    </row>
    <row r="297">
      <c r="A297" s="1">
        <v>295</v>
      </c>
      <c r="B297" s="1" t="s">
        <v>395</v>
      </c>
      <c r="C297" s="2">
        <f>=HYPERLINK("https://i.stonehdfile.com/stoneimage?s=384d5899-3fff-4ced-bf27-d4a7f6c5f5a7","Image")</f>
      </c>
      <c r="D297" s="2">
        <f>=HYPERLINK("https://dna.stonehdfile.com/hd/viewhd.html?d=009df10c-c85c-40bd-bf77-ad7d0eabc25f","View360")</f>
      </c>
      <c r="E297" s="2">
        <f>=HYPERLINK("https://i.stonehdfile.com/Certificate?s=384d5899-3fff-4ced-bf27-d4a7f6c5f5a7","GIA")</f>
      </c>
      <c r="F297" s="2">
        <f>=HYPERLINK("https://i.stonehdfile.com/DNAReport?s=384d5899-3fff-4ced-bf27-d4a7f6c5f5a7","DNA")</f>
      </c>
      <c r="G297" s="2">
        <f>=HYPERLINK("https://www.gia.edu/report-check?reportno=******6370","Verify")</f>
      </c>
      <c r="H297" s="1" t="s">
        <v>1651</v>
      </c>
      <c r="I297" s="1" t="s">
        <v>46</v>
      </c>
      <c r="J297" s="1">
        <v>3.05</v>
      </c>
      <c r="K297" s="1">
        <v>5</v>
      </c>
      <c r="L297" s="1">
        <v>22500</v>
      </c>
      <c r="M297" s="1">
        <v>12062</v>
      </c>
      <c r="N297" s="1">
        <v>36789.1</v>
      </c>
      <c r="O297" s="1">
        <v>-46.39</v>
      </c>
      <c r="P297" s="1">
        <v>0</v>
      </c>
      <c r="Q297" s="1" t="s">
        <v>86</v>
      </c>
      <c r="R297" s="1">
        <v>0</v>
      </c>
      <c r="S297" s="1" t="s">
        <v>86</v>
      </c>
      <c r="T297" s="1" t="s">
        <v>86</v>
      </c>
      <c r="U297" s="1" t="s">
        <v>87</v>
      </c>
      <c r="V297" s="1" t="s">
        <v>86</v>
      </c>
      <c r="W297" s="1" t="s">
        <v>352</v>
      </c>
      <c r="X297" s="1" t="s">
        <v>86</v>
      </c>
      <c r="Y297" s="1" t="s">
        <v>89</v>
      </c>
      <c r="Z297" s="1" t="s">
        <v>89</v>
      </c>
      <c r="AA297" s="1" t="s">
        <v>119</v>
      </c>
      <c r="AB297" s="1" t="s">
        <v>86</v>
      </c>
      <c r="AC297" s="1" t="s">
        <v>1652</v>
      </c>
      <c r="AD297" s="1">
        <v>67.1</v>
      </c>
      <c r="AE297" s="1">
        <v>61</v>
      </c>
      <c r="AF297" s="1" t="s">
        <v>91</v>
      </c>
      <c r="AG297" s="1">
        <v>1.9</v>
      </c>
      <c r="AH297" s="1">
        <v>35.4</v>
      </c>
      <c r="AI297" s="1" t="s">
        <v>86</v>
      </c>
      <c r="AJ297" s="1">
        <v>1.14</v>
      </c>
      <c r="AK297" s="1" t="s">
        <v>190</v>
      </c>
      <c r="AL297" s="1" t="s">
        <v>128</v>
      </c>
      <c r="AM297" s="1" t="s">
        <v>140</v>
      </c>
      <c r="AN297" s="1" t="s">
        <v>171</v>
      </c>
      <c r="AO297" s="1" t="s">
        <v>94</v>
      </c>
      <c r="AP297" s="1" t="s">
        <v>95</v>
      </c>
      <c r="AQ297" s="1">
        <v>14</v>
      </c>
      <c r="AR297" s="1">
        <v>50.6</v>
      </c>
      <c r="AS297" s="1">
        <v>38.2</v>
      </c>
      <c r="AT297" s="1" t="s">
        <v>96</v>
      </c>
      <c r="AU297" s="1" t="s">
        <v>86</v>
      </c>
      <c r="AV297" s="1" t="s">
        <v>86</v>
      </c>
      <c r="AW297" s="1" t="s">
        <v>86</v>
      </c>
      <c r="AX297" s="1" t="s">
        <v>86</v>
      </c>
      <c r="AY297" s="1" t="s">
        <v>86</v>
      </c>
      <c r="AZ297" s="1" t="s">
        <v>86</v>
      </c>
      <c r="BA297" s="1" t="s">
        <v>86</v>
      </c>
      <c r="BB297" s="1" t="s">
        <v>86</v>
      </c>
      <c r="BC297" s="1" t="s">
        <v>86</v>
      </c>
      <c r="BD297" s="1" t="s">
        <v>86</v>
      </c>
      <c r="BE297" s="1" t="s">
        <v>86</v>
      </c>
      <c r="BF297" s="1" t="s">
        <v>86</v>
      </c>
      <c r="BG297" s="1" t="s">
        <v>86</v>
      </c>
      <c r="BH297" s="1" t="s">
        <v>657</v>
      </c>
      <c r="BI297" s="1" t="s">
        <v>658</v>
      </c>
      <c r="BJ297" s="1" t="s">
        <v>87</v>
      </c>
      <c r="BK297" s="1">
        <v>0</v>
      </c>
      <c r="BL297" s="1">
        <v>0</v>
      </c>
      <c r="BM297" s="1" t="s">
        <v>398</v>
      </c>
      <c r="BN297" s="1" t="s">
        <v>1653</v>
      </c>
      <c r="BO297" s="1" t="s">
        <v>317</v>
      </c>
      <c r="BP297" s="1" t="s">
        <v>86</v>
      </c>
      <c r="BQ297" s="1" t="s">
        <v>86</v>
      </c>
      <c r="BR297" s="1" t="s">
        <v>86</v>
      </c>
      <c r="BS297" s="1" t="s">
        <v>86</v>
      </c>
      <c r="BT297" s="1" t="s">
        <v>86</v>
      </c>
      <c r="BU297" s="1" t="s">
        <v>163</v>
      </c>
      <c r="BV297" s="1" t="s">
        <v>86</v>
      </c>
      <c r="BW297" s="1" t="s">
        <v>101</v>
      </c>
      <c r="BX297" s="1" t="s">
        <v>867</v>
      </c>
      <c r="BY297" s="1" t="s">
        <v>86</v>
      </c>
      <c r="BZ297" s="1" t="s">
        <v>1654</v>
      </c>
      <c r="CA297" s="1" t="s">
        <v>220</v>
      </c>
      <c r="CB297" s="1" t="s">
        <v>221</v>
      </c>
      <c r="CC297" s="1" t="s">
        <v>86</v>
      </c>
      <c r="CD297" s="1" t="s">
        <v>86</v>
      </c>
      <c r="CE297" s="1" t="s">
        <v>86</v>
      </c>
    </row>
    <row r="298">
      <c r="A298" s="1">
        <v>296</v>
      </c>
      <c r="B298" s="1" t="s">
        <v>395</v>
      </c>
      <c r="C298" s="2">
        <f>=HYPERLINK("https://i.stonehdfile.com/stoneimage?s=c4b9e1ec-66fa-4ee3-9771-a3f8643ef18c","Image")</f>
      </c>
      <c r="D298" s="2">
        <f>=HYPERLINK("https://dna.stonehdfile.com/hd/viewhd.html?d=1ecaa964-2e22-46c3-8a09-e57713604324","View360")</f>
      </c>
      <c r="E298" s="2">
        <f>=HYPERLINK("https://i.stonehdfile.com/Certificate?s=c4b9e1ec-66fa-4ee3-9771-a3f8643ef18c","GIA")</f>
      </c>
      <c r="F298" s="2">
        <f>=HYPERLINK("https://i.stonehdfile.com/DNAReport?s=c4b9e1ec-66fa-4ee3-9771-a3f8643ef18c","DNA")</f>
      </c>
      <c r="G298" s="2">
        <f>=HYPERLINK("https://www.gia.edu/report-check?reportno=******7144","Verify")</f>
      </c>
      <c r="H298" s="1" t="s">
        <v>1655</v>
      </c>
      <c r="I298" s="1" t="s">
        <v>46</v>
      </c>
      <c r="J298" s="1">
        <v>3.01</v>
      </c>
      <c r="K298" s="1">
        <v>8</v>
      </c>
      <c r="L298" s="1">
        <v>22500</v>
      </c>
      <c r="M298" s="1">
        <v>11662</v>
      </c>
      <c r="N298" s="1">
        <v>35102.62</v>
      </c>
      <c r="O298" s="1">
        <v>-48.17</v>
      </c>
      <c r="P298" s="1">
        <v>0</v>
      </c>
      <c r="Q298" s="1" t="s">
        <v>86</v>
      </c>
      <c r="R298" s="1">
        <v>0</v>
      </c>
      <c r="S298" s="1" t="s">
        <v>86</v>
      </c>
      <c r="T298" s="1" t="s">
        <v>86</v>
      </c>
      <c r="U298" s="1" t="s">
        <v>87</v>
      </c>
      <c r="V298" s="1" t="s">
        <v>86</v>
      </c>
      <c r="W298" s="1" t="s">
        <v>223</v>
      </c>
      <c r="X298" s="1" t="s">
        <v>86</v>
      </c>
      <c r="Y298" s="1" t="s">
        <v>89</v>
      </c>
      <c r="Z298" s="1" t="s">
        <v>89</v>
      </c>
      <c r="AA298" s="1" t="s">
        <v>119</v>
      </c>
      <c r="AB298" s="1" t="s">
        <v>86</v>
      </c>
      <c r="AC298" s="1" t="s">
        <v>1656</v>
      </c>
      <c r="AD298" s="1">
        <v>68.5</v>
      </c>
      <c r="AE298" s="1">
        <v>59</v>
      </c>
      <c r="AF298" s="1" t="s">
        <v>91</v>
      </c>
      <c r="AG298" s="1">
        <v>4.45</v>
      </c>
      <c r="AH298" s="1">
        <v>38.2</v>
      </c>
      <c r="AI298" s="1" t="s">
        <v>86</v>
      </c>
      <c r="AJ298" s="1">
        <v>1.02</v>
      </c>
      <c r="AK298" s="1" t="s">
        <v>111</v>
      </c>
      <c r="AL298" s="1" t="s">
        <v>128</v>
      </c>
      <c r="AM298" s="1" t="s">
        <v>128</v>
      </c>
      <c r="AN298" s="1" t="s">
        <v>171</v>
      </c>
      <c r="AO298" s="1" t="s">
        <v>94</v>
      </c>
      <c r="AP298" s="1" t="s">
        <v>95</v>
      </c>
      <c r="AQ298" s="1">
        <v>16.1</v>
      </c>
      <c r="AR298" s="1">
        <v>47.5</v>
      </c>
      <c r="AS298" s="1">
        <v>36.2</v>
      </c>
      <c r="AT298" s="1" t="s">
        <v>96</v>
      </c>
      <c r="AU298" s="1" t="s">
        <v>86</v>
      </c>
      <c r="AV298" s="1" t="s">
        <v>86</v>
      </c>
      <c r="AW298" s="1" t="s">
        <v>86</v>
      </c>
      <c r="AX298" s="1" t="s">
        <v>86</v>
      </c>
      <c r="AY298" s="1" t="s">
        <v>86</v>
      </c>
      <c r="AZ298" s="1" t="s">
        <v>86</v>
      </c>
      <c r="BA298" s="1" t="s">
        <v>86</v>
      </c>
      <c r="BB298" s="1" t="s">
        <v>86</v>
      </c>
      <c r="BC298" s="1" t="s">
        <v>1608</v>
      </c>
      <c r="BD298" s="1" t="s">
        <v>86</v>
      </c>
      <c r="BE298" s="1" t="s">
        <v>86</v>
      </c>
      <c r="BF298" s="1" t="s">
        <v>86</v>
      </c>
      <c r="BG298" s="1" t="s">
        <v>86</v>
      </c>
      <c r="BH298" s="1" t="s">
        <v>97</v>
      </c>
      <c r="BI298" s="1" t="s">
        <v>1657</v>
      </c>
      <c r="BJ298" s="1" t="s">
        <v>87</v>
      </c>
      <c r="BK298" s="1">
        <v>0</v>
      </c>
      <c r="BL298" s="1">
        <v>0</v>
      </c>
      <c r="BM298" s="1" t="s">
        <v>86</v>
      </c>
      <c r="BN298" s="1" t="s">
        <v>1658</v>
      </c>
      <c r="BO298" s="1" t="s">
        <v>123</v>
      </c>
      <c r="BP298" s="1" t="s">
        <v>86</v>
      </c>
      <c r="BQ298" s="1" t="s">
        <v>86</v>
      </c>
      <c r="BR298" s="1" t="s">
        <v>86</v>
      </c>
      <c r="BS298" s="1" t="s">
        <v>86</v>
      </c>
      <c r="BT298" s="1" t="s">
        <v>86</v>
      </c>
      <c r="BU298" s="1" t="s">
        <v>86</v>
      </c>
      <c r="BV298" s="1" t="s">
        <v>86</v>
      </c>
      <c r="BW298" s="1" t="s">
        <v>101</v>
      </c>
      <c r="BX298" s="1" t="s">
        <v>86</v>
      </c>
      <c r="BY298" s="1" t="s">
        <v>86</v>
      </c>
      <c r="BZ298" s="1" t="s">
        <v>1659</v>
      </c>
      <c r="CA298" s="1" t="s">
        <v>934</v>
      </c>
      <c r="CB298" s="1" t="s">
        <v>166</v>
      </c>
      <c r="CC298" s="1" t="s">
        <v>86</v>
      </c>
      <c r="CD298" s="1" t="s">
        <v>86</v>
      </c>
      <c r="CE298" s="1" t="s">
        <v>86</v>
      </c>
    </row>
    <row r="299">
      <c r="A299" s="1">
        <v>297</v>
      </c>
      <c r="B299" s="1" t="s">
        <v>395</v>
      </c>
      <c r="C299" s="2">
        <f>=HYPERLINK("https://i.stonehdfile.com/stoneimage?s=f4635d9a-12df-4f3c-8bea-b81f555398ec","Image")</f>
      </c>
      <c r="D299" s="2">
        <f>=HYPERLINK("https://dna.stonehdfile.com/hd/viewhd.html?d=453e1b70-f9cd-4b1e-8528-914ffeeb398e","View360")</f>
      </c>
      <c r="E299" s="2">
        <f>=HYPERLINK("https://i.stonehdfile.com/Certificate?s=f4635d9a-12df-4f3c-8bea-b81f555398ec","GIA")</f>
      </c>
      <c r="F299" s="2">
        <f>=HYPERLINK("https://i.stonehdfile.com/DNAReport?s=f4635d9a-12df-4f3c-8bea-b81f555398ec","DNA")</f>
      </c>
      <c r="G299" s="2">
        <f>=HYPERLINK("https://www.gia.edu/report-check?reportno=******8525","Verify")</f>
      </c>
      <c r="H299" s="1" t="s">
        <v>1660</v>
      </c>
      <c r="I299" s="1" t="s">
        <v>46</v>
      </c>
      <c r="J299" s="1">
        <v>3.08</v>
      </c>
      <c r="K299" s="1">
        <v>0</v>
      </c>
      <c r="L299" s="1">
        <v>19500</v>
      </c>
      <c r="M299" s="1">
        <v>10206</v>
      </c>
      <c r="N299" s="1">
        <v>31434.48</v>
      </c>
      <c r="O299" s="1">
        <v>-47.66</v>
      </c>
      <c r="P299" s="1">
        <v>0</v>
      </c>
      <c r="Q299" s="1" t="s">
        <v>86</v>
      </c>
      <c r="R299" s="1">
        <v>0</v>
      </c>
      <c r="S299" s="1" t="s">
        <v>86</v>
      </c>
      <c r="T299" s="1" t="s">
        <v>86</v>
      </c>
      <c r="U299" s="1" t="s">
        <v>87</v>
      </c>
      <c r="V299" s="1" t="s">
        <v>86</v>
      </c>
      <c r="W299" s="1" t="s">
        <v>169</v>
      </c>
      <c r="X299" s="1" t="s">
        <v>86</v>
      </c>
      <c r="Y299" s="1" t="s">
        <v>89</v>
      </c>
      <c r="Z299" s="1" t="s">
        <v>89</v>
      </c>
      <c r="AA299" s="1" t="s">
        <v>119</v>
      </c>
      <c r="AB299" s="1" t="s">
        <v>86</v>
      </c>
      <c r="AC299" s="1" t="s">
        <v>1661</v>
      </c>
      <c r="AD299" s="1">
        <v>68</v>
      </c>
      <c r="AE299" s="1">
        <v>60</v>
      </c>
      <c r="AF299" s="1" t="s">
        <v>91</v>
      </c>
      <c r="AG299" s="1">
        <v>3.2</v>
      </c>
      <c r="AH299" s="1">
        <v>34.7</v>
      </c>
      <c r="AI299" s="1" t="s">
        <v>86</v>
      </c>
      <c r="AJ299" s="1">
        <v>1.04</v>
      </c>
      <c r="AK299" s="1" t="s">
        <v>190</v>
      </c>
      <c r="AL299" s="1" t="s">
        <v>140</v>
      </c>
      <c r="AM299" s="1" t="s">
        <v>93</v>
      </c>
      <c r="AN299" s="1" t="s">
        <v>171</v>
      </c>
      <c r="AO299" s="1" t="s">
        <v>94</v>
      </c>
      <c r="AP299" s="1" t="s">
        <v>95</v>
      </c>
      <c r="AQ299" s="1">
        <v>13.8</v>
      </c>
      <c r="AR299" s="1">
        <v>50.4</v>
      </c>
      <c r="AS299" s="1">
        <v>38.9</v>
      </c>
      <c r="AT299" s="1" t="s">
        <v>96</v>
      </c>
      <c r="AU299" s="1" t="s">
        <v>86</v>
      </c>
      <c r="AV299" s="1" t="s">
        <v>86</v>
      </c>
      <c r="AW299" s="1" t="s">
        <v>86</v>
      </c>
      <c r="AX299" s="1" t="s">
        <v>86</v>
      </c>
      <c r="AY299" s="1" t="s">
        <v>86</v>
      </c>
      <c r="AZ299" s="1" t="s">
        <v>86</v>
      </c>
      <c r="BA299" s="1" t="s">
        <v>86</v>
      </c>
      <c r="BB299" s="1" t="s">
        <v>86</v>
      </c>
      <c r="BC299" s="1" t="s">
        <v>86</v>
      </c>
      <c r="BD299" s="1" t="s">
        <v>86</v>
      </c>
      <c r="BE299" s="1" t="s">
        <v>86</v>
      </c>
      <c r="BF299" s="1" t="s">
        <v>282</v>
      </c>
      <c r="BG299" s="1" t="s">
        <v>86</v>
      </c>
      <c r="BH299" s="1" t="s">
        <v>97</v>
      </c>
      <c r="BI299" s="1" t="s">
        <v>199</v>
      </c>
      <c r="BJ299" s="1" t="s">
        <v>87</v>
      </c>
      <c r="BK299" s="1">
        <v>0</v>
      </c>
      <c r="BL299" s="1">
        <v>0</v>
      </c>
      <c r="BM299" s="1" t="s">
        <v>398</v>
      </c>
      <c r="BN299" s="1" t="s">
        <v>1662</v>
      </c>
      <c r="BO299" s="1" t="s">
        <v>310</v>
      </c>
      <c r="BP299" s="1" t="s">
        <v>86</v>
      </c>
      <c r="BQ299" s="1" t="s">
        <v>86</v>
      </c>
      <c r="BR299" s="1" t="s">
        <v>86</v>
      </c>
      <c r="BS299" s="1" t="s">
        <v>86</v>
      </c>
      <c r="BT299" s="1" t="s">
        <v>86</v>
      </c>
      <c r="BU299" s="1" t="s">
        <v>163</v>
      </c>
      <c r="BV299" s="1" t="s">
        <v>86</v>
      </c>
      <c r="BW299" s="1" t="s">
        <v>101</v>
      </c>
      <c r="BX299" s="1" t="s">
        <v>86</v>
      </c>
      <c r="BY299" s="1" t="s">
        <v>86</v>
      </c>
      <c r="BZ299" s="1" t="s">
        <v>1663</v>
      </c>
      <c r="CA299" s="1" t="s">
        <v>220</v>
      </c>
      <c r="CB299" s="1" t="s">
        <v>740</v>
      </c>
      <c r="CC299" s="1" t="s">
        <v>86</v>
      </c>
      <c r="CD299" s="1" t="s">
        <v>86</v>
      </c>
      <c r="CE299" s="1" t="s">
        <v>86</v>
      </c>
    </row>
    <row r="300">
      <c r="A300" s="1">
        <v>298</v>
      </c>
      <c r="B300" s="1" t="s">
        <v>395</v>
      </c>
      <c r="C300" s="2">
        <f>=HYPERLINK("https://i.stonehdfile.com/stoneimage?s=45bef599-b73b-4f6a-abc0-883ee6ff606c","Image")</f>
      </c>
      <c r="D300" s="2">
        <f>=HYPERLINK("https://dna.stonehdfile.com/hd/viewhd.html?d=711f35e5-4c6f-48ec-8993-03d15d19c81e","View360")</f>
      </c>
      <c r="E300" s="2">
        <f>=HYPERLINK("https://i.stonehdfile.com/Certificate?s=45bef599-b73b-4f6a-abc0-883ee6ff606c","GIA")</f>
      </c>
      <c r="F300" s="2">
        <f>=HYPERLINK("https://i.stonehdfile.com/DNAReport?s=45bef599-b73b-4f6a-abc0-883ee6ff606c","DNA")</f>
      </c>
      <c r="G300" s="2">
        <f>=HYPERLINK("https://www.gia.edu/report-check?reportno=******2939","Verify")</f>
      </c>
      <c r="H300" s="1" t="s">
        <v>1664</v>
      </c>
      <c r="I300" s="1" t="s">
        <v>46</v>
      </c>
      <c r="J300" s="1">
        <v>3.01</v>
      </c>
      <c r="K300" s="1">
        <v>8</v>
      </c>
      <c r="L300" s="1">
        <v>20500</v>
      </c>
      <c r="M300" s="1">
        <v>10721</v>
      </c>
      <c r="N300" s="1">
        <v>32270.21</v>
      </c>
      <c r="O300" s="1">
        <v>-47.7</v>
      </c>
      <c r="P300" s="1">
        <v>0</v>
      </c>
      <c r="Q300" s="1" t="s">
        <v>86</v>
      </c>
      <c r="R300" s="1">
        <v>0</v>
      </c>
      <c r="S300" s="1" t="s">
        <v>86</v>
      </c>
      <c r="T300" s="1" t="s">
        <v>86</v>
      </c>
      <c r="U300" s="1" t="s">
        <v>106</v>
      </c>
      <c r="V300" s="1" t="s">
        <v>86</v>
      </c>
      <c r="W300" s="1" t="s">
        <v>352</v>
      </c>
      <c r="X300" s="1" t="s">
        <v>86</v>
      </c>
      <c r="Y300" s="1" t="s">
        <v>89</v>
      </c>
      <c r="Z300" s="1" t="s">
        <v>89</v>
      </c>
      <c r="AA300" s="1" t="s">
        <v>119</v>
      </c>
      <c r="AB300" s="1" t="s">
        <v>86</v>
      </c>
      <c r="AC300" s="1" t="s">
        <v>1665</v>
      </c>
      <c r="AD300" s="1">
        <v>68.7</v>
      </c>
      <c r="AE300" s="1">
        <v>62</v>
      </c>
      <c r="AF300" s="1" t="s">
        <v>91</v>
      </c>
      <c r="AG300" s="1">
        <v>3.5</v>
      </c>
      <c r="AH300" s="1">
        <v>34</v>
      </c>
      <c r="AI300" s="1" t="s">
        <v>86</v>
      </c>
      <c r="AJ300" s="1">
        <v>1.03</v>
      </c>
      <c r="AK300" s="1" t="s">
        <v>190</v>
      </c>
      <c r="AL300" s="1" t="s">
        <v>93</v>
      </c>
      <c r="AM300" s="1" t="s">
        <v>140</v>
      </c>
      <c r="AN300" s="1" t="s">
        <v>307</v>
      </c>
      <c r="AO300" s="1" t="s">
        <v>94</v>
      </c>
      <c r="AP300" s="1" t="s">
        <v>95</v>
      </c>
      <c r="AQ300" s="1">
        <v>12.8</v>
      </c>
      <c r="AR300" s="1">
        <v>52</v>
      </c>
      <c r="AS300" s="1">
        <v>40.2</v>
      </c>
      <c r="AT300" s="1" t="s">
        <v>96</v>
      </c>
      <c r="AU300" s="1" t="s">
        <v>86</v>
      </c>
      <c r="AV300" s="1" t="s">
        <v>86</v>
      </c>
      <c r="AW300" s="1" t="s">
        <v>86</v>
      </c>
      <c r="AX300" s="1" t="s">
        <v>86</v>
      </c>
      <c r="AY300" s="1" t="s">
        <v>86</v>
      </c>
      <c r="AZ300" s="1" t="s">
        <v>86</v>
      </c>
      <c r="BA300" s="1" t="s">
        <v>86</v>
      </c>
      <c r="BB300" s="1" t="s">
        <v>86</v>
      </c>
      <c r="BC300" s="1" t="s">
        <v>86</v>
      </c>
      <c r="BD300" s="1" t="s">
        <v>86</v>
      </c>
      <c r="BE300" s="1" t="s">
        <v>86</v>
      </c>
      <c r="BF300" s="1" t="s">
        <v>86</v>
      </c>
      <c r="BG300" s="1" t="s">
        <v>86</v>
      </c>
      <c r="BH300" s="1" t="s">
        <v>129</v>
      </c>
      <c r="BI300" s="1" t="s">
        <v>183</v>
      </c>
      <c r="BJ300" s="1" t="s">
        <v>87</v>
      </c>
      <c r="BK300" s="1">
        <v>0</v>
      </c>
      <c r="BL300" s="1">
        <v>0</v>
      </c>
      <c r="BM300" s="1" t="s">
        <v>398</v>
      </c>
      <c r="BN300" s="1" t="s">
        <v>1666</v>
      </c>
      <c r="BO300" s="1" t="s">
        <v>1341</v>
      </c>
      <c r="BP300" s="1" t="s">
        <v>86</v>
      </c>
      <c r="BQ300" s="1" t="s">
        <v>86</v>
      </c>
      <c r="BR300" s="1" t="s">
        <v>86</v>
      </c>
      <c r="BS300" s="1" t="s">
        <v>86</v>
      </c>
      <c r="BT300" s="1" t="s">
        <v>86</v>
      </c>
      <c r="BU300" s="1" t="s">
        <v>163</v>
      </c>
      <c r="BV300" s="1" t="s">
        <v>86</v>
      </c>
      <c r="BW300" s="1" t="s">
        <v>101</v>
      </c>
      <c r="BX300" s="1" t="s">
        <v>423</v>
      </c>
      <c r="BY300" s="1" t="s">
        <v>86</v>
      </c>
      <c r="BZ300" s="1" t="s">
        <v>1667</v>
      </c>
      <c r="CA300" s="1" t="s">
        <v>525</v>
      </c>
      <c r="CB300" s="1" t="s">
        <v>166</v>
      </c>
      <c r="CC300" s="1" t="s">
        <v>86</v>
      </c>
      <c r="CD300" s="1" t="s">
        <v>86</v>
      </c>
      <c r="CE300" s="1" t="s">
        <v>86</v>
      </c>
    </row>
    <row r="301">
      <c r="A301" s="1">
        <v>299</v>
      </c>
      <c r="B301" s="1" t="s">
        <v>395</v>
      </c>
      <c r="C301" s="2">
        <f>=HYPERLINK("https://i.stonehdfile.com/stoneimage?s=5ca89c26-5322-419b-a367-1da231b6f10f","Image")</f>
      </c>
      <c r="D301" s="2">
        <f>=HYPERLINK("https://dna.stonehdfile.com/hd/viewhd.html?d=666b4495-5ac5-48f5-b200-03b2c770c325","View360")</f>
      </c>
      <c r="E301" s="2">
        <f>=HYPERLINK("https://i.stonehdfile.com/Certificate?s=5ca89c26-5322-419b-a367-1da231b6f10f","GIA")</f>
      </c>
      <c r="F301" s="2">
        <f>=HYPERLINK("https://i.stonehdfile.com/DNAReport?s=5ca89c26-5322-419b-a367-1da231b6f10f","DNA")</f>
      </c>
      <c r="G301" s="2">
        <f>=HYPERLINK("https://www.gia.edu/report-check?reportno=******2941","Verify")</f>
      </c>
      <c r="H301" s="1" t="s">
        <v>1668</v>
      </c>
      <c r="I301" s="1" t="s">
        <v>46</v>
      </c>
      <c r="J301" s="1">
        <v>3.01</v>
      </c>
      <c r="K301" s="1">
        <v>0</v>
      </c>
      <c r="L301" s="1">
        <v>18000</v>
      </c>
      <c r="M301" s="1">
        <v>9908</v>
      </c>
      <c r="N301" s="1">
        <v>29823.08</v>
      </c>
      <c r="O301" s="1">
        <v>-44.96</v>
      </c>
      <c r="P301" s="1">
        <v>0</v>
      </c>
      <c r="Q301" s="1" t="s">
        <v>86</v>
      </c>
      <c r="R301" s="1">
        <v>0</v>
      </c>
      <c r="S301" s="1" t="s">
        <v>86</v>
      </c>
      <c r="T301" s="1" t="s">
        <v>86</v>
      </c>
      <c r="U301" s="1" t="s">
        <v>106</v>
      </c>
      <c r="V301" s="1" t="s">
        <v>86</v>
      </c>
      <c r="W301" s="1" t="s">
        <v>137</v>
      </c>
      <c r="X301" s="1" t="s">
        <v>86</v>
      </c>
      <c r="Y301" s="1" t="s">
        <v>89</v>
      </c>
      <c r="Z301" s="1" t="s">
        <v>89</v>
      </c>
      <c r="AA301" s="1" t="s">
        <v>119</v>
      </c>
      <c r="AB301" s="1" t="s">
        <v>86</v>
      </c>
      <c r="AC301" s="1" t="s">
        <v>1669</v>
      </c>
      <c r="AD301" s="1">
        <v>69.3</v>
      </c>
      <c r="AE301" s="1">
        <v>65</v>
      </c>
      <c r="AF301" s="1" t="s">
        <v>91</v>
      </c>
      <c r="AG301" s="1">
        <v>3</v>
      </c>
      <c r="AH301" s="1">
        <v>35.3</v>
      </c>
      <c r="AI301" s="1" t="s">
        <v>86</v>
      </c>
      <c r="AJ301" s="1">
        <v>1.03</v>
      </c>
      <c r="AK301" s="1" t="s">
        <v>111</v>
      </c>
      <c r="AL301" s="1" t="s">
        <v>140</v>
      </c>
      <c r="AM301" s="1" t="s">
        <v>93</v>
      </c>
      <c r="AN301" s="1" t="s">
        <v>307</v>
      </c>
      <c r="AO301" s="1" t="s">
        <v>94</v>
      </c>
      <c r="AP301" s="1" t="s">
        <v>95</v>
      </c>
      <c r="AQ301" s="1">
        <v>12.5</v>
      </c>
      <c r="AR301" s="1">
        <v>53.5</v>
      </c>
      <c r="AS301" s="1">
        <v>41.3</v>
      </c>
      <c r="AT301" s="1" t="s">
        <v>96</v>
      </c>
      <c r="AU301" s="1" t="s">
        <v>86</v>
      </c>
      <c r="AV301" s="1" t="s">
        <v>86</v>
      </c>
      <c r="AW301" s="1" t="s">
        <v>86</v>
      </c>
      <c r="AX301" s="1" t="s">
        <v>86</v>
      </c>
      <c r="AY301" s="1" t="s">
        <v>86</v>
      </c>
      <c r="AZ301" s="1" t="s">
        <v>86</v>
      </c>
      <c r="BA301" s="1" t="s">
        <v>86</v>
      </c>
      <c r="BB301" s="1" t="s">
        <v>86</v>
      </c>
      <c r="BC301" s="1" t="s">
        <v>86</v>
      </c>
      <c r="BD301" s="1" t="s">
        <v>86</v>
      </c>
      <c r="BE301" s="1" t="s">
        <v>86</v>
      </c>
      <c r="BF301" s="1" t="s">
        <v>86</v>
      </c>
      <c r="BG301" s="1" t="s">
        <v>86</v>
      </c>
      <c r="BH301" s="1" t="s">
        <v>142</v>
      </c>
      <c r="BI301" s="1" t="s">
        <v>315</v>
      </c>
      <c r="BJ301" s="1" t="s">
        <v>87</v>
      </c>
      <c r="BK301" s="1">
        <v>0</v>
      </c>
      <c r="BL301" s="1">
        <v>0</v>
      </c>
      <c r="BM301" s="1" t="s">
        <v>398</v>
      </c>
      <c r="BN301" s="1" t="s">
        <v>1670</v>
      </c>
      <c r="BO301" s="1" t="s">
        <v>1341</v>
      </c>
      <c r="BP301" s="1" t="s">
        <v>86</v>
      </c>
      <c r="BQ301" s="1" t="s">
        <v>86</v>
      </c>
      <c r="BR301" s="1" t="s">
        <v>86</v>
      </c>
      <c r="BS301" s="1" t="s">
        <v>86</v>
      </c>
      <c r="BT301" s="1" t="s">
        <v>86</v>
      </c>
      <c r="BU301" s="1" t="s">
        <v>163</v>
      </c>
      <c r="BV301" s="1" t="s">
        <v>86</v>
      </c>
      <c r="BW301" s="1" t="s">
        <v>101</v>
      </c>
      <c r="BX301" s="1" t="s">
        <v>867</v>
      </c>
      <c r="BY301" s="1" t="s">
        <v>86</v>
      </c>
      <c r="BZ301" s="1" t="s">
        <v>1671</v>
      </c>
      <c r="CA301" s="1" t="s">
        <v>312</v>
      </c>
      <c r="CB301" s="1" t="s">
        <v>166</v>
      </c>
      <c r="CC301" s="1" t="s">
        <v>86</v>
      </c>
      <c r="CD301" s="1" t="s">
        <v>86</v>
      </c>
      <c r="CE301" s="1" t="s">
        <v>86</v>
      </c>
    </row>
    <row r="302">
      <c r="A302" s="1">
        <v>300</v>
      </c>
      <c r="B302" s="1" t="s">
        <v>395</v>
      </c>
      <c r="C302" s="2">
        <f>=HYPERLINK("https://i.stonehdfile.com/stoneimage?s=dfd6ddaf-b2df-4dd5-a189-6123df094fab","Image")</f>
      </c>
      <c r="D302" s="2">
        <f>=HYPERLINK("https://dna.stonehdfile.com/hd/viewhd.html?d=50ff339c-3d4f-473c-b8d6-cf708c0a5751","View360")</f>
      </c>
      <c r="E302" s="2">
        <f>=HYPERLINK("https://i.stonehdfile.com/Certificate?s=dfd6ddaf-b2df-4dd5-a189-6123df094fab","GIA")</f>
      </c>
      <c r="F302" s="2">
        <f>=HYPERLINK("https://i.stonehdfile.com/DNAReport?s=dfd6ddaf-b2df-4dd5-a189-6123df094fab","DNA")</f>
      </c>
      <c r="G302" s="2">
        <f>=HYPERLINK("https://www.gia.edu/report-check?reportno=******2513","Verify")</f>
      </c>
      <c r="H302" s="1" t="s">
        <v>1672</v>
      </c>
      <c r="I302" s="1" t="s">
        <v>46</v>
      </c>
      <c r="J302" s="1">
        <v>3.01</v>
      </c>
      <c r="K302" s="1">
        <v>3</v>
      </c>
      <c r="L302" s="1">
        <v>20000</v>
      </c>
      <c r="M302" s="1">
        <v>9061</v>
      </c>
      <c r="N302" s="1">
        <v>27273.61</v>
      </c>
      <c r="O302" s="1">
        <v>-54.7</v>
      </c>
      <c r="P302" s="1">
        <v>0</v>
      </c>
      <c r="Q302" s="1" t="s">
        <v>86</v>
      </c>
      <c r="R302" s="1">
        <v>0</v>
      </c>
      <c r="S302" s="1" t="s">
        <v>86</v>
      </c>
      <c r="T302" s="1" t="s">
        <v>86</v>
      </c>
      <c r="U302" s="1" t="s">
        <v>271</v>
      </c>
      <c r="V302" s="1" t="s">
        <v>86</v>
      </c>
      <c r="W302" s="1" t="s">
        <v>149</v>
      </c>
      <c r="X302" s="1" t="s">
        <v>86</v>
      </c>
      <c r="Y302" s="1" t="s">
        <v>89</v>
      </c>
      <c r="Z302" s="1" t="s">
        <v>89</v>
      </c>
      <c r="AA302" s="1" t="s">
        <v>119</v>
      </c>
      <c r="AB302" s="1" t="s">
        <v>86</v>
      </c>
      <c r="AC302" s="1" t="s">
        <v>1673</v>
      </c>
      <c r="AD302" s="1">
        <v>69.7</v>
      </c>
      <c r="AE302" s="1">
        <v>61</v>
      </c>
      <c r="AF302" s="1" t="s">
        <v>91</v>
      </c>
      <c r="AG302" s="1">
        <v>3.5</v>
      </c>
      <c r="AH302" s="1">
        <v>36.6</v>
      </c>
      <c r="AI302" s="1" t="s">
        <v>86</v>
      </c>
      <c r="AJ302" s="1">
        <v>1.08</v>
      </c>
      <c r="AK302" s="1" t="s">
        <v>111</v>
      </c>
      <c r="AL302" s="1" t="s">
        <v>93</v>
      </c>
      <c r="AM302" s="1" t="s">
        <v>140</v>
      </c>
      <c r="AN302" s="1" t="s">
        <v>86</v>
      </c>
      <c r="AO302" s="1" t="s">
        <v>94</v>
      </c>
      <c r="AP302" s="1" t="s">
        <v>95</v>
      </c>
      <c r="AQ302" s="1">
        <v>14.5</v>
      </c>
      <c r="AR302" s="1">
        <v>51.9</v>
      </c>
      <c r="AS302" s="1">
        <v>38.3</v>
      </c>
      <c r="AT302" s="1" t="s">
        <v>96</v>
      </c>
      <c r="AU302" s="1" t="s">
        <v>86</v>
      </c>
      <c r="AV302" s="1" t="s">
        <v>86</v>
      </c>
      <c r="AW302" s="1" t="s">
        <v>86</v>
      </c>
      <c r="AX302" s="1" t="s">
        <v>86</v>
      </c>
      <c r="AY302" s="1" t="s">
        <v>86</v>
      </c>
      <c r="AZ302" s="1" t="s">
        <v>86</v>
      </c>
      <c r="BA302" s="1" t="s">
        <v>86</v>
      </c>
      <c r="BB302" s="1" t="s">
        <v>86</v>
      </c>
      <c r="BC302" s="1" t="s">
        <v>86</v>
      </c>
      <c r="BD302" s="1" t="s">
        <v>86</v>
      </c>
      <c r="BE302" s="1" t="s">
        <v>86</v>
      </c>
      <c r="BF302" s="1" t="s">
        <v>86</v>
      </c>
      <c r="BG302" s="1" t="s">
        <v>86</v>
      </c>
      <c r="BH302" s="1" t="s">
        <v>97</v>
      </c>
      <c r="BI302" s="1" t="s">
        <v>183</v>
      </c>
      <c r="BJ302" s="1" t="s">
        <v>87</v>
      </c>
      <c r="BK302" s="1">
        <v>0</v>
      </c>
      <c r="BL302" s="1">
        <v>0</v>
      </c>
      <c r="BM302" s="1" t="s">
        <v>398</v>
      </c>
      <c r="BN302" s="1" t="s">
        <v>1674</v>
      </c>
      <c r="BO302" s="1" t="s">
        <v>1172</v>
      </c>
      <c r="BP302" s="1" t="s">
        <v>86</v>
      </c>
      <c r="BQ302" s="1" t="s">
        <v>86</v>
      </c>
      <c r="BR302" s="1" t="s">
        <v>86</v>
      </c>
      <c r="BS302" s="1" t="s">
        <v>86</v>
      </c>
      <c r="BT302" s="1" t="s">
        <v>86</v>
      </c>
      <c r="BU302" s="1" t="s">
        <v>163</v>
      </c>
      <c r="BV302" s="1" t="s">
        <v>86</v>
      </c>
      <c r="BW302" s="1" t="s">
        <v>101</v>
      </c>
      <c r="BX302" s="1" t="s">
        <v>545</v>
      </c>
      <c r="BY302" s="1" t="s">
        <v>86</v>
      </c>
      <c r="BZ302" s="1" t="s">
        <v>1675</v>
      </c>
      <c r="CA302" s="1" t="s">
        <v>195</v>
      </c>
      <c r="CB302" s="1" t="s">
        <v>298</v>
      </c>
      <c r="CC302" s="1" t="s">
        <v>86</v>
      </c>
      <c r="CD302" s="1" t="s">
        <v>86</v>
      </c>
      <c r="CE302" s="1" t="s">
        <v>86</v>
      </c>
    </row>
    <row r="303">
      <c r="A303" s="1">
        <v>301</v>
      </c>
      <c r="B303" s="1" t="s">
        <v>395</v>
      </c>
      <c r="C303" s="2">
        <f>=HYPERLINK("https://i.stonehdfile.com/stoneimage?s=5c3ccb56-e561-4b8c-935e-f58f2d4e2c54","Image")</f>
      </c>
      <c r="D303" s="2">
        <f>=HYPERLINK("https://dna.stonehdfile.com/hd/viewhd.html?d=55e0899f-2044-475f-8082-e2e97e13fa91","View360")</f>
      </c>
      <c r="E303" s="2">
        <f>=HYPERLINK("https://i.stonehdfile.com/Certificate?s=5c3ccb56-e561-4b8c-935e-f58f2d4e2c54","GIA")</f>
      </c>
      <c r="F303" s="2">
        <f>=HYPERLINK("https://i.stonehdfile.com/DNAReport?s=5c3ccb56-e561-4b8c-935e-f58f2d4e2c54","DNA")</f>
      </c>
      <c r="G303" s="2">
        <f>=HYPERLINK("https://www.gia.edu/report-check?reportno=******5329","Verify")</f>
      </c>
      <c r="H303" s="1" t="s">
        <v>1676</v>
      </c>
      <c r="I303" s="1" t="s">
        <v>46</v>
      </c>
      <c r="J303" s="1">
        <v>3.02</v>
      </c>
      <c r="K303" s="1">
        <v>1</v>
      </c>
      <c r="L303" s="1">
        <v>18000</v>
      </c>
      <c r="M303" s="1">
        <v>9049</v>
      </c>
      <c r="N303" s="1">
        <v>27327.98</v>
      </c>
      <c r="O303" s="1">
        <v>-49.73</v>
      </c>
      <c r="P303" s="1">
        <v>0</v>
      </c>
      <c r="Q303" s="1" t="s">
        <v>86</v>
      </c>
      <c r="R303" s="1">
        <v>0</v>
      </c>
      <c r="S303" s="1" t="s">
        <v>86</v>
      </c>
      <c r="T303" s="1" t="s">
        <v>86</v>
      </c>
      <c r="U303" s="1" t="s">
        <v>271</v>
      </c>
      <c r="V303" s="1" t="s">
        <v>86</v>
      </c>
      <c r="W303" s="1" t="s">
        <v>352</v>
      </c>
      <c r="X303" s="1" t="s">
        <v>86</v>
      </c>
      <c r="Y303" s="1" t="s">
        <v>89</v>
      </c>
      <c r="Z303" s="1" t="s">
        <v>89</v>
      </c>
      <c r="AA303" s="1" t="s">
        <v>119</v>
      </c>
      <c r="AB303" s="1" t="s">
        <v>86</v>
      </c>
      <c r="AC303" s="1" t="s">
        <v>1677</v>
      </c>
      <c r="AD303" s="1">
        <v>68</v>
      </c>
      <c r="AE303" s="1">
        <v>64</v>
      </c>
      <c r="AF303" s="1" t="s">
        <v>91</v>
      </c>
      <c r="AG303" s="1">
        <v>2.2</v>
      </c>
      <c r="AH303" s="1">
        <v>35.1</v>
      </c>
      <c r="AI303" s="1" t="s">
        <v>86</v>
      </c>
      <c r="AJ303" s="1">
        <v>1.04</v>
      </c>
      <c r="AK303" s="1" t="s">
        <v>190</v>
      </c>
      <c r="AL303" s="1" t="s">
        <v>93</v>
      </c>
      <c r="AM303" s="1" t="s">
        <v>93</v>
      </c>
      <c r="AN303" s="1" t="s">
        <v>307</v>
      </c>
      <c r="AO303" s="1" t="s">
        <v>94</v>
      </c>
      <c r="AP303" s="1" t="s">
        <v>95</v>
      </c>
      <c r="AQ303" s="1">
        <v>12.8</v>
      </c>
      <c r="AR303" s="1">
        <v>52.8</v>
      </c>
      <c r="AS303" s="1">
        <v>40.8</v>
      </c>
      <c r="AT303" s="1" t="s">
        <v>96</v>
      </c>
      <c r="AU303" s="1" t="s">
        <v>86</v>
      </c>
      <c r="AV303" s="1" t="s">
        <v>86</v>
      </c>
      <c r="AW303" s="1" t="s">
        <v>86</v>
      </c>
      <c r="AX303" s="1" t="s">
        <v>86</v>
      </c>
      <c r="AY303" s="1" t="s">
        <v>86</v>
      </c>
      <c r="AZ303" s="1" t="s">
        <v>86</v>
      </c>
      <c r="BA303" s="1" t="s">
        <v>86</v>
      </c>
      <c r="BB303" s="1" t="s">
        <v>86</v>
      </c>
      <c r="BC303" s="1" t="s">
        <v>86</v>
      </c>
      <c r="BD303" s="1" t="s">
        <v>86</v>
      </c>
      <c r="BE303" s="1" t="s">
        <v>86</v>
      </c>
      <c r="BF303" s="1" t="s">
        <v>86</v>
      </c>
      <c r="BG303" s="1" t="s">
        <v>86</v>
      </c>
      <c r="BH303" s="1" t="s">
        <v>142</v>
      </c>
      <c r="BI303" s="1" t="s">
        <v>420</v>
      </c>
      <c r="BJ303" s="1" t="s">
        <v>87</v>
      </c>
      <c r="BK303" s="1">
        <v>0</v>
      </c>
      <c r="BL303" s="1">
        <v>0</v>
      </c>
      <c r="BM303" s="1" t="s">
        <v>398</v>
      </c>
      <c r="BN303" s="1" t="s">
        <v>1678</v>
      </c>
      <c r="BO303" s="1" t="s">
        <v>259</v>
      </c>
      <c r="BP303" s="1" t="s">
        <v>86</v>
      </c>
      <c r="BQ303" s="1" t="s">
        <v>86</v>
      </c>
      <c r="BR303" s="1" t="s">
        <v>86</v>
      </c>
      <c r="BS303" s="1" t="s">
        <v>86</v>
      </c>
      <c r="BT303" s="1" t="s">
        <v>86</v>
      </c>
      <c r="BU303" s="1" t="s">
        <v>163</v>
      </c>
      <c r="BV303" s="1" t="s">
        <v>86</v>
      </c>
      <c r="BW303" s="1" t="s">
        <v>101</v>
      </c>
      <c r="BX303" s="1" t="s">
        <v>423</v>
      </c>
      <c r="BY303" s="1" t="s">
        <v>86</v>
      </c>
      <c r="BZ303" s="1" t="s">
        <v>1679</v>
      </c>
      <c r="CA303" s="1" t="s">
        <v>304</v>
      </c>
      <c r="CB303" s="1" t="s">
        <v>1571</v>
      </c>
      <c r="CC303" s="1" t="s">
        <v>86</v>
      </c>
      <c r="CD303" s="1" t="s">
        <v>86</v>
      </c>
      <c r="CE303" s="1" t="s">
        <v>86</v>
      </c>
    </row>
    <row r="304">
      <c r="A304" s="1">
        <v>302</v>
      </c>
      <c r="B304" s="1" t="s">
        <v>395</v>
      </c>
      <c r="C304" s="2">
        <f>=HYPERLINK("https://i.stonehdfile.com/stoneimage?s=4e1657ad-818f-45f8-bb64-ba5431dd170e","Image")</f>
      </c>
      <c r="D304" s="2">
        <f>=HYPERLINK("https://dna.stonehdfile.com/hd/viewhd.html?d=8ae95656-7bdd-413f-982f-90abfc7aca76","View360")</f>
      </c>
      <c r="E304" s="2">
        <f>=HYPERLINK("https://i.stonehdfile.com/Certificate?s=4e1657ad-818f-45f8-bb64-ba5431dd170e","GIA")</f>
      </c>
      <c r="F304" s="2">
        <f>=HYPERLINK("https://i.stonehdfile.com/DNAReport?s=4e1657ad-818f-45f8-bb64-ba5431dd170e","DNA")</f>
      </c>
      <c r="G304" s="2">
        <f>=HYPERLINK("https://www.gia.edu/report-check?reportno=******8116","Verify")</f>
      </c>
      <c r="H304" s="1" t="s">
        <v>1680</v>
      </c>
      <c r="I304" s="1" t="s">
        <v>46</v>
      </c>
      <c r="J304" s="1">
        <v>3.02</v>
      </c>
      <c r="K304" s="1">
        <v>0</v>
      </c>
      <c r="L304" s="1">
        <v>18000</v>
      </c>
      <c r="M304" s="1">
        <v>8686</v>
      </c>
      <c r="N304" s="1">
        <v>26231.72</v>
      </c>
      <c r="O304" s="1">
        <v>-51.74</v>
      </c>
      <c r="P304" s="1">
        <v>0</v>
      </c>
      <c r="Q304" s="1" t="s">
        <v>86</v>
      </c>
      <c r="R304" s="1">
        <v>0</v>
      </c>
      <c r="S304" s="1" t="s">
        <v>86</v>
      </c>
      <c r="T304" s="1" t="s">
        <v>86</v>
      </c>
      <c r="U304" s="1" t="s">
        <v>375</v>
      </c>
      <c r="V304" s="1" t="s">
        <v>86</v>
      </c>
      <c r="W304" s="1" t="s">
        <v>223</v>
      </c>
      <c r="X304" s="1" t="s">
        <v>86</v>
      </c>
      <c r="Y304" s="1" t="s">
        <v>89</v>
      </c>
      <c r="Z304" s="1" t="s">
        <v>89</v>
      </c>
      <c r="AA304" s="1" t="s">
        <v>119</v>
      </c>
      <c r="AB304" s="1" t="s">
        <v>86</v>
      </c>
      <c r="AC304" s="1" t="s">
        <v>1681</v>
      </c>
      <c r="AD304" s="1">
        <v>69.2</v>
      </c>
      <c r="AE304" s="1">
        <v>61</v>
      </c>
      <c r="AF304" s="1" t="s">
        <v>91</v>
      </c>
      <c r="AG304" s="1">
        <v>3.9</v>
      </c>
      <c r="AH304" s="1">
        <v>36.9</v>
      </c>
      <c r="AI304" s="1" t="s">
        <v>86</v>
      </c>
      <c r="AJ304" s="1">
        <v>1.09</v>
      </c>
      <c r="AK304" s="1" t="s">
        <v>190</v>
      </c>
      <c r="AL304" s="1" t="s">
        <v>93</v>
      </c>
      <c r="AM304" s="1" t="s">
        <v>128</v>
      </c>
      <c r="AN304" s="1" t="s">
        <v>171</v>
      </c>
      <c r="AO304" s="1" t="s">
        <v>94</v>
      </c>
      <c r="AP304" s="1" t="s">
        <v>95</v>
      </c>
      <c r="AQ304" s="1">
        <v>14.7</v>
      </c>
      <c r="AR304" s="1">
        <v>49.9</v>
      </c>
      <c r="AS304" s="1">
        <v>37.4</v>
      </c>
      <c r="AT304" s="1" t="s">
        <v>96</v>
      </c>
      <c r="AU304" s="1" t="s">
        <v>86</v>
      </c>
      <c r="AV304" s="1" t="s">
        <v>86</v>
      </c>
      <c r="AW304" s="1" t="s">
        <v>86</v>
      </c>
      <c r="AX304" s="1" t="s">
        <v>86</v>
      </c>
      <c r="AY304" s="1" t="s">
        <v>86</v>
      </c>
      <c r="AZ304" s="1" t="s">
        <v>86</v>
      </c>
      <c r="BA304" s="1" t="s">
        <v>86</v>
      </c>
      <c r="BB304" s="1" t="s">
        <v>86</v>
      </c>
      <c r="BC304" s="1" t="s">
        <v>86</v>
      </c>
      <c r="BD304" s="1" t="s">
        <v>86</v>
      </c>
      <c r="BE304" s="1" t="s">
        <v>86</v>
      </c>
      <c r="BF304" s="1" t="s">
        <v>86</v>
      </c>
      <c r="BG304" s="1" t="s">
        <v>86</v>
      </c>
      <c r="BH304" s="1" t="s">
        <v>215</v>
      </c>
      <c r="BI304" s="1" t="s">
        <v>562</v>
      </c>
      <c r="BJ304" s="1" t="s">
        <v>87</v>
      </c>
      <c r="BK304" s="1">
        <v>0</v>
      </c>
      <c r="BL304" s="1">
        <v>0</v>
      </c>
      <c r="BM304" s="1" t="s">
        <v>398</v>
      </c>
      <c r="BN304" s="1" t="s">
        <v>1682</v>
      </c>
      <c r="BO304" s="1" t="s">
        <v>444</v>
      </c>
      <c r="BP304" s="1" t="s">
        <v>86</v>
      </c>
      <c r="BQ304" s="1" t="s">
        <v>86</v>
      </c>
      <c r="BR304" s="1" t="s">
        <v>86</v>
      </c>
      <c r="BS304" s="1" t="s">
        <v>86</v>
      </c>
      <c r="BT304" s="1" t="s">
        <v>86</v>
      </c>
      <c r="BU304" s="1" t="s">
        <v>163</v>
      </c>
      <c r="BV304" s="1" t="s">
        <v>86</v>
      </c>
      <c r="BW304" s="1" t="s">
        <v>101</v>
      </c>
      <c r="BX304" s="1" t="s">
        <v>423</v>
      </c>
      <c r="BY304" s="1" t="s">
        <v>86</v>
      </c>
      <c r="BZ304" s="1" t="s">
        <v>1683</v>
      </c>
      <c r="CA304" s="1" t="s">
        <v>946</v>
      </c>
      <c r="CB304" s="1" t="s">
        <v>166</v>
      </c>
      <c r="CC304" s="1" t="s">
        <v>86</v>
      </c>
      <c r="CD304" s="1" t="s">
        <v>86</v>
      </c>
      <c r="CE304" s="1" t="s">
        <v>86</v>
      </c>
    </row>
    <row r="305">
      <c r="A305" s="1">
        <v>303</v>
      </c>
      <c r="B305" s="1" t="s">
        <v>395</v>
      </c>
      <c r="C305" s="2">
        <f>=HYPERLINK("https://i.stonehdfile.com/stoneimage?s=150c71df-4de0-424d-9608-bdbaa59c305e","Image")</f>
      </c>
      <c r="D305" s="2">
        <f>=HYPERLINK("https://dna.stonehdfile.com/hd/viewhd.html?d=df1ce82f-c088-46d1-b389-b94ae28f4da9","View360")</f>
      </c>
      <c r="E305" s="2">
        <f>=HYPERLINK("https://i.stonehdfile.com/Certificate?s=150c71df-4de0-424d-9608-bdbaa59c305e","GIA")</f>
      </c>
      <c r="F305" s="2">
        <f>=HYPERLINK("https://i.stonehdfile.com/DNAReport?s=150c71df-4de0-424d-9608-bdbaa59c305e","DNA")</f>
      </c>
      <c r="G305" s="2">
        <f>=HYPERLINK("https://www.gia.edu/report-check?reportno=******2440","Verify")</f>
      </c>
      <c r="H305" s="1" t="s">
        <v>1684</v>
      </c>
      <c r="I305" s="1" t="s">
        <v>46</v>
      </c>
      <c r="J305" s="1">
        <v>3.01</v>
      </c>
      <c r="K305" s="1">
        <v>5</v>
      </c>
      <c r="L305" s="1">
        <v>16000</v>
      </c>
      <c r="M305" s="1">
        <v>8597</v>
      </c>
      <c r="N305" s="1">
        <v>25876.97</v>
      </c>
      <c r="O305" s="1">
        <v>-46.27</v>
      </c>
      <c r="P305" s="1">
        <v>0</v>
      </c>
      <c r="Q305" s="1" t="s">
        <v>86</v>
      </c>
      <c r="R305" s="1">
        <v>0</v>
      </c>
      <c r="S305" s="1" t="s">
        <v>86</v>
      </c>
      <c r="T305" s="1" t="s">
        <v>86</v>
      </c>
      <c r="U305" s="1" t="s">
        <v>271</v>
      </c>
      <c r="V305" s="1" t="s">
        <v>86</v>
      </c>
      <c r="W305" s="1" t="s">
        <v>169</v>
      </c>
      <c r="X305" s="1" t="s">
        <v>86</v>
      </c>
      <c r="Y305" s="1" t="s">
        <v>89</v>
      </c>
      <c r="Z305" s="1" t="s">
        <v>89</v>
      </c>
      <c r="AA305" s="1" t="s">
        <v>119</v>
      </c>
      <c r="AB305" s="1" t="s">
        <v>86</v>
      </c>
      <c r="AC305" s="1" t="s">
        <v>1685</v>
      </c>
      <c r="AD305" s="1">
        <v>70.8</v>
      </c>
      <c r="AE305" s="1">
        <v>61</v>
      </c>
      <c r="AF305" s="1" t="s">
        <v>91</v>
      </c>
      <c r="AG305" s="1">
        <v>4.2</v>
      </c>
      <c r="AH305" s="1">
        <v>36.9</v>
      </c>
      <c r="AI305" s="1" t="s">
        <v>86</v>
      </c>
      <c r="AJ305" s="1">
        <v>1.15</v>
      </c>
      <c r="AK305" s="1" t="s">
        <v>190</v>
      </c>
      <c r="AL305" s="1" t="s">
        <v>93</v>
      </c>
      <c r="AM305" s="1" t="s">
        <v>93</v>
      </c>
      <c r="AN305" s="1" t="s">
        <v>307</v>
      </c>
      <c r="AO305" s="1" t="s">
        <v>94</v>
      </c>
      <c r="AP305" s="1" t="s">
        <v>95</v>
      </c>
      <c r="AQ305" s="1">
        <v>14.6</v>
      </c>
      <c r="AR305" s="1">
        <v>51.4</v>
      </c>
      <c r="AS305" s="1">
        <v>38</v>
      </c>
      <c r="AT305" s="1" t="s">
        <v>96</v>
      </c>
      <c r="AU305" s="1" t="s">
        <v>86</v>
      </c>
      <c r="AV305" s="1" t="s">
        <v>86</v>
      </c>
      <c r="AW305" s="1" t="s">
        <v>86</v>
      </c>
      <c r="AX305" s="1" t="s">
        <v>86</v>
      </c>
      <c r="AY305" s="1" t="s">
        <v>86</v>
      </c>
      <c r="AZ305" s="1" t="s">
        <v>86</v>
      </c>
      <c r="BA305" s="1" t="s">
        <v>86</v>
      </c>
      <c r="BB305" s="1" t="s">
        <v>86</v>
      </c>
      <c r="BC305" s="1" t="s">
        <v>86</v>
      </c>
      <c r="BD305" s="1" t="s">
        <v>86</v>
      </c>
      <c r="BE305" s="1" t="s">
        <v>86</v>
      </c>
      <c r="BF305" s="1" t="s">
        <v>86</v>
      </c>
      <c r="BG305" s="1" t="s">
        <v>86</v>
      </c>
      <c r="BH305" s="1" t="s">
        <v>129</v>
      </c>
      <c r="BI305" s="1" t="s">
        <v>257</v>
      </c>
      <c r="BJ305" s="1" t="s">
        <v>87</v>
      </c>
      <c r="BK305" s="1">
        <v>0</v>
      </c>
      <c r="BL305" s="1">
        <v>0</v>
      </c>
      <c r="BM305" s="1" t="s">
        <v>398</v>
      </c>
      <c r="BN305" s="1" t="s">
        <v>1686</v>
      </c>
      <c r="BO305" s="1" t="s">
        <v>477</v>
      </c>
      <c r="BP305" s="1" t="s">
        <v>86</v>
      </c>
      <c r="BQ305" s="1" t="s">
        <v>86</v>
      </c>
      <c r="BR305" s="1" t="s">
        <v>86</v>
      </c>
      <c r="BS305" s="1" t="s">
        <v>86</v>
      </c>
      <c r="BT305" s="1" t="s">
        <v>86</v>
      </c>
      <c r="BU305" s="1" t="s">
        <v>163</v>
      </c>
      <c r="BV305" s="1" t="s">
        <v>86</v>
      </c>
      <c r="BW305" s="1" t="s">
        <v>101</v>
      </c>
      <c r="BX305" s="1" t="s">
        <v>423</v>
      </c>
      <c r="BY305" s="1" t="s">
        <v>86</v>
      </c>
      <c r="BZ305" s="1" t="s">
        <v>1687</v>
      </c>
      <c r="CA305" s="1" t="s">
        <v>304</v>
      </c>
      <c r="CB305" s="1" t="s">
        <v>1571</v>
      </c>
      <c r="CC305" s="1" t="s">
        <v>86</v>
      </c>
      <c r="CD305" s="1" t="s">
        <v>86</v>
      </c>
      <c r="CE305" s="1" t="s">
        <v>86</v>
      </c>
    </row>
    <row r="306">
      <c r="A306" s="1">
        <v>304</v>
      </c>
      <c r="B306" s="1" t="s">
        <v>395</v>
      </c>
      <c r="C306" s="2">
        <f>=HYPERLINK("https://i.stonehdfile.com/stoneimage?s=d0c26fa6-4fe3-4da2-9dd9-35141ef16b40","Image")</f>
      </c>
      <c r="D306" s="2">
        <f>=HYPERLINK("https://dna.stonehdfile.com/hd/viewhd.html?d=6d044d26-74ed-480c-b3c4-50b3a4de2345","View360")</f>
      </c>
      <c r="E306" s="2">
        <f>=HYPERLINK("https://i.stonehdfile.com/Certificate?s=d0c26fa6-4fe3-4da2-9dd9-35141ef16b40","GIA")</f>
      </c>
      <c r="F306" s="2">
        <f>=HYPERLINK("https://i.stonehdfile.com/DNAReport?s=d0c26fa6-4fe3-4da2-9dd9-35141ef16b40","DNA")</f>
      </c>
      <c r="G306" s="2">
        <f>=HYPERLINK("https://www.gia.edu/report-check?reportno=******7514","Verify")</f>
      </c>
      <c r="H306" s="1" t="s">
        <v>1688</v>
      </c>
      <c r="I306" s="1" t="s">
        <v>46</v>
      </c>
      <c r="J306" s="1">
        <v>3.01</v>
      </c>
      <c r="K306" s="1">
        <v>3</v>
      </c>
      <c r="L306" s="1">
        <v>16000</v>
      </c>
      <c r="M306" s="1">
        <v>9009</v>
      </c>
      <c r="N306" s="1">
        <v>27117.09</v>
      </c>
      <c r="O306" s="1">
        <v>-43.69</v>
      </c>
      <c r="P306" s="1">
        <v>0</v>
      </c>
      <c r="Q306" s="1" t="s">
        <v>86</v>
      </c>
      <c r="R306" s="1">
        <v>0</v>
      </c>
      <c r="S306" s="1" t="s">
        <v>86</v>
      </c>
      <c r="T306" s="1" t="s">
        <v>86</v>
      </c>
      <c r="U306" s="1" t="s">
        <v>271</v>
      </c>
      <c r="V306" s="1" t="s">
        <v>86</v>
      </c>
      <c r="W306" s="1" t="s">
        <v>169</v>
      </c>
      <c r="X306" s="1" t="s">
        <v>86</v>
      </c>
      <c r="Y306" s="1" t="s">
        <v>89</v>
      </c>
      <c r="Z306" s="1" t="s">
        <v>89</v>
      </c>
      <c r="AA306" s="1" t="s">
        <v>119</v>
      </c>
      <c r="AB306" s="1" t="s">
        <v>86</v>
      </c>
      <c r="AC306" s="1" t="s">
        <v>1689</v>
      </c>
      <c r="AD306" s="1">
        <v>67.9</v>
      </c>
      <c r="AE306" s="1">
        <v>66</v>
      </c>
      <c r="AF306" s="1" t="s">
        <v>91</v>
      </c>
      <c r="AG306" s="1">
        <v>3</v>
      </c>
      <c r="AH306" s="1">
        <v>35.8</v>
      </c>
      <c r="AI306" s="1" t="s">
        <v>86</v>
      </c>
      <c r="AJ306" s="1">
        <v>1.09</v>
      </c>
      <c r="AK306" s="1" t="s">
        <v>111</v>
      </c>
      <c r="AL306" s="1" t="s">
        <v>93</v>
      </c>
      <c r="AM306" s="1" t="s">
        <v>140</v>
      </c>
      <c r="AN306" s="1" t="s">
        <v>171</v>
      </c>
      <c r="AO306" s="1" t="s">
        <v>94</v>
      </c>
      <c r="AP306" s="1" t="s">
        <v>95</v>
      </c>
      <c r="AQ306" s="1">
        <v>12.1</v>
      </c>
      <c r="AR306" s="1">
        <v>52.4</v>
      </c>
      <c r="AS306" s="1">
        <v>39.4</v>
      </c>
      <c r="AT306" s="1" t="s">
        <v>96</v>
      </c>
      <c r="AU306" s="1" t="s">
        <v>86</v>
      </c>
      <c r="AV306" s="1" t="s">
        <v>86</v>
      </c>
      <c r="AW306" s="1" t="s">
        <v>86</v>
      </c>
      <c r="AX306" s="1" t="s">
        <v>86</v>
      </c>
      <c r="AY306" s="1" t="s">
        <v>86</v>
      </c>
      <c r="AZ306" s="1" t="s">
        <v>86</v>
      </c>
      <c r="BA306" s="1" t="s">
        <v>86</v>
      </c>
      <c r="BB306" s="1" t="s">
        <v>86</v>
      </c>
      <c r="BC306" s="1" t="s">
        <v>86</v>
      </c>
      <c r="BD306" s="1" t="s">
        <v>86</v>
      </c>
      <c r="BE306" s="1" t="s">
        <v>86</v>
      </c>
      <c r="BF306" s="1" t="s">
        <v>86</v>
      </c>
      <c r="BG306" s="1" t="s">
        <v>86</v>
      </c>
      <c r="BH306" s="1" t="s">
        <v>97</v>
      </c>
      <c r="BI306" s="1" t="s">
        <v>315</v>
      </c>
      <c r="BJ306" s="1" t="s">
        <v>87</v>
      </c>
      <c r="BK306" s="1">
        <v>0</v>
      </c>
      <c r="BL306" s="1">
        <v>0</v>
      </c>
      <c r="BM306" s="1" t="s">
        <v>398</v>
      </c>
      <c r="BN306" s="1" t="s">
        <v>1690</v>
      </c>
      <c r="BO306" s="1" t="s">
        <v>705</v>
      </c>
      <c r="BP306" s="1" t="s">
        <v>86</v>
      </c>
      <c r="BQ306" s="1" t="s">
        <v>86</v>
      </c>
      <c r="BR306" s="1" t="s">
        <v>86</v>
      </c>
      <c r="BS306" s="1" t="s">
        <v>86</v>
      </c>
      <c r="BT306" s="1" t="s">
        <v>86</v>
      </c>
      <c r="BU306" s="1" t="s">
        <v>163</v>
      </c>
      <c r="BV306" s="1" t="s">
        <v>86</v>
      </c>
      <c r="BW306" s="1" t="s">
        <v>101</v>
      </c>
      <c r="BX306" s="1" t="s">
        <v>423</v>
      </c>
      <c r="BY306" s="1" t="s">
        <v>86</v>
      </c>
      <c r="BZ306" s="1" t="s">
        <v>1691</v>
      </c>
      <c r="CA306" s="1" t="s">
        <v>195</v>
      </c>
      <c r="CB306" s="1" t="s">
        <v>269</v>
      </c>
      <c r="CC306" s="1" t="s">
        <v>86</v>
      </c>
      <c r="CD306" s="1" t="s">
        <v>86</v>
      </c>
      <c r="CE306" s="1" t="s">
        <v>86</v>
      </c>
    </row>
    <row r="307">
      <c r="A307" s="1">
        <v>305</v>
      </c>
      <c r="B307" s="1" t="s">
        <v>395</v>
      </c>
      <c r="C307" s="2">
        <f>=HYPERLINK("https://i.stonehdfile.com/stoneimage?s=6c257b4a-9553-4b11-aead-ea2d8734173d","Image")</f>
      </c>
      <c r="D307" s="2">
        <f>=HYPERLINK("https://dna.stonehdfile.com/hd/viewhd.html?d=b00054f7-d833-4cd6-8116-935974ee0883","View360")</f>
      </c>
      <c r="E307" s="2">
        <f>=HYPERLINK("https://i.stonehdfile.com/Certificate?s=6c257b4a-9553-4b11-aead-ea2d8734173d","GIA")</f>
      </c>
      <c r="F307" s="2">
        <f>=HYPERLINK("https://i.stonehdfile.com/DNAReport?s=6c257b4a-9553-4b11-aead-ea2d8734173d","DNA")</f>
      </c>
      <c r="G307" s="2">
        <f>=HYPERLINK("https://www.gia.edu/report-check?reportno=******7707","Verify")</f>
      </c>
      <c r="H307" s="1" t="s">
        <v>1692</v>
      </c>
      <c r="I307" s="1" t="s">
        <v>46</v>
      </c>
      <c r="J307" s="1">
        <v>3.03</v>
      </c>
      <c r="K307" s="1">
        <v>1</v>
      </c>
      <c r="L307" s="1">
        <v>16000</v>
      </c>
      <c r="M307" s="1">
        <v>9462</v>
      </c>
      <c r="N307" s="1">
        <v>28669.86</v>
      </c>
      <c r="O307" s="1">
        <v>-40.86</v>
      </c>
      <c r="P307" s="1">
        <v>0</v>
      </c>
      <c r="Q307" s="1" t="s">
        <v>86</v>
      </c>
      <c r="R307" s="1">
        <v>0</v>
      </c>
      <c r="S307" s="1" t="s">
        <v>86</v>
      </c>
      <c r="T307" s="1" t="s">
        <v>86</v>
      </c>
      <c r="U307" s="1" t="s">
        <v>271</v>
      </c>
      <c r="V307" s="1" t="s">
        <v>86</v>
      </c>
      <c r="W307" s="1" t="s">
        <v>169</v>
      </c>
      <c r="X307" s="1" t="s">
        <v>86</v>
      </c>
      <c r="Y307" s="1" t="s">
        <v>89</v>
      </c>
      <c r="Z307" s="1" t="s">
        <v>89</v>
      </c>
      <c r="AA307" s="1" t="s">
        <v>119</v>
      </c>
      <c r="AB307" s="1" t="s">
        <v>86</v>
      </c>
      <c r="AC307" s="1" t="s">
        <v>1693</v>
      </c>
      <c r="AD307" s="1">
        <v>68.2</v>
      </c>
      <c r="AE307" s="1">
        <v>60</v>
      </c>
      <c r="AF307" s="1" t="s">
        <v>91</v>
      </c>
      <c r="AG307" s="1">
        <v>1.9</v>
      </c>
      <c r="AH307" s="1">
        <v>35.8</v>
      </c>
      <c r="AI307" s="1" t="s">
        <v>86</v>
      </c>
      <c r="AJ307" s="1">
        <v>1.1</v>
      </c>
      <c r="AK307" s="1" t="s">
        <v>111</v>
      </c>
      <c r="AL307" s="1" t="s">
        <v>93</v>
      </c>
      <c r="AM307" s="1" t="s">
        <v>93</v>
      </c>
      <c r="AN307" s="1" t="s">
        <v>171</v>
      </c>
      <c r="AO307" s="1" t="s">
        <v>94</v>
      </c>
      <c r="AP307" s="1" t="s">
        <v>95</v>
      </c>
      <c r="AQ307" s="1">
        <v>14.4</v>
      </c>
      <c r="AR307" s="1">
        <v>51.5</v>
      </c>
      <c r="AS307" s="1">
        <v>38.9</v>
      </c>
      <c r="AT307" s="1" t="s">
        <v>96</v>
      </c>
      <c r="AU307" s="1" t="s">
        <v>86</v>
      </c>
      <c r="AV307" s="1" t="s">
        <v>86</v>
      </c>
      <c r="AW307" s="1" t="s">
        <v>86</v>
      </c>
      <c r="AX307" s="1" t="s">
        <v>86</v>
      </c>
      <c r="AY307" s="1" t="s">
        <v>86</v>
      </c>
      <c r="AZ307" s="1" t="s">
        <v>86</v>
      </c>
      <c r="BA307" s="1" t="s">
        <v>86</v>
      </c>
      <c r="BB307" s="1" t="s">
        <v>86</v>
      </c>
      <c r="BC307" s="1" t="s">
        <v>86</v>
      </c>
      <c r="BD307" s="1" t="s">
        <v>86</v>
      </c>
      <c r="BE307" s="1" t="s">
        <v>86</v>
      </c>
      <c r="BF307" s="1" t="s">
        <v>86</v>
      </c>
      <c r="BG307" s="1" t="s">
        <v>86</v>
      </c>
      <c r="BH307" s="1" t="s">
        <v>142</v>
      </c>
      <c r="BI307" s="1" t="s">
        <v>658</v>
      </c>
      <c r="BJ307" s="1" t="s">
        <v>87</v>
      </c>
      <c r="BK307" s="1">
        <v>0</v>
      </c>
      <c r="BL307" s="1">
        <v>0</v>
      </c>
      <c r="BM307" s="1" t="s">
        <v>398</v>
      </c>
      <c r="BN307" s="1" t="s">
        <v>1694</v>
      </c>
      <c r="BO307" s="1" t="s">
        <v>1695</v>
      </c>
      <c r="BP307" s="1" t="s">
        <v>86</v>
      </c>
      <c r="BQ307" s="1" t="s">
        <v>86</v>
      </c>
      <c r="BR307" s="1" t="s">
        <v>86</v>
      </c>
      <c r="BS307" s="1" t="s">
        <v>86</v>
      </c>
      <c r="BT307" s="1" t="s">
        <v>86</v>
      </c>
      <c r="BU307" s="1" t="s">
        <v>163</v>
      </c>
      <c r="BV307" s="1" t="s">
        <v>86</v>
      </c>
      <c r="BW307" s="1" t="s">
        <v>101</v>
      </c>
      <c r="BX307" s="1" t="s">
        <v>470</v>
      </c>
      <c r="BY307" s="1" t="s">
        <v>86</v>
      </c>
      <c r="BZ307" s="1" t="s">
        <v>1696</v>
      </c>
      <c r="CA307" s="1" t="s">
        <v>1697</v>
      </c>
      <c r="CB307" s="1" t="s">
        <v>166</v>
      </c>
      <c r="CC307" s="1" t="s">
        <v>86</v>
      </c>
      <c r="CD307" s="1" t="s">
        <v>86</v>
      </c>
      <c r="CE307" s="1" t="s">
        <v>86</v>
      </c>
    </row>
    <row r="308">
      <c r="A308" s="1">
        <v>306</v>
      </c>
      <c r="B308" s="1" t="s">
        <v>395</v>
      </c>
      <c r="C308" s="2">
        <f>=HYPERLINK("https://i.stonehdfile.com/stoneimage?s=cf190a7f-5079-4764-b7d8-274da80a8899","Image")</f>
      </c>
      <c r="D308" s="2">
        <f>=HYPERLINK("https://dna.stonehdfile.com/hd/viewhd.html?d=76a096e5-2338-492e-9bee-e14141c701c2","View360")</f>
      </c>
      <c r="E308" s="2">
        <f>=HYPERLINK("https://i.stonehdfile.com/Certificate?s=cf190a7f-5079-4764-b7d8-274da80a8899","GIA")</f>
      </c>
      <c r="F308" s="2">
        <f>=HYPERLINK("https://i.stonehdfile.com/DNAReport?s=cf190a7f-5079-4764-b7d8-274da80a8899","DNA")</f>
      </c>
      <c r="G308" s="2">
        <f>=HYPERLINK("https://www.gia.edu/report-check?reportno=******0288","Verify")</f>
      </c>
      <c r="H308" s="1" t="s">
        <v>1698</v>
      </c>
      <c r="I308" s="1" t="s">
        <v>46</v>
      </c>
      <c r="J308" s="1">
        <v>3.01</v>
      </c>
      <c r="K308" s="1">
        <v>8</v>
      </c>
      <c r="L308" s="1">
        <v>16000</v>
      </c>
      <c r="M308" s="1">
        <v>8443</v>
      </c>
      <c r="N308" s="1">
        <v>25413.43</v>
      </c>
      <c r="O308" s="1">
        <v>-47.23</v>
      </c>
      <c r="P308" s="1">
        <v>0</v>
      </c>
      <c r="Q308" s="1" t="s">
        <v>86</v>
      </c>
      <c r="R308" s="1">
        <v>0</v>
      </c>
      <c r="S308" s="1" t="s">
        <v>86</v>
      </c>
      <c r="T308" s="1" t="s">
        <v>86</v>
      </c>
      <c r="U308" s="1" t="s">
        <v>271</v>
      </c>
      <c r="V308" s="1" t="s">
        <v>86</v>
      </c>
      <c r="W308" s="1" t="s">
        <v>137</v>
      </c>
      <c r="X308" s="1" t="s">
        <v>86</v>
      </c>
      <c r="Y308" s="1" t="s">
        <v>89</v>
      </c>
      <c r="Z308" s="1" t="s">
        <v>89</v>
      </c>
      <c r="AA308" s="1" t="s">
        <v>119</v>
      </c>
      <c r="AB308" s="1" t="s">
        <v>86</v>
      </c>
      <c r="AC308" s="1" t="s">
        <v>1699</v>
      </c>
      <c r="AD308" s="1">
        <v>67</v>
      </c>
      <c r="AE308" s="1">
        <v>63</v>
      </c>
      <c r="AF308" s="1" t="s">
        <v>91</v>
      </c>
      <c r="AG308" s="1">
        <v>3.4</v>
      </c>
      <c r="AH308" s="1">
        <v>36</v>
      </c>
      <c r="AI308" s="1" t="s">
        <v>86</v>
      </c>
      <c r="AJ308" s="1">
        <v>1</v>
      </c>
      <c r="AK308" s="1" t="s">
        <v>111</v>
      </c>
      <c r="AL308" s="1" t="s">
        <v>140</v>
      </c>
      <c r="AM308" s="1" t="s">
        <v>140</v>
      </c>
      <c r="AN308" s="1" t="s">
        <v>171</v>
      </c>
      <c r="AO308" s="1" t="s">
        <v>94</v>
      </c>
      <c r="AP308" s="1" t="s">
        <v>95</v>
      </c>
      <c r="AQ308" s="1">
        <v>13.6</v>
      </c>
      <c r="AR308" s="1">
        <v>49.5</v>
      </c>
      <c r="AS308" s="1">
        <v>38.6</v>
      </c>
      <c r="AT308" s="1" t="s">
        <v>96</v>
      </c>
      <c r="AU308" s="1" t="s">
        <v>86</v>
      </c>
      <c r="AV308" s="1" t="s">
        <v>86</v>
      </c>
      <c r="AW308" s="1" t="s">
        <v>86</v>
      </c>
      <c r="AX308" s="1" t="s">
        <v>86</v>
      </c>
      <c r="AY308" s="1" t="s">
        <v>86</v>
      </c>
      <c r="AZ308" s="1" t="s">
        <v>86</v>
      </c>
      <c r="BA308" s="1" t="s">
        <v>86</v>
      </c>
      <c r="BB308" s="1" t="s">
        <v>86</v>
      </c>
      <c r="BC308" s="1" t="s">
        <v>86</v>
      </c>
      <c r="BD308" s="1" t="s">
        <v>86</v>
      </c>
      <c r="BE308" s="1" t="s">
        <v>86</v>
      </c>
      <c r="BF308" s="1" t="s">
        <v>86</v>
      </c>
      <c r="BG308" s="1" t="s">
        <v>86</v>
      </c>
      <c r="BH308" s="1" t="s">
        <v>97</v>
      </c>
      <c r="BI308" s="1" t="s">
        <v>191</v>
      </c>
      <c r="BJ308" s="1" t="s">
        <v>87</v>
      </c>
      <c r="BK308" s="1">
        <v>0</v>
      </c>
      <c r="BL308" s="1">
        <v>0</v>
      </c>
      <c r="BM308" s="1" t="s">
        <v>398</v>
      </c>
      <c r="BN308" s="1" t="s">
        <v>1700</v>
      </c>
      <c r="BO308" s="1" t="s">
        <v>153</v>
      </c>
      <c r="BP308" s="1" t="s">
        <v>86</v>
      </c>
      <c r="BQ308" s="1" t="s">
        <v>86</v>
      </c>
      <c r="BR308" s="1" t="s">
        <v>86</v>
      </c>
      <c r="BS308" s="1" t="s">
        <v>86</v>
      </c>
      <c r="BT308" s="1" t="s">
        <v>86</v>
      </c>
      <c r="BU308" s="1" t="s">
        <v>163</v>
      </c>
      <c r="BV308" s="1" t="s">
        <v>86</v>
      </c>
      <c r="BW308" s="1" t="s">
        <v>101</v>
      </c>
      <c r="BX308" s="1" t="s">
        <v>545</v>
      </c>
      <c r="BY308" s="1" t="s">
        <v>86</v>
      </c>
      <c r="BZ308" s="1" t="s">
        <v>1701</v>
      </c>
      <c r="CA308" s="1" t="s">
        <v>297</v>
      </c>
      <c r="CB308" s="1" t="s">
        <v>166</v>
      </c>
      <c r="CC308" s="1" t="s">
        <v>86</v>
      </c>
      <c r="CD308" s="1" t="s">
        <v>86</v>
      </c>
      <c r="CE308" s="1" t="s">
        <v>86</v>
      </c>
    </row>
    <row r="309">
      <c r="A309" s="1">
        <v>307</v>
      </c>
      <c r="B309" s="1" t="s">
        <v>395</v>
      </c>
      <c r="C309" s="2">
        <f>=HYPERLINK("https://i.stonehdfile.com/stoneimage?s=fdbebec1-3a9d-40af-902c-afb5b29de8e0","Image")</f>
      </c>
      <c r="D309" s="2">
        <f>=HYPERLINK("https://dna.stonehdfile.com/hd/viewhd.html?d=fbabc357-2079-42ff-8663-ba5f1919ea40","View360")</f>
      </c>
      <c r="E309" s="2">
        <f>=HYPERLINK("https://i.stonehdfile.com/Certificate?s=fdbebec1-3a9d-40af-902c-afb5b29de8e0","GIA")</f>
      </c>
      <c r="F309" s="2">
        <f>=HYPERLINK("https://i.stonehdfile.com/DNAReport?s=fdbebec1-3a9d-40af-902c-afb5b29de8e0","DNA")</f>
      </c>
      <c r="G309" s="2">
        <f>=HYPERLINK("https://www.gia.edu/report-check?reportno=******7058","Verify")</f>
      </c>
      <c r="H309" s="1" t="s">
        <v>1702</v>
      </c>
      <c r="I309" s="1" t="s">
        <v>46</v>
      </c>
      <c r="J309" s="1">
        <v>3.03</v>
      </c>
      <c r="K309" s="1">
        <v>5</v>
      </c>
      <c r="L309" s="1">
        <v>16000</v>
      </c>
      <c r="M309" s="1">
        <v>7419</v>
      </c>
      <c r="N309" s="1">
        <v>22479.57</v>
      </c>
      <c r="O309" s="1">
        <v>-53.63</v>
      </c>
      <c r="P309" s="1">
        <v>0</v>
      </c>
      <c r="Q309" s="1" t="s">
        <v>86</v>
      </c>
      <c r="R309" s="1">
        <v>0</v>
      </c>
      <c r="S309" s="1" t="s">
        <v>86</v>
      </c>
      <c r="T309" s="1" t="s">
        <v>86</v>
      </c>
      <c r="U309" s="1" t="s">
        <v>271</v>
      </c>
      <c r="V309" s="1" t="s">
        <v>86</v>
      </c>
      <c r="W309" s="1" t="s">
        <v>137</v>
      </c>
      <c r="X309" s="1" t="s">
        <v>86</v>
      </c>
      <c r="Y309" s="1" t="s">
        <v>89</v>
      </c>
      <c r="Z309" s="1" t="s">
        <v>89</v>
      </c>
      <c r="AA309" s="1" t="s">
        <v>119</v>
      </c>
      <c r="AB309" s="1" t="s">
        <v>86</v>
      </c>
      <c r="AC309" s="1" t="s">
        <v>1703</v>
      </c>
      <c r="AD309" s="1">
        <v>69.2</v>
      </c>
      <c r="AE309" s="1">
        <v>63</v>
      </c>
      <c r="AF309" s="1" t="s">
        <v>91</v>
      </c>
      <c r="AG309" s="1">
        <v>3</v>
      </c>
      <c r="AH309" s="1">
        <v>34.3</v>
      </c>
      <c r="AI309" s="1" t="s">
        <v>86</v>
      </c>
      <c r="AJ309" s="1">
        <v>1.03</v>
      </c>
      <c r="AK309" s="1" t="s">
        <v>198</v>
      </c>
      <c r="AL309" s="1" t="s">
        <v>140</v>
      </c>
      <c r="AM309" s="1" t="s">
        <v>128</v>
      </c>
      <c r="AN309" s="1" t="s">
        <v>171</v>
      </c>
      <c r="AO309" s="1" t="s">
        <v>94</v>
      </c>
      <c r="AP309" s="1" t="s">
        <v>95</v>
      </c>
      <c r="AQ309" s="1">
        <v>12.5</v>
      </c>
      <c r="AR309" s="1">
        <v>53.3</v>
      </c>
      <c r="AS309" s="1">
        <v>39.8</v>
      </c>
      <c r="AT309" s="1" t="s">
        <v>96</v>
      </c>
      <c r="AU309" s="1" t="s">
        <v>86</v>
      </c>
      <c r="AV309" s="1" t="s">
        <v>86</v>
      </c>
      <c r="AW309" s="1" t="s">
        <v>86</v>
      </c>
      <c r="AX309" s="1" t="s">
        <v>86</v>
      </c>
      <c r="AY309" s="1" t="s">
        <v>86</v>
      </c>
      <c r="AZ309" s="1" t="s">
        <v>86</v>
      </c>
      <c r="BA309" s="1" t="s">
        <v>86</v>
      </c>
      <c r="BB309" s="1" t="s">
        <v>86</v>
      </c>
      <c r="BC309" s="1" t="s">
        <v>86</v>
      </c>
      <c r="BD309" s="1" t="s">
        <v>86</v>
      </c>
      <c r="BE309" s="1" t="s">
        <v>86</v>
      </c>
      <c r="BF309" s="1" t="s">
        <v>86</v>
      </c>
      <c r="BG309" s="1" t="s">
        <v>172</v>
      </c>
      <c r="BH309" s="1" t="s">
        <v>97</v>
      </c>
      <c r="BI309" s="1" t="s">
        <v>315</v>
      </c>
      <c r="BJ309" s="1" t="s">
        <v>87</v>
      </c>
      <c r="BK309" s="1">
        <v>0</v>
      </c>
      <c r="BL309" s="1">
        <v>0</v>
      </c>
      <c r="BM309" s="1" t="s">
        <v>86</v>
      </c>
      <c r="BN309" s="1" t="s">
        <v>1704</v>
      </c>
      <c r="BO309" s="1" t="s">
        <v>922</v>
      </c>
      <c r="BP309" s="1" t="s">
        <v>86</v>
      </c>
      <c r="BQ309" s="1" t="s">
        <v>86</v>
      </c>
      <c r="BR309" s="1" t="s">
        <v>86</v>
      </c>
      <c r="BS309" s="1" t="s">
        <v>86</v>
      </c>
      <c r="BT309" s="1" t="s">
        <v>86</v>
      </c>
      <c r="BU309" s="1" t="s">
        <v>163</v>
      </c>
      <c r="BV309" s="1" t="s">
        <v>86</v>
      </c>
      <c r="BW309" s="1" t="s">
        <v>101</v>
      </c>
      <c r="BX309" s="1" t="s">
        <v>545</v>
      </c>
      <c r="BY309" s="1" t="s">
        <v>86</v>
      </c>
      <c r="BZ309" s="1" t="s">
        <v>1705</v>
      </c>
      <c r="CA309" s="1" t="s">
        <v>220</v>
      </c>
      <c r="CB309" s="1" t="s">
        <v>425</v>
      </c>
      <c r="CC309" s="1" t="s">
        <v>86</v>
      </c>
      <c r="CD309" s="1" t="s">
        <v>86</v>
      </c>
      <c r="CE309" s="1" t="s">
        <v>86</v>
      </c>
    </row>
    <row r="310">
      <c r="A310" s="1">
        <v>308</v>
      </c>
      <c r="B310" s="1" t="s">
        <v>395</v>
      </c>
      <c r="C310" s="2">
        <f>=HYPERLINK("https://i.stonehdfile.com/stoneimage?s=9d3f0918-c478-4c61-beb0-eb245794b4a1","Image")</f>
      </c>
      <c r="D310" s="2">
        <f>=HYPERLINK("https://dna.stonehdfile.com/hd/viewhd.html?d=9b266540-8793-42f2-a5da-73ca969f4ae8","View360")</f>
      </c>
      <c r="E310" s="2">
        <f>=HYPERLINK("https://i.stonehdfile.com/Certificate?s=9d3f0918-c478-4c61-beb0-eb245794b4a1","GIA")</f>
      </c>
      <c r="F310" s="2">
        <f>=HYPERLINK("https://i.stonehdfile.com/DNAReport?s=9d3f0918-c478-4c61-beb0-eb245794b4a1","DNA")</f>
      </c>
      <c r="G310" s="2">
        <f>=HYPERLINK("https://www.gia.edu/report-check?reportno=******0326","Verify")</f>
      </c>
      <c r="H310" s="1" t="s">
        <v>1706</v>
      </c>
      <c r="I310" s="1" t="s">
        <v>46</v>
      </c>
      <c r="J310" s="1">
        <v>3.01</v>
      </c>
      <c r="K310" s="1">
        <v>0</v>
      </c>
      <c r="L310" s="1">
        <v>16000</v>
      </c>
      <c r="M310" s="1">
        <v>6908</v>
      </c>
      <c r="N310" s="1">
        <v>20793.08</v>
      </c>
      <c r="O310" s="1">
        <v>-56.83</v>
      </c>
      <c r="P310" s="1">
        <v>0</v>
      </c>
      <c r="Q310" s="1" t="s">
        <v>86</v>
      </c>
      <c r="R310" s="1">
        <v>0</v>
      </c>
      <c r="S310" s="1" t="s">
        <v>86</v>
      </c>
      <c r="T310" s="1" t="s">
        <v>86</v>
      </c>
      <c r="U310" s="1" t="s">
        <v>271</v>
      </c>
      <c r="V310" s="1" t="s">
        <v>86</v>
      </c>
      <c r="W310" s="1" t="s">
        <v>206</v>
      </c>
      <c r="X310" s="1" t="s">
        <v>86</v>
      </c>
      <c r="Y310" s="1" t="s">
        <v>89</v>
      </c>
      <c r="Z310" s="1" t="s">
        <v>89</v>
      </c>
      <c r="AA310" s="1" t="s">
        <v>119</v>
      </c>
      <c r="AB310" s="1" t="s">
        <v>86</v>
      </c>
      <c r="AC310" s="1" t="s">
        <v>1707</v>
      </c>
      <c r="AD310" s="1">
        <v>70.4</v>
      </c>
      <c r="AE310" s="1">
        <v>64</v>
      </c>
      <c r="AF310" s="1" t="s">
        <v>91</v>
      </c>
      <c r="AG310" s="1">
        <v>3.4</v>
      </c>
      <c r="AH310" s="1">
        <v>37.1</v>
      </c>
      <c r="AI310" s="1" t="s">
        <v>86</v>
      </c>
      <c r="AJ310" s="1">
        <v>1.01</v>
      </c>
      <c r="AK310" s="1" t="s">
        <v>198</v>
      </c>
      <c r="AL310" s="1" t="s">
        <v>93</v>
      </c>
      <c r="AM310" s="1" t="s">
        <v>140</v>
      </c>
      <c r="AN310" s="1" t="s">
        <v>171</v>
      </c>
      <c r="AO310" s="1" t="s">
        <v>208</v>
      </c>
      <c r="AP310" s="1" t="s">
        <v>95</v>
      </c>
      <c r="AQ310" s="1">
        <v>13.6</v>
      </c>
      <c r="AR310" s="1">
        <v>53</v>
      </c>
      <c r="AS310" s="1">
        <v>39.6</v>
      </c>
      <c r="AT310" s="1" t="s">
        <v>96</v>
      </c>
      <c r="AU310" s="1" t="s">
        <v>86</v>
      </c>
      <c r="AV310" s="1" t="s">
        <v>86</v>
      </c>
      <c r="AW310" s="1" t="s">
        <v>141</v>
      </c>
      <c r="AX310" s="1" t="s">
        <v>86</v>
      </c>
      <c r="AY310" s="1" t="s">
        <v>86</v>
      </c>
      <c r="AZ310" s="1" t="s">
        <v>86</v>
      </c>
      <c r="BA310" s="1" t="s">
        <v>86</v>
      </c>
      <c r="BB310" s="1" t="s">
        <v>86</v>
      </c>
      <c r="BC310" s="1" t="s">
        <v>86</v>
      </c>
      <c r="BD310" s="1" t="s">
        <v>86</v>
      </c>
      <c r="BE310" s="1" t="s">
        <v>86</v>
      </c>
      <c r="BF310" s="1" t="s">
        <v>282</v>
      </c>
      <c r="BG310" s="1" t="s">
        <v>172</v>
      </c>
      <c r="BH310" s="1" t="s">
        <v>173</v>
      </c>
      <c r="BI310" s="1" t="s">
        <v>191</v>
      </c>
      <c r="BJ310" s="1" t="s">
        <v>87</v>
      </c>
      <c r="BK310" s="1">
        <v>0</v>
      </c>
      <c r="BL310" s="1">
        <v>0</v>
      </c>
      <c r="BM310" s="1" t="s">
        <v>398</v>
      </c>
      <c r="BN310" s="1" t="s">
        <v>1708</v>
      </c>
      <c r="BO310" s="1" t="s">
        <v>153</v>
      </c>
      <c r="BP310" s="1" t="s">
        <v>86</v>
      </c>
      <c r="BQ310" s="1" t="s">
        <v>86</v>
      </c>
      <c r="BR310" s="1" t="s">
        <v>86</v>
      </c>
      <c r="BS310" s="1" t="s">
        <v>86</v>
      </c>
      <c r="BT310" s="1" t="s">
        <v>86</v>
      </c>
      <c r="BU310" s="1" t="s">
        <v>163</v>
      </c>
      <c r="BV310" s="1" t="s">
        <v>86</v>
      </c>
      <c r="BW310" s="1" t="s">
        <v>101</v>
      </c>
      <c r="BX310" s="1" t="s">
        <v>401</v>
      </c>
      <c r="BY310" s="1" t="s">
        <v>86</v>
      </c>
      <c r="BZ310" s="1" t="s">
        <v>1709</v>
      </c>
      <c r="CA310" s="1" t="s">
        <v>1710</v>
      </c>
      <c r="CB310" s="1" t="s">
        <v>907</v>
      </c>
      <c r="CC310" s="1" t="s">
        <v>86</v>
      </c>
      <c r="CD310" s="1" t="s">
        <v>86</v>
      </c>
      <c r="CE310" s="1" t="s">
        <v>86</v>
      </c>
    </row>
    <row r="311">
      <c r="A311" s="1">
        <v>309</v>
      </c>
      <c r="B311" s="1" t="s">
        <v>395</v>
      </c>
      <c r="C311" s="2">
        <f>=HYPERLINK("https://i.stonehdfile.com/stoneimage?s=a0d144fe-43c2-4c59-a984-07a005f7a16c","Image")</f>
      </c>
      <c r="D311" s="2">
        <f>=HYPERLINK("https://dna.stonehdfile.com/hd/viewhd.html?d=395328c4-1c4f-4fd8-8461-bf2ed9086ba4","View360")</f>
      </c>
      <c r="E311" s="2">
        <f>=HYPERLINK("https://i.stonehdfile.com/Certificate?s=a0d144fe-43c2-4c59-a984-07a005f7a16c","GIA")</f>
      </c>
      <c r="F311" s="2">
        <f>=HYPERLINK("https://i.stonehdfile.com/DNAReport?s=a0d144fe-43c2-4c59-a984-07a005f7a16c","DNA")</f>
      </c>
      <c r="G311" s="2">
        <f>=HYPERLINK("https://www.gia.edu/report-check?reportno=******1695","Verify")</f>
      </c>
      <c r="H311" s="1" t="s">
        <v>1711</v>
      </c>
      <c r="I311" s="1" t="s">
        <v>46</v>
      </c>
      <c r="J311" s="1">
        <v>3.03</v>
      </c>
      <c r="K311" s="1">
        <v>7</v>
      </c>
      <c r="L311" s="1">
        <v>17000</v>
      </c>
      <c r="M311" s="1">
        <v>8391</v>
      </c>
      <c r="N311" s="1">
        <v>25424.73</v>
      </c>
      <c r="O311" s="1">
        <v>-50.64</v>
      </c>
      <c r="P311" s="1">
        <v>0</v>
      </c>
      <c r="Q311" s="1" t="s">
        <v>86</v>
      </c>
      <c r="R311" s="1">
        <v>0</v>
      </c>
      <c r="S311" s="1" t="s">
        <v>86</v>
      </c>
      <c r="T311" s="1" t="s">
        <v>86</v>
      </c>
      <c r="U311" s="1" t="s">
        <v>118</v>
      </c>
      <c r="V311" s="1" t="s">
        <v>86</v>
      </c>
      <c r="W311" s="1" t="s">
        <v>107</v>
      </c>
      <c r="X311" s="1" t="s">
        <v>86</v>
      </c>
      <c r="Y311" s="1" t="s">
        <v>89</v>
      </c>
      <c r="Z311" s="1" t="s">
        <v>138</v>
      </c>
      <c r="AA311" s="1" t="s">
        <v>119</v>
      </c>
      <c r="AB311" s="1" t="s">
        <v>86</v>
      </c>
      <c r="AC311" s="1" t="s">
        <v>1712</v>
      </c>
      <c r="AD311" s="1">
        <v>68.3</v>
      </c>
      <c r="AE311" s="1">
        <v>66</v>
      </c>
      <c r="AF311" s="1" t="s">
        <v>91</v>
      </c>
      <c r="AG311" s="1">
        <v>2.9</v>
      </c>
      <c r="AH311" s="1">
        <v>35.4</v>
      </c>
      <c r="AI311" s="1" t="s">
        <v>86</v>
      </c>
      <c r="AJ311" s="1">
        <v>1.01</v>
      </c>
      <c r="AK311" s="1" t="s">
        <v>190</v>
      </c>
      <c r="AL311" s="1" t="s">
        <v>93</v>
      </c>
      <c r="AM311" s="1" t="s">
        <v>140</v>
      </c>
      <c r="AN311" s="1" t="s">
        <v>86</v>
      </c>
      <c r="AO311" s="1" t="s">
        <v>94</v>
      </c>
      <c r="AP311" s="1" t="s">
        <v>95</v>
      </c>
      <c r="AQ311" s="1">
        <v>12.3</v>
      </c>
      <c r="AR311" s="1">
        <v>52.7</v>
      </c>
      <c r="AS311" s="1">
        <v>40.6</v>
      </c>
      <c r="AT311" s="1" t="s">
        <v>96</v>
      </c>
      <c r="AU311" s="1" t="s">
        <v>86</v>
      </c>
      <c r="AV311" s="1" t="s">
        <v>86</v>
      </c>
      <c r="AW311" s="1" t="s">
        <v>86</v>
      </c>
      <c r="AX311" s="1" t="s">
        <v>86</v>
      </c>
      <c r="AY311" s="1" t="s">
        <v>86</v>
      </c>
      <c r="AZ311" s="1" t="s">
        <v>86</v>
      </c>
      <c r="BA311" s="1" t="s">
        <v>86</v>
      </c>
      <c r="BB311" s="1" t="s">
        <v>86</v>
      </c>
      <c r="BC311" s="1" t="s">
        <v>86</v>
      </c>
      <c r="BD311" s="1" t="s">
        <v>86</v>
      </c>
      <c r="BE311" s="1" t="s">
        <v>86</v>
      </c>
      <c r="BF311" s="1" t="s">
        <v>86</v>
      </c>
      <c r="BG311" s="1" t="s">
        <v>86</v>
      </c>
      <c r="BH311" s="1" t="s">
        <v>97</v>
      </c>
      <c r="BI311" s="1" t="s">
        <v>387</v>
      </c>
      <c r="BJ311" s="1" t="s">
        <v>87</v>
      </c>
      <c r="BK311" s="1">
        <v>0</v>
      </c>
      <c r="BL311" s="1">
        <v>0</v>
      </c>
      <c r="BM311" s="1" t="s">
        <v>398</v>
      </c>
      <c r="BN311" s="1" t="s">
        <v>1713</v>
      </c>
      <c r="BO311" s="1" t="s">
        <v>1561</v>
      </c>
      <c r="BP311" s="1" t="s">
        <v>86</v>
      </c>
      <c r="BQ311" s="1" t="s">
        <v>86</v>
      </c>
      <c r="BR311" s="1" t="s">
        <v>86</v>
      </c>
      <c r="BS311" s="1" t="s">
        <v>86</v>
      </c>
      <c r="BT311" s="1" t="s">
        <v>86</v>
      </c>
      <c r="BU311" s="1" t="s">
        <v>163</v>
      </c>
      <c r="BV311" s="1" t="s">
        <v>86</v>
      </c>
      <c r="BW311" s="1" t="s">
        <v>101</v>
      </c>
      <c r="BX311" s="1" t="s">
        <v>478</v>
      </c>
      <c r="BY311" s="1" t="s">
        <v>86</v>
      </c>
      <c r="BZ311" s="1" t="s">
        <v>1714</v>
      </c>
      <c r="CA311" s="1" t="s">
        <v>1343</v>
      </c>
      <c r="CB311" s="1" t="s">
        <v>1471</v>
      </c>
      <c r="CC311" s="1" t="s">
        <v>86</v>
      </c>
      <c r="CD311" s="1" t="s">
        <v>86</v>
      </c>
      <c r="CE311" s="1" t="s">
        <v>86</v>
      </c>
    </row>
    <row r="312">
      <c r="A312" s="1">
        <v>310</v>
      </c>
      <c r="B312" s="1" t="s">
        <v>395</v>
      </c>
      <c r="C312" s="2">
        <f>=HYPERLINK("https://i.stonehdfile.com/stoneimage?s=21f00ce6-6c9e-4849-8ec1-476a8ec5d1f9","Image")</f>
      </c>
      <c r="D312" s="2">
        <f>=HYPERLINK("https://dna.stonehdfile.com/hd/viewhd.html?d=1349c9b1-64a1-4e90-ad38-52e72e99cdc9","View360")</f>
      </c>
      <c r="E312" s="2">
        <f>=HYPERLINK("https://i.stonehdfile.com/Certificate?s=21f00ce6-6c9e-4849-8ec1-476a8ec5d1f9","GIA")</f>
      </c>
      <c r="F312" s="2">
        <f>=HYPERLINK("https://i.stonehdfile.com/DNAReport?s=21f00ce6-6c9e-4849-8ec1-476a8ec5d1f9","DNA")</f>
      </c>
      <c r="G312" s="2">
        <f>=HYPERLINK("https://www.gia.edu/report-check?reportno=******4850","Verify")</f>
      </c>
      <c r="H312" s="1" t="s">
        <v>1715</v>
      </c>
      <c r="I312" s="1" t="s">
        <v>46</v>
      </c>
      <c r="J312" s="1">
        <v>3.11</v>
      </c>
      <c r="K312" s="1">
        <v>6</v>
      </c>
      <c r="L312" s="1">
        <v>17000</v>
      </c>
      <c r="M312" s="1">
        <v>8710</v>
      </c>
      <c r="N312" s="1">
        <v>27088.1</v>
      </c>
      <c r="O312" s="1">
        <v>-48.76</v>
      </c>
      <c r="P312" s="1">
        <v>0</v>
      </c>
      <c r="Q312" s="1" t="s">
        <v>86</v>
      </c>
      <c r="R312" s="1">
        <v>0</v>
      </c>
      <c r="S312" s="1" t="s">
        <v>86</v>
      </c>
      <c r="T312" s="1" t="s">
        <v>86</v>
      </c>
      <c r="U312" s="1" t="s">
        <v>118</v>
      </c>
      <c r="V312" s="1" t="s">
        <v>86</v>
      </c>
      <c r="W312" s="1" t="s">
        <v>149</v>
      </c>
      <c r="X312" s="1" t="s">
        <v>86</v>
      </c>
      <c r="Y312" s="1" t="s">
        <v>89</v>
      </c>
      <c r="Z312" s="1" t="s">
        <v>89</v>
      </c>
      <c r="AA312" s="1" t="s">
        <v>119</v>
      </c>
      <c r="AB312" s="1" t="s">
        <v>86</v>
      </c>
      <c r="AC312" s="1" t="s">
        <v>1716</v>
      </c>
      <c r="AD312" s="1">
        <v>67.6</v>
      </c>
      <c r="AE312" s="1">
        <v>65</v>
      </c>
      <c r="AF312" s="1" t="s">
        <v>91</v>
      </c>
      <c r="AG312" s="1">
        <v>2.2</v>
      </c>
      <c r="AH312" s="1">
        <v>35.1</v>
      </c>
      <c r="AI312" s="1" t="s">
        <v>86</v>
      </c>
      <c r="AJ312" s="1">
        <v>1.09</v>
      </c>
      <c r="AK312" s="1" t="s">
        <v>111</v>
      </c>
      <c r="AL312" s="1" t="s">
        <v>93</v>
      </c>
      <c r="AM312" s="1" t="s">
        <v>140</v>
      </c>
      <c r="AN312" s="1" t="s">
        <v>86</v>
      </c>
      <c r="AO312" s="1" t="s">
        <v>94</v>
      </c>
      <c r="AP312" s="1" t="s">
        <v>95</v>
      </c>
      <c r="AQ312" s="1">
        <v>12.5</v>
      </c>
      <c r="AR312" s="1">
        <v>52.6</v>
      </c>
      <c r="AS312" s="1">
        <v>39.7</v>
      </c>
      <c r="AT312" s="1" t="s">
        <v>96</v>
      </c>
      <c r="AU312" s="1" t="s">
        <v>86</v>
      </c>
      <c r="AV312" s="1" t="s">
        <v>86</v>
      </c>
      <c r="AW312" s="1" t="s">
        <v>86</v>
      </c>
      <c r="AX312" s="1" t="s">
        <v>86</v>
      </c>
      <c r="AY312" s="1" t="s">
        <v>86</v>
      </c>
      <c r="AZ312" s="1" t="s">
        <v>86</v>
      </c>
      <c r="BA312" s="1" t="s">
        <v>86</v>
      </c>
      <c r="BB312" s="1" t="s">
        <v>86</v>
      </c>
      <c r="BC312" s="1" t="s">
        <v>86</v>
      </c>
      <c r="BD312" s="1" t="s">
        <v>86</v>
      </c>
      <c r="BE312" s="1" t="s">
        <v>86</v>
      </c>
      <c r="BF312" s="1" t="s">
        <v>86</v>
      </c>
      <c r="BG312" s="1" t="s">
        <v>86</v>
      </c>
      <c r="BH312" s="1" t="s">
        <v>142</v>
      </c>
      <c r="BI312" s="1" t="s">
        <v>420</v>
      </c>
      <c r="BJ312" s="1" t="s">
        <v>87</v>
      </c>
      <c r="BK312" s="1">
        <v>0</v>
      </c>
      <c r="BL312" s="1">
        <v>0</v>
      </c>
      <c r="BM312" s="1" t="s">
        <v>398</v>
      </c>
      <c r="BN312" s="1" t="s">
        <v>1717</v>
      </c>
      <c r="BO312" s="1" t="s">
        <v>1115</v>
      </c>
      <c r="BP312" s="1" t="s">
        <v>86</v>
      </c>
      <c r="BQ312" s="1" t="s">
        <v>86</v>
      </c>
      <c r="BR312" s="1" t="s">
        <v>86</v>
      </c>
      <c r="BS312" s="1" t="s">
        <v>86</v>
      </c>
      <c r="BT312" s="1" t="s">
        <v>86</v>
      </c>
      <c r="BU312" s="1" t="s">
        <v>163</v>
      </c>
      <c r="BV312" s="1" t="s">
        <v>86</v>
      </c>
      <c r="BW312" s="1" t="s">
        <v>101</v>
      </c>
      <c r="BX312" s="1" t="s">
        <v>478</v>
      </c>
      <c r="BY312" s="1" t="s">
        <v>86</v>
      </c>
      <c r="BZ312" s="1" t="s">
        <v>1718</v>
      </c>
      <c r="CA312" s="1" t="s">
        <v>297</v>
      </c>
      <c r="CB312" s="1" t="s">
        <v>166</v>
      </c>
      <c r="CC312" s="1" t="s">
        <v>86</v>
      </c>
      <c r="CD312" s="1" t="s">
        <v>86</v>
      </c>
      <c r="CE312" s="1" t="s">
        <v>86</v>
      </c>
    </row>
    <row r="313">
      <c r="A313" s="1">
        <v>311</v>
      </c>
      <c r="B313" s="1" t="s">
        <v>395</v>
      </c>
      <c r="C313" s="2">
        <f>=HYPERLINK("https://i.stonehdfile.com/stoneimage?s=8bed40da-2fdb-4471-adb5-8730ea964df4","Image")</f>
      </c>
      <c r="D313" s="2">
        <f>=HYPERLINK("https://dna.stonehdfile.com/hd/viewhd.html?d=cb3863c2-c03b-4a6a-a7d8-84cbe015ecab","View360")</f>
      </c>
      <c r="E313" s="2">
        <f>=HYPERLINK("https://i.stonehdfile.com/Certificate?s=8bed40da-2fdb-4471-adb5-8730ea964df4","GIA")</f>
      </c>
      <c r="F313" s="2">
        <f>=HYPERLINK("https://i.stonehdfile.com/DNAReport?s=8bed40da-2fdb-4471-adb5-8730ea964df4","DNA")</f>
      </c>
      <c r="G313" s="2">
        <f>=HYPERLINK("https://www.gia.edu/report-check?reportno=******2669","Verify")</f>
      </c>
      <c r="H313" s="1" t="s">
        <v>1719</v>
      </c>
      <c r="I313" s="1" t="s">
        <v>46</v>
      </c>
      <c r="J313" s="1">
        <v>3.01</v>
      </c>
      <c r="K313" s="1">
        <v>7</v>
      </c>
      <c r="L313" s="1">
        <v>15500</v>
      </c>
      <c r="M313" s="1">
        <v>8313</v>
      </c>
      <c r="N313" s="1">
        <v>25022.13</v>
      </c>
      <c r="O313" s="1">
        <v>-46.37</v>
      </c>
      <c r="P313" s="1">
        <v>0</v>
      </c>
      <c r="Q313" s="1" t="s">
        <v>86</v>
      </c>
      <c r="R313" s="1">
        <v>0</v>
      </c>
      <c r="S313" s="1" t="s">
        <v>86</v>
      </c>
      <c r="T313" s="1" t="s">
        <v>86</v>
      </c>
      <c r="U313" s="1" t="s">
        <v>118</v>
      </c>
      <c r="V313" s="1" t="s">
        <v>86</v>
      </c>
      <c r="W313" s="1" t="s">
        <v>352</v>
      </c>
      <c r="X313" s="1" t="s">
        <v>86</v>
      </c>
      <c r="Y313" s="1" t="s">
        <v>89</v>
      </c>
      <c r="Z313" s="1" t="s">
        <v>89</v>
      </c>
      <c r="AA313" s="1" t="s">
        <v>119</v>
      </c>
      <c r="AB313" s="1" t="s">
        <v>86</v>
      </c>
      <c r="AC313" s="1" t="s">
        <v>1720</v>
      </c>
      <c r="AD313" s="1">
        <v>69.2</v>
      </c>
      <c r="AE313" s="1">
        <v>63</v>
      </c>
      <c r="AF313" s="1" t="s">
        <v>91</v>
      </c>
      <c r="AG313" s="1">
        <v>1.7</v>
      </c>
      <c r="AH313" s="1">
        <v>34</v>
      </c>
      <c r="AI313" s="1" t="s">
        <v>86</v>
      </c>
      <c r="AJ313" s="1">
        <v>1.08</v>
      </c>
      <c r="AK313" s="1" t="s">
        <v>92</v>
      </c>
      <c r="AL313" s="1" t="s">
        <v>93</v>
      </c>
      <c r="AM313" s="1" t="s">
        <v>93</v>
      </c>
      <c r="AN313" s="1" t="s">
        <v>171</v>
      </c>
      <c r="AO313" s="1" t="s">
        <v>94</v>
      </c>
      <c r="AP313" s="1" t="s">
        <v>95</v>
      </c>
      <c r="AQ313" s="1">
        <v>12.7</v>
      </c>
      <c r="AR313" s="1">
        <v>54.3</v>
      </c>
      <c r="AS313" s="1">
        <v>39.3</v>
      </c>
      <c r="AT313" s="1" t="s">
        <v>96</v>
      </c>
      <c r="AU313" s="1" t="s">
        <v>86</v>
      </c>
      <c r="AV313" s="1" t="s">
        <v>86</v>
      </c>
      <c r="AW313" s="1" t="s">
        <v>86</v>
      </c>
      <c r="AX313" s="1" t="s">
        <v>86</v>
      </c>
      <c r="AY313" s="1" t="s">
        <v>86</v>
      </c>
      <c r="AZ313" s="1" t="s">
        <v>86</v>
      </c>
      <c r="BA313" s="1" t="s">
        <v>86</v>
      </c>
      <c r="BB313" s="1" t="s">
        <v>86</v>
      </c>
      <c r="BC313" s="1" t="s">
        <v>86</v>
      </c>
      <c r="BD313" s="1" t="s">
        <v>86</v>
      </c>
      <c r="BE313" s="1" t="s">
        <v>86</v>
      </c>
      <c r="BF313" s="1" t="s">
        <v>86</v>
      </c>
      <c r="BG313" s="1" t="s">
        <v>86</v>
      </c>
      <c r="BH313" s="1" t="s">
        <v>142</v>
      </c>
      <c r="BI313" s="1" t="s">
        <v>265</v>
      </c>
      <c r="BJ313" s="1" t="s">
        <v>87</v>
      </c>
      <c r="BK313" s="1">
        <v>0</v>
      </c>
      <c r="BL313" s="1">
        <v>0</v>
      </c>
      <c r="BM313" s="1" t="s">
        <v>398</v>
      </c>
      <c r="BN313" s="1" t="s">
        <v>1721</v>
      </c>
      <c r="BO313" s="1" t="s">
        <v>1722</v>
      </c>
      <c r="BP313" s="1" t="s">
        <v>86</v>
      </c>
      <c r="BQ313" s="1" t="s">
        <v>86</v>
      </c>
      <c r="BR313" s="1" t="s">
        <v>86</v>
      </c>
      <c r="BS313" s="1" t="s">
        <v>86</v>
      </c>
      <c r="BT313" s="1" t="s">
        <v>86</v>
      </c>
      <c r="BU313" s="1" t="s">
        <v>163</v>
      </c>
      <c r="BV313" s="1" t="s">
        <v>86</v>
      </c>
      <c r="BW313" s="1" t="s">
        <v>101</v>
      </c>
      <c r="BX313" s="1" t="s">
        <v>545</v>
      </c>
      <c r="BY313" s="1" t="s">
        <v>86</v>
      </c>
      <c r="BZ313" s="1" t="s">
        <v>1723</v>
      </c>
      <c r="CA313" s="1" t="s">
        <v>1017</v>
      </c>
      <c r="CB313" s="1" t="s">
        <v>86</v>
      </c>
      <c r="CC313" s="1" t="s">
        <v>86</v>
      </c>
      <c r="CD313" s="1" t="s">
        <v>86</v>
      </c>
      <c r="CE313" s="1" t="s">
        <v>86</v>
      </c>
    </row>
    <row r="314">
      <c r="A314" s="1">
        <v>312</v>
      </c>
      <c r="B314" s="1" t="s">
        <v>395</v>
      </c>
      <c r="C314" s="2">
        <f>=HYPERLINK("https://i.stonehdfile.com/stoneimage?s=9479bdf2-15d1-4558-b203-5dca5051e91f","Image")</f>
      </c>
      <c r="D314" s="2">
        <f>=HYPERLINK("https://dna.stonehdfile.com/hd/viewhd.html?d=6df76cfe-b43a-4b5c-8e53-88959b60a3f4","View360")</f>
      </c>
      <c r="E314" s="2">
        <f>=HYPERLINK("https://i.stonehdfile.com/Certificate?s=9479bdf2-15d1-4558-b203-5dca5051e91f","GIA")</f>
      </c>
      <c r="F314" s="2">
        <f>=HYPERLINK("https://i.stonehdfile.com/DNAReport?s=9479bdf2-15d1-4558-b203-5dca5051e91f","DNA")</f>
      </c>
      <c r="G314" s="2">
        <f>=HYPERLINK("https://www.gia.edu/report-check?reportno=******7005","Verify")</f>
      </c>
      <c r="H314" s="1" t="s">
        <v>1724</v>
      </c>
      <c r="I314" s="1" t="s">
        <v>46</v>
      </c>
      <c r="J314" s="1">
        <v>3.5</v>
      </c>
      <c r="K314" s="1">
        <v>3</v>
      </c>
      <c r="L314" s="1">
        <v>15500</v>
      </c>
      <c r="M314" s="1">
        <v>8999</v>
      </c>
      <c r="N314" s="1">
        <v>31496.5</v>
      </c>
      <c r="O314" s="1">
        <v>-41.94</v>
      </c>
      <c r="P314" s="1">
        <v>0</v>
      </c>
      <c r="Q314" s="1" t="s">
        <v>86</v>
      </c>
      <c r="R314" s="1">
        <v>0</v>
      </c>
      <c r="S314" s="1" t="s">
        <v>86</v>
      </c>
      <c r="T314" s="1" t="s">
        <v>86</v>
      </c>
      <c r="U314" s="1" t="s">
        <v>118</v>
      </c>
      <c r="V314" s="1" t="s">
        <v>86</v>
      </c>
      <c r="W314" s="1" t="s">
        <v>352</v>
      </c>
      <c r="X314" s="1" t="s">
        <v>86</v>
      </c>
      <c r="Y314" s="1" t="s">
        <v>89</v>
      </c>
      <c r="Z314" s="1" t="s">
        <v>89</v>
      </c>
      <c r="AA314" s="1" t="s">
        <v>119</v>
      </c>
      <c r="AB314" s="1" t="s">
        <v>86</v>
      </c>
      <c r="AC314" s="1" t="s">
        <v>1725</v>
      </c>
      <c r="AD314" s="1">
        <v>68</v>
      </c>
      <c r="AE314" s="1">
        <v>63</v>
      </c>
      <c r="AF314" s="1" t="s">
        <v>91</v>
      </c>
      <c r="AG314" s="1">
        <v>3.2</v>
      </c>
      <c r="AH314" s="1">
        <v>35.8</v>
      </c>
      <c r="AI314" s="1" t="s">
        <v>86</v>
      </c>
      <c r="AJ314" s="1">
        <v>1.09</v>
      </c>
      <c r="AK314" s="1" t="s">
        <v>190</v>
      </c>
      <c r="AL314" s="1" t="s">
        <v>93</v>
      </c>
      <c r="AM314" s="1" t="s">
        <v>93</v>
      </c>
      <c r="AN314" s="1" t="s">
        <v>307</v>
      </c>
      <c r="AO314" s="1" t="s">
        <v>94</v>
      </c>
      <c r="AP314" s="1" t="s">
        <v>95</v>
      </c>
      <c r="AQ314" s="1">
        <v>13.6</v>
      </c>
      <c r="AR314" s="1">
        <v>51</v>
      </c>
      <c r="AS314" s="1">
        <v>38.1</v>
      </c>
      <c r="AT314" s="1" t="s">
        <v>96</v>
      </c>
      <c r="AU314" s="1" t="s">
        <v>86</v>
      </c>
      <c r="AV314" s="1" t="s">
        <v>86</v>
      </c>
      <c r="AW314" s="1" t="s">
        <v>86</v>
      </c>
      <c r="AX314" s="1" t="s">
        <v>86</v>
      </c>
      <c r="AY314" s="1" t="s">
        <v>86</v>
      </c>
      <c r="AZ314" s="1" t="s">
        <v>86</v>
      </c>
      <c r="BA314" s="1" t="s">
        <v>86</v>
      </c>
      <c r="BB314" s="1" t="s">
        <v>86</v>
      </c>
      <c r="BC314" s="1" t="s">
        <v>86</v>
      </c>
      <c r="BD314" s="1" t="s">
        <v>86</v>
      </c>
      <c r="BE314" s="1" t="s">
        <v>86</v>
      </c>
      <c r="BF314" s="1" t="s">
        <v>86</v>
      </c>
      <c r="BG314" s="1" t="s">
        <v>172</v>
      </c>
      <c r="BH314" s="1" t="s">
        <v>97</v>
      </c>
      <c r="BI314" s="1" t="s">
        <v>199</v>
      </c>
      <c r="BJ314" s="1" t="s">
        <v>87</v>
      </c>
      <c r="BK314" s="1">
        <v>0</v>
      </c>
      <c r="BL314" s="1">
        <v>0</v>
      </c>
      <c r="BM314" s="1" t="s">
        <v>398</v>
      </c>
      <c r="BN314" s="1" t="s">
        <v>1726</v>
      </c>
      <c r="BO314" s="1" t="s">
        <v>1727</v>
      </c>
      <c r="BP314" s="1" t="s">
        <v>86</v>
      </c>
      <c r="BQ314" s="1" t="s">
        <v>86</v>
      </c>
      <c r="BR314" s="1" t="s">
        <v>86</v>
      </c>
      <c r="BS314" s="1" t="s">
        <v>86</v>
      </c>
      <c r="BT314" s="1" t="s">
        <v>86</v>
      </c>
      <c r="BU314" s="1" t="s">
        <v>163</v>
      </c>
      <c r="BV314" s="1" t="s">
        <v>86</v>
      </c>
      <c r="BW314" s="1" t="s">
        <v>101</v>
      </c>
      <c r="BX314" s="1" t="s">
        <v>414</v>
      </c>
      <c r="BY314" s="1" t="s">
        <v>86</v>
      </c>
      <c r="BZ314" s="1" t="s">
        <v>1728</v>
      </c>
      <c r="CA314" s="1" t="s">
        <v>645</v>
      </c>
      <c r="CB314" s="1" t="s">
        <v>179</v>
      </c>
      <c r="CC314" s="1" t="s">
        <v>86</v>
      </c>
      <c r="CD314" s="1" t="s">
        <v>86</v>
      </c>
      <c r="CE314" s="1" t="s">
        <v>86</v>
      </c>
    </row>
    <row r="315">
      <c r="A315" s="4">
        <v>313</v>
      </c>
      <c r="B315" s="4" t="s">
        <v>395</v>
      </c>
      <c r="C315" s="2">
        <f>=HYPERLINK("https://i.stonehdfile.com/stoneimage?s=62d44cba-194d-4994-a7a6-5b9c2cd20e1b","Image")</f>
      </c>
      <c r="D315" s="2">
        <f>=HYPERLINK("https://dna.stonehdfile.com/hd/viewhd.html?d=5c9f341a-d940-42d0-8047-5c821c9ecd29","View360")</f>
      </c>
      <c r="E315" s="2">
        <f>=HYPERLINK("https://i.stonehdfile.com/Certificate?s=62d44cba-194d-4994-a7a6-5b9c2cd20e1b","GIA")</f>
      </c>
      <c r="F315" s="2">
        <f>=HYPERLINK("https://i.stonehdfile.com/DNAReport?s=62d44cba-194d-4994-a7a6-5b9c2cd20e1b","DNA")</f>
      </c>
      <c r="G315" s="2">
        <f>=HYPERLINK("https://www.gia.edu/report-check?reportno=******2945","Verify")</f>
      </c>
      <c r="H315" s="4" t="s">
        <v>1729</v>
      </c>
      <c r="I315" s="4" t="s">
        <v>46</v>
      </c>
      <c r="J315" s="4">
        <v>3.52</v>
      </c>
      <c r="K315" s="4">
        <v>7</v>
      </c>
      <c r="L315" s="4">
        <v>15500</v>
      </c>
      <c r="M315" s="4">
        <v>8767</v>
      </c>
      <c r="N315" s="4">
        <v>30859.84</v>
      </c>
      <c r="O315" s="4">
        <v>-43.44</v>
      </c>
      <c r="P315" s="4">
        <v>0</v>
      </c>
      <c r="Q315" s="4" t="s">
        <v>1730</v>
      </c>
      <c r="R315" s="4">
        <v>0</v>
      </c>
      <c r="S315" s="4" t="s">
        <v>86</v>
      </c>
      <c r="T315" s="4" t="s">
        <v>1731</v>
      </c>
      <c r="U315" s="4" t="s">
        <v>159</v>
      </c>
      <c r="V315" s="4" t="s">
        <v>86</v>
      </c>
      <c r="W315" s="4" t="s">
        <v>352</v>
      </c>
      <c r="X315" s="4" t="s">
        <v>86</v>
      </c>
      <c r="Y315" s="4" t="s">
        <v>89</v>
      </c>
      <c r="Z315" s="4" t="s">
        <v>89</v>
      </c>
      <c r="AA315" s="4" t="s">
        <v>119</v>
      </c>
      <c r="AB315" s="4" t="s">
        <v>86</v>
      </c>
      <c r="AC315" s="4" t="s">
        <v>1732</v>
      </c>
      <c r="AD315" s="4">
        <v>68.8</v>
      </c>
      <c r="AE315" s="4">
        <v>65</v>
      </c>
      <c r="AF315" s="4" t="s">
        <v>91</v>
      </c>
      <c r="AG315" s="4">
        <v>2.3</v>
      </c>
      <c r="AH315" s="4">
        <v>34</v>
      </c>
      <c r="AI315" s="4" t="s">
        <v>86</v>
      </c>
      <c r="AJ315" s="4">
        <v>1.01</v>
      </c>
      <c r="AK315" s="4" t="s">
        <v>111</v>
      </c>
      <c r="AL315" s="4" t="s">
        <v>93</v>
      </c>
      <c r="AM315" s="4" t="s">
        <v>140</v>
      </c>
      <c r="AN315" s="4" t="s">
        <v>307</v>
      </c>
      <c r="AO315" s="4" t="s">
        <v>94</v>
      </c>
      <c r="AP315" s="4" t="s">
        <v>95</v>
      </c>
      <c r="AQ315" s="4">
        <v>12</v>
      </c>
      <c r="AR315" s="4">
        <v>54</v>
      </c>
      <c r="AS315" s="4">
        <v>41.2</v>
      </c>
      <c r="AT315" s="4" t="s">
        <v>96</v>
      </c>
      <c r="AU315" s="4" t="s">
        <v>86</v>
      </c>
      <c r="AV315" s="4" t="s">
        <v>86</v>
      </c>
      <c r="AW315" s="4" t="s">
        <v>86</v>
      </c>
      <c r="AX315" s="4" t="s">
        <v>86</v>
      </c>
      <c r="AY315" s="4" t="s">
        <v>86</v>
      </c>
      <c r="AZ315" s="4" t="s">
        <v>86</v>
      </c>
      <c r="BA315" s="4" t="s">
        <v>86</v>
      </c>
      <c r="BB315" s="4" t="s">
        <v>86</v>
      </c>
      <c r="BC315" s="4" t="s">
        <v>86</v>
      </c>
      <c r="BD315" s="4" t="s">
        <v>86</v>
      </c>
      <c r="BE315" s="4" t="s">
        <v>86</v>
      </c>
      <c r="BF315" s="4" t="s">
        <v>86</v>
      </c>
      <c r="BG315" s="4" t="s">
        <v>86</v>
      </c>
      <c r="BH315" s="4" t="s">
        <v>657</v>
      </c>
      <c r="BI315" s="4" t="s">
        <v>715</v>
      </c>
      <c r="BJ315" s="4" t="s">
        <v>87</v>
      </c>
      <c r="BK315" s="4">
        <v>0</v>
      </c>
      <c r="BL315" s="4">
        <v>0</v>
      </c>
      <c r="BM315" s="4" t="s">
        <v>398</v>
      </c>
      <c r="BN315" s="4" t="s">
        <v>1733</v>
      </c>
      <c r="BO315" s="4" t="s">
        <v>1341</v>
      </c>
      <c r="BP315" s="4" t="s">
        <v>86</v>
      </c>
      <c r="BQ315" s="4" t="s">
        <v>86</v>
      </c>
      <c r="BR315" s="4" t="s">
        <v>86</v>
      </c>
      <c r="BS315" s="4" t="s">
        <v>86</v>
      </c>
      <c r="BT315" s="4" t="s">
        <v>86</v>
      </c>
      <c r="BU315" s="4" t="s">
        <v>163</v>
      </c>
      <c r="BV315" s="4" t="s">
        <v>86</v>
      </c>
      <c r="BW315" s="4" t="s">
        <v>101</v>
      </c>
      <c r="BX315" s="4" t="s">
        <v>867</v>
      </c>
      <c r="BY315" s="4" t="s">
        <v>86</v>
      </c>
      <c r="BZ315" s="4" t="s">
        <v>1734</v>
      </c>
      <c r="CA315" s="4" t="s">
        <v>1735</v>
      </c>
      <c r="CB315" s="4" t="s">
        <v>166</v>
      </c>
      <c r="CC315" s="4" t="s">
        <v>86</v>
      </c>
      <c r="CD315" s="4" t="s">
        <v>86</v>
      </c>
      <c r="CE315" s="4" t="s">
        <v>86</v>
      </c>
    </row>
    <row r="316">
      <c r="A316" s="1">
        <v>314</v>
      </c>
      <c r="B316" s="1" t="s">
        <v>395</v>
      </c>
      <c r="C316" s="2">
        <f>=HYPERLINK("https://i.stonehdfile.com/stoneimage?s=7f48354a-f4a0-4add-b7c2-a25732267520","Image")</f>
      </c>
      <c r="D316" s="2">
        <f>=HYPERLINK("https://dna.stonehdfile.com/hd/viewhd.html?d=4c191c1c-fb07-44f4-be7c-36a9e87bfbfc","View360")</f>
      </c>
      <c r="E316" s="2">
        <f>=HYPERLINK("https://i.stonehdfile.com/Certificate?s=7f48354a-f4a0-4add-b7c2-a25732267520","GIA")</f>
      </c>
      <c r="F316" s="2">
        <f>=HYPERLINK("https://i.stonehdfile.com/DNAReport?s=7f48354a-f4a0-4add-b7c2-a25732267520","DNA")</f>
      </c>
      <c r="G316" s="2">
        <f>=HYPERLINK("https://www.gia.edu/report-check?reportno=******9614","Verify")</f>
      </c>
      <c r="H316" s="1" t="s">
        <v>1736</v>
      </c>
      <c r="I316" s="1" t="s">
        <v>46</v>
      </c>
      <c r="J316" s="1">
        <v>3.21</v>
      </c>
      <c r="K316" s="1">
        <v>1</v>
      </c>
      <c r="L316" s="1">
        <v>15500</v>
      </c>
      <c r="M316" s="1">
        <v>7946</v>
      </c>
      <c r="N316" s="1">
        <v>25506.66</v>
      </c>
      <c r="O316" s="1">
        <v>-48.74</v>
      </c>
      <c r="P316" s="1">
        <v>0</v>
      </c>
      <c r="Q316" s="1" t="s">
        <v>86</v>
      </c>
      <c r="R316" s="1">
        <v>0</v>
      </c>
      <c r="S316" s="1" t="s">
        <v>86</v>
      </c>
      <c r="T316" s="1" t="s">
        <v>86</v>
      </c>
      <c r="U316" s="1" t="s">
        <v>118</v>
      </c>
      <c r="V316" s="1" t="s">
        <v>86</v>
      </c>
      <c r="W316" s="1" t="s">
        <v>223</v>
      </c>
      <c r="X316" s="1" t="s">
        <v>86</v>
      </c>
      <c r="Y316" s="1" t="s">
        <v>89</v>
      </c>
      <c r="Z316" s="1" t="s">
        <v>89</v>
      </c>
      <c r="AA316" s="1" t="s">
        <v>119</v>
      </c>
      <c r="AB316" s="1" t="s">
        <v>86</v>
      </c>
      <c r="AC316" s="1" t="s">
        <v>1737</v>
      </c>
      <c r="AD316" s="1">
        <v>68.7</v>
      </c>
      <c r="AE316" s="1">
        <v>64</v>
      </c>
      <c r="AF316" s="1" t="s">
        <v>91</v>
      </c>
      <c r="AG316" s="1">
        <v>2.5</v>
      </c>
      <c r="AH316" s="1">
        <v>35.9</v>
      </c>
      <c r="AI316" s="1" t="s">
        <v>86</v>
      </c>
      <c r="AJ316" s="1">
        <v>1.03</v>
      </c>
      <c r="AK316" s="1" t="s">
        <v>190</v>
      </c>
      <c r="AL316" s="1" t="s">
        <v>140</v>
      </c>
      <c r="AM316" s="1" t="s">
        <v>140</v>
      </c>
      <c r="AN316" s="1" t="s">
        <v>307</v>
      </c>
      <c r="AO316" s="1" t="s">
        <v>94</v>
      </c>
      <c r="AP316" s="1" t="s">
        <v>95</v>
      </c>
      <c r="AQ316" s="1">
        <v>13</v>
      </c>
      <c r="AR316" s="1">
        <v>52.7</v>
      </c>
      <c r="AS316" s="1">
        <v>39.8</v>
      </c>
      <c r="AT316" s="1" t="s">
        <v>96</v>
      </c>
      <c r="AU316" s="1" t="s">
        <v>86</v>
      </c>
      <c r="AV316" s="1" t="s">
        <v>86</v>
      </c>
      <c r="AW316" s="1" t="s">
        <v>86</v>
      </c>
      <c r="AX316" s="1" t="s">
        <v>86</v>
      </c>
      <c r="AY316" s="1" t="s">
        <v>86</v>
      </c>
      <c r="AZ316" s="1" t="s">
        <v>86</v>
      </c>
      <c r="BA316" s="1" t="s">
        <v>86</v>
      </c>
      <c r="BB316" s="1" t="s">
        <v>86</v>
      </c>
      <c r="BC316" s="1" t="s">
        <v>86</v>
      </c>
      <c r="BD316" s="1" t="s">
        <v>86</v>
      </c>
      <c r="BE316" s="1" t="s">
        <v>86</v>
      </c>
      <c r="BF316" s="1" t="s">
        <v>86</v>
      </c>
      <c r="BG316" s="1" t="s">
        <v>86</v>
      </c>
      <c r="BH316" s="1" t="s">
        <v>182</v>
      </c>
      <c r="BI316" s="1" t="s">
        <v>328</v>
      </c>
      <c r="BJ316" s="1" t="s">
        <v>87</v>
      </c>
      <c r="BK316" s="1">
        <v>0</v>
      </c>
      <c r="BL316" s="1">
        <v>0</v>
      </c>
      <c r="BM316" s="1" t="s">
        <v>86</v>
      </c>
      <c r="BN316" s="1" t="s">
        <v>1738</v>
      </c>
      <c r="BO316" s="1" t="s">
        <v>761</v>
      </c>
      <c r="BP316" s="1" t="s">
        <v>86</v>
      </c>
      <c r="BQ316" s="1" t="s">
        <v>86</v>
      </c>
      <c r="BR316" s="1" t="s">
        <v>86</v>
      </c>
      <c r="BS316" s="1" t="s">
        <v>86</v>
      </c>
      <c r="BT316" s="1" t="s">
        <v>86</v>
      </c>
      <c r="BU316" s="1" t="s">
        <v>163</v>
      </c>
      <c r="BV316" s="1" t="s">
        <v>86</v>
      </c>
      <c r="BW316" s="1" t="s">
        <v>101</v>
      </c>
      <c r="BX316" s="1" t="s">
        <v>401</v>
      </c>
      <c r="BY316" s="1" t="s">
        <v>86</v>
      </c>
      <c r="BZ316" s="1" t="s">
        <v>1739</v>
      </c>
      <c r="CA316" s="1" t="s">
        <v>178</v>
      </c>
      <c r="CB316" s="1" t="s">
        <v>166</v>
      </c>
      <c r="CC316" s="1" t="s">
        <v>86</v>
      </c>
      <c r="CD316" s="1" t="s">
        <v>86</v>
      </c>
      <c r="CE316" s="1" t="s">
        <v>86</v>
      </c>
    </row>
    <row r="317">
      <c r="A317" s="1">
        <v>315</v>
      </c>
      <c r="B317" s="1" t="s">
        <v>395</v>
      </c>
      <c r="C317" s="2">
        <f>=HYPERLINK("https://i.stonehdfile.com/stoneimage?s=008498fb-dcd5-4282-a802-d51b12cb2621","Image")</f>
      </c>
      <c r="D317" s="2">
        <f>=HYPERLINK("https://dna.stonehdfile.com/hd/viewhd.html?d=b4a3abfd-f266-4458-8e50-f26015644e68","View360")</f>
      </c>
      <c r="E317" s="2">
        <f>=HYPERLINK("https://i.stonehdfile.com/Certificate?s=008498fb-dcd5-4282-a802-d51b12cb2621","GIA")</f>
      </c>
      <c r="F317" s="2">
        <f>=HYPERLINK("https://i.stonehdfile.com/DNAReport?s=008498fb-dcd5-4282-a802-d51b12cb2621","DNA")</f>
      </c>
      <c r="G317" s="2">
        <f>=HYPERLINK("https://www.gia.edu/report-check?reportno=******4376","Verify")</f>
      </c>
      <c r="H317" s="1" t="s">
        <v>1740</v>
      </c>
      <c r="I317" s="1" t="s">
        <v>46</v>
      </c>
      <c r="J317" s="1">
        <v>3.01</v>
      </c>
      <c r="K317" s="1">
        <v>5</v>
      </c>
      <c r="L317" s="1">
        <v>14000</v>
      </c>
      <c r="M317" s="1">
        <v>7998</v>
      </c>
      <c r="N317" s="1">
        <v>24073.98</v>
      </c>
      <c r="O317" s="1">
        <v>-42.87</v>
      </c>
      <c r="P317" s="1">
        <v>0</v>
      </c>
      <c r="Q317" s="1" t="s">
        <v>86</v>
      </c>
      <c r="R317" s="1">
        <v>0</v>
      </c>
      <c r="S317" s="1" t="s">
        <v>86</v>
      </c>
      <c r="T317" s="1" t="s">
        <v>86</v>
      </c>
      <c r="U317" s="1" t="s">
        <v>118</v>
      </c>
      <c r="V317" s="1" t="s">
        <v>86</v>
      </c>
      <c r="W317" s="1" t="s">
        <v>169</v>
      </c>
      <c r="X317" s="1" t="s">
        <v>86</v>
      </c>
      <c r="Y317" s="1" t="s">
        <v>89</v>
      </c>
      <c r="Z317" s="1" t="s">
        <v>89</v>
      </c>
      <c r="AA317" s="1" t="s">
        <v>119</v>
      </c>
      <c r="AB317" s="1" t="s">
        <v>86</v>
      </c>
      <c r="AC317" s="1" t="s">
        <v>1741</v>
      </c>
      <c r="AD317" s="1">
        <v>69.3</v>
      </c>
      <c r="AE317" s="1">
        <v>65</v>
      </c>
      <c r="AF317" s="1" t="s">
        <v>91</v>
      </c>
      <c r="AG317" s="1">
        <v>2.6</v>
      </c>
      <c r="AH317" s="1">
        <v>34.1</v>
      </c>
      <c r="AI317" s="1" t="s">
        <v>86</v>
      </c>
      <c r="AJ317" s="1">
        <v>1.15</v>
      </c>
      <c r="AK317" s="1" t="s">
        <v>111</v>
      </c>
      <c r="AL317" s="1" t="s">
        <v>93</v>
      </c>
      <c r="AM317" s="1" t="s">
        <v>140</v>
      </c>
      <c r="AN317" s="1" t="s">
        <v>171</v>
      </c>
      <c r="AO317" s="1" t="s">
        <v>94</v>
      </c>
      <c r="AP317" s="1" t="s">
        <v>95</v>
      </c>
      <c r="AQ317" s="1">
        <v>11.8</v>
      </c>
      <c r="AR317" s="1">
        <v>54.4</v>
      </c>
      <c r="AS317" s="1">
        <v>39.7</v>
      </c>
      <c r="AT317" s="1" t="s">
        <v>96</v>
      </c>
      <c r="AU317" s="1" t="s">
        <v>86</v>
      </c>
      <c r="AV317" s="1" t="s">
        <v>86</v>
      </c>
      <c r="AW317" s="1" t="s">
        <v>86</v>
      </c>
      <c r="AX317" s="1" t="s">
        <v>86</v>
      </c>
      <c r="AY317" s="1" t="s">
        <v>86</v>
      </c>
      <c r="AZ317" s="1" t="s">
        <v>86</v>
      </c>
      <c r="BA317" s="1" t="s">
        <v>86</v>
      </c>
      <c r="BB317" s="1" t="s">
        <v>86</v>
      </c>
      <c r="BC317" s="1" t="s">
        <v>86</v>
      </c>
      <c r="BD317" s="1" t="s">
        <v>86</v>
      </c>
      <c r="BE317" s="1" t="s">
        <v>86</v>
      </c>
      <c r="BF317" s="1" t="s">
        <v>86</v>
      </c>
      <c r="BG317" s="1" t="s">
        <v>86</v>
      </c>
      <c r="BH317" s="1" t="s">
        <v>429</v>
      </c>
      <c r="BI317" s="1" t="s">
        <v>335</v>
      </c>
      <c r="BJ317" s="1" t="s">
        <v>87</v>
      </c>
      <c r="BK317" s="1">
        <v>0</v>
      </c>
      <c r="BL317" s="1">
        <v>0</v>
      </c>
      <c r="BM317" s="1" t="s">
        <v>398</v>
      </c>
      <c r="BN317" s="1" t="s">
        <v>1742</v>
      </c>
      <c r="BO317" s="1" t="s">
        <v>1052</v>
      </c>
      <c r="BP317" s="1" t="s">
        <v>86</v>
      </c>
      <c r="BQ317" s="1" t="s">
        <v>86</v>
      </c>
      <c r="BR317" s="1" t="s">
        <v>86</v>
      </c>
      <c r="BS317" s="1" t="s">
        <v>86</v>
      </c>
      <c r="BT317" s="1" t="s">
        <v>86</v>
      </c>
      <c r="BU317" s="1" t="s">
        <v>163</v>
      </c>
      <c r="BV317" s="1" t="s">
        <v>86</v>
      </c>
      <c r="BW317" s="1" t="s">
        <v>101</v>
      </c>
      <c r="BX317" s="1" t="s">
        <v>478</v>
      </c>
      <c r="BY317" s="1" t="s">
        <v>86</v>
      </c>
      <c r="BZ317" s="1" t="s">
        <v>1743</v>
      </c>
      <c r="CA317" s="1" t="s">
        <v>278</v>
      </c>
      <c r="CB317" s="1" t="s">
        <v>221</v>
      </c>
      <c r="CC317" s="1" t="s">
        <v>86</v>
      </c>
      <c r="CD317" s="1" t="s">
        <v>86</v>
      </c>
      <c r="CE317" s="1" t="s">
        <v>86</v>
      </c>
    </row>
    <row r="318">
      <c r="A318" s="1">
        <v>316</v>
      </c>
      <c r="B318" s="1" t="s">
        <v>395</v>
      </c>
      <c r="C318" s="2">
        <f>=HYPERLINK("https://i.stonehdfile.com/stoneimage?s=125ac9f9-79d8-4b6e-b6ee-b89e2cc49cb3","Image")</f>
      </c>
      <c r="D318" s="2">
        <f>=HYPERLINK("https://dna.stonehdfile.com/hd/viewhd.html?d=d38e5d44-cf17-4001-9f29-ef6ab3e77b1f","View360")</f>
      </c>
      <c r="E318" s="2">
        <f>=HYPERLINK("https://i.stonehdfile.com/Certificate?s=125ac9f9-79d8-4b6e-b6ee-b89e2cc49cb3","GIA")</f>
      </c>
      <c r="F318" s="2">
        <f>=HYPERLINK("https://i.stonehdfile.com/DNAReport?s=125ac9f9-79d8-4b6e-b6ee-b89e2cc49cb3","DNA")</f>
      </c>
      <c r="G318" s="2">
        <f>=HYPERLINK("https://www.gia.edu/report-check?reportno=******7729","Verify")</f>
      </c>
      <c r="H318" s="1" t="s">
        <v>1744</v>
      </c>
      <c r="I318" s="1" t="s">
        <v>46</v>
      </c>
      <c r="J318" s="1">
        <v>3.04</v>
      </c>
      <c r="K318" s="1">
        <v>7</v>
      </c>
      <c r="L318" s="1">
        <v>14000</v>
      </c>
      <c r="M318" s="1">
        <v>7390</v>
      </c>
      <c r="N318" s="1">
        <v>22465.6</v>
      </c>
      <c r="O318" s="1">
        <v>-47.21</v>
      </c>
      <c r="P318" s="1">
        <v>0</v>
      </c>
      <c r="Q318" s="1" t="s">
        <v>86</v>
      </c>
      <c r="R318" s="1">
        <v>0</v>
      </c>
      <c r="S318" s="1" t="s">
        <v>86</v>
      </c>
      <c r="T318" s="1" t="s">
        <v>86</v>
      </c>
      <c r="U318" s="1" t="s">
        <v>159</v>
      </c>
      <c r="V318" s="1" t="s">
        <v>86</v>
      </c>
      <c r="W318" s="1" t="s">
        <v>169</v>
      </c>
      <c r="X318" s="1" t="s">
        <v>86</v>
      </c>
      <c r="Y318" s="1" t="s">
        <v>89</v>
      </c>
      <c r="Z318" s="1" t="s">
        <v>89</v>
      </c>
      <c r="AA318" s="1" t="s">
        <v>119</v>
      </c>
      <c r="AB318" s="1" t="s">
        <v>86</v>
      </c>
      <c r="AC318" s="1" t="s">
        <v>1745</v>
      </c>
      <c r="AD318" s="1">
        <v>67.3</v>
      </c>
      <c r="AE318" s="1">
        <v>63</v>
      </c>
      <c r="AF318" s="1" t="s">
        <v>91</v>
      </c>
      <c r="AG318" s="1">
        <v>3.9</v>
      </c>
      <c r="AH318" s="1">
        <v>34</v>
      </c>
      <c r="AI318" s="1" t="s">
        <v>86</v>
      </c>
      <c r="AJ318" s="1">
        <v>1.03</v>
      </c>
      <c r="AK318" s="1" t="s">
        <v>190</v>
      </c>
      <c r="AL318" s="1" t="s">
        <v>93</v>
      </c>
      <c r="AM318" s="1" t="s">
        <v>140</v>
      </c>
      <c r="AN318" s="1" t="s">
        <v>171</v>
      </c>
      <c r="AO318" s="1" t="s">
        <v>94</v>
      </c>
      <c r="AP318" s="1" t="s">
        <v>95</v>
      </c>
      <c r="AQ318" s="1">
        <v>12.6</v>
      </c>
      <c r="AR318" s="1">
        <v>50.4</v>
      </c>
      <c r="AS318" s="1">
        <v>38.7</v>
      </c>
      <c r="AT318" s="1" t="s">
        <v>96</v>
      </c>
      <c r="AU318" s="1" t="s">
        <v>86</v>
      </c>
      <c r="AV318" s="1" t="s">
        <v>86</v>
      </c>
      <c r="AW318" s="1" t="s">
        <v>86</v>
      </c>
      <c r="AX318" s="1" t="s">
        <v>86</v>
      </c>
      <c r="AY318" s="1" t="s">
        <v>86</v>
      </c>
      <c r="AZ318" s="1" t="s">
        <v>86</v>
      </c>
      <c r="BA318" s="1" t="s">
        <v>86</v>
      </c>
      <c r="BB318" s="1" t="s">
        <v>86</v>
      </c>
      <c r="BC318" s="1" t="s">
        <v>86</v>
      </c>
      <c r="BD318" s="1" t="s">
        <v>86</v>
      </c>
      <c r="BE318" s="1" t="s">
        <v>86</v>
      </c>
      <c r="BF318" s="1" t="s">
        <v>282</v>
      </c>
      <c r="BG318" s="1" t="s">
        <v>86</v>
      </c>
      <c r="BH318" s="1" t="s">
        <v>215</v>
      </c>
      <c r="BI318" s="1" t="s">
        <v>562</v>
      </c>
      <c r="BJ318" s="1" t="s">
        <v>87</v>
      </c>
      <c r="BK318" s="1">
        <v>0</v>
      </c>
      <c r="BL318" s="1">
        <v>0</v>
      </c>
      <c r="BM318" s="1" t="s">
        <v>398</v>
      </c>
      <c r="BN318" s="1" t="s">
        <v>1746</v>
      </c>
      <c r="BO318" s="1" t="s">
        <v>1172</v>
      </c>
      <c r="BP318" s="1" t="s">
        <v>86</v>
      </c>
      <c r="BQ318" s="1" t="s">
        <v>86</v>
      </c>
      <c r="BR318" s="1" t="s">
        <v>86</v>
      </c>
      <c r="BS318" s="1" t="s">
        <v>86</v>
      </c>
      <c r="BT318" s="1" t="s">
        <v>86</v>
      </c>
      <c r="BU318" s="1" t="s">
        <v>163</v>
      </c>
      <c r="BV318" s="1" t="s">
        <v>86</v>
      </c>
      <c r="BW318" s="1" t="s">
        <v>101</v>
      </c>
      <c r="BX318" s="1" t="s">
        <v>470</v>
      </c>
      <c r="BY318" s="1" t="s">
        <v>86</v>
      </c>
      <c r="BZ318" s="1" t="s">
        <v>1747</v>
      </c>
      <c r="CA318" s="1" t="s">
        <v>645</v>
      </c>
      <c r="CB318" s="1" t="s">
        <v>286</v>
      </c>
      <c r="CC318" s="1" t="s">
        <v>86</v>
      </c>
      <c r="CD318" s="1" t="s">
        <v>86</v>
      </c>
      <c r="CE318" s="1" t="s">
        <v>86</v>
      </c>
    </row>
    <row r="319">
      <c r="A319" s="4">
        <v>317</v>
      </c>
      <c r="B319" s="4" t="s">
        <v>395</v>
      </c>
      <c r="C319" s="2">
        <f>=HYPERLINK("https://i.stonehdfile.com/stoneimage?s=25d4da67-1aea-4ca0-856f-7f62d102c6a1","Image")</f>
      </c>
      <c r="D319" s="2">
        <f>=HYPERLINK("https://dna.stonehdfile.com/hd/viewhd.html?d=327ce53a-9fe1-40af-b182-2924449d091e","View360")</f>
      </c>
      <c r="E319" s="2">
        <f>=HYPERLINK("https://i.stonehdfile.com/Certificate?s=25d4da67-1aea-4ca0-856f-7f62d102c6a1","GIA")</f>
      </c>
      <c r="F319" s="2">
        <f>=HYPERLINK("https://i.stonehdfile.com/DNAReport?s=25d4da67-1aea-4ca0-856f-7f62d102c6a1","DNA")</f>
      </c>
      <c r="G319" s="2">
        <f>=HYPERLINK("https://www.gia.edu/report-check?reportno=******9676","Verify")</f>
      </c>
      <c r="H319" s="4" t="s">
        <v>1748</v>
      </c>
      <c r="I319" s="4" t="s">
        <v>46</v>
      </c>
      <c r="J319" s="4">
        <v>3.01</v>
      </c>
      <c r="K319" s="4">
        <v>9</v>
      </c>
      <c r="L319" s="4">
        <v>14000</v>
      </c>
      <c r="M319" s="4">
        <v>7841</v>
      </c>
      <c r="N319" s="4">
        <v>23601.41</v>
      </c>
      <c r="O319" s="4">
        <v>-43.99</v>
      </c>
      <c r="P319" s="4">
        <v>0</v>
      </c>
      <c r="Q319" s="4" t="s">
        <v>1730</v>
      </c>
      <c r="R319" s="4">
        <v>0</v>
      </c>
      <c r="S319" s="4" t="s">
        <v>86</v>
      </c>
      <c r="T319" s="4" t="s">
        <v>1731</v>
      </c>
      <c r="U319" s="4" t="s">
        <v>118</v>
      </c>
      <c r="V319" s="4" t="s">
        <v>86</v>
      </c>
      <c r="W319" s="4" t="s">
        <v>137</v>
      </c>
      <c r="X319" s="4" t="s">
        <v>86</v>
      </c>
      <c r="Y319" s="4" t="s">
        <v>89</v>
      </c>
      <c r="Z319" s="4" t="s">
        <v>138</v>
      </c>
      <c r="AA319" s="4" t="s">
        <v>119</v>
      </c>
      <c r="AB319" s="4" t="s">
        <v>86</v>
      </c>
      <c r="AC319" s="4" t="s">
        <v>1749</v>
      </c>
      <c r="AD319" s="4">
        <v>69</v>
      </c>
      <c r="AE319" s="4">
        <v>64</v>
      </c>
      <c r="AF319" s="4" t="s">
        <v>91</v>
      </c>
      <c r="AG319" s="4">
        <v>2.5</v>
      </c>
      <c r="AH319" s="4">
        <v>33.7</v>
      </c>
      <c r="AI319" s="4" t="s">
        <v>86</v>
      </c>
      <c r="AJ319" s="4">
        <v>1.04</v>
      </c>
      <c r="AK319" s="4" t="s">
        <v>111</v>
      </c>
      <c r="AL319" s="4" t="s">
        <v>93</v>
      </c>
      <c r="AM319" s="4" t="s">
        <v>140</v>
      </c>
      <c r="AN319" s="4" t="s">
        <v>171</v>
      </c>
      <c r="AO319" s="4" t="s">
        <v>94</v>
      </c>
      <c r="AP319" s="4" t="s">
        <v>95</v>
      </c>
      <c r="AQ319" s="4">
        <v>12</v>
      </c>
      <c r="AR319" s="4">
        <v>54.2</v>
      </c>
      <c r="AS319" s="4">
        <v>40.3</v>
      </c>
      <c r="AT319" s="4" t="s">
        <v>96</v>
      </c>
      <c r="AU319" s="4" t="s">
        <v>86</v>
      </c>
      <c r="AV319" s="4" t="s">
        <v>86</v>
      </c>
      <c r="AW319" s="4" t="s">
        <v>86</v>
      </c>
      <c r="AX319" s="4" t="s">
        <v>86</v>
      </c>
      <c r="AY319" s="4" t="s">
        <v>86</v>
      </c>
      <c r="AZ319" s="4" t="s">
        <v>86</v>
      </c>
      <c r="BA319" s="4" t="s">
        <v>86</v>
      </c>
      <c r="BB319" s="4" t="s">
        <v>86</v>
      </c>
      <c r="BC319" s="4" t="s">
        <v>86</v>
      </c>
      <c r="BD319" s="4" t="s">
        <v>86</v>
      </c>
      <c r="BE319" s="4" t="s">
        <v>86</v>
      </c>
      <c r="BF319" s="4" t="s">
        <v>86</v>
      </c>
      <c r="BG319" s="4" t="s">
        <v>86</v>
      </c>
      <c r="BH319" s="4" t="s">
        <v>142</v>
      </c>
      <c r="BI319" s="4" t="s">
        <v>328</v>
      </c>
      <c r="BJ319" s="4" t="s">
        <v>87</v>
      </c>
      <c r="BK319" s="4">
        <v>0</v>
      </c>
      <c r="BL319" s="4">
        <v>0</v>
      </c>
      <c r="BM319" s="4" t="s">
        <v>398</v>
      </c>
      <c r="BN319" s="4" t="s">
        <v>1750</v>
      </c>
      <c r="BO319" s="4" t="s">
        <v>1052</v>
      </c>
      <c r="BP319" s="4" t="s">
        <v>86</v>
      </c>
      <c r="BQ319" s="4" t="s">
        <v>86</v>
      </c>
      <c r="BR319" s="4" t="s">
        <v>86</v>
      </c>
      <c r="BS319" s="4" t="s">
        <v>86</v>
      </c>
      <c r="BT319" s="4" t="s">
        <v>86</v>
      </c>
      <c r="BU319" s="4" t="s">
        <v>163</v>
      </c>
      <c r="BV319" s="4" t="s">
        <v>86</v>
      </c>
      <c r="BW319" s="4" t="s">
        <v>101</v>
      </c>
      <c r="BX319" s="4" t="s">
        <v>478</v>
      </c>
      <c r="BY319" s="4" t="s">
        <v>86</v>
      </c>
      <c r="BZ319" s="4" t="s">
        <v>1751</v>
      </c>
      <c r="CA319" s="4" t="s">
        <v>638</v>
      </c>
      <c r="CB319" s="4" t="s">
        <v>86</v>
      </c>
      <c r="CC319" s="4" t="s">
        <v>86</v>
      </c>
      <c r="CD319" s="4" t="s">
        <v>86</v>
      </c>
      <c r="CE319" s="4" t="s">
        <v>86</v>
      </c>
    </row>
    <row r="320">
      <c r="A320" s="4">
        <v>318</v>
      </c>
      <c r="B320" s="4" t="s">
        <v>395</v>
      </c>
      <c r="C320" s="2">
        <f>=HYPERLINK("https://i.stonehdfile.com/stoneimage?s=43eaf8d7-5434-40d1-998e-54b56e5e995a","Image")</f>
      </c>
      <c r="D320" s="2">
        <f>=HYPERLINK("https://dna.stonehdfile.com/hd/viewhd.html?d=39eda4d0-ff56-428d-bbad-4d67dc743583","View360")</f>
      </c>
      <c r="E320" s="2">
        <f>=HYPERLINK("https://i.stonehdfile.com/Certificate?s=43eaf8d7-5434-40d1-998e-54b56e5e995a","GIA")</f>
      </c>
      <c r="F320" s="2">
        <f>=HYPERLINK("https://i.stonehdfile.com/DNAReport?s=43eaf8d7-5434-40d1-998e-54b56e5e995a","DNA")</f>
      </c>
      <c r="G320" s="2">
        <f>=HYPERLINK("https://www.gia.edu/report-check?reportno=******2948","Verify")</f>
      </c>
      <c r="H320" s="4" t="s">
        <v>1752</v>
      </c>
      <c r="I320" s="4" t="s">
        <v>46</v>
      </c>
      <c r="J320" s="4">
        <v>3.01</v>
      </c>
      <c r="K320" s="4">
        <v>6</v>
      </c>
      <c r="L320" s="4">
        <v>12000</v>
      </c>
      <c r="M320" s="4">
        <v>6766</v>
      </c>
      <c r="N320" s="4">
        <v>20365.66</v>
      </c>
      <c r="O320" s="4">
        <v>-43.62</v>
      </c>
      <c r="P320" s="4">
        <v>0</v>
      </c>
      <c r="Q320" s="4" t="s">
        <v>1730</v>
      </c>
      <c r="R320" s="4">
        <v>0</v>
      </c>
      <c r="S320" s="4" t="s">
        <v>86</v>
      </c>
      <c r="T320" s="4" t="s">
        <v>1731</v>
      </c>
      <c r="U320" s="4" t="s">
        <v>118</v>
      </c>
      <c r="V320" s="4" t="s">
        <v>86</v>
      </c>
      <c r="W320" s="4" t="s">
        <v>1515</v>
      </c>
      <c r="X320" s="4" t="s">
        <v>86</v>
      </c>
      <c r="Y320" s="4" t="s">
        <v>89</v>
      </c>
      <c r="Z320" s="4" t="s">
        <v>138</v>
      </c>
      <c r="AA320" s="4" t="s">
        <v>119</v>
      </c>
      <c r="AB320" s="4" t="s">
        <v>86</v>
      </c>
      <c r="AC320" s="4" t="s">
        <v>1753</v>
      </c>
      <c r="AD320" s="4">
        <v>70.5</v>
      </c>
      <c r="AE320" s="4">
        <v>59</v>
      </c>
      <c r="AF320" s="4" t="s">
        <v>91</v>
      </c>
      <c r="AG320" s="4">
        <v>4.1</v>
      </c>
      <c r="AH320" s="4">
        <v>36.3</v>
      </c>
      <c r="AI320" s="4" t="s">
        <v>86</v>
      </c>
      <c r="AJ320" s="4">
        <v>1.11</v>
      </c>
      <c r="AK320" s="4" t="s">
        <v>190</v>
      </c>
      <c r="AL320" s="4" t="s">
        <v>93</v>
      </c>
      <c r="AM320" s="4" t="s">
        <v>93</v>
      </c>
      <c r="AN320" s="4" t="s">
        <v>171</v>
      </c>
      <c r="AO320" s="4" t="s">
        <v>94</v>
      </c>
      <c r="AP320" s="4" t="s">
        <v>95</v>
      </c>
      <c r="AQ320" s="4">
        <v>15.1</v>
      </c>
      <c r="AR320" s="4">
        <v>50.9</v>
      </c>
      <c r="AS320" s="4">
        <v>38</v>
      </c>
      <c r="AT320" s="4" t="s">
        <v>96</v>
      </c>
      <c r="AU320" s="4" t="s">
        <v>86</v>
      </c>
      <c r="AV320" s="4" t="s">
        <v>86</v>
      </c>
      <c r="AW320" s="4" t="s">
        <v>86</v>
      </c>
      <c r="AX320" s="4" t="s">
        <v>86</v>
      </c>
      <c r="AY320" s="4" t="s">
        <v>86</v>
      </c>
      <c r="AZ320" s="4" t="s">
        <v>86</v>
      </c>
      <c r="BA320" s="4" t="s">
        <v>86</v>
      </c>
      <c r="BB320" s="4" t="s">
        <v>86</v>
      </c>
      <c r="BC320" s="4" t="s">
        <v>86</v>
      </c>
      <c r="BD320" s="4" t="s">
        <v>86</v>
      </c>
      <c r="BE320" s="4" t="s">
        <v>86</v>
      </c>
      <c r="BF320" s="4" t="s">
        <v>86</v>
      </c>
      <c r="BG320" s="4" t="s">
        <v>86</v>
      </c>
      <c r="BH320" s="4" t="s">
        <v>215</v>
      </c>
      <c r="BI320" s="4" t="s">
        <v>341</v>
      </c>
      <c r="BJ320" s="4" t="s">
        <v>87</v>
      </c>
      <c r="BK320" s="4">
        <v>0</v>
      </c>
      <c r="BL320" s="4">
        <v>0</v>
      </c>
      <c r="BM320" s="4" t="s">
        <v>398</v>
      </c>
      <c r="BN320" s="4" t="s">
        <v>1754</v>
      </c>
      <c r="BO320" s="4" t="s">
        <v>1341</v>
      </c>
      <c r="BP320" s="4" t="s">
        <v>86</v>
      </c>
      <c r="BQ320" s="4" t="s">
        <v>86</v>
      </c>
      <c r="BR320" s="4" t="s">
        <v>86</v>
      </c>
      <c r="BS320" s="4" t="s">
        <v>86</v>
      </c>
      <c r="BT320" s="4" t="s">
        <v>86</v>
      </c>
      <c r="BU320" s="4" t="s">
        <v>163</v>
      </c>
      <c r="BV320" s="4" t="s">
        <v>86</v>
      </c>
      <c r="BW320" s="4" t="s">
        <v>101</v>
      </c>
      <c r="BX320" s="4" t="s">
        <v>423</v>
      </c>
      <c r="BY320" s="4" t="s">
        <v>86</v>
      </c>
      <c r="BZ320" s="4" t="s">
        <v>1755</v>
      </c>
      <c r="CA320" s="4" t="s">
        <v>749</v>
      </c>
      <c r="CB320" s="4" t="s">
        <v>86</v>
      </c>
      <c r="CC320" s="4" t="s">
        <v>86</v>
      </c>
      <c r="CD320" s="4" t="s">
        <v>86</v>
      </c>
      <c r="CE320" s="4" t="s">
        <v>86</v>
      </c>
    </row>
    <row r="321">
      <c r="A321" s="1">
        <v>319</v>
      </c>
      <c r="B321" s="1" t="s">
        <v>395</v>
      </c>
      <c r="C321" s="2">
        <f>=HYPERLINK("https://i.stonehdfile.com/stoneimage?s=dcdc665a-78a9-4700-960a-9de18bf4f9f4","Image")</f>
      </c>
      <c r="D321" s="2">
        <f>=HYPERLINK("https://dna.stonehdfile.com/hd/viewhd.html?d=1f8670d5-cfb1-456f-9521-4879213da2e7","View360")</f>
      </c>
      <c r="E321" s="2">
        <f>=HYPERLINK("https://i.stonehdfile.com/Certificate?s=dcdc665a-78a9-4700-960a-9de18bf4f9f4","GIA")</f>
      </c>
      <c r="F321" s="2">
        <f>=HYPERLINK("https://i.stonehdfile.com/DNAReport?s=dcdc665a-78a9-4700-960a-9de18bf4f9f4","DNA")</f>
      </c>
      <c r="G321" s="2">
        <f>=HYPERLINK("https://www.gia.edu/report-check?reportno=******8244","Verify")</f>
      </c>
      <c r="H321" s="1" t="s">
        <v>1756</v>
      </c>
      <c r="I321" s="1" t="s">
        <v>46</v>
      </c>
      <c r="J321" s="1">
        <v>3.01</v>
      </c>
      <c r="K321" s="1">
        <v>1</v>
      </c>
      <c r="L321" s="1">
        <v>12000</v>
      </c>
      <c r="M321" s="1">
        <v>6326</v>
      </c>
      <c r="N321" s="1">
        <v>19041.26</v>
      </c>
      <c r="O321" s="1">
        <v>-47.28</v>
      </c>
      <c r="P321" s="1">
        <v>0</v>
      </c>
      <c r="Q321" s="1" t="s">
        <v>86</v>
      </c>
      <c r="R321" s="1">
        <v>0</v>
      </c>
      <c r="S321" s="1" t="s">
        <v>86</v>
      </c>
      <c r="T321" s="1" t="s">
        <v>86</v>
      </c>
      <c r="U321" s="1" t="s">
        <v>159</v>
      </c>
      <c r="V321" s="1" t="s">
        <v>86</v>
      </c>
      <c r="W321" s="1" t="s">
        <v>213</v>
      </c>
      <c r="X321" s="1" t="s">
        <v>86</v>
      </c>
      <c r="Y321" s="1" t="s">
        <v>89</v>
      </c>
      <c r="Z321" s="1" t="s">
        <v>89</v>
      </c>
      <c r="AA321" s="1" t="s">
        <v>119</v>
      </c>
      <c r="AB321" s="1" t="s">
        <v>86</v>
      </c>
      <c r="AC321" s="1" t="s">
        <v>1757</v>
      </c>
      <c r="AD321" s="1">
        <v>69.2</v>
      </c>
      <c r="AE321" s="1">
        <v>62</v>
      </c>
      <c r="AF321" s="1" t="s">
        <v>91</v>
      </c>
      <c r="AG321" s="1">
        <v>2.6</v>
      </c>
      <c r="AH321" s="1">
        <v>35.3</v>
      </c>
      <c r="AI321" s="1" t="s">
        <v>86</v>
      </c>
      <c r="AJ321" s="1">
        <v>1.25</v>
      </c>
      <c r="AK321" s="1" t="s">
        <v>1758</v>
      </c>
      <c r="AL321" s="1" t="s">
        <v>140</v>
      </c>
      <c r="AM321" s="1" t="s">
        <v>93</v>
      </c>
      <c r="AN321" s="1" t="s">
        <v>168</v>
      </c>
      <c r="AO321" s="1" t="s">
        <v>208</v>
      </c>
      <c r="AP321" s="1" t="s">
        <v>95</v>
      </c>
      <c r="AQ321" s="1">
        <v>13.3</v>
      </c>
      <c r="AR321" s="1">
        <v>53.2</v>
      </c>
      <c r="AS321" s="1">
        <v>37.9</v>
      </c>
      <c r="AT321" s="1" t="s">
        <v>96</v>
      </c>
      <c r="AU321" s="1" t="s">
        <v>86</v>
      </c>
      <c r="AV321" s="1" t="s">
        <v>86</v>
      </c>
      <c r="AW321" s="1" t="s">
        <v>141</v>
      </c>
      <c r="AX321" s="1" t="s">
        <v>86</v>
      </c>
      <c r="AY321" s="1" t="s">
        <v>86</v>
      </c>
      <c r="AZ321" s="1" t="s">
        <v>86</v>
      </c>
      <c r="BA321" s="1" t="s">
        <v>86</v>
      </c>
      <c r="BB321" s="1" t="s">
        <v>86</v>
      </c>
      <c r="BC321" s="1" t="s">
        <v>86</v>
      </c>
      <c r="BD321" s="1" t="s">
        <v>86</v>
      </c>
      <c r="BE321" s="1" t="s">
        <v>86</v>
      </c>
      <c r="BF321" s="1" t="s">
        <v>86</v>
      </c>
      <c r="BG321" s="1" t="s">
        <v>172</v>
      </c>
      <c r="BH321" s="1" t="s">
        <v>182</v>
      </c>
      <c r="BI321" s="1" t="s">
        <v>335</v>
      </c>
      <c r="BJ321" s="1" t="s">
        <v>87</v>
      </c>
      <c r="BK321" s="1">
        <v>0</v>
      </c>
      <c r="BL321" s="1">
        <v>0</v>
      </c>
      <c r="BM321" s="1" t="s">
        <v>398</v>
      </c>
      <c r="BN321" s="1" t="s">
        <v>1759</v>
      </c>
      <c r="BO321" s="1" t="s">
        <v>437</v>
      </c>
      <c r="BP321" s="1" t="s">
        <v>86</v>
      </c>
      <c r="BQ321" s="1" t="s">
        <v>86</v>
      </c>
      <c r="BR321" s="1" t="s">
        <v>86</v>
      </c>
      <c r="BS321" s="1" t="s">
        <v>86</v>
      </c>
      <c r="BT321" s="1" t="s">
        <v>86</v>
      </c>
      <c r="BU321" s="1" t="s">
        <v>163</v>
      </c>
      <c r="BV321" s="1" t="s">
        <v>86</v>
      </c>
      <c r="BW321" s="1" t="s">
        <v>101</v>
      </c>
      <c r="BX321" s="1" t="s">
        <v>414</v>
      </c>
      <c r="BY321" s="1" t="s">
        <v>86</v>
      </c>
      <c r="BZ321" s="1" t="s">
        <v>1760</v>
      </c>
      <c r="CA321" s="1" t="s">
        <v>671</v>
      </c>
      <c r="CB321" s="1" t="s">
        <v>279</v>
      </c>
      <c r="CC321" s="1" t="s">
        <v>86</v>
      </c>
      <c r="CD321" s="1" t="s">
        <v>86</v>
      </c>
      <c r="CE321" s="1" t="s">
        <v>86</v>
      </c>
    </row>
    <row r="322">
      <c r="A322" s="1">
        <v>320</v>
      </c>
      <c r="B322" s="1" t="s">
        <v>395</v>
      </c>
      <c r="C322" s="2">
        <f>=HYPERLINK("https://i.stonehdfile.com/stoneimage?s=74f727bf-092d-4ba1-b1f3-01b0412bd2ac","Image")</f>
      </c>
      <c r="D322" s="2">
        <f>=HYPERLINK("https://dna.stonehdfile.com/hd/viewhd.html?d=241e3a26-62e0-49fd-b2aa-b5370acc0b38","View360")</f>
      </c>
      <c r="E322" s="2">
        <f>=HYPERLINK("https://i.stonehdfile.com/Certificate?s=74f727bf-092d-4ba1-b1f3-01b0412bd2ac","GIA")</f>
      </c>
      <c r="F322" s="2">
        <f>=HYPERLINK("https://i.stonehdfile.com/DNAReport?s=74f727bf-092d-4ba1-b1f3-01b0412bd2ac","DNA")</f>
      </c>
      <c r="G322" s="2">
        <f>=HYPERLINK("https://www.gia.edu/report-check?reportno=******7614","Verify")</f>
      </c>
      <c r="H322" s="1" t="s">
        <v>1761</v>
      </c>
      <c r="I322" s="1" t="s">
        <v>46</v>
      </c>
      <c r="J322" s="1">
        <v>4.31</v>
      </c>
      <c r="K322" s="1">
        <v>3</v>
      </c>
      <c r="L322" s="1">
        <v>19000</v>
      </c>
      <c r="M322" s="1">
        <v>10263</v>
      </c>
      <c r="N322" s="1">
        <v>44233.53</v>
      </c>
      <c r="O322" s="1">
        <v>-45.98</v>
      </c>
      <c r="P322" s="1">
        <v>0</v>
      </c>
      <c r="Q322" s="1" t="s">
        <v>86</v>
      </c>
      <c r="R322" s="1">
        <v>0</v>
      </c>
      <c r="S322" s="1" t="s">
        <v>86</v>
      </c>
      <c r="T322" s="1" t="s">
        <v>86</v>
      </c>
      <c r="U322" s="1" t="s">
        <v>271</v>
      </c>
      <c r="V322" s="1" t="s">
        <v>86</v>
      </c>
      <c r="W322" s="1" t="s">
        <v>137</v>
      </c>
      <c r="X322" s="1" t="s">
        <v>86</v>
      </c>
      <c r="Y322" s="1" t="s">
        <v>89</v>
      </c>
      <c r="Z322" s="1" t="s">
        <v>89</v>
      </c>
      <c r="AA322" s="1" t="s">
        <v>119</v>
      </c>
      <c r="AB322" s="1" t="s">
        <v>86</v>
      </c>
      <c r="AC322" s="1" t="s">
        <v>1762</v>
      </c>
      <c r="AD322" s="1">
        <v>69</v>
      </c>
      <c r="AE322" s="1">
        <v>64</v>
      </c>
      <c r="AF322" s="1" t="s">
        <v>91</v>
      </c>
      <c r="AG322" s="1">
        <v>3.5</v>
      </c>
      <c r="AH322" s="1">
        <v>36</v>
      </c>
      <c r="AI322" s="1" t="s">
        <v>86</v>
      </c>
      <c r="AJ322" s="1">
        <v>1.02</v>
      </c>
      <c r="AK322" s="1" t="s">
        <v>111</v>
      </c>
      <c r="AL322" s="1" t="s">
        <v>93</v>
      </c>
      <c r="AM322" s="1" t="s">
        <v>140</v>
      </c>
      <c r="AN322" s="1" t="s">
        <v>171</v>
      </c>
      <c r="AO322" s="1" t="s">
        <v>94</v>
      </c>
      <c r="AP322" s="1" t="s">
        <v>95</v>
      </c>
      <c r="AQ322" s="1">
        <v>13.1</v>
      </c>
      <c r="AR322" s="1">
        <v>51.6</v>
      </c>
      <c r="AS322" s="1">
        <v>39.7</v>
      </c>
      <c r="AT322" s="1" t="s">
        <v>96</v>
      </c>
      <c r="AU322" s="1" t="s">
        <v>86</v>
      </c>
      <c r="AV322" s="1" t="s">
        <v>86</v>
      </c>
      <c r="AW322" s="1" t="s">
        <v>86</v>
      </c>
      <c r="AX322" s="1" t="s">
        <v>86</v>
      </c>
      <c r="AY322" s="1" t="s">
        <v>86</v>
      </c>
      <c r="AZ322" s="1" t="s">
        <v>86</v>
      </c>
      <c r="BA322" s="1" t="s">
        <v>86</v>
      </c>
      <c r="BB322" s="1" t="s">
        <v>86</v>
      </c>
      <c r="BC322" s="1" t="s">
        <v>86</v>
      </c>
      <c r="BD322" s="1" t="s">
        <v>86</v>
      </c>
      <c r="BE322" s="1" t="s">
        <v>86</v>
      </c>
      <c r="BF322" s="1" t="s">
        <v>86</v>
      </c>
      <c r="BG322" s="1" t="s">
        <v>86</v>
      </c>
      <c r="BH322" s="1" t="s">
        <v>97</v>
      </c>
      <c r="BI322" s="1" t="s">
        <v>183</v>
      </c>
      <c r="BJ322" s="1" t="s">
        <v>87</v>
      </c>
      <c r="BK322" s="1">
        <v>0</v>
      </c>
      <c r="BL322" s="1">
        <v>0</v>
      </c>
      <c r="BM322" s="1" t="s">
        <v>398</v>
      </c>
      <c r="BN322" s="1" t="s">
        <v>1763</v>
      </c>
      <c r="BO322" s="1" t="s">
        <v>1764</v>
      </c>
      <c r="BP322" s="1" t="s">
        <v>86</v>
      </c>
      <c r="BQ322" s="1" t="s">
        <v>86</v>
      </c>
      <c r="BR322" s="1" t="s">
        <v>86</v>
      </c>
      <c r="BS322" s="1" t="s">
        <v>86</v>
      </c>
      <c r="BT322" s="1" t="s">
        <v>86</v>
      </c>
      <c r="BU322" s="1" t="s">
        <v>163</v>
      </c>
      <c r="BV322" s="1" t="s">
        <v>86</v>
      </c>
      <c r="BW322" s="1" t="s">
        <v>101</v>
      </c>
      <c r="BX322" s="1" t="s">
        <v>470</v>
      </c>
      <c r="BY322" s="1" t="s">
        <v>86</v>
      </c>
      <c r="BZ322" s="1" t="s">
        <v>1765</v>
      </c>
      <c r="CA322" s="1" t="s">
        <v>254</v>
      </c>
      <c r="CB322" s="1" t="s">
        <v>269</v>
      </c>
      <c r="CC322" s="1" t="s">
        <v>86</v>
      </c>
      <c r="CD322" s="1" t="s">
        <v>86</v>
      </c>
      <c r="CE322" s="1" t="s">
        <v>86</v>
      </c>
    </row>
    <row r="323">
      <c r="A323" s="1">
        <v>321</v>
      </c>
      <c r="B323" s="1" t="s">
        <v>395</v>
      </c>
      <c r="C323" s="2">
        <f>=HYPERLINK("https://i.stonehdfile.com/stoneimage?s=509946b7-fe3d-444f-a0f6-6d2656b2b9ea","Image")</f>
      </c>
      <c r="D323" s="2">
        <f>=HYPERLINK("https://dna.stonehdfile.com/hd/viewhd.html?d=8a048e30-926b-4a0b-9586-646e521ca37d","View360")</f>
      </c>
      <c r="E323" s="2">
        <f>=HYPERLINK("https://i.stonehdfile.com/Certificate?s=509946b7-fe3d-444f-a0f6-6d2656b2b9ea","GIA")</f>
      </c>
      <c r="F323" s="2">
        <f>=HYPERLINK("https://i.stonehdfile.com/DNAReport?s=509946b7-fe3d-444f-a0f6-6d2656b2b9ea","DNA")</f>
      </c>
      <c r="G323" s="2">
        <f>=HYPERLINK("https://www.gia.edu/report-check?reportno=******3303","Verify")</f>
      </c>
      <c r="H323" s="1" t="s">
        <v>1766</v>
      </c>
      <c r="I323" s="1" t="s">
        <v>46</v>
      </c>
      <c r="J323" s="1">
        <v>4.01</v>
      </c>
      <c r="K323" s="1">
        <v>8</v>
      </c>
      <c r="L323" s="1">
        <v>20500</v>
      </c>
      <c r="M323" s="1">
        <v>11100</v>
      </c>
      <c r="N323" s="1">
        <v>44511</v>
      </c>
      <c r="O323" s="1">
        <v>-45.85</v>
      </c>
      <c r="P323" s="1">
        <v>0</v>
      </c>
      <c r="Q323" s="1" t="s">
        <v>86</v>
      </c>
      <c r="R323" s="1">
        <v>0</v>
      </c>
      <c r="S323" s="1" t="s">
        <v>86</v>
      </c>
      <c r="T323" s="1" t="s">
        <v>86</v>
      </c>
      <c r="U323" s="1" t="s">
        <v>118</v>
      </c>
      <c r="V323" s="1" t="s">
        <v>86</v>
      </c>
      <c r="W323" s="1" t="s">
        <v>107</v>
      </c>
      <c r="X323" s="1" t="s">
        <v>86</v>
      </c>
      <c r="Y323" s="1" t="s">
        <v>89</v>
      </c>
      <c r="Z323" s="1" t="s">
        <v>89</v>
      </c>
      <c r="AA323" s="1" t="s">
        <v>119</v>
      </c>
      <c r="AB323" s="1" t="s">
        <v>86</v>
      </c>
      <c r="AC323" s="1" t="s">
        <v>1767</v>
      </c>
      <c r="AD323" s="1">
        <v>68.3</v>
      </c>
      <c r="AE323" s="1">
        <v>65</v>
      </c>
      <c r="AF323" s="1" t="s">
        <v>91</v>
      </c>
      <c r="AG323" s="1">
        <v>2.8</v>
      </c>
      <c r="AH323" s="1">
        <v>35.6</v>
      </c>
      <c r="AI323" s="1" t="s">
        <v>86</v>
      </c>
      <c r="AJ323" s="1">
        <v>1.07</v>
      </c>
      <c r="AK323" s="1" t="s">
        <v>190</v>
      </c>
      <c r="AL323" s="1" t="s">
        <v>93</v>
      </c>
      <c r="AM323" s="1" t="s">
        <v>93</v>
      </c>
      <c r="AN323" s="1" t="s">
        <v>86</v>
      </c>
      <c r="AO323" s="1" t="s">
        <v>94</v>
      </c>
      <c r="AP323" s="1" t="s">
        <v>95</v>
      </c>
      <c r="AQ323" s="1">
        <v>12.5</v>
      </c>
      <c r="AR323" s="1">
        <v>52.5</v>
      </c>
      <c r="AS323" s="1">
        <v>39.2</v>
      </c>
      <c r="AT323" s="1" t="s">
        <v>96</v>
      </c>
      <c r="AU323" s="1" t="s">
        <v>86</v>
      </c>
      <c r="AV323" s="1" t="s">
        <v>86</v>
      </c>
      <c r="AW323" s="1" t="s">
        <v>86</v>
      </c>
      <c r="AX323" s="1" t="s">
        <v>86</v>
      </c>
      <c r="AY323" s="1" t="s">
        <v>86</v>
      </c>
      <c r="AZ323" s="1" t="s">
        <v>86</v>
      </c>
      <c r="BA323" s="1" t="s">
        <v>86</v>
      </c>
      <c r="BB323" s="1" t="s">
        <v>86</v>
      </c>
      <c r="BC323" s="1" t="s">
        <v>86</v>
      </c>
      <c r="BD323" s="1" t="s">
        <v>86</v>
      </c>
      <c r="BE323" s="1" t="s">
        <v>86</v>
      </c>
      <c r="BF323" s="1" t="s">
        <v>86</v>
      </c>
      <c r="BG323" s="1" t="s">
        <v>86</v>
      </c>
      <c r="BH323" s="1" t="s">
        <v>182</v>
      </c>
      <c r="BI323" s="1" t="s">
        <v>322</v>
      </c>
      <c r="BJ323" s="1" t="s">
        <v>87</v>
      </c>
      <c r="BK323" s="1">
        <v>0</v>
      </c>
      <c r="BL323" s="1">
        <v>0</v>
      </c>
      <c r="BM323" s="1" t="s">
        <v>398</v>
      </c>
      <c r="BN323" s="1" t="s">
        <v>1768</v>
      </c>
      <c r="BO323" s="1" t="s">
        <v>1769</v>
      </c>
      <c r="BP323" s="1" t="s">
        <v>86</v>
      </c>
      <c r="BQ323" s="1" t="s">
        <v>86</v>
      </c>
      <c r="BR323" s="1" t="s">
        <v>86</v>
      </c>
      <c r="BS323" s="1" t="s">
        <v>86</v>
      </c>
      <c r="BT323" s="1" t="s">
        <v>86</v>
      </c>
      <c r="BU323" s="1" t="s">
        <v>163</v>
      </c>
      <c r="BV323" s="1" t="s">
        <v>86</v>
      </c>
      <c r="BW323" s="1" t="s">
        <v>101</v>
      </c>
      <c r="BX323" s="1" t="s">
        <v>545</v>
      </c>
      <c r="BY323" s="1" t="s">
        <v>86</v>
      </c>
      <c r="BZ323" s="1" t="s">
        <v>1770</v>
      </c>
      <c r="CA323" s="1" t="s">
        <v>707</v>
      </c>
      <c r="CB323" s="1" t="s">
        <v>639</v>
      </c>
      <c r="CC323" s="1" t="s">
        <v>86</v>
      </c>
      <c r="CD323" s="1" t="s">
        <v>86</v>
      </c>
      <c r="CE323" s="1" t="s">
        <v>86</v>
      </c>
    </row>
    <row r="324">
      <c r="A324" s="1">
        <v>322</v>
      </c>
      <c r="B324" s="1" t="s">
        <v>395</v>
      </c>
      <c r="C324" s="2">
        <f>=HYPERLINK("https://i.stonehdfile.com/stoneimage?s=a5c515b0-d574-4bf2-b0c0-687e85324eee","Image")</f>
      </c>
      <c r="D324" s="2">
        <f>=HYPERLINK("https://dna.stonehdfile.com/hd/viewhd.html?d=27835b92-4c4e-4f4e-b44b-4f1933f4ef4d","View360")</f>
      </c>
      <c r="E324" s="2">
        <f>=HYPERLINK("https://i.stonehdfile.com/Certificate?s=a5c515b0-d574-4bf2-b0c0-687e85324eee","GIA")</f>
      </c>
      <c r="F324" s="2">
        <f>=HYPERLINK("https://i.stonehdfile.com/DNAReport?s=a5c515b0-d574-4bf2-b0c0-687e85324eee","DNA")</f>
      </c>
      <c r="G324" s="2">
        <f>=HYPERLINK("https://www.gia.edu/report-check?reportno=******7208","Verify")</f>
      </c>
      <c r="H324" s="1" t="s">
        <v>1771</v>
      </c>
      <c r="I324" s="1" t="s">
        <v>46</v>
      </c>
      <c r="J324" s="1">
        <v>5</v>
      </c>
      <c r="K324" s="1">
        <v>5</v>
      </c>
      <c r="L324" s="1">
        <v>27000</v>
      </c>
      <c r="M324" s="1">
        <v>11844</v>
      </c>
      <c r="N324" s="1">
        <v>59220</v>
      </c>
      <c r="O324" s="1">
        <v>-56.13</v>
      </c>
      <c r="P324" s="1">
        <v>0</v>
      </c>
      <c r="Q324" s="1" t="s">
        <v>86</v>
      </c>
      <c r="R324" s="1">
        <v>0</v>
      </c>
      <c r="S324" s="1" t="s">
        <v>86</v>
      </c>
      <c r="T324" s="1" t="s">
        <v>86</v>
      </c>
      <c r="U324" s="1" t="s">
        <v>159</v>
      </c>
      <c r="V324" s="1" t="s">
        <v>86</v>
      </c>
      <c r="W324" s="1" t="s">
        <v>149</v>
      </c>
      <c r="X324" s="1" t="s">
        <v>86</v>
      </c>
      <c r="Y324" s="1" t="s">
        <v>89</v>
      </c>
      <c r="Z324" s="1" t="s">
        <v>89</v>
      </c>
      <c r="AA324" s="1" t="s">
        <v>119</v>
      </c>
      <c r="AB324" s="1" t="s">
        <v>86</v>
      </c>
      <c r="AC324" s="1" t="s">
        <v>1772</v>
      </c>
      <c r="AD324" s="1">
        <v>71.9</v>
      </c>
      <c r="AE324" s="1">
        <v>65</v>
      </c>
      <c r="AF324" s="1" t="s">
        <v>91</v>
      </c>
      <c r="AG324" s="1">
        <v>3.3</v>
      </c>
      <c r="AH324" s="1">
        <v>36.8</v>
      </c>
      <c r="AI324" s="1" t="s">
        <v>86</v>
      </c>
      <c r="AJ324" s="1">
        <v>1.01</v>
      </c>
      <c r="AK324" s="1" t="s">
        <v>111</v>
      </c>
      <c r="AL324" s="1" t="s">
        <v>93</v>
      </c>
      <c r="AM324" s="1" t="s">
        <v>140</v>
      </c>
      <c r="AN324" s="1" t="s">
        <v>86</v>
      </c>
      <c r="AO324" s="1" t="s">
        <v>94</v>
      </c>
      <c r="AP324" s="1" t="s">
        <v>95</v>
      </c>
      <c r="AQ324" s="1">
        <v>13.3</v>
      </c>
      <c r="AR324" s="1">
        <v>55.2</v>
      </c>
      <c r="AS324" s="1">
        <v>40.3</v>
      </c>
      <c r="AT324" s="1" t="s">
        <v>96</v>
      </c>
      <c r="AU324" s="1" t="s">
        <v>141</v>
      </c>
      <c r="AV324" s="1" t="s">
        <v>86</v>
      </c>
      <c r="AW324" s="1" t="s">
        <v>86</v>
      </c>
      <c r="AX324" s="1" t="s">
        <v>86</v>
      </c>
      <c r="AY324" s="1" t="s">
        <v>86</v>
      </c>
      <c r="AZ324" s="1" t="s">
        <v>86</v>
      </c>
      <c r="BA324" s="1" t="s">
        <v>86</v>
      </c>
      <c r="BB324" s="1" t="s">
        <v>86</v>
      </c>
      <c r="BC324" s="1" t="s">
        <v>86</v>
      </c>
      <c r="BD324" s="1" t="s">
        <v>86</v>
      </c>
      <c r="BE324" s="1" t="s">
        <v>86</v>
      </c>
      <c r="BF324" s="1" t="s">
        <v>86</v>
      </c>
      <c r="BG324" s="1" t="s">
        <v>172</v>
      </c>
      <c r="BH324" s="1" t="s">
        <v>129</v>
      </c>
      <c r="BI324" s="1" t="s">
        <v>232</v>
      </c>
      <c r="BJ324" s="1" t="s">
        <v>87</v>
      </c>
      <c r="BK324" s="1">
        <v>0</v>
      </c>
      <c r="BL324" s="1">
        <v>0</v>
      </c>
      <c r="BM324" s="1" t="s">
        <v>398</v>
      </c>
      <c r="BN324" s="1" t="s">
        <v>1773</v>
      </c>
      <c r="BO324" s="1" t="s">
        <v>1774</v>
      </c>
      <c r="BP324" s="1" t="s">
        <v>86</v>
      </c>
      <c r="BQ324" s="1" t="s">
        <v>86</v>
      </c>
      <c r="BR324" s="1" t="s">
        <v>86</v>
      </c>
      <c r="BS324" s="1" t="s">
        <v>86</v>
      </c>
      <c r="BT324" s="1" t="s">
        <v>86</v>
      </c>
      <c r="BU324" s="1" t="s">
        <v>163</v>
      </c>
      <c r="BV324" s="1" t="s">
        <v>86</v>
      </c>
      <c r="BW324" s="1" t="s">
        <v>101</v>
      </c>
      <c r="BX324" s="1" t="s">
        <v>545</v>
      </c>
      <c r="BY324" s="1" t="s">
        <v>86</v>
      </c>
      <c r="BZ324" s="1" t="s">
        <v>1775</v>
      </c>
      <c r="CA324" s="1" t="s">
        <v>220</v>
      </c>
      <c r="CB324" s="1" t="s">
        <v>279</v>
      </c>
      <c r="CC324" s="1" t="s">
        <v>86</v>
      </c>
      <c r="CD324" s="1" t="s">
        <v>86</v>
      </c>
      <c r="CE324" s="1" t="s">
        <v>86</v>
      </c>
    </row>
    <row r="325">
      <c r="A325" s="1">
        <v>323</v>
      </c>
      <c r="B325" s="1" t="s">
        <v>395</v>
      </c>
      <c r="C325" s="2">
        <f>=HYPERLINK("https://i.stonehdfile.com/stoneimage?s=0980de8f-8120-4a01-b65a-6590781b3987","Image")</f>
      </c>
      <c r="D325" s="2">
        <f>=HYPERLINK("https://dna.stonehdfile.com/hd/viewhd.html?d=6bab3677-82fd-4c02-a4c5-b65b14762e22","View360")</f>
      </c>
      <c r="E325" s="2">
        <f>=HYPERLINK("https://i.stonehdfile.com/Certificate?s=0980de8f-8120-4a01-b65a-6590781b3987","GIA")</f>
      </c>
      <c r="F325" s="2">
        <f>=HYPERLINK("https://i.stonehdfile.com/DNAReport?s=0980de8f-8120-4a01-b65a-6590781b3987","DNA")</f>
      </c>
      <c r="G325" s="2">
        <f>=HYPERLINK("https://www.gia.edu/report-check?reportno=******6510","Verify")</f>
      </c>
      <c r="H325" s="1" t="s">
        <v>1776</v>
      </c>
      <c r="I325" s="1" t="s">
        <v>46</v>
      </c>
      <c r="J325" s="1">
        <v>5.03</v>
      </c>
      <c r="K325" s="1">
        <v>5</v>
      </c>
      <c r="L325" s="1">
        <v>21500</v>
      </c>
      <c r="M325" s="1">
        <v>10593</v>
      </c>
      <c r="N325" s="1">
        <v>53282.79</v>
      </c>
      <c r="O325" s="1">
        <v>-50.73</v>
      </c>
      <c r="P325" s="1">
        <v>0</v>
      </c>
      <c r="Q325" s="1" t="s">
        <v>86</v>
      </c>
      <c r="R325" s="1">
        <v>0</v>
      </c>
      <c r="S325" s="1" t="s">
        <v>86</v>
      </c>
      <c r="T325" s="1" t="s">
        <v>86</v>
      </c>
      <c r="U325" s="1" t="s">
        <v>118</v>
      </c>
      <c r="V325" s="1" t="s">
        <v>86</v>
      </c>
      <c r="W325" s="1" t="s">
        <v>137</v>
      </c>
      <c r="X325" s="1" t="s">
        <v>86</v>
      </c>
      <c r="Y325" s="1" t="s">
        <v>89</v>
      </c>
      <c r="Z325" s="1" t="s">
        <v>89</v>
      </c>
      <c r="AA325" s="1" t="s">
        <v>119</v>
      </c>
      <c r="AB325" s="1" t="s">
        <v>86</v>
      </c>
      <c r="AC325" s="1" t="s">
        <v>1777</v>
      </c>
      <c r="AD325" s="1">
        <v>67.6</v>
      </c>
      <c r="AE325" s="1">
        <v>65</v>
      </c>
      <c r="AF325" s="1" t="s">
        <v>91</v>
      </c>
      <c r="AG325" s="1">
        <v>2.1</v>
      </c>
      <c r="AH325" s="1">
        <v>35.7</v>
      </c>
      <c r="AI325" s="1" t="s">
        <v>86</v>
      </c>
      <c r="AJ325" s="1">
        <v>1.08</v>
      </c>
      <c r="AK325" s="1" t="s">
        <v>111</v>
      </c>
      <c r="AL325" s="1" t="s">
        <v>93</v>
      </c>
      <c r="AM325" s="1" t="s">
        <v>128</v>
      </c>
      <c r="AN325" s="1" t="s">
        <v>171</v>
      </c>
      <c r="AO325" s="1" t="s">
        <v>208</v>
      </c>
      <c r="AP325" s="1" t="s">
        <v>95</v>
      </c>
      <c r="AQ325" s="1">
        <v>12.7</v>
      </c>
      <c r="AR325" s="1">
        <v>52.4</v>
      </c>
      <c r="AS325" s="1">
        <v>39.4</v>
      </c>
      <c r="AT325" s="1" t="s">
        <v>96</v>
      </c>
      <c r="AU325" s="1" t="s">
        <v>86</v>
      </c>
      <c r="AV325" s="1" t="s">
        <v>86</v>
      </c>
      <c r="AW325" s="1" t="s">
        <v>86</v>
      </c>
      <c r="AX325" s="1" t="s">
        <v>86</v>
      </c>
      <c r="AY325" s="1" t="s">
        <v>86</v>
      </c>
      <c r="AZ325" s="1" t="s">
        <v>86</v>
      </c>
      <c r="BA325" s="1" t="s">
        <v>86</v>
      </c>
      <c r="BB325" s="1" t="s">
        <v>86</v>
      </c>
      <c r="BC325" s="1" t="s">
        <v>86</v>
      </c>
      <c r="BD325" s="1" t="s">
        <v>86</v>
      </c>
      <c r="BE325" s="1" t="s">
        <v>86</v>
      </c>
      <c r="BF325" s="1" t="s">
        <v>86</v>
      </c>
      <c r="BG325" s="1" t="s">
        <v>86</v>
      </c>
      <c r="BH325" s="1" t="s">
        <v>142</v>
      </c>
      <c r="BI325" s="1" t="s">
        <v>516</v>
      </c>
      <c r="BJ325" s="1" t="s">
        <v>87</v>
      </c>
      <c r="BK325" s="1">
        <v>0</v>
      </c>
      <c r="BL325" s="1">
        <v>0</v>
      </c>
      <c r="BM325" s="1" t="s">
        <v>398</v>
      </c>
      <c r="BN325" s="1" t="s">
        <v>1778</v>
      </c>
      <c r="BO325" s="1" t="s">
        <v>444</v>
      </c>
      <c r="BP325" s="1" t="s">
        <v>86</v>
      </c>
      <c r="BQ325" s="1" t="s">
        <v>86</v>
      </c>
      <c r="BR325" s="1" t="s">
        <v>86</v>
      </c>
      <c r="BS325" s="1" t="s">
        <v>86</v>
      </c>
      <c r="BT325" s="1" t="s">
        <v>86</v>
      </c>
      <c r="BU325" s="1" t="s">
        <v>163</v>
      </c>
      <c r="BV325" s="1" t="s">
        <v>86</v>
      </c>
      <c r="BW325" s="1" t="s">
        <v>101</v>
      </c>
      <c r="BX325" s="1" t="s">
        <v>470</v>
      </c>
      <c r="BY325" s="1" t="s">
        <v>86</v>
      </c>
      <c r="BZ325" s="1" t="s">
        <v>1779</v>
      </c>
      <c r="CA325" s="1" t="s">
        <v>195</v>
      </c>
      <c r="CB325" s="1" t="s">
        <v>269</v>
      </c>
      <c r="CC325" s="1" t="s">
        <v>86</v>
      </c>
      <c r="CD325" s="1" t="s">
        <v>86</v>
      </c>
      <c r="CE325" s="1" t="s">
        <v>86</v>
      </c>
    </row>
    <row r="326">
      <c r="A326" s="1">
        <v>324</v>
      </c>
      <c r="B326" s="1" t="s">
        <v>395</v>
      </c>
      <c r="C326" s="2">
        <f>=HYPERLINK("https://i.stonehdfile.com/stoneimage?s=58f9d094-47e4-4614-97de-787dbfae451f","Image")</f>
      </c>
      <c r="D326" s="2">
        <f>=HYPERLINK("https://dna.stonehdfile.com/hd/viewhd.html?d=304bb7a4-8189-4d31-9f2f-089599591256","View360")</f>
      </c>
      <c r="E326" s="2">
        <f>=HYPERLINK("https://i.stonehdfile.com/Certificate?s=58f9d094-47e4-4614-97de-787dbfae451f","GIA")</f>
      </c>
      <c r="F326" s="2">
        <f>=HYPERLINK("https://i.stonehdfile.com/DNAReport?s=58f9d094-47e4-4614-97de-787dbfae451f","DNA")</f>
      </c>
      <c r="G326" s="2">
        <f>=HYPERLINK("https://www.gia.edu/report-check?reportno=******4414","Verify")</f>
      </c>
      <c r="H326" s="1" t="s">
        <v>1780</v>
      </c>
      <c r="I326" s="1" t="s">
        <v>135</v>
      </c>
      <c r="J326" s="1">
        <v>1.51</v>
      </c>
      <c r="K326" s="1">
        <v>1</v>
      </c>
      <c r="L326" s="1">
        <v>8100</v>
      </c>
      <c r="M326" s="1">
        <v>3686</v>
      </c>
      <c r="N326" s="1">
        <v>5565.86</v>
      </c>
      <c r="O326" s="1">
        <v>-54.49</v>
      </c>
      <c r="P326" s="1">
        <v>0</v>
      </c>
      <c r="Q326" s="1" t="s">
        <v>86</v>
      </c>
      <c r="R326" s="1">
        <v>0</v>
      </c>
      <c r="S326" s="1" t="s">
        <v>86</v>
      </c>
      <c r="T326" s="1" t="s">
        <v>86</v>
      </c>
      <c r="U326" s="1" t="s">
        <v>168</v>
      </c>
      <c r="V326" s="1" t="s">
        <v>86</v>
      </c>
      <c r="W326" s="1" t="s">
        <v>1515</v>
      </c>
      <c r="X326" s="1" t="s">
        <v>86</v>
      </c>
      <c r="Y326" s="1" t="s">
        <v>89</v>
      </c>
      <c r="Z326" s="1" t="s">
        <v>138</v>
      </c>
      <c r="AA326" s="1" t="s">
        <v>119</v>
      </c>
      <c r="AB326" s="1" t="s">
        <v>86</v>
      </c>
      <c r="AC326" s="1" t="s">
        <v>1781</v>
      </c>
      <c r="AD326" s="1">
        <v>71.7</v>
      </c>
      <c r="AE326" s="1">
        <v>62</v>
      </c>
      <c r="AF326" s="1" t="s">
        <v>91</v>
      </c>
      <c r="AG326" s="1">
        <v>3.4</v>
      </c>
      <c r="AH326" s="1">
        <v>36.8</v>
      </c>
      <c r="AI326" s="1" t="s">
        <v>86</v>
      </c>
      <c r="AJ326" s="1">
        <v>1.2</v>
      </c>
      <c r="AK326" s="1" t="s">
        <v>198</v>
      </c>
      <c r="AL326" s="1" t="s">
        <v>93</v>
      </c>
      <c r="AM326" s="1" t="s">
        <v>93</v>
      </c>
      <c r="AN326" s="1" t="s">
        <v>171</v>
      </c>
      <c r="AO326" s="1" t="s">
        <v>208</v>
      </c>
      <c r="AP326" s="1" t="s">
        <v>95</v>
      </c>
      <c r="AQ326" s="1">
        <v>14.3</v>
      </c>
      <c r="AR326" s="1">
        <v>53</v>
      </c>
      <c r="AS326" s="1">
        <v>35.4</v>
      </c>
      <c r="AT326" s="1" t="s">
        <v>96</v>
      </c>
      <c r="AU326" s="1" t="s">
        <v>141</v>
      </c>
      <c r="AV326" s="1" t="s">
        <v>141</v>
      </c>
      <c r="AW326" s="1" t="s">
        <v>86</v>
      </c>
      <c r="AX326" s="1" t="s">
        <v>86</v>
      </c>
      <c r="AY326" s="1" t="s">
        <v>86</v>
      </c>
      <c r="AZ326" s="1" t="s">
        <v>86</v>
      </c>
      <c r="BA326" s="1" t="s">
        <v>86</v>
      </c>
      <c r="BB326" s="1" t="s">
        <v>86</v>
      </c>
      <c r="BC326" s="1" t="s">
        <v>86</v>
      </c>
      <c r="BD326" s="1" t="s">
        <v>86</v>
      </c>
      <c r="BE326" s="1" t="s">
        <v>86</v>
      </c>
      <c r="BF326" s="1" t="s">
        <v>282</v>
      </c>
      <c r="BG326" s="1" t="s">
        <v>86</v>
      </c>
      <c r="BH326" s="1" t="s">
        <v>215</v>
      </c>
      <c r="BI326" s="1" t="s">
        <v>191</v>
      </c>
      <c r="BJ326" s="1" t="s">
        <v>87</v>
      </c>
      <c r="BK326" s="1">
        <v>0</v>
      </c>
      <c r="BL326" s="1">
        <v>0</v>
      </c>
      <c r="BM326" s="1" t="s">
        <v>398</v>
      </c>
      <c r="BN326" s="1" t="s">
        <v>1782</v>
      </c>
      <c r="BO326" s="1" t="s">
        <v>705</v>
      </c>
      <c r="BP326" s="1" t="s">
        <v>86</v>
      </c>
      <c r="BQ326" s="1" t="s">
        <v>86</v>
      </c>
      <c r="BR326" s="1" t="s">
        <v>86</v>
      </c>
      <c r="BS326" s="1" t="s">
        <v>86</v>
      </c>
      <c r="BT326" s="1" t="s">
        <v>86</v>
      </c>
      <c r="BU326" s="1" t="s">
        <v>163</v>
      </c>
      <c r="BV326" s="1" t="s">
        <v>86</v>
      </c>
      <c r="BW326" s="1" t="s">
        <v>101</v>
      </c>
      <c r="BX326" s="1" t="s">
        <v>478</v>
      </c>
      <c r="BY326" s="1" t="s">
        <v>86</v>
      </c>
      <c r="BZ326" s="1" t="s">
        <v>1783</v>
      </c>
      <c r="CA326" s="1" t="s">
        <v>220</v>
      </c>
      <c r="CB326" s="1" t="s">
        <v>464</v>
      </c>
      <c r="CC326" s="1" t="s">
        <v>86</v>
      </c>
      <c r="CD326" s="1" t="s">
        <v>86</v>
      </c>
      <c r="CE326" s="1" t="s">
        <v>86</v>
      </c>
    </row>
    <row r="327">
      <c r="A327" s="1">
        <v>325</v>
      </c>
      <c r="B327" s="1" t="s">
        <v>395</v>
      </c>
      <c r="C327" s="2">
        <f>=HYPERLINK("https://i.stonehdfile.com/stoneimage?s=ac4d6c3e-347f-4dda-a860-8e78c723285e","Image")</f>
      </c>
      <c r="D327" s="2">
        <f>=HYPERLINK("https://dna.stonehdfile.com/hd/viewhd.html?d=5bdfecb9-11f7-45ee-9a63-a78fdaf053e7","View360")</f>
      </c>
      <c r="E327" s="2">
        <f>=HYPERLINK("https://i.stonehdfile.com/Certificate?s=ac4d6c3e-347f-4dda-a860-8e78c723285e","GIA")</f>
      </c>
      <c r="F327" s="2">
        <f>=HYPERLINK("https://i.stonehdfile.com/DNAReport?s=ac4d6c3e-347f-4dda-a860-8e78c723285e","DNA")</f>
      </c>
      <c r="G327" s="2">
        <f>=HYPERLINK("https://www.gia.edu/report-check?reportno=******7161","Verify")</f>
      </c>
      <c r="H327" s="1" t="s">
        <v>1784</v>
      </c>
      <c r="I327" s="1" t="s">
        <v>135</v>
      </c>
      <c r="J327" s="1">
        <v>1.51</v>
      </c>
      <c r="K327" s="1">
        <v>2</v>
      </c>
      <c r="L327" s="1">
        <v>9800</v>
      </c>
      <c r="M327" s="1">
        <v>3228</v>
      </c>
      <c r="N327" s="1">
        <v>4874.28</v>
      </c>
      <c r="O327" s="1">
        <v>-67.06</v>
      </c>
      <c r="P327" s="1">
        <v>0</v>
      </c>
      <c r="Q327" s="1" t="s">
        <v>86</v>
      </c>
      <c r="R327" s="1">
        <v>0</v>
      </c>
      <c r="S327" s="1" t="s">
        <v>86</v>
      </c>
      <c r="T327" s="1" t="s">
        <v>86</v>
      </c>
      <c r="U327" s="1" t="s">
        <v>136</v>
      </c>
      <c r="V327" s="1" t="s">
        <v>86</v>
      </c>
      <c r="W327" s="1" t="s">
        <v>137</v>
      </c>
      <c r="X327" s="1" t="s">
        <v>86</v>
      </c>
      <c r="Y327" s="1" t="s">
        <v>89</v>
      </c>
      <c r="Z327" s="1" t="s">
        <v>138</v>
      </c>
      <c r="AA327" s="1" t="s">
        <v>119</v>
      </c>
      <c r="AB327" s="1" t="s">
        <v>86</v>
      </c>
      <c r="AC327" s="1" t="s">
        <v>1785</v>
      </c>
      <c r="AD327" s="1">
        <v>70.6</v>
      </c>
      <c r="AE327" s="1">
        <v>65</v>
      </c>
      <c r="AF327" s="1" t="s">
        <v>91</v>
      </c>
      <c r="AG327" s="1">
        <v>3.3</v>
      </c>
      <c r="AH327" s="1">
        <v>37.3</v>
      </c>
      <c r="AI327" s="1" t="s">
        <v>86</v>
      </c>
      <c r="AJ327" s="1">
        <v>1.06</v>
      </c>
      <c r="AK327" s="1" t="s">
        <v>111</v>
      </c>
      <c r="AL327" s="1" t="s">
        <v>140</v>
      </c>
      <c r="AM327" s="1" t="s">
        <v>128</v>
      </c>
      <c r="AN327" s="1" t="s">
        <v>171</v>
      </c>
      <c r="AO327" s="1" t="s">
        <v>94</v>
      </c>
      <c r="AP327" s="1" t="s">
        <v>95</v>
      </c>
      <c r="AQ327" s="1">
        <v>13.4</v>
      </c>
      <c r="AR327" s="1">
        <v>51.5</v>
      </c>
      <c r="AS327" s="1">
        <v>37.8</v>
      </c>
      <c r="AT327" s="1" t="s">
        <v>96</v>
      </c>
      <c r="AU327" s="1" t="s">
        <v>86</v>
      </c>
      <c r="AV327" s="1" t="s">
        <v>86</v>
      </c>
      <c r="AW327" s="1" t="s">
        <v>86</v>
      </c>
      <c r="AX327" s="1" t="s">
        <v>86</v>
      </c>
      <c r="AY327" s="1" t="s">
        <v>86</v>
      </c>
      <c r="AZ327" s="1" t="s">
        <v>86</v>
      </c>
      <c r="BA327" s="1" t="s">
        <v>112</v>
      </c>
      <c r="BB327" s="1" t="s">
        <v>86</v>
      </c>
      <c r="BC327" s="1" t="s">
        <v>86</v>
      </c>
      <c r="BD327" s="1" t="s">
        <v>86</v>
      </c>
      <c r="BE327" s="1" t="s">
        <v>86</v>
      </c>
      <c r="BF327" s="1" t="s">
        <v>86</v>
      </c>
      <c r="BG327" s="1" t="s">
        <v>172</v>
      </c>
      <c r="BH327" s="1" t="s">
        <v>273</v>
      </c>
      <c r="BI327" s="1" t="s">
        <v>232</v>
      </c>
      <c r="BJ327" s="1" t="s">
        <v>87</v>
      </c>
      <c r="BK327" s="1">
        <v>0</v>
      </c>
      <c r="BL327" s="1">
        <v>0</v>
      </c>
      <c r="BM327" s="1" t="s">
        <v>86</v>
      </c>
      <c r="BN327" s="1" t="s">
        <v>1786</v>
      </c>
      <c r="BO327" s="1" t="s">
        <v>201</v>
      </c>
      <c r="BP327" s="1" t="s">
        <v>86</v>
      </c>
      <c r="BQ327" s="1" t="s">
        <v>86</v>
      </c>
      <c r="BR327" s="1" t="s">
        <v>86</v>
      </c>
      <c r="BS327" s="1" t="s">
        <v>86</v>
      </c>
      <c r="BT327" s="1" t="s">
        <v>86</v>
      </c>
      <c r="BU327" s="1" t="s">
        <v>163</v>
      </c>
      <c r="BV327" s="1" t="s">
        <v>86</v>
      </c>
      <c r="BW327" s="1" t="s">
        <v>101</v>
      </c>
      <c r="BX327" s="1" t="s">
        <v>439</v>
      </c>
      <c r="BY327" s="1" t="s">
        <v>86</v>
      </c>
      <c r="BZ327" s="1" t="s">
        <v>1787</v>
      </c>
      <c r="CA327" s="1" t="s">
        <v>1788</v>
      </c>
      <c r="CB327" s="1" t="s">
        <v>1789</v>
      </c>
      <c r="CC327" s="1" t="s">
        <v>86</v>
      </c>
      <c r="CD327" s="1" t="s">
        <v>86</v>
      </c>
      <c r="CE327" s="1" t="s">
        <v>86</v>
      </c>
    </row>
    <row r="328">
      <c r="A328" s="1">
        <v>326</v>
      </c>
      <c r="B328" s="1" t="s">
        <v>395</v>
      </c>
      <c r="C328" s="2">
        <f>=HYPERLINK("https://i.stonehdfile.com/stoneimage?s=a8c668f4-7885-44c0-a774-e9d3e2d0f113","Image")</f>
      </c>
      <c r="D328" s="2">
        <f>=HYPERLINK("https://dna.stonehdfile.com/hd/viewhd.html?d=dff848f2-d45f-4668-b47d-2ec6ee2323b2","View360")</f>
      </c>
      <c r="E328" s="2">
        <f>=HYPERLINK("https://i.stonehdfile.com/Certificate?s=a8c668f4-7885-44c0-a774-e9d3e2d0f113","GIA")</f>
      </c>
      <c r="F328" s="2">
        <f>=HYPERLINK("https://i.stonehdfile.com/DNAReport?s=a8c668f4-7885-44c0-a774-e9d3e2d0f113","DNA")</f>
      </c>
      <c r="G328" s="2">
        <f>=HYPERLINK("https://www.gia.edu/report-check?reportno=******2928","Verify")</f>
      </c>
      <c r="H328" s="1" t="s">
        <v>1790</v>
      </c>
      <c r="I328" s="1" t="s">
        <v>135</v>
      </c>
      <c r="J328" s="1">
        <v>1.5</v>
      </c>
      <c r="K328" s="1">
        <v>3</v>
      </c>
      <c r="L328" s="1">
        <v>9300</v>
      </c>
      <c r="M328" s="1">
        <v>3462</v>
      </c>
      <c r="N328" s="1">
        <v>5193</v>
      </c>
      <c r="O328" s="1">
        <v>-62.77</v>
      </c>
      <c r="P328" s="1">
        <v>0</v>
      </c>
      <c r="Q328" s="1" t="s">
        <v>86</v>
      </c>
      <c r="R328" s="1">
        <v>0</v>
      </c>
      <c r="S328" s="1" t="s">
        <v>86</v>
      </c>
      <c r="T328" s="1" t="s">
        <v>86</v>
      </c>
      <c r="U328" s="1" t="s">
        <v>87</v>
      </c>
      <c r="V328" s="1" t="s">
        <v>86</v>
      </c>
      <c r="W328" s="1" t="s">
        <v>169</v>
      </c>
      <c r="X328" s="1" t="s">
        <v>86</v>
      </c>
      <c r="Y328" s="1" t="s">
        <v>89</v>
      </c>
      <c r="Z328" s="1" t="s">
        <v>89</v>
      </c>
      <c r="AA328" s="1" t="s">
        <v>119</v>
      </c>
      <c r="AB328" s="1" t="s">
        <v>86</v>
      </c>
      <c r="AC328" s="1" t="s">
        <v>1791</v>
      </c>
      <c r="AD328" s="1">
        <v>70.5</v>
      </c>
      <c r="AE328" s="1">
        <v>64</v>
      </c>
      <c r="AF328" s="1" t="s">
        <v>91</v>
      </c>
      <c r="AG328" s="1">
        <v>2.8</v>
      </c>
      <c r="AH328" s="1">
        <v>35.6</v>
      </c>
      <c r="AI328" s="1" t="s">
        <v>86</v>
      </c>
      <c r="AJ328" s="1">
        <v>1.01</v>
      </c>
      <c r="AK328" s="1" t="s">
        <v>111</v>
      </c>
      <c r="AL328" s="1" t="s">
        <v>93</v>
      </c>
      <c r="AM328" s="1" t="s">
        <v>140</v>
      </c>
      <c r="AN328" s="1" t="s">
        <v>171</v>
      </c>
      <c r="AO328" s="1" t="s">
        <v>94</v>
      </c>
      <c r="AP328" s="1" t="s">
        <v>95</v>
      </c>
      <c r="AQ328" s="1">
        <v>13.1</v>
      </c>
      <c r="AR328" s="1">
        <v>52.8</v>
      </c>
      <c r="AS328" s="1">
        <v>35.2</v>
      </c>
      <c r="AT328" s="1" t="s">
        <v>96</v>
      </c>
      <c r="AU328" s="1" t="s">
        <v>86</v>
      </c>
      <c r="AV328" s="1" t="s">
        <v>86</v>
      </c>
      <c r="AW328" s="1" t="s">
        <v>86</v>
      </c>
      <c r="AX328" s="1" t="s">
        <v>86</v>
      </c>
      <c r="AY328" s="1" t="s">
        <v>86</v>
      </c>
      <c r="AZ328" s="1" t="s">
        <v>86</v>
      </c>
      <c r="BA328" s="1" t="s">
        <v>86</v>
      </c>
      <c r="BB328" s="1" t="s">
        <v>86</v>
      </c>
      <c r="BC328" s="1" t="s">
        <v>86</v>
      </c>
      <c r="BD328" s="1" t="s">
        <v>86</v>
      </c>
      <c r="BE328" s="1" t="s">
        <v>86</v>
      </c>
      <c r="BF328" s="1" t="s">
        <v>86</v>
      </c>
      <c r="BG328" s="1" t="s">
        <v>86</v>
      </c>
      <c r="BH328" s="1" t="s">
        <v>182</v>
      </c>
      <c r="BI328" s="1" t="s">
        <v>322</v>
      </c>
      <c r="BJ328" s="1" t="s">
        <v>87</v>
      </c>
      <c r="BK328" s="1">
        <v>0</v>
      </c>
      <c r="BL328" s="1">
        <v>0</v>
      </c>
      <c r="BM328" s="1" t="s">
        <v>398</v>
      </c>
      <c r="BN328" s="1" t="s">
        <v>1792</v>
      </c>
      <c r="BO328" s="1" t="s">
        <v>1277</v>
      </c>
      <c r="BP328" s="1" t="s">
        <v>86</v>
      </c>
      <c r="BQ328" s="1" t="s">
        <v>86</v>
      </c>
      <c r="BR328" s="1" t="s">
        <v>86</v>
      </c>
      <c r="BS328" s="1" t="s">
        <v>86</v>
      </c>
      <c r="BT328" s="1" t="s">
        <v>86</v>
      </c>
      <c r="BU328" s="1" t="s">
        <v>163</v>
      </c>
      <c r="BV328" s="1" t="s">
        <v>86</v>
      </c>
      <c r="BW328" s="1" t="s">
        <v>101</v>
      </c>
      <c r="BX328" s="1" t="s">
        <v>545</v>
      </c>
      <c r="BY328" s="1" t="s">
        <v>86</v>
      </c>
      <c r="BZ328" s="1" t="s">
        <v>1793</v>
      </c>
      <c r="CA328" s="1" t="s">
        <v>178</v>
      </c>
      <c r="CB328" s="1" t="s">
        <v>166</v>
      </c>
      <c r="CC328" s="1" t="s">
        <v>86</v>
      </c>
      <c r="CD328" s="1" t="s">
        <v>86</v>
      </c>
      <c r="CE328" s="1" t="s">
        <v>86</v>
      </c>
    </row>
    <row r="329">
      <c r="A329" s="1">
        <v>327</v>
      </c>
      <c r="B329" s="1" t="s">
        <v>395</v>
      </c>
      <c r="C329" s="2">
        <f>=HYPERLINK("https://i.stonehdfile.com/stoneimage?s=018c7f58-82df-45e9-8382-937073f92cd6","Image")</f>
      </c>
      <c r="D329" s="2">
        <f>=HYPERLINK("https://dna.stonehdfile.com/hd/viewhd.html?d=258b8782-f628-4f81-a574-a3205b050f8d","View360")</f>
      </c>
      <c r="E329" s="2">
        <f>=HYPERLINK("https://i.stonehdfile.com/Certificate?s=018c7f58-82df-45e9-8382-937073f92cd6","GIA")</f>
      </c>
      <c r="F329" s="2">
        <f>=HYPERLINK("https://i.stonehdfile.com/DNAReport?s=018c7f58-82df-45e9-8382-937073f92cd6","DNA")</f>
      </c>
      <c r="G329" s="2">
        <f>=HYPERLINK("https://www.gia.edu/report-check?reportno=******8248","Verify")</f>
      </c>
      <c r="H329" s="1" t="s">
        <v>1794</v>
      </c>
      <c r="I329" s="1" t="s">
        <v>135</v>
      </c>
      <c r="J329" s="1">
        <v>1.5</v>
      </c>
      <c r="K329" s="1">
        <v>8</v>
      </c>
      <c r="L329" s="1">
        <v>7400</v>
      </c>
      <c r="M329" s="1">
        <v>2478</v>
      </c>
      <c r="N329" s="1">
        <v>3717</v>
      </c>
      <c r="O329" s="1">
        <v>-66.51</v>
      </c>
      <c r="P329" s="1">
        <v>0</v>
      </c>
      <c r="Q329" s="1" t="s">
        <v>86</v>
      </c>
      <c r="R329" s="1">
        <v>0</v>
      </c>
      <c r="S329" s="1" t="s">
        <v>86</v>
      </c>
      <c r="T329" s="1" t="s">
        <v>86</v>
      </c>
      <c r="U329" s="1" t="s">
        <v>482</v>
      </c>
      <c r="V329" s="1" t="s">
        <v>86</v>
      </c>
      <c r="W329" s="1" t="s">
        <v>1515</v>
      </c>
      <c r="X329" s="1" t="s">
        <v>86</v>
      </c>
      <c r="Y329" s="1" t="s">
        <v>89</v>
      </c>
      <c r="Z329" s="1" t="s">
        <v>89</v>
      </c>
      <c r="AA329" s="1" t="s">
        <v>87</v>
      </c>
      <c r="AB329" s="1" t="s">
        <v>86</v>
      </c>
      <c r="AC329" s="1" t="s">
        <v>1795</v>
      </c>
      <c r="AD329" s="1">
        <v>71.5</v>
      </c>
      <c r="AE329" s="1">
        <v>60</v>
      </c>
      <c r="AF329" s="1" t="s">
        <v>91</v>
      </c>
      <c r="AG329" s="1">
        <v>3.7</v>
      </c>
      <c r="AH329" s="1">
        <v>36.5</v>
      </c>
      <c r="AI329" s="1" t="s">
        <v>86</v>
      </c>
      <c r="AJ329" s="1">
        <v>1.07</v>
      </c>
      <c r="AK329" s="1" t="s">
        <v>111</v>
      </c>
      <c r="AL329" s="1" t="s">
        <v>140</v>
      </c>
      <c r="AM329" s="1" t="s">
        <v>151</v>
      </c>
      <c r="AN329" s="1" t="s">
        <v>171</v>
      </c>
      <c r="AO329" s="1" t="s">
        <v>94</v>
      </c>
      <c r="AP329" s="1" t="s">
        <v>95</v>
      </c>
      <c r="AQ329" s="1">
        <v>14.9</v>
      </c>
      <c r="AR329" s="1">
        <v>52.1</v>
      </c>
      <c r="AS329" s="1">
        <v>35</v>
      </c>
      <c r="AT329" s="1" t="s">
        <v>96</v>
      </c>
      <c r="AU329" s="1" t="s">
        <v>141</v>
      </c>
      <c r="AV329" s="1" t="s">
        <v>86</v>
      </c>
      <c r="AW329" s="1" t="s">
        <v>86</v>
      </c>
      <c r="AX329" s="1" t="s">
        <v>86</v>
      </c>
      <c r="AY329" s="1" t="s">
        <v>86</v>
      </c>
      <c r="AZ329" s="1" t="s">
        <v>86</v>
      </c>
      <c r="BA329" s="1" t="s">
        <v>86</v>
      </c>
      <c r="BB329" s="1" t="s">
        <v>86</v>
      </c>
      <c r="BC329" s="1" t="s">
        <v>86</v>
      </c>
      <c r="BD329" s="1" t="s">
        <v>86</v>
      </c>
      <c r="BE329" s="1" t="s">
        <v>86</v>
      </c>
      <c r="BF329" s="1" t="s">
        <v>86</v>
      </c>
      <c r="BG329" s="1" t="s">
        <v>172</v>
      </c>
      <c r="BH329" s="1" t="s">
        <v>215</v>
      </c>
      <c r="BI329" s="1" t="s">
        <v>459</v>
      </c>
      <c r="BJ329" s="1" t="s">
        <v>87</v>
      </c>
      <c r="BK329" s="1">
        <v>0</v>
      </c>
      <c r="BL329" s="1">
        <v>0</v>
      </c>
      <c r="BM329" s="1" t="s">
        <v>398</v>
      </c>
      <c r="BN329" s="1" t="s">
        <v>1796</v>
      </c>
      <c r="BO329" s="1" t="s">
        <v>1797</v>
      </c>
      <c r="BP329" s="1" t="s">
        <v>86</v>
      </c>
      <c r="BQ329" s="1" t="s">
        <v>86</v>
      </c>
      <c r="BR329" s="1" t="s">
        <v>86</v>
      </c>
      <c r="BS329" s="1" t="s">
        <v>86</v>
      </c>
      <c r="BT329" s="1" t="s">
        <v>86</v>
      </c>
      <c r="BU329" s="1" t="s">
        <v>163</v>
      </c>
      <c r="BV329" s="1" t="s">
        <v>86</v>
      </c>
      <c r="BW329" s="1" t="s">
        <v>101</v>
      </c>
      <c r="BX329" s="1" t="s">
        <v>423</v>
      </c>
      <c r="BY329" s="1" t="s">
        <v>86</v>
      </c>
      <c r="BZ329" s="1" t="s">
        <v>1798</v>
      </c>
      <c r="CA329" s="1" t="s">
        <v>958</v>
      </c>
      <c r="CB329" s="1" t="s">
        <v>1789</v>
      </c>
      <c r="CC329" s="1" t="s">
        <v>86</v>
      </c>
      <c r="CD329" s="1" t="s">
        <v>86</v>
      </c>
      <c r="CE329" s="1" t="s">
        <v>86</v>
      </c>
    </row>
    <row r="330">
      <c r="A330" s="1">
        <v>328</v>
      </c>
      <c r="B330" s="1" t="s">
        <v>395</v>
      </c>
      <c r="C330" s="2">
        <f>=HYPERLINK("https://i.stonehdfile.com/stoneimage?s=b08c7f67-29c1-4f05-87ba-91670ffd4fbe","Image")</f>
      </c>
      <c r="D330" s="2">
        <f>=HYPERLINK("https://dna.stonehdfile.com/hd/viewhd.html?d=5535e1a5-a472-4a73-a51c-96c26af9d629","View360")</f>
      </c>
      <c r="E330" s="2">
        <f>=HYPERLINK("https://i.stonehdfile.com/Certificate?s=b08c7f67-29c1-4f05-87ba-91670ffd4fbe","GIA")</f>
      </c>
      <c r="F330" s="2">
        <f>=HYPERLINK("https://i.stonehdfile.com/DNAReport?s=b08c7f67-29c1-4f05-87ba-91670ffd4fbe","DNA")</f>
      </c>
      <c r="G330" s="2">
        <f>=HYPERLINK("https://www.gia.edu/report-check?reportno=******1268","Verify")</f>
      </c>
      <c r="H330" s="1" t="s">
        <v>1799</v>
      </c>
      <c r="I330" s="1" t="s">
        <v>135</v>
      </c>
      <c r="J330" s="1">
        <v>1.5</v>
      </c>
      <c r="K330" s="1">
        <v>5</v>
      </c>
      <c r="L330" s="1">
        <v>7400</v>
      </c>
      <c r="M330" s="1">
        <v>2646</v>
      </c>
      <c r="N330" s="1">
        <v>3969</v>
      </c>
      <c r="O330" s="1">
        <v>-64.24</v>
      </c>
      <c r="P330" s="1">
        <v>0</v>
      </c>
      <c r="Q330" s="1" t="s">
        <v>86</v>
      </c>
      <c r="R330" s="1">
        <v>0</v>
      </c>
      <c r="S330" s="1" t="s">
        <v>86</v>
      </c>
      <c r="T330" s="1" t="s">
        <v>86</v>
      </c>
      <c r="U330" s="1" t="s">
        <v>482</v>
      </c>
      <c r="V330" s="1" t="s">
        <v>86</v>
      </c>
      <c r="W330" s="1" t="s">
        <v>213</v>
      </c>
      <c r="X330" s="1" t="s">
        <v>86</v>
      </c>
      <c r="Y330" s="1" t="s">
        <v>89</v>
      </c>
      <c r="Z330" s="1" t="s">
        <v>138</v>
      </c>
      <c r="AA330" s="1" t="s">
        <v>119</v>
      </c>
      <c r="AB330" s="1" t="s">
        <v>86</v>
      </c>
      <c r="AC330" s="1" t="s">
        <v>1800</v>
      </c>
      <c r="AD330" s="1">
        <v>71.5</v>
      </c>
      <c r="AE330" s="1">
        <v>64</v>
      </c>
      <c r="AF330" s="1" t="s">
        <v>91</v>
      </c>
      <c r="AG330" s="1">
        <v>3.2</v>
      </c>
      <c r="AH330" s="1">
        <v>37</v>
      </c>
      <c r="AI330" s="1" t="s">
        <v>86</v>
      </c>
      <c r="AJ330" s="1">
        <v>1</v>
      </c>
      <c r="AK330" s="1" t="s">
        <v>111</v>
      </c>
      <c r="AL330" s="1" t="s">
        <v>93</v>
      </c>
      <c r="AM330" s="1" t="s">
        <v>151</v>
      </c>
      <c r="AN330" s="1" t="s">
        <v>171</v>
      </c>
      <c r="AO330" s="1" t="s">
        <v>208</v>
      </c>
      <c r="AP330" s="1" t="s">
        <v>95</v>
      </c>
      <c r="AQ330" s="1">
        <v>13.5</v>
      </c>
      <c r="AR330" s="1">
        <v>53.1</v>
      </c>
      <c r="AS330" s="1">
        <v>34.8</v>
      </c>
      <c r="AT330" s="1" t="s">
        <v>96</v>
      </c>
      <c r="AU330" s="1" t="s">
        <v>141</v>
      </c>
      <c r="AV330" s="1" t="s">
        <v>86</v>
      </c>
      <c r="AW330" s="1" t="s">
        <v>86</v>
      </c>
      <c r="AX330" s="1" t="s">
        <v>86</v>
      </c>
      <c r="AY330" s="1" t="s">
        <v>86</v>
      </c>
      <c r="AZ330" s="1" t="s">
        <v>86</v>
      </c>
      <c r="BA330" s="1" t="s">
        <v>112</v>
      </c>
      <c r="BB330" s="1" t="s">
        <v>86</v>
      </c>
      <c r="BC330" s="1" t="s">
        <v>86</v>
      </c>
      <c r="BD330" s="1" t="s">
        <v>86</v>
      </c>
      <c r="BE330" s="1" t="s">
        <v>86</v>
      </c>
      <c r="BF330" s="1" t="s">
        <v>86</v>
      </c>
      <c r="BG330" s="1" t="s">
        <v>86</v>
      </c>
      <c r="BH330" s="1" t="s">
        <v>97</v>
      </c>
      <c r="BI330" s="1" t="s">
        <v>199</v>
      </c>
      <c r="BJ330" s="1" t="s">
        <v>87</v>
      </c>
      <c r="BK330" s="1">
        <v>0</v>
      </c>
      <c r="BL330" s="1">
        <v>0</v>
      </c>
      <c r="BM330" s="1" t="s">
        <v>398</v>
      </c>
      <c r="BN330" s="1" t="s">
        <v>1801</v>
      </c>
      <c r="BO330" s="1" t="s">
        <v>1802</v>
      </c>
      <c r="BP330" s="1" t="s">
        <v>86</v>
      </c>
      <c r="BQ330" s="1" t="s">
        <v>86</v>
      </c>
      <c r="BR330" s="1" t="s">
        <v>86</v>
      </c>
      <c r="BS330" s="1" t="s">
        <v>86</v>
      </c>
      <c r="BT330" s="1" t="s">
        <v>86</v>
      </c>
      <c r="BU330" s="1" t="s">
        <v>163</v>
      </c>
      <c r="BV330" s="1" t="s">
        <v>86</v>
      </c>
      <c r="BW330" s="1" t="s">
        <v>101</v>
      </c>
      <c r="BX330" s="1" t="s">
        <v>401</v>
      </c>
      <c r="BY330" s="1" t="s">
        <v>86</v>
      </c>
      <c r="BZ330" s="1" t="s">
        <v>1803</v>
      </c>
      <c r="CA330" s="1" t="s">
        <v>1804</v>
      </c>
      <c r="CB330" s="1" t="s">
        <v>269</v>
      </c>
      <c r="CC330" s="1" t="s">
        <v>86</v>
      </c>
      <c r="CD330" s="1" t="s">
        <v>86</v>
      </c>
      <c r="CE330" s="1" t="s">
        <v>86</v>
      </c>
    </row>
    <row r="331">
      <c r="A331" s="1">
        <v>329</v>
      </c>
      <c r="B331" s="1" t="s">
        <v>395</v>
      </c>
      <c r="C331" s="2">
        <f>=HYPERLINK("https://i.stonehdfile.com/stoneimage?s=a6eeb160-3443-446c-94fc-c516d020e7da","Image")</f>
      </c>
      <c r="D331" s="2">
        <f>=HYPERLINK("https://dna.stonehdfile.com/hd/viewhd.html?d=4a0ad4b9-3963-4095-ab79-49e5dd840b9b","View360")</f>
      </c>
      <c r="E331" s="2">
        <f>=HYPERLINK("https://i.stonehdfile.com/Certificate?s=a6eeb160-3443-446c-94fc-c516d020e7da","GIA")</f>
      </c>
      <c r="F331" s="2">
        <f>=HYPERLINK("https://i.stonehdfile.com/DNAReport?s=a6eeb160-3443-446c-94fc-c516d020e7da","DNA")</f>
      </c>
      <c r="G331" s="2">
        <f>=HYPERLINK("https://www.gia.edu/report-check?reportno=******7228","Verify")</f>
      </c>
      <c r="H331" s="1" t="s">
        <v>1805</v>
      </c>
      <c r="I331" s="1" t="s">
        <v>135</v>
      </c>
      <c r="J331" s="1">
        <v>1.5</v>
      </c>
      <c r="K331" s="1">
        <v>7</v>
      </c>
      <c r="L331" s="1">
        <v>10100</v>
      </c>
      <c r="M331" s="1">
        <v>4187</v>
      </c>
      <c r="N331" s="1">
        <v>6280.5</v>
      </c>
      <c r="O331" s="1">
        <v>-58.54</v>
      </c>
      <c r="P331" s="1">
        <v>0</v>
      </c>
      <c r="Q331" s="1" t="s">
        <v>86</v>
      </c>
      <c r="R331" s="1">
        <v>0</v>
      </c>
      <c r="S331" s="1" t="s">
        <v>86</v>
      </c>
      <c r="T331" s="1" t="s">
        <v>86</v>
      </c>
      <c r="U331" s="1" t="s">
        <v>106</v>
      </c>
      <c r="V331" s="1" t="s">
        <v>86</v>
      </c>
      <c r="W331" s="1" t="s">
        <v>352</v>
      </c>
      <c r="X331" s="1" t="s">
        <v>86</v>
      </c>
      <c r="Y331" s="1" t="s">
        <v>89</v>
      </c>
      <c r="Z331" s="1" t="s">
        <v>138</v>
      </c>
      <c r="AA331" s="1" t="s">
        <v>119</v>
      </c>
      <c r="AB331" s="1" t="s">
        <v>86</v>
      </c>
      <c r="AC331" s="1" t="s">
        <v>1806</v>
      </c>
      <c r="AD331" s="1">
        <v>71.4</v>
      </c>
      <c r="AE331" s="1">
        <v>66</v>
      </c>
      <c r="AF331" s="1" t="s">
        <v>91</v>
      </c>
      <c r="AG331" s="1">
        <v>2.8</v>
      </c>
      <c r="AH331" s="1">
        <v>37.1</v>
      </c>
      <c r="AI331" s="1" t="s">
        <v>86</v>
      </c>
      <c r="AJ331" s="1">
        <v>1.08</v>
      </c>
      <c r="AK331" s="1" t="s">
        <v>111</v>
      </c>
      <c r="AL331" s="1" t="s">
        <v>93</v>
      </c>
      <c r="AM331" s="1" t="s">
        <v>128</v>
      </c>
      <c r="AN331" s="1" t="s">
        <v>171</v>
      </c>
      <c r="AO331" s="1" t="s">
        <v>94</v>
      </c>
      <c r="AP331" s="1" t="s">
        <v>95</v>
      </c>
      <c r="AQ331" s="1">
        <v>12.6</v>
      </c>
      <c r="AR331" s="1">
        <v>54.6</v>
      </c>
      <c r="AS331" s="1">
        <v>36</v>
      </c>
      <c r="AT331" s="1" t="s">
        <v>96</v>
      </c>
      <c r="AU331" s="1" t="s">
        <v>86</v>
      </c>
      <c r="AV331" s="1" t="s">
        <v>86</v>
      </c>
      <c r="AW331" s="1" t="s">
        <v>86</v>
      </c>
      <c r="AX331" s="1" t="s">
        <v>86</v>
      </c>
      <c r="AY331" s="1" t="s">
        <v>86</v>
      </c>
      <c r="AZ331" s="1" t="s">
        <v>86</v>
      </c>
      <c r="BA331" s="1" t="s">
        <v>86</v>
      </c>
      <c r="BB331" s="1" t="s">
        <v>86</v>
      </c>
      <c r="BC331" s="1" t="s">
        <v>86</v>
      </c>
      <c r="BD331" s="1" t="s">
        <v>86</v>
      </c>
      <c r="BE331" s="1" t="s">
        <v>86</v>
      </c>
      <c r="BF331" s="1" t="s">
        <v>86</v>
      </c>
      <c r="BG331" s="1" t="s">
        <v>86</v>
      </c>
      <c r="BH331" s="1" t="s">
        <v>182</v>
      </c>
      <c r="BI331" s="1" t="s">
        <v>322</v>
      </c>
      <c r="BJ331" s="1" t="s">
        <v>87</v>
      </c>
      <c r="BK331" s="1">
        <v>0</v>
      </c>
      <c r="BL331" s="1">
        <v>0</v>
      </c>
      <c r="BM331" s="1" t="s">
        <v>398</v>
      </c>
      <c r="BN331" s="1" t="s">
        <v>1807</v>
      </c>
      <c r="BO331" s="1" t="s">
        <v>529</v>
      </c>
      <c r="BP331" s="1" t="s">
        <v>86</v>
      </c>
      <c r="BQ331" s="1" t="s">
        <v>86</v>
      </c>
      <c r="BR331" s="1" t="s">
        <v>86</v>
      </c>
      <c r="BS331" s="1" t="s">
        <v>438</v>
      </c>
      <c r="BT331" s="1" t="s">
        <v>86</v>
      </c>
      <c r="BU331" s="1" t="s">
        <v>163</v>
      </c>
      <c r="BV331" s="1" t="s">
        <v>86</v>
      </c>
      <c r="BW331" s="1" t="s">
        <v>101</v>
      </c>
      <c r="BX331" s="1" t="s">
        <v>401</v>
      </c>
      <c r="BY331" s="1" t="s">
        <v>86</v>
      </c>
      <c r="BZ331" s="1" t="s">
        <v>1808</v>
      </c>
      <c r="CA331" s="1" t="s">
        <v>278</v>
      </c>
      <c r="CB331" s="1" t="s">
        <v>269</v>
      </c>
      <c r="CC331" s="1" t="s">
        <v>86</v>
      </c>
      <c r="CD331" s="1" t="s">
        <v>86</v>
      </c>
      <c r="CE331" s="1" t="s">
        <v>86</v>
      </c>
    </row>
    <row r="332">
      <c r="A332" s="1">
        <v>330</v>
      </c>
      <c r="B332" s="1" t="s">
        <v>395</v>
      </c>
      <c r="C332" s="2">
        <f>=HYPERLINK("https://i.stonehdfile.com/stoneimage?s=a38b683b-4e05-440f-91b0-7fff4e2cfee2","Image")</f>
      </c>
      <c r="D332" s="2">
        <f>=HYPERLINK("https://dna.stonehdfile.com/hd/viewhd.html?d=e88ba8a5-b426-466e-8ecc-dde1e509f5d4","View360")</f>
      </c>
      <c r="E332" s="2">
        <f>=HYPERLINK("https://i.stonehdfile.com/Certificate?s=a38b683b-4e05-440f-91b0-7fff4e2cfee2","GIA")</f>
      </c>
      <c r="F332" s="2">
        <f>=HYPERLINK("https://i.stonehdfile.com/DNAReport?s=a38b683b-4e05-440f-91b0-7fff4e2cfee2","DNA")</f>
      </c>
      <c r="G332" s="2">
        <f>=HYPERLINK("https://www.gia.edu/report-check?reportno=******1168","Verify")</f>
      </c>
      <c r="H332" s="1" t="s">
        <v>1809</v>
      </c>
      <c r="I332" s="1" t="s">
        <v>135</v>
      </c>
      <c r="J332" s="1">
        <v>1.5</v>
      </c>
      <c r="K332" s="1">
        <v>8</v>
      </c>
      <c r="L332" s="1">
        <v>10100</v>
      </c>
      <c r="M332" s="1">
        <v>3780</v>
      </c>
      <c r="N332" s="1">
        <v>5670</v>
      </c>
      <c r="O332" s="1">
        <v>-62.57</v>
      </c>
      <c r="P332" s="1">
        <v>0</v>
      </c>
      <c r="Q332" s="1" t="s">
        <v>86</v>
      </c>
      <c r="R332" s="1">
        <v>0</v>
      </c>
      <c r="S332" s="1" t="s">
        <v>86</v>
      </c>
      <c r="T332" s="1" t="s">
        <v>86</v>
      </c>
      <c r="U332" s="1" t="s">
        <v>106</v>
      </c>
      <c r="V332" s="1" t="s">
        <v>86</v>
      </c>
      <c r="W332" s="1" t="s">
        <v>223</v>
      </c>
      <c r="X332" s="1" t="s">
        <v>86</v>
      </c>
      <c r="Y332" s="1" t="s">
        <v>89</v>
      </c>
      <c r="Z332" s="1" t="s">
        <v>89</v>
      </c>
      <c r="AA332" s="1" t="s">
        <v>108</v>
      </c>
      <c r="AB332" s="1" t="s">
        <v>109</v>
      </c>
      <c r="AC332" s="1" t="s">
        <v>1810</v>
      </c>
      <c r="AD332" s="1">
        <v>70.8</v>
      </c>
      <c r="AE332" s="1">
        <v>62</v>
      </c>
      <c r="AF332" s="1" t="s">
        <v>91</v>
      </c>
      <c r="AG332" s="1">
        <v>3.8</v>
      </c>
      <c r="AH332" s="1">
        <v>36.9</v>
      </c>
      <c r="AI332" s="1" t="s">
        <v>86</v>
      </c>
      <c r="AJ332" s="1">
        <v>1</v>
      </c>
      <c r="AK332" s="1" t="s">
        <v>111</v>
      </c>
      <c r="AL332" s="1" t="s">
        <v>93</v>
      </c>
      <c r="AM332" s="1" t="s">
        <v>93</v>
      </c>
      <c r="AN332" s="1" t="s">
        <v>171</v>
      </c>
      <c r="AO332" s="1" t="s">
        <v>94</v>
      </c>
      <c r="AP332" s="1" t="s">
        <v>95</v>
      </c>
      <c r="AQ332" s="1">
        <v>14.4</v>
      </c>
      <c r="AR332" s="1">
        <v>51.6</v>
      </c>
      <c r="AS332" s="1">
        <v>35.4</v>
      </c>
      <c r="AT332" s="1" t="s">
        <v>96</v>
      </c>
      <c r="AU332" s="1" t="s">
        <v>86</v>
      </c>
      <c r="AV332" s="1" t="s">
        <v>86</v>
      </c>
      <c r="AW332" s="1" t="s">
        <v>86</v>
      </c>
      <c r="AX332" s="1" t="s">
        <v>86</v>
      </c>
      <c r="AY332" s="1" t="s">
        <v>86</v>
      </c>
      <c r="AZ332" s="1" t="s">
        <v>86</v>
      </c>
      <c r="BA332" s="1" t="s">
        <v>86</v>
      </c>
      <c r="BB332" s="1" t="s">
        <v>86</v>
      </c>
      <c r="BC332" s="1" t="s">
        <v>86</v>
      </c>
      <c r="BD332" s="1" t="s">
        <v>86</v>
      </c>
      <c r="BE332" s="1" t="s">
        <v>86</v>
      </c>
      <c r="BF332" s="1" t="s">
        <v>86</v>
      </c>
      <c r="BG332" s="1" t="s">
        <v>86</v>
      </c>
      <c r="BH332" s="1" t="s">
        <v>129</v>
      </c>
      <c r="BI332" s="1" t="s">
        <v>216</v>
      </c>
      <c r="BJ332" s="1" t="s">
        <v>87</v>
      </c>
      <c r="BK332" s="1">
        <v>0</v>
      </c>
      <c r="BL332" s="1">
        <v>0</v>
      </c>
      <c r="BM332" s="1" t="s">
        <v>398</v>
      </c>
      <c r="BN332" s="1" t="s">
        <v>1811</v>
      </c>
      <c r="BO332" s="1" t="s">
        <v>444</v>
      </c>
      <c r="BP332" s="1" t="s">
        <v>86</v>
      </c>
      <c r="BQ332" s="1" t="s">
        <v>86</v>
      </c>
      <c r="BR332" s="1" t="s">
        <v>86</v>
      </c>
      <c r="BS332" s="1" t="s">
        <v>86</v>
      </c>
      <c r="BT332" s="1" t="s">
        <v>86</v>
      </c>
      <c r="BU332" s="1" t="s">
        <v>163</v>
      </c>
      <c r="BV332" s="1" t="s">
        <v>86</v>
      </c>
      <c r="BW332" s="1" t="s">
        <v>101</v>
      </c>
      <c r="BX332" s="1" t="s">
        <v>439</v>
      </c>
      <c r="BY332" s="1" t="s">
        <v>86</v>
      </c>
      <c r="BZ332" s="1" t="s">
        <v>1812</v>
      </c>
      <c r="CA332" s="1" t="s">
        <v>606</v>
      </c>
      <c r="CB332" s="1" t="s">
        <v>86</v>
      </c>
      <c r="CC332" s="1" t="s">
        <v>86</v>
      </c>
      <c r="CD332" s="1" t="s">
        <v>86</v>
      </c>
      <c r="CE332" s="1" t="s">
        <v>86</v>
      </c>
    </row>
    <row r="333">
      <c r="A333" s="1">
        <v>331</v>
      </c>
      <c r="B333" s="1" t="s">
        <v>395</v>
      </c>
      <c r="C333" s="2">
        <f>=HYPERLINK("https://i.stonehdfile.com/stoneimage?s=4ac71a6a-4e0e-4785-8556-575986780aca","Image")</f>
      </c>
      <c r="D333" s="2">
        <f>=HYPERLINK("https://dna.stonehdfile.com/hd/viewhd.html?d=fef5da77-7c49-4518-91ac-861fcf681a84","View360")</f>
      </c>
      <c r="E333" s="2">
        <f>=HYPERLINK("https://i.stonehdfile.com/Certificate?s=4ac71a6a-4e0e-4785-8556-575986780aca","GIA")</f>
      </c>
      <c r="F333" s="2">
        <f>=HYPERLINK("https://i.stonehdfile.com/DNAReport?s=4ac71a6a-4e0e-4785-8556-575986780aca","DNA")</f>
      </c>
      <c r="G333" s="2">
        <f>=HYPERLINK("https://www.gia.edu/report-check?reportno=******2293","Verify")</f>
      </c>
      <c r="H333" s="1" t="s">
        <v>1813</v>
      </c>
      <c r="I333" s="1" t="s">
        <v>135</v>
      </c>
      <c r="J333" s="1">
        <v>1.51</v>
      </c>
      <c r="K333" s="1">
        <v>1</v>
      </c>
      <c r="L333" s="1">
        <v>7000</v>
      </c>
      <c r="M333" s="1">
        <v>2198</v>
      </c>
      <c r="N333" s="1">
        <v>3318.98</v>
      </c>
      <c r="O333" s="1">
        <v>-68.6</v>
      </c>
      <c r="P333" s="1">
        <v>0</v>
      </c>
      <c r="Q333" s="1" t="s">
        <v>86</v>
      </c>
      <c r="R333" s="1">
        <v>0</v>
      </c>
      <c r="S333" s="1" t="s">
        <v>86</v>
      </c>
      <c r="T333" s="1" t="s">
        <v>86</v>
      </c>
      <c r="U333" s="1" t="s">
        <v>106</v>
      </c>
      <c r="V333" s="1" t="s">
        <v>86</v>
      </c>
      <c r="W333" s="1" t="s">
        <v>213</v>
      </c>
      <c r="X333" s="1" t="s">
        <v>86</v>
      </c>
      <c r="Y333" s="1" t="s">
        <v>89</v>
      </c>
      <c r="Z333" s="1" t="s">
        <v>89</v>
      </c>
      <c r="AA333" s="1" t="s">
        <v>87</v>
      </c>
      <c r="AB333" s="1" t="s">
        <v>86</v>
      </c>
      <c r="AC333" s="1" t="s">
        <v>1814</v>
      </c>
      <c r="AD333" s="1">
        <v>68.4</v>
      </c>
      <c r="AE333" s="1">
        <v>63</v>
      </c>
      <c r="AF333" s="1" t="s">
        <v>91</v>
      </c>
      <c r="AG333" s="1">
        <v>1.6</v>
      </c>
      <c r="AH333" s="1">
        <v>34.3</v>
      </c>
      <c r="AI333" s="1" t="s">
        <v>86</v>
      </c>
      <c r="AJ333" s="1">
        <v>1.09</v>
      </c>
      <c r="AK333" s="1" t="s">
        <v>111</v>
      </c>
      <c r="AL333" s="1" t="s">
        <v>128</v>
      </c>
      <c r="AM333" s="1" t="s">
        <v>151</v>
      </c>
      <c r="AN333" s="1" t="s">
        <v>168</v>
      </c>
      <c r="AO333" s="1" t="s">
        <v>208</v>
      </c>
      <c r="AP333" s="1" t="s">
        <v>95</v>
      </c>
      <c r="AQ333" s="1">
        <v>12.6</v>
      </c>
      <c r="AR333" s="1">
        <v>52.5</v>
      </c>
      <c r="AS333" s="1">
        <v>36</v>
      </c>
      <c r="AT333" s="1" t="s">
        <v>96</v>
      </c>
      <c r="AU333" s="1" t="s">
        <v>86</v>
      </c>
      <c r="AV333" s="1" t="s">
        <v>86</v>
      </c>
      <c r="AW333" s="1" t="s">
        <v>141</v>
      </c>
      <c r="AX333" s="1" t="s">
        <v>86</v>
      </c>
      <c r="AY333" s="1" t="s">
        <v>86</v>
      </c>
      <c r="AZ333" s="1" t="s">
        <v>112</v>
      </c>
      <c r="BA333" s="1" t="s">
        <v>86</v>
      </c>
      <c r="BB333" s="1" t="s">
        <v>86</v>
      </c>
      <c r="BC333" s="1" t="s">
        <v>86</v>
      </c>
      <c r="BD333" s="1" t="s">
        <v>86</v>
      </c>
      <c r="BE333" s="1" t="s">
        <v>86</v>
      </c>
      <c r="BF333" s="1" t="s">
        <v>86</v>
      </c>
      <c r="BG333" s="1" t="s">
        <v>86</v>
      </c>
      <c r="BH333" s="1" t="s">
        <v>264</v>
      </c>
      <c r="BI333" s="1" t="s">
        <v>346</v>
      </c>
      <c r="BJ333" s="1" t="s">
        <v>87</v>
      </c>
      <c r="BK333" s="1">
        <v>0</v>
      </c>
      <c r="BL333" s="1">
        <v>0</v>
      </c>
      <c r="BM333" s="1" t="s">
        <v>86</v>
      </c>
      <c r="BN333" s="1" t="s">
        <v>1815</v>
      </c>
      <c r="BO333" s="1" t="s">
        <v>1816</v>
      </c>
      <c r="BP333" s="1" t="s">
        <v>86</v>
      </c>
      <c r="BQ333" s="1" t="s">
        <v>86</v>
      </c>
      <c r="BR333" s="1" t="s">
        <v>86</v>
      </c>
      <c r="BS333" s="1" t="s">
        <v>86</v>
      </c>
      <c r="BT333" s="1" t="s">
        <v>86</v>
      </c>
      <c r="BU333" s="1" t="s">
        <v>163</v>
      </c>
      <c r="BV333" s="1" t="s">
        <v>86</v>
      </c>
      <c r="BW333" s="1" t="s">
        <v>101</v>
      </c>
      <c r="BX333" s="1" t="s">
        <v>401</v>
      </c>
      <c r="BY333" s="1" t="s">
        <v>86</v>
      </c>
      <c r="BZ333" s="1" t="s">
        <v>1817</v>
      </c>
      <c r="CA333" s="1" t="s">
        <v>810</v>
      </c>
      <c r="CB333" s="1" t="s">
        <v>221</v>
      </c>
      <c r="CC333" s="1" t="s">
        <v>86</v>
      </c>
      <c r="CD333" s="1" t="s">
        <v>86</v>
      </c>
      <c r="CE333" s="1" t="s">
        <v>86</v>
      </c>
    </row>
    <row r="334">
      <c r="A334" s="1">
        <v>332</v>
      </c>
      <c r="B334" s="1" t="s">
        <v>395</v>
      </c>
      <c r="C334" s="2">
        <f>=HYPERLINK("https://i.stonehdfile.com/stoneimage?s=064287f9-7712-4f84-8a08-2fa4e42ec0ad","Image")</f>
      </c>
      <c r="D334" s="2">
        <f>=HYPERLINK("https://dna.stonehdfile.com/hd/viewhd.html?d=bc4f6269-295b-456d-9ba9-12a4d3480bed","View360")</f>
      </c>
      <c r="E334" s="2">
        <f>=HYPERLINK("https://i.stonehdfile.com/Certificate?s=064287f9-7712-4f84-8a08-2fa4e42ec0ad","GIA")</f>
      </c>
      <c r="F334" s="2">
        <f>=HYPERLINK("https://i.stonehdfile.com/DNAReport?s=064287f9-7712-4f84-8a08-2fa4e42ec0ad","DNA")</f>
      </c>
      <c r="G334" s="2">
        <f>=HYPERLINK("https://www.gia.edu/report-check?reportno=******5236","Verify")</f>
      </c>
      <c r="H334" s="1" t="s">
        <v>1818</v>
      </c>
      <c r="I334" s="1" t="s">
        <v>135</v>
      </c>
      <c r="J334" s="1">
        <v>1.53</v>
      </c>
      <c r="K334" s="1">
        <v>0</v>
      </c>
      <c r="L334" s="1">
        <v>9900</v>
      </c>
      <c r="M334" s="1">
        <v>4922</v>
      </c>
      <c r="N334" s="1">
        <v>7530.66</v>
      </c>
      <c r="O334" s="1">
        <v>-50.28</v>
      </c>
      <c r="P334" s="1">
        <v>0</v>
      </c>
      <c r="Q334" s="1" t="s">
        <v>86</v>
      </c>
      <c r="R334" s="1">
        <v>0</v>
      </c>
      <c r="S334" s="1" t="s">
        <v>86</v>
      </c>
      <c r="T334" s="1" t="s">
        <v>86</v>
      </c>
      <c r="U334" s="1" t="s">
        <v>271</v>
      </c>
      <c r="V334" s="1" t="s">
        <v>86</v>
      </c>
      <c r="W334" s="1" t="s">
        <v>474</v>
      </c>
      <c r="X334" s="1" t="s">
        <v>86</v>
      </c>
      <c r="Y334" s="1" t="s">
        <v>89</v>
      </c>
      <c r="Z334" s="1" t="s">
        <v>89</v>
      </c>
      <c r="AA334" s="1" t="s">
        <v>119</v>
      </c>
      <c r="AB334" s="1" t="s">
        <v>86</v>
      </c>
      <c r="AC334" s="1" t="s">
        <v>1819</v>
      </c>
      <c r="AD334" s="1">
        <v>69.1</v>
      </c>
      <c r="AE334" s="1">
        <v>60</v>
      </c>
      <c r="AF334" s="1" t="s">
        <v>91</v>
      </c>
      <c r="AG334" s="1">
        <v>3.9</v>
      </c>
      <c r="AH334" s="1">
        <v>36</v>
      </c>
      <c r="AI334" s="1" t="s">
        <v>86</v>
      </c>
      <c r="AJ334" s="1">
        <v>1.06</v>
      </c>
      <c r="AK334" s="1" t="s">
        <v>190</v>
      </c>
      <c r="AL334" s="1" t="s">
        <v>93</v>
      </c>
      <c r="AM334" s="1" t="s">
        <v>93</v>
      </c>
      <c r="AN334" s="1" t="s">
        <v>86</v>
      </c>
      <c r="AO334" s="1" t="s">
        <v>94</v>
      </c>
      <c r="AP334" s="1" t="s">
        <v>95</v>
      </c>
      <c r="AQ334" s="1">
        <v>14.7</v>
      </c>
      <c r="AR334" s="1">
        <v>50.2</v>
      </c>
      <c r="AS334" s="1">
        <v>36.2</v>
      </c>
      <c r="AT334" s="1" t="s">
        <v>96</v>
      </c>
      <c r="AU334" s="1" t="s">
        <v>86</v>
      </c>
      <c r="AV334" s="1" t="s">
        <v>86</v>
      </c>
      <c r="AW334" s="1" t="s">
        <v>86</v>
      </c>
      <c r="AX334" s="1" t="s">
        <v>86</v>
      </c>
      <c r="AY334" s="1" t="s">
        <v>86</v>
      </c>
      <c r="AZ334" s="1" t="s">
        <v>86</v>
      </c>
      <c r="BA334" s="1" t="s">
        <v>86</v>
      </c>
      <c r="BB334" s="1" t="s">
        <v>86</v>
      </c>
      <c r="BC334" s="1" t="s">
        <v>86</v>
      </c>
      <c r="BD334" s="1" t="s">
        <v>86</v>
      </c>
      <c r="BE334" s="1" t="s">
        <v>86</v>
      </c>
      <c r="BF334" s="1" t="s">
        <v>86</v>
      </c>
      <c r="BG334" s="1" t="s">
        <v>86</v>
      </c>
      <c r="BH334" s="1" t="s">
        <v>215</v>
      </c>
      <c r="BI334" s="1" t="s">
        <v>562</v>
      </c>
      <c r="BJ334" s="1" t="s">
        <v>87</v>
      </c>
      <c r="BK334" s="1">
        <v>0</v>
      </c>
      <c r="BL334" s="1">
        <v>0</v>
      </c>
      <c r="BM334" s="1" t="s">
        <v>398</v>
      </c>
      <c r="BN334" s="1" t="s">
        <v>1820</v>
      </c>
      <c r="BO334" s="1" t="s">
        <v>348</v>
      </c>
      <c r="BP334" s="1" t="s">
        <v>86</v>
      </c>
      <c r="BQ334" s="1" t="s">
        <v>86</v>
      </c>
      <c r="BR334" s="1" t="s">
        <v>86</v>
      </c>
      <c r="BS334" s="1" t="s">
        <v>86</v>
      </c>
      <c r="BT334" s="1" t="s">
        <v>86</v>
      </c>
      <c r="BU334" s="1" t="s">
        <v>163</v>
      </c>
      <c r="BV334" s="1" t="s">
        <v>86</v>
      </c>
      <c r="BW334" s="1" t="s">
        <v>101</v>
      </c>
      <c r="BX334" s="1" t="s">
        <v>414</v>
      </c>
      <c r="BY334" s="1" t="s">
        <v>86</v>
      </c>
      <c r="BZ334" s="1" t="s">
        <v>1821</v>
      </c>
      <c r="CA334" s="1" t="s">
        <v>480</v>
      </c>
      <c r="CB334" s="1" t="s">
        <v>86</v>
      </c>
      <c r="CC334" s="1" t="s">
        <v>86</v>
      </c>
      <c r="CD334" s="1" t="s">
        <v>86</v>
      </c>
      <c r="CE334" s="1" t="s">
        <v>86</v>
      </c>
    </row>
    <row r="335">
      <c r="A335" s="1">
        <v>333</v>
      </c>
      <c r="B335" s="1" t="s">
        <v>395</v>
      </c>
      <c r="C335" s="2">
        <f>=HYPERLINK("https://i.stonehdfile.com/stoneimage?s=f024c671-c385-40cc-9911-21fe6bb3850c","Image")</f>
      </c>
      <c r="D335" s="2">
        <f>=HYPERLINK("https://dna.stonehdfile.com/hd/viewhd.html?d=f359f442-59fd-4159-9a4f-574479f8bf47","View360")</f>
      </c>
      <c r="E335" s="2">
        <f>=HYPERLINK("https://i.stonehdfile.com/Certificate?s=f024c671-c385-40cc-9911-21fe6bb3850c","GIA")</f>
      </c>
      <c r="F335" s="2">
        <f>=HYPERLINK("https://i.stonehdfile.com/DNAReport?s=f024c671-c385-40cc-9911-21fe6bb3850c","DNA")</f>
      </c>
      <c r="G335" s="2">
        <f>=HYPERLINK("https://www.gia.edu/report-check?reportno=******9375","Verify")</f>
      </c>
      <c r="H335" s="1" t="s">
        <v>1822</v>
      </c>
      <c r="I335" s="1" t="s">
        <v>135</v>
      </c>
      <c r="J335" s="1">
        <v>1.5</v>
      </c>
      <c r="K335" s="1">
        <v>3</v>
      </c>
      <c r="L335" s="1">
        <v>8800</v>
      </c>
      <c r="M335" s="1">
        <v>4197</v>
      </c>
      <c r="N335" s="1">
        <v>6295.5</v>
      </c>
      <c r="O335" s="1">
        <v>-52.31</v>
      </c>
      <c r="P335" s="1">
        <v>0</v>
      </c>
      <c r="Q335" s="1" t="s">
        <v>86</v>
      </c>
      <c r="R335" s="1">
        <v>0</v>
      </c>
      <c r="S335" s="1" t="s">
        <v>86</v>
      </c>
      <c r="T335" s="1" t="s">
        <v>86</v>
      </c>
      <c r="U335" s="1" t="s">
        <v>271</v>
      </c>
      <c r="V335" s="1" t="s">
        <v>86</v>
      </c>
      <c r="W335" s="1" t="s">
        <v>352</v>
      </c>
      <c r="X335" s="1" t="s">
        <v>86</v>
      </c>
      <c r="Y335" s="1" t="s">
        <v>89</v>
      </c>
      <c r="Z335" s="1" t="s">
        <v>138</v>
      </c>
      <c r="AA335" s="1" t="s">
        <v>119</v>
      </c>
      <c r="AB335" s="1" t="s">
        <v>86</v>
      </c>
      <c r="AC335" s="1" t="s">
        <v>1823</v>
      </c>
      <c r="AD335" s="1">
        <v>71.5</v>
      </c>
      <c r="AE335" s="1">
        <v>66</v>
      </c>
      <c r="AF335" s="1" t="s">
        <v>91</v>
      </c>
      <c r="AG335" s="1">
        <v>4.8</v>
      </c>
      <c r="AH335" s="1">
        <v>36.4</v>
      </c>
      <c r="AI335" s="1" t="s">
        <v>86</v>
      </c>
      <c r="AJ335" s="1">
        <v>1.01</v>
      </c>
      <c r="AK335" s="1" t="s">
        <v>190</v>
      </c>
      <c r="AL335" s="1" t="s">
        <v>128</v>
      </c>
      <c r="AM335" s="1" t="s">
        <v>140</v>
      </c>
      <c r="AN335" s="1" t="s">
        <v>307</v>
      </c>
      <c r="AO335" s="1" t="s">
        <v>94</v>
      </c>
      <c r="AP335" s="1" t="s">
        <v>95</v>
      </c>
      <c r="AQ335" s="1">
        <v>12.6</v>
      </c>
      <c r="AR335" s="1">
        <v>53.2</v>
      </c>
      <c r="AS335" s="1">
        <v>35.7</v>
      </c>
      <c r="AT335" s="1" t="s">
        <v>96</v>
      </c>
      <c r="AU335" s="1" t="s">
        <v>86</v>
      </c>
      <c r="AV335" s="1" t="s">
        <v>86</v>
      </c>
      <c r="AW335" s="1" t="s">
        <v>86</v>
      </c>
      <c r="AX335" s="1" t="s">
        <v>86</v>
      </c>
      <c r="AY335" s="1" t="s">
        <v>86</v>
      </c>
      <c r="AZ335" s="1" t="s">
        <v>86</v>
      </c>
      <c r="BA335" s="1" t="s">
        <v>86</v>
      </c>
      <c r="BB335" s="1" t="s">
        <v>86</v>
      </c>
      <c r="BC335" s="1" t="s">
        <v>86</v>
      </c>
      <c r="BD335" s="1" t="s">
        <v>86</v>
      </c>
      <c r="BE335" s="1" t="s">
        <v>86</v>
      </c>
      <c r="BF335" s="1" t="s">
        <v>86</v>
      </c>
      <c r="BG335" s="1" t="s">
        <v>86</v>
      </c>
      <c r="BH335" s="1" t="s">
        <v>129</v>
      </c>
      <c r="BI335" s="1" t="s">
        <v>587</v>
      </c>
      <c r="BJ335" s="1" t="s">
        <v>87</v>
      </c>
      <c r="BK335" s="1">
        <v>0</v>
      </c>
      <c r="BL335" s="1">
        <v>0</v>
      </c>
      <c r="BM335" s="1" t="s">
        <v>398</v>
      </c>
      <c r="BN335" s="1" t="s">
        <v>1824</v>
      </c>
      <c r="BO335" s="1" t="s">
        <v>705</v>
      </c>
      <c r="BP335" s="1" t="s">
        <v>86</v>
      </c>
      <c r="BQ335" s="1" t="s">
        <v>86</v>
      </c>
      <c r="BR335" s="1" t="s">
        <v>86</v>
      </c>
      <c r="BS335" s="1" t="s">
        <v>86</v>
      </c>
      <c r="BT335" s="1" t="s">
        <v>86</v>
      </c>
      <c r="BU335" s="1" t="s">
        <v>163</v>
      </c>
      <c r="BV335" s="1" t="s">
        <v>86</v>
      </c>
      <c r="BW335" s="1" t="s">
        <v>101</v>
      </c>
      <c r="BX335" s="1" t="s">
        <v>401</v>
      </c>
      <c r="BY335" s="1" t="s">
        <v>86</v>
      </c>
      <c r="BZ335" s="1" t="s">
        <v>1825</v>
      </c>
      <c r="CA335" s="1" t="s">
        <v>297</v>
      </c>
      <c r="CB335" s="1" t="s">
        <v>166</v>
      </c>
      <c r="CC335" s="1" t="s">
        <v>86</v>
      </c>
      <c r="CD335" s="1" t="s">
        <v>86</v>
      </c>
      <c r="CE335" s="1" t="s">
        <v>86</v>
      </c>
    </row>
    <row r="336">
      <c r="A336" s="1">
        <v>334</v>
      </c>
      <c r="B336" s="1" t="s">
        <v>395</v>
      </c>
      <c r="C336" s="2">
        <f>=HYPERLINK("https://i.stonehdfile.com/stoneimage?s=0c1d81ae-d7e9-4011-8d42-4507ec9bdc25","Image")</f>
      </c>
      <c r="D336" s="2">
        <f>=HYPERLINK("https://dna.stonehdfile.com/hd/viewhd.html?d=84cc80f9-e7f9-44c0-aa9b-321a90114383","View360")</f>
      </c>
      <c r="E336" s="2">
        <f>=HYPERLINK("https://i.stonehdfile.com/Certificate?s=0c1d81ae-d7e9-4011-8d42-4507ec9bdc25","GIA")</f>
      </c>
      <c r="F336" s="2">
        <f>=HYPERLINK("https://i.stonehdfile.com/DNAReport?s=0c1d81ae-d7e9-4011-8d42-4507ec9bdc25","DNA")</f>
      </c>
      <c r="G336" s="2">
        <f>=HYPERLINK("https://www.gia.edu/report-check?reportno=******9165","Verify")</f>
      </c>
      <c r="H336" s="1" t="s">
        <v>1826</v>
      </c>
      <c r="I336" s="1" t="s">
        <v>135</v>
      </c>
      <c r="J336" s="1">
        <v>1.5</v>
      </c>
      <c r="K336" s="1">
        <v>8</v>
      </c>
      <c r="L336" s="1">
        <v>8800</v>
      </c>
      <c r="M336" s="1">
        <v>3943</v>
      </c>
      <c r="N336" s="1">
        <v>5914.5</v>
      </c>
      <c r="O336" s="1">
        <v>-55.19</v>
      </c>
      <c r="P336" s="1">
        <v>0</v>
      </c>
      <c r="Q336" s="1" t="s">
        <v>86</v>
      </c>
      <c r="R336" s="1">
        <v>0</v>
      </c>
      <c r="S336" s="1" t="s">
        <v>86</v>
      </c>
      <c r="T336" s="1" t="s">
        <v>86</v>
      </c>
      <c r="U336" s="1" t="s">
        <v>271</v>
      </c>
      <c r="V336" s="1" t="s">
        <v>86</v>
      </c>
      <c r="W336" s="1" t="s">
        <v>352</v>
      </c>
      <c r="X336" s="1" t="s">
        <v>86</v>
      </c>
      <c r="Y336" s="1" t="s">
        <v>89</v>
      </c>
      <c r="Z336" s="1" t="s">
        <v>138</v>
      </c>
      <c r="AA336" s="1" t="s">
        <v>119</v>
      </c>
      <c r="AB336" s="1" t="s">
        <v>86</v>
      </c>
      <c r="AC336" s="1" t="s">
        <v>1827</v>
      </c>
      <c r="AD336" s="1">
        <v>70.6</v>
      </c>
      <c r="AE336" s="1">
        <v>62</v>
      </c>
      <c r="AF336" s="1" t="s">
        <v>91</v>
      </c>
      <c r="AG336" s="1">
        <v>2.4</v>
      </c>
      <c r="AH336" s="1">
        <v>37.7</v>
      </c>
      <c r="AI336" s="1" t="s">
        <v>86</v>
      </c>
      <c r="AJ336" s="1">
        <v>1.08</v>
      </c>
      <c r="AK336" s="1" t="s">
        <v>190</v>
      </c>
      <c r="AL336" s="1" t="s">
        <v>93</v>
      </c>
      <c r="AM336" s="1" t="s">
        <v>93</v>
      </c>
      <c r="AN336" s="1" t="s">
        <v>307</v>
      </c>
      <c r="AO336" s="1" t="s">
        <v>94</v>
      </c>
      <c r="AP336" s="1" t="s">
        <v>95</v>
      </c>
      <c r="AQ336" s="1">
        <v>14.8</v>
      </c>
      <c r="AR336" s="1">
        <v>53.4</v>
      </c>
      <c r="AS336" s="1">
        <v>34.6</v>
      </c>
      <c r="AT336" s="1" t="s">
        <v>96</v>
      </c>
      <c r="AU336" s="1" t="s">
        <v>86</v>
      </c>
      <c r="AV336" s="1" t="s">
        <v>86</v>
      </c>
      <c r="AW336" s="1" t="s">
        <v>86</v>
      </c>
      <c r="AX336" s="1" t="s">
        <v>86</v>
      </c>
      <c r="AY336" s="1" t="s">
        <v>86</v>
      </c>
      <c r="AZ336" s="1" t="s">
        <v>86</v>
      </c>
      <c r="BA336" s="1" t="s">
        <v>86</v>
      </c>
      <c r="BB336" s="1" t="s">
        <v>86</v>
      </c>
      <c r="BC336" s="1" t="s">
        <v>86</v>
      </c>
      <c r="BD336" s="1" t="s">
        <v>86</v>
      </c>
      <c r="BE336" s="1" t="s">
        <v>86</v>
      </c>
      <c r="BF336" s="1" t="s">
        <v>86</v>
      </c>
      <c r="BG336" s="1" t="s">
        <v>86</v>
      </c>
      <c r="BH336" s="1" t="s">
        <v>142</v>
      </c>
      <c r="BI336" s="1" t="s">
        <v>354</v>
      </c>
      <c r="BJ336" s="1" t="s">
        <v>87</v>
      </c>
      <c r="BK336" s="1">
        <v>0</v>
      </c>
      <c r="BL336" s="1">
        <v>0</v>
      </c>
      <c r="BM336" s="1" t="s">
        <v>398</v>
      </c>
      <c r="BN336" s="1" t="s">
        <v>1828</v>
      </c>
      <c r="BO336" s="1" t="s">
        <v>185</v>
      </c>
      <c r="BP336" s="1" t="s">
        <v>86</v>
      </c>
      <c r="BQ336" s="1" t="s">
        <v>86</v>
      </c>
      <c r="BR336" s="1" t="s">
        <v>86</v>
      </c>
      <c r="BS336" s="1" t="s">
        <v>86</v>
      </c>
      <c r="BT336" s="1" t="s">
        <v>86</v>
      </c>
      <c r="BU336" s="1" t="s">
        <v>163</v>
      </c>
      <c r="BV336" s="1" t="s">
        <v>86</v>
      </c>
      <c r="BW336" s="1" t="s">
        <v>101</v>
      </c>
      <c r="BX336" s="1" t="s">
        <v>401</v>
      </c>
      <c r="BY336" s="1" t="s">
        <v>86</v>
      </c>
      <c r="BZ336" s="1" t="s">
        <v>1829</v>
      </c>
      <c r="CA336" s="1" t="s">
        <v>1830</v>
      </c>
      <c r="CB336" s="1" t="s">
        <v>86</v>
      </c>
      <c r="CC336" s="1" t="s">
        <v>86</v>
      </c>
      <c r="CD336" s="1" t="s">
        <v>86</v>
      </c>
      <c r="CE336" s="1" t="s">
        <v>86</v>
      </c>
    </row>
    <row r="337">
      <c r="A337" s="1">
        <v>335</v>
      </c>
      <c r="B337" s="1" t="s">
        <v>395</v>
      </c>
      <c r="C337" s="2">
        <f>=HYPERLINK("https://i.stonehdfile.com/stoneimage?s=bb36ea6e-2427-4fd1-b012-aa735aee9a26","Image")</f>
      </c>
      <c r="D337" s="2">
        <f>=HYPERLINK("https://dna.stonehdfile.com/hd/viewhd.html?d=38200bd6-d29e-4c72-beec-63edb707554c","View360")</f>
      </c>
      <c r="E337" s="2">
        <f>=HYPERLINK("https://i.stonehdfile.com/Certificate?s=bb36ea6e-2427-4fd1-b012-aa735aee9a26","GIA")</f>
      </c>
      <c r="F337" s="2">
        <f>=HYPERLINK("https://i.stonehdfile.com/DNAReport?s=bb36ea6e-2427-4fd1-b012-aa735aee9a26","DNA")</f>
      </c>
      <c r="G337" s="2">
        <f>=HYPERLINK("https://www.gia.edu/report-check?reportno=******7926","Verify")</f>
      </c>
      <c r="H337" s="1" t="s">
        <v>1831</v>
      </c>
      <c r="I337" s="1" t="s">
        <v>135</v>
      </c>
      <c r="J337" s="1">
        <v>1.5</v>
      </c>
      <c r="K337" s="1">
        <v>6</v>
      </c>
      <c r="L337" s="1">
        <v>8000</v>
      </c>
      <c r="M337" s="1">
        <v>2889</v>
      </c>
      <c r="N337" s="1">
        <v>4333.5</v>
      </c>
      <c r="O337" s="1">
        <v>-63.89</v>
      </c>
      <c r="P337" s="1">
        <v>0</v>
      </c>
      <c r="Q337" s="1" t="s">
        <v>86</v>
      </c>
      <c r="R337" s="1">
        <v>0</v>
      </c>
      <c r="S337" s="1" t="s">
        <v>86</v>
      </c>
      <c r="T337" s="1" t="s">
        <v>86</v>
      </c>
      <c r="U337" s="1" t="s">
        <v>375</v>
      </c>
      <c r="V337" s="1" t="s">
        <v>86</v>
      </c>
      <c r="W337" s="1" t="s">
        <v>137</v>
      </c>
      <c r="X337" s="1" t="s">
        <v>86</v>
      </c>
      <c r="Y337" s="1" t="s">
        <v>89</v>
      </c>
      <c r="Z337" s="1" t="s">
        <v>89</v>
      </c>
      <c r="AA337" s="1" t="s">
        <v>119</v>
      </c>
      <c r="AB337" s="1" t="s">
        <v>86</v>
      </c>
      <c r="AC337" s="1" t="s">
        <v>1832</v>
      </c>
      <c r="AD337" s="1">
        <v>71.3</v>
      </c>
      <c r="AE337" s="1">
        <v>59</v>
      </c>
      <c r="AF337" s="1" t="s">
        <v>91</v>
      </c>
      <c r="AG337" s="1">
        <v>3.4</v>
      </c>
      <c r="AH337" s="1">
        <v>36.1</v>
      </c>
      <c r="AI337" s="1" t="s">
        <v>86</v>
      </c>
      <c r="AJ337" s="1">
        <v>1</v>
      </c>
      <c r="AK337" s="1" t="s">
        <v>198</v>
      </c>
      <c r="AL337" s="1" t="s">
        <v>140</v>
      </c>
      <c r="AM337" s="1" t="s">
        <v>93</v>
      </c>
      <c r="AN337" s="1" t="s">
        <v>168</v>
      </c>
      <c r="AO337" s="1" t="s">
        <v>208</v>
      </c>
      <c r="AP337" s="1" t="s">
        <v>95</v>
      </c>
      <c r="AQ337" s="1">
        <v>15</v>
      </c>
      <c r="AR337" s="1">
        <v>52</v>
      </c>
      <c r="AS337" s="1">
        <v>35.3</v>
      </c>
      <c r="AT337" s="1" t="s">
        <v>96</v>
      </c>
      <c r="AU337" s="1" t="s">
        <v>86</v>
      </c>
      <c r="AV337" s="1" t="s">
        <v>86</v>
      </c>
      <c r="AW337" s="1" t="s">
        <v>86</v>
      </c>
      <c r="AX337" s="1" t="s">
        <v>86</v>
      </c>
      <c r="AY337" s="1" t="s">
        <v>86</v>
      </c>
      <c r="AZ337" s="1" t="s">
        <v>86</v>
      </c>
      <c r="BA337" s="1" t="s">
        <v>86</v>
      </c>
      <c r="BB337" s="1" t="s">
        <v>86</v>
      </c>
      <c r="BC337" s="1" t="s">
        <v>86</v>
      </c>
      <c r="BD337" s="1" t="s">
        <v>86</v>
      </c>
      <c r="BE337" s="1" t="s">
        <v>86</v>
      </c>
      <c r="BF337" s="1" t="s">
        <v>86</v>
      </c>
      <c r="BG337" s="1" t="s">
        <v>172</v>
      </c>
      <c r="BH337" s="1" t="s">
        <v>215</v>
      </c>
      <c r="BI337" s="1" t="s">
        <v>191</v>
      </c>
      <c r="BJ337" s="1" t="s">
        <v>87</v>
      </c>
      <c r="BK337" s="1">
        <v>0</v>
      </c>
      <c r="BL337" s="1">
        <v>0</v>
      </c>
      <c r="BM337" s="1" t="s">
        <v>86</v>
      </c>
      <c r="BN337" s="1" t="s">
        <v>1833</v>
      </c>
      <c r="BO337" s="1" t="s">
        <v>1834</v>
      </c>
      <c r="BP337" s="1" t="s">
        <v>86</v>
      </c>
      <c r="BQ337" s="1" t="s">
        <v>86</v>
      </c>
      <c r="BR337" s="1" t="s">
        <v>86</v>
      </c>
      <c r="BS337" s="1" t="s">
        <v>86</v>
      </c>
      <c r="BT337" s="1" t="s">
        <v>86</v>
      </c>
      <c r="BU337" s="1" t="s">
        <v>163</v>
      </c>
      <c r="BV337" s="1" t="s">
        <v>86</v>
      </c>
      <c r="BW337" s="1" t="s">
        <v>101</v>
      </c>
      <c r="BX337" s="1" t="s">
        <v>1835</v>
      </c>
      <c r="BY337" s="1" t="s">
        <v>86</v>
      </c>
      <c r="BZ337" s="1" t="s">
        <v>1836</v>
      </c>
      <c r="CA337" s="1" t="s">
        <v>178</v>
      </c>
      <c r="CB337" s="1" t="s">
        <v>179</v>
      </c>
      <c r="CC337" s="1" t="s">
        <v>86</v>
      </c>
      <c r="CD337" s="1" t="s">
        <v>86</v>
      </c>
      <c r="CE337" s="1" t="s">
        <v>86</v>
      </c>
    </row>
    <row r="338">
      <c r="A338" s="1">
        <v>336</v>
      </c>
      <c r="B338" s="1" t="s">
        <v>395</v>
      </c>
      <c r="C338" s="2">
        <f>=HYPERLINK("https://i.stonehdfile.com/stoneimage?s=4bf01658-c00e-43bc-9c0e-236402ece473","Image")</f>
      </c>
      <c r="D338" s="2">
        <f>=HYPERLINK("https://dna.stonehdfile.com/hd/viewhd.html?d=b0ff089d-d0e8-4697-a573-30734f9ba2f7","View360")</f>
      </c>
      <c r="E338" s="2">
        <f>=HYPERLINK("https://i.stonehdfile.com/Certificate?s=4bf01658-c00e-43bc-9c0e-236402ece473","GIA")</f>
      </c>
      <c r="F338" s="2">
        <f>=HYPERLINK("https://i.stonehdfile.com/DNAReport?s=4bf01658-c00e-43bc-9c0e-236402ece473","DNA")</f>
      </c>
      <c r="G338" s="2">
        <f>=HYPERLINK("https://www.gia.edu/report-check?reportno=******5503","Verify")</f>
      </c>
      <c r="H338" s="1" t="s">
        <v>1837</v>
      </c>
      <c r="I338" s="1" t="s">
        <v>135</v>
      </c>
      <c r="J338" s="1">
        <v>1.5</v>
      </c>
      <c r="K338" s="1">
        <v>6</v>
      </c>
      <c r="L338" s="1">
        <v>8000</v>
      </c>
      <c r="M338" s="1">
        <v>2618</v>
      </c>
      <c r="N338" s="1">
        <v>3927</v>
      </c>
      <c r="O338" s="1">
        <v>-67.28</v>
      </c>
      <c r="P338" s="1">
        <v>0</v>
      </c>
      <c r="Q338" s="1" t="s">
        <v>86</v>
      </c>
      <c r="R338" s="1">
        <v>0</v>
      </c>
      <c r="S338" s="1" t="s">
        <v>86</v>
      </c>
      <c r="T338" s="1" t="s">
        <v>86</v>
      </c>
      <c r="U338" s="1" t="s">
        <v>375</v>
      </c>
      <c r="V338" s="1" t="s">
        <v>86</v>
      </c>
      <c r="W338" s="1" t="s">
        <v>206</v>
      </c>
      <c r="X338" s="1" t="s">
        <v>86</v>
      </c>
      <c r="Y338" s="1" t="s">
        <v>89</v>
      </c>
      <c r="Z338" s="1" t="s">
        <v>138</v>
      </c>
      <c r="AA338" s="1" t="s">
        <v>119</v>
      </c>
      <c r="AB338" s="1" t="s">
        <v>86</v>
      </c>
      <c r="AC338" s="1" t="s">
        <v>1838</v>
      </c>
      <c r="AD338" s="1">
        <v>71.7</v>
      </c>
      <c r="AE338" s="1">
        <v>62</v>
      </c>
      <c r="AF338" s="1" t="s">
        <v>91</v>
      </c>
      <c r="AG338" s="1">
        <v>3.9</v>
      </c>
      <c r="AH338" s="1">
        <v>36.9</v>
      </c>
      <c r="AI338" s="1" t="s">
        <v>86</v>
      </c>
      <c r="AJ338" s="1">
        <v>1.02</v>
      </c>
      <c r="AK338" s="1" t="s">
        <v>198</v>
      </c>
      <c r="AL338" s="1" t="s">
        <v>93</v>
      </c>
      <c r="AM338" s="1" t="s">
        <v>140</v>
      </c>
      <c r="AN338" s="1" t="s">
        <v>171</v>
      </c>
      <c r="AO338" s="1" t="s">
        <v>208</v>
      </c>
      <c r="AP338" s="1" t="s">
        <v>95</v>
      </c>
      <c r="AQ338" s="1">
        <v>14</v>
      </c>
      <c r="AR338" s="1">
        <v>52.5</v>
      </c>
      <c r="AS338" s="1">
        <v>34</v>
      </c>
      <c r="AT338" s="1" t="s">
        <v>96</v>
      </c>
      <c r="AU338" s="1" t="s">
        <v>86</v>
      </c>
      <c r="AV338" s="1" t="s">
        <v>86</v>
      </c>
      <c r="AW338" s="1" t="s">
        <v>86</v>
      </c>
      <c r="AX338" s="1" t="s">
        <v>86</v>
      </c>
      <c r="AY338" s="1" t="s">
        <v>86</v>
      </c>
      <c r="AZ338" s="1" t="s">
        <v>86</v>
      </c>
      <c r="BA338" s="1" t="s">
        <v>86</v>
      </c>
      <c r="BB338" s="1" t="s">
        <v>86</v>
      </c>
      <c r="BC338" s="1" t="s">
        <v>86</v>
      </c>
      <c r="BD338" s="1" t="s">
        <v>86</v>
      </c>
      <c r="BE338" s="1" t="s">
        <v>86</v>
      </c>
      <c r="BF338" s="1" t="s">
        <v>86</v>
      </c>
      <c r="BG338" s="1" t="s">
        <v>172</v>
      </c>
      <c r="BH338" s="1" t="s">
        <v>215</v>
      </c>
      <c r="BI338" s="1" t="s">
        <v>562</v>
      </c>
      <c r="BJ338" s="1" t="s">
        <v>87</v>
      </c>
      <c r="BK338" s="1">
        <v>0</v>
      </c>
      <c r="BL338" s="1">
        <v>0</v>
      </c>
      <c r="BM338" s="1" t="s">
        <v>398</v>
      </c>
      <c r="BN338" s="1" t="s">
        <v>1839</v>
      </c>
      <c r="BO338" s="1" t="s">
        <v>1425</v>
      </c>
      <c r="BP338" s="1" t="s">
        <v>86</v>
      </c>
      <c r="BQ338" s="1" t="s">
        <v>86</v>
      </c>
      <c r="BR338" s="1" t="s">
        <v>86</v>
      </c>
      <c r="BS338" s="1" t="s">
        <v>86</v>
      </c>
      <c r="BT338" s="1" t="s">
        <v>86</v>
      </c>
      <c r="BU338" s="1" t="s">
        <v>163</v>
      </c>
      <c r="BV338" s="1" t="s">
        <v>86</v>
      </c>
      <c r="BW338" s="1" t="s">
        <v>101</v>
      </c>
      <c r="BX338" s="1" t="s">
        <v>423</v>
      </c>
      <c r="BY338" s="1" t="s">
        <v>86</v>
      </c>
      <c r="BZ338" s="1" t="s">
        <v>1840</v>
      </c>
      <c r="CA338" s="1" t="s">
        <v>195</v>
      </c>
      <c r="CB338" s="1" t="s">
        <v>179</v>
      </c>
      <c r="CC338" s="1" t="s">
        <v>86</v>
      </c>
      <c r="CD338" s="1" t="s">
        <v>86</v>
      </c>
      <c r="CE338" s="1" t="s">
        <v>86</v>
      </c>
    </row>
    <row r="339">
      <c r="A339" s="1">
        <v>337</v>
      </c>
      <c r="B339" s="1" t="s">
        <v>395</v>
      </c>
      <c r="C339" s="2">
        <f>=HYPERLINK("https://i.stonehdfile.com/stoneimage?s=f8e2c4ca-1a49-4019-b3d0-a5891b823a73","Image")</f>
      </c>
      <c r="D339" s="2">
        <f>=HYPERLINK("https://dna.stonehdfile.com/hd/viewhd.html?d=5f0c5ac2-5673-47df-9490-0d2166611500","View360")</f>
      </c>
      <c r="E339" s="2">
        <f>=HYPERLINK("https://i.stonehdfile.com/Certificate?s=f8e2c4ca-1a49-4019-b3d0-a5891b823a73","GIA")</f>
      </c>
      <c r="F339" s="2">
        <f>=HYPERLINK("https://i.stonehdfile.com/DNAReport?s=f8e2c4ca-1a49-4019-b3d0-a5891b823a73","DNA")</f>
      </c>
      <c r="G339" s="2">
        <f>=HYPERLINK("https://www.gia.edu/report-check?reportno=******1544","Verify")</f>
      </c>
      <c r="H339" s="1" t="s">
        <v>1841</v>
      </c>
      <c r="I339" s="1" t="s">
        <v>135</v>
      </c>
      <c r="J339" s="1">
        <v>1.52</v>
      </c>
      <c r="K339" s="1">
        <v>3</v>
      </c>
      <c r="L339" s="1">
        <v>8000</v>
      </c>
      <c r="M339" s="1">
        <v>2866</v>
      </c>
      <c r="N339" s="1">
        <v>4356.32</v>
      </c>
      <c r="O339" s="1">
        <v>-64.18</v>
      </c>
      <c r="P339" s="1">
        <v>0</v>
      </c>
      <c r="Q339" s="1" t="s">
        <v>86</v>
      </c>
      <c r="R339" s="1">
        <v>0</v>
      </c>
      <c r="S339" s="1" t="s">
        <v>86</v>
      </c>
      <c r="T339" s="1" t="s">
        <v>86</v>
      </c>
      <c r="U339" s="1" t="s">
        <v>271</v>
      </c>
      <c r="V339" s="1" t="s">
        <v>86</v>
      </c>
      <c r="W339" s="1" t="s">
        <v>206</v>
      </c>
      <c r="X339" s="1" t="s">
        <v>86</v>
      </c>
      <c r="Y339" s="1" t="s">
        <v>89</v>
      </c>
      <c r="Z339" s="1" t="s">
        <v>138</v>
      </c>
      <c r="AA339" s="1" t="s">
        <v>119</v>
      </c>
      <c r="AB339" s="1" t="s">
        <v>86</v>
      </c>
      <c r="AC339" s="1" t="s">
        <v>1842</v>
      </c>
      <c r="AD339" s="1">
        <v>69.3</v>
      </c>
      <c r="AE339" s="1">
        <v>66</v>
      </c>
      <c r="AF339" s="1" t="s">
        <v>91</v>
      </c>
      <c r="AG339" s="1">
        <v>2.5</v>
      </c>
      <c r="AH339" s="1">
        <v>35.2</v>
      </c>
      <c r="AI339" s="1" t="s">
        <v>86</v>
      </c>
      <c r="AJ339" s="1">
        <v>1.14</v>
      </c>
      <c r="AK339" s="1" t="s">
        <v>1758</v>
      </c>
      <c r="AL339" s="1" t="s">
        <v>93</v>
      </c>
      <c r="AM339" s="1" t="s">
        <v>140</v>
      </c>
      <c r="AN339" s="1" t="s">
        <v>168</v>
      </c>
      <c r="AO339" s="1" t="s">
        <v>208</v>
      </c>
      <c r="AP339" s="1" t="s">
        <v>95</v>
      </c>
      <c r="AQ339" s="1">
        <v>12</v>
      </c>
      <c r="AR339" s="1">
        <v>52.6</v>
      </c>
      <c r="AS339" s="1">
        <v>35.2</v>
      </c>
      <c r="AT339" s="1" t="s">
        <v>96</v>
      </c>
      <c r="AU339" s="1" t="s">
        <v>86</v>
      </c>
      <c r="AV339" s="1" t="s">
        <v>86</v>
      </c>
      <c r="AW339" s="1" t="s">
        <v>86</v>
      </c>
      <c r="AX339" s="1" t="s">
        <v>86</v>
      </c>
      <c r="AY339" s="1" t="s">
        <v>86</v>
      </c>
      <c r="AZ339" s="1" t="s">
        <v>86</v>
      </c>
      <c r="BA339" s="1" t="s">
        <v>86</v>
      </c>
      <c r="BB339" s="1" t="s">
        <v>86</v>
      </c>
      <c r="BC339" s="1" t="s">
        <v>86</v>
      </c>
      <c r="BD339" s="1" t="s">
        <v>86</v>
      </c>
      <c r="BE339" s="1" t="s">
        <v>86</v>
      </c>
      <c r="BF339" s="1" t="s">
        <v>282</v>
      </c>
      <c r="BG339" s="1" t="s">
        <v>86</v>
      </c>
      <c r="BH339" s="1" t="s">
        <v>142</v>
      </c>
      <c r="BI339" s="1" t="s">
        <v>328</v>
      </c>
      <c r="BJ339" s="1" t="s">
        <v>87</v>
      </c>
      <c r="BK339" s="1">
        <v>0</v>
      </c>
      <c r="BL339" s="1">
        <v>0</v>
      </c>
      <c r="BM339" s="1" t="s">
        <v>398</v>
      </c>
      <c r="BN339" s="1" t="s">
        <v>1843</v>
      </c>
      <c r="BO339" s="1" t="s">
        <v>1797</v>
      </c>
      <c r="BP339" s="1" t="s">
        <v>86</v>
      </c>
      <c r="BQ339" s="1" t="s">
        <v>86</v>
      </c>
      <c r="BR339" s="1" t="s">
        <v>86</v>
      </c>
      <c r="BS339" s="1" t="s">
        <v>86</v>
      </c>
      <c r="BT339" s="1" t="s">
        <v>86</v>
      </c>
      <c r="BU339" s="1" t="s">
        <v>163</v>
      </c>
      <c r="BV339" s="1" t="s">
        <v>86</v>
      </c>
      <c r="BW339" s="1" t="s">
        <v>101</v>
      </c>
      <c r="BX339" s="1" t="s">
        <v>545</v>
      </c>
      <c r="BY339" s="1" t="s">
        <v>86</v>
      </c>
      <c r="BZ339" s="1" t="s">
        <v>1844</v>
      </c>
      <c r="CA339" s="1" t="s">
        <v>220</v>
      </c>
      <c r="CB339" s="1" t="s">
        <v>740</v>
      </c>
      <c r="CC339" s="1" t="s">
        <v>86</v>
      </c>
      <c r="CD339" s="1" t="s">
        <v>86</v>
      </c>
      <c r="CE339" s="1" t="s">
        <v>86</v>
      </c>
    </row>
    <row r="340">
      <c r="A340" s="1">
        <v>338</v>
      </c>
      <c r="B340" s="1" t="s">
        <v>395</v>
      </c>
      <c r="C340" s="2">
        <f>=HYPERLINK("https://i.stonehdfile.com/stoneimage?s=293c1efa-e986-491d-af78-86da4859472a","Image")</f>
      </c>
      <c r="D340" s="2">
        <f>=HYPERLINK("https://dna.stonehdfile.com/hd/viewhd.html?d=cae3b117-2316-480d-aa24-d66cb76bdf4d","View360")</f>
      </c>
      <c r="E340" s="2">
        <f>=HYPERLINK("https://i.stonehdfile.com/Certificate?s=293c1efa-e986-491d-af78-86da4859472a","GIA")</f>
      </c>
      <c r="F340" s="2">
        <f>=HYPERLINK("https://i.stonehdfile.com/DNAReport?s=293c1efa-e986-491d-af78-86da4859472a","DNA")</f>
      </c>
      <c r="G340" s="2">
        <f>=HYPERLINK("https://www.gia.edu/report-check?reportno=******5338","Verify")</f>
      </c>
      <c r="H340" s="1" t="s">
        <v>1845</v>
      </c>
      <c r="I340" s="1" t="s">
        <v>135</v>
      </c>
      <c r="J340" s="1">
        <v>1.51</v>
      </c>
      <c r="K340" s="1">
        <v>1</v>
      </c>
      <c r="L340" s="1">
        <v>6600</v>
      </c>
      <c r="M340" s="1">
        <v>2500</v>
      </c>
      <c r="N340" s="1">
        <v>3775</v>
      </c>
      <c r="O340" s="1">
        <v>-62.12</v>
      </c>
      <c r="P340" s="1">
        <v>0</v>
      </c>
      <c r="Q340" s="1" t="s">
        <v>86</v>
      </c>
      <c r="R340" s="1">
        <v>0</v>
      </c>
      <c r="S340" s="1" t="s">
        <v>86</v>
      </c>
      <c r="T340" s="1" t="s">
        <v>86</v>
      </c>
      <c r="U340" s="1" t="s">
        <v>271</v>
      </c>
      <c r="V340" s="1" t="s">
        <v>86</v>
      </c>
      <c r="W340" s="1" t="s">
        <v>1515</v>
      </c>
      <c r="X340" s="1" t="s">
        <v>86</v>
      </c>
      <c r="Y340" s="1" t="s">
        <v>89</v>
      </c>
      <c r="Z340" s="1" t="s">
        <v>138</v>
      </c>
      <c r="AA340" s="1" t="s">
        <v>119</v>
      </c>
      <c r="AB340" s="1" t="s">
        <v>86</v>
      </c>
      <c r="AC340" s="1" t="s">
        <v>1846</v>
      </c>
      <c r="AD340" s="1">
        <v>71.3</v>
      </c>
      <c r="AE340" s="1">
        <v>67</v>
      </c>
      <c r="AF340" s="1" t="s">
        <v>91</v>
      </c>
      <c r="AG340" s="1">
        <v>4.2</v>
      </c>
      <c r="AH340" s="1">
        <v>37.3</v>
      </c>
      <c r="AI340" s="1" t="s">
        <v>86</v>
      </c>
      <c r="AJ340" s="1">
        <v>1</v>
      </c>
      <c r="AK340" s="1" t="s">
        <v>111</v>
      </c>
      <c r="AL340" s="1" t="s">
        <v>128</v>
      </c>
      <c r="AM340" s="1" t="s">
        <v>140</v>
      </c>
      <c r="AN340" s="1" t="s">
        <v>171</v>
      </c>
      <c r="AO340" s="1" t="s">
        <v>94</v>
      </c>
      <c r="AP340" s="1" t="s">
        <v>95</v>
      </c>
      <c r="AQ340" s="1">
        <v>12.9</v>
      </c>
      <c r="AR340" s="1">
        <v>52.5</v>
      </c>
      <c r="AS340" s="1">
        <v>35.5</v>
      </c>
      <c r="AT340" s="1" t="s">
        <v>96</v>
      </c>
      <c r="AU340" s="1" t="s">
        <v>86</v>
      </c>
      <c r="AV340" s="1" t="s">
        <v>86</v>
      </c>
      <c r="AW340" s="1" t="s">
        <v>86</v>
      </c>
      <c r="AX340" s="1" t="s">
        <v>86</v>
      </c>
      <c r="AY340" s="1" t="s">
        <v>86</v>
      </c>
      <c r="AZ340" s="1" t="s">
        <v>86</v>
      </c>
      <c r="BA340" s="1" t="s">
        <v>86</v>
      </c>
      <c r="BB340" s="1" t="s">
        <v>86</v>
      </c>
      <c r="BC340" s="1" t="s">
        <v>86</v>
      </c>
      <c r="BD340" s="1" t="s">
        <v>86</v>
      </c>
      <c r="BE340" s="1" t="s">
        <v>86</v>
      </c>
      <c r="BF340" s="1" t="s">
        <v>86</v>
      </c>
      <c r="BG340" s="1" t="s">
        <v>172</v>
      </c>
      <c r="BH340" s="1" t="s">
        <v>215</v>
      </c>
      <c r="BI340" s="1" t="s">
        <v>257</v>
      </c>
      <c r="BJ340" s="1" t="s">
        <v>87</v>
      </c>
      <c r="BK340" s="1">
        <v>0</v>
      </c>
      <c r="BL340" s="1">
        <v>0</v>
      </c>
      <c r="BM340" s="1" t="s">
        <v>398</v>
      </c>
      <c r="BN340" s="1" t="s">
        <v>1847</v>
      </c>
      <c r="BO340" s="1" t="s">
        <v>1848</v>
      </c>
      <c r="BP340" s="1" t="s">
        <v>86</v>
      </c>
      <c r="BQ340" s="1" t="s">
        <v>86</v>
      </c>
      <c r="BR340" s="1" t="s">
        <v>86</v>
      </c>
      <c r="BS340" s="1" t="s">
        <v>86</v>
      </c>
      <c r="BT340" s="1" t="s">
        <v>86</v>
      </c>
      <c r="BU340" s="1" t="s">
        <v>163</v>
      </c>
      <c r="BV340" s="1" t="s">
        <v>86</v>
      </c>
      <c r="BW340" s="1" t="s">
        <v>101</v>
      </c>
      <c r="BX340" s="1" t="s">
        <v>867</v>
      </c>
      <c r="BY340" s="1" t="s">
        <v>86</v>
      </c>
      <c r="BZ340" s="1" t="s">
        <v>1849</v>
      </c>
      <c r="CA340" s="1" t="s">
        <v>178</v>
      </c>
      <c r="CB340" s="1" t="s">
        <v>179</v>
      </c>
      <c r="CC340" s="1" t="s">
        <v>86</v>
      </c>
      <c r="CD340" s="1" t="s">
        <v>86</v>
      </c>
      <c r="CE340" s="1" t="s">
        <v>86</v>
      </c>
    </row>
    <row r="341">
      <c r="A341" s="1">
        <v>339</v>
      </c>
      <c r="B341" s="1" t="s">
        <v>395</v>
      </c>
      <c r="C341" s="2">
        <f>=HYPERLINK("https://i.stonehdfile.com/stoneimage?s=65408c4b-632e-40cf-bca3-9ab8e44f4201","Image")</f>
      </c>
      <c r="D341" s="2">
        <f>=HYPERLINK("https://dna.stonehdfile.com/hd/viewhd.html?d=def05c6a-36d5-4dc6-98e5-e5c5b422f5e7","View360")</f>
      </c>
      <c r="E341" s="2">
        <f>=HYPERLINK("https://i.stonehdfile.com/Certificate?s=65408c4b-632e-40cf-bca3-9ab8e44f4201","GIA")</f>
      </c>
      <c r="F341" s="2">
        <f>=HYPERLINK("https://i.stonehdfile.com/DNAReport?s=65408c4b-632e-40cf-bca3-9ab8e44f4201","DNA")</f>
      </c>
      <c r="G341" s="2">
        <f>=HYPERLINK("https://www.gia.edu/report-check?reportno=******1178","Verify")</f>
      </c>
      <c r="H341" s="1" t="s">
        <v>1850</v>
      </c>
      <c r="I341" s="1" t="s">
        <v>135</v>
      </c>
      <c r="J341" s="1">
        <v>1.5</v>
      </c>
      <c r="K341" s="1">
        <v>5</v>
      </c>
      <c r="L341" s="1">
        <v>7400</v>
      </c>
      <c r="M341" s="1">
        <v>3392</v>
      </c>
      <c r="N341" s="1">
        <v>5088</v>
      </c>
      <c r="O341" s="1">
        <v>-54.16</v>
      </c>
      <c r="P341" s="1">
        <v>0</v>
      </c>
      <c r="Q341" s="1" t="s">
        <v>86</v>
      </c>
      <c r="R341" s="1">
        <v>0</v>
      </c>
      <c r="S341" s="1" t="s">
        <v>86</v>
      </c>
      <c r="T341" s="1" t="s">
        <v>86</v>
      </c>
      <c r="U341" s="1" t="s">
        <v>159</v>
      </c>
      <c r="V341" s="1" t="s">
        <v>86</v>
      </c>
      <c r="W341" s="1" t="s">
        <v>352</v>
      </c>
      <c r="X341" s="1" t="s">
        <v>86</v>
      </c>
      <c r="Y341" s="1" t="s">
        <v>89</v>
      </c>
      <c r="Z341" s="1" t="s">
        <v>138</v>
      </c>
      <c r="AA341" s="1" t="s">
        <v>119</v>
      </c>
      <c r="AB341" s="1" t="s">
        <v>86</v>
      </c>
      <c r="AC341" s="1" t="s">
        <v>1851</v>
      </c>
      <c r="AD341" s="1">
        <v>70.7</v>
      </c>
      <c r="AE341" s="1">
        <v>64</v>
      </c>
      <c r="AF341" s="1" t="s">
        <v>91</v>
      </c>
      <c r="AG341" s="1">
        <v>3.4</v>
      </c>
      <c r="AH341" s="1">
        <v>37.4</v>
      </c>
      <c r="AI341" s="1" t="s">
        <v>86</v>
      </c>
      <c r="AJ341" s="1">
        <v>1.04</v>
      </c>
      <c r="AK341" s="1" t="s">
        <v>111</v>
      </c>
      <c r="AL341" s="1" t="s">
        <v>93</v>
      </c>
      <c r="AM341" s="1" t="s">
        <v>140</v>
      </c>
      <c r="AN341" s="1" t="s">
        <v>171</v>
      </c>
      <c r="AO341" s="1" t="s">
        <v>94</v>
      </c>
      <c r="AP341" s="1" t="s">
        <v>95</v>
      </c>
      <c r="AQ341" s="1">
        <v>13.6</v>
      </c>
      <c r="AR341" s="1">
        <v>52.2</v>
      </c>
      <c r="AS341" s="1">
        <v>35.2</v>
      </c>
      <c r="AT341" s="1" t="s">
        <v>96</v>
      </c>
      <c r="AU341" s="1" t="s">
        <v>86</v>
      </c>
      <c r="AV341" s="1" t="s">
        <v>86</v>
      </c>
      <c r="AW341" s="1" t="s">
        <v>86</v>
      </c>
      <c r="AX341" s="1" t="s">
        <v>86</v>
      </c>
      <c r="AY341" s="1" t="s">
        <v>86</v>
      </c>
      <c r="AZ341" s="1" t="s">
        <v>86</v>
      </c>
      <c r="BA341" s="1" t="s">
        <v>86</v>
      </c>
      <c r="BB341" s="1" t="s">
        <v>86</v>
      </c>
      <c r="BC341" s="1" t="s">
        <v>86</v>
      </c>
      <c r="BD341" s="1" t="s">
        <v>86</v>
      </c>
      <c r="BE341" s="1" t="s">
        <v>86</v>
      </c>
      <c r="BF341" s="1" t="s">
        <v>86</v>
      </c>
      <c r="BG341" s="1" t="s">
        <v>86</v>
      </c>
      <c r="BH341" s="1" t="s">
        <v>97</v>
      </c>
      <c r="BI341" s="1" t="s">
        <v>191</v>
      </c>
      <c r="BJ341" s="1" t="s">
        <v>87</v>
      </c>
      <c r="BK341" s="1">
        <v>0</v>
      </c>
      <c r="BL341" s="1">
        <v>0</v>
      </c>
      <c r="BM341" s="1" t="s">
        <v>398</v>
      </c>
      <c r="BN341" s="1" t="s">
        <v>1852</v>
      </c>
      <c r="BO341" s="1" t="s">
        <v>726</v>
      </c>
      <c r="BP341" s="1" t="s">
        <v>86</v>
      </c>
      <c r="BQ341" s="1" t="s">
        <v>86</v>
      </c>
      <c r="BR341" s="1" t="s">
        <v>86</v>
      </c>
      <c r="BS341" s="1" t="s">
        <v>86</v>
      </c>
      <c r="BT341" s="1" t="s">
        <v>86</v>
      </c>
      <c r="BU341" s="1" t="s">
        <v>163</v>
      </c>
      <c r="BV341" s="1" t="s">
        <v>86</v>
      </c>
      <c r="BW341" s="1" t="s">
        <v>101</v>
      </c>
      <c r="BX341" s="1" t="s">
        <v>401</v>
      </c>
      <c r="BY341" s="1" t="s">
        <v>86</v>
      </c>
      <c r="BZ341" s="1" t="s">
        <v>1853</v>
      </c>
      <c r="CA341" s="1" t="s">
        <v>178</v>
      </c>
      <c r="CB341" s="1" t="s">
        <v>166</v>
      </c>
      <c r="CC341" s="1" t="s">
        <v>86</v>
      </c>
      <c r="CD341" s="1" t="s">
        <v>86</v>
      </c>
      <c r="CE341" s="1" t="s">
        <v>86</v>
      </c>
    </row>
    <row r="342">
      <c r="A342" s="1">
        <v>340</v>
      </c>
      <c r="B342" s="1" t="s">
        <v>395</v>
      </c>
      <c r="C342" s="2">
        <f>=HYPERLINK("https://i.stonehdfile.com/stoneimage?s=30147066-3b20-4b21-b507-25b371f9d430","Image")</f>
      </c>
      <c r="D342" s="2">
        <f>=HYPERLINK("https://dna.stonehdfile.com/hd/viewhd.html?d=0b1f93da-3a37-46c9-8b52-1c34418a4a6e","View360")</f>
      </c>
      <c r="E342" s="2">
        <f>=HYPERLINK("https://i.stonehdfile.com/Certificate?s=30147066-3b20-4b21-b507-25b371f9d430","GIA")</f>
      </c>
      <c r="F342" s="2">
        <f>=HYPERLINK("https://i.stonehdfile.com/DNAReport?s=30147066-3b20-4b21-b507-25b371f9d430","DNA")</f>
      </c>
      <c r="G342" s="2">
        <f>=HYPERLINK("https://www.gia.edu/report-check?reportno=******7562","Verify")</f>
      </c>
      <c r="H342" s="1" t="s">
        <v>1854</v>
      </c>
      <c r="I342" s="1" t="s">
        <v>135</v>
      </c>
      <c r="J342" s="1">
        <v>1.5</v>
      </c>
      <c r="K342" s="1">
        <v>3</v>
      </c>
      <c r="L342" s="1">
        <v>7400</v>
      </c>
      <c r="M342" s="1">
        <v>3082</v>
      </c>
      <c r="N342" s="1">
        <v>4623</v>
      </c>
      <c r="O342" s="1">
        <v>-58.35</v>
      </c>
      <c r="P342" s="1">
        <v>0</v>
      </c>
      <c r="Q342" s="1" t="s">
        <v>86</v>
      </c>
      <c r="R342" s="1">
        <v>0</v>
      </c>
      <c r="S342" s="1" t="s">
        <v>86</v>
      </c>
      <c r="T342" s="1" t="s">
        <v>86</v>
      </c>
      <c r="U342" s="1" t="s">
        <v>118</v>
      </c>
      <c r="V342" s="1" t="s">
        <v>86</v>
      </c>
      <c r="W342" s="1" t="s">
        <v>352</v>
      </c>
      <c r="X342" s="1" t="s">
        <v>86</v>
      </c>
      <c r="Y342" s="1" t="s">
        <v>89</v>
      </c>
      <c r="Z342" s="1" t="s">
        <v>89</v>
      </c>
      <c r="AA342" s="1" t="s">
        <v>119</v>
      </c>
      <c r="AB342" s="1" t="s">
        <v>86</v>
      </c>
      <c r="AC342" s="1" t="s">
        <v>1855</v>
      </c>
      <c r="AD342" s="1">
        <v>71.4</v>
      </c>
      <c r="AE342" s="1">
        <v>59</v>
      </c>
      <c r="AF342" s="1" t="s">
        <v>91</v>
      </c>
      <c r="AG342" s="1">
        <v>2.9</v>
      </c>
      <c r="AH342" s="1">
        <v>37.3</v>
      </c>
      <c r="AI342" s="1" t="s">
        <v>86</v>
      </c>
      <c r="AJ342" s="1">
        <v>1.09</v>
      </c>
      <c r="AK342" s="1" t="s">
        <v>111</v>
      </c>
      <c r="AL342" s="1" t="s">
        <v>93</v>
      </c>
      <c r="AM342" s="1" t="s">
        <v>140</v>
      </c>
      <c r="AN342" s="1" t="s">
        <v>307</v>
      </c>
      <c r="AO342" s="1" t="s">
        <v>94</v>
      </c>
      <c r="AP342" s="1" t="s">
        <v>95</v>
      </c>
      <c r="AQ342" s="1">
        <v>15.7</v>
      </c>
      <c r="AR342" s="1">
        <v>51.6</v>
      </c>
      <c r="AS342" s="1">
        <v>34.7</v>
      </c>
      <c r="AT342" s="1" t="s">
        <v>96</v>
      </c>
      <c r="AU342" s="1" t="s">
        <v>86</v>
      </c>
      <c r="AV342" s="1" t="s">
        <v>86</v>
      </c>
      <c r="AW342" s="1" t="s">
        <v>86</v>
      </c>
      <c r="AX342" s="1" t="s">
        <v>86</v>
      </c>
      <c r="AY342" s="1" t="s">
        <v>86</v>
      </c>
      <c r="AZ342" s="1" t="s">
        <v>86</v>
      </c>
      <c r="BA342" s="1" t="s">
        <v>86</v>
      </c>
      <c r="BB342" s="1" t="s">
        <v>86</v>
      </c>
      <c r="BC342" s="1" t="s">
        <v>86</v>
      </c>
      <c r="BD342" s="1" t="s">
        <v>86</v>
      </c>
      <c r="BE342" s="1" t="s">
        <v>86</v>
      </c>
      <c r="BF342" s="1" t="s">
        <v>86</v>
      </c>
      <c r="BG342" s="1" t="s">
        <v>86</v>
      </c>
      <c r="BH342" s="1" t="s">
        <v>429</v>
      </c>
      <c r="BI342" s="1" t="s">
        <v>387</v>
      </c>
      <c r="BJ342" s="1" t="s">
        <v>87</v>
      </c>
      <c r="BK342" s="1">
        <v>0</v>
      </c>
      <c r="BL342" s="1">
        <v>0</v>
      </c>
      <c r="BM342" s="1" t="s">
        <v>398</v>
      </c>
      <c r="BN342" s="1" t="s">
        <v>1856</v>
      </c>
      <c r="BO342" s="1" t="s">
        <v>302</v>
      </c>
      <c r="BP342" s="1" t="s">
        <v>86</v>
      </c>
      <c r="BQ342" s="1" t="s">
        <v>86</v>
      </c>
      <c r="BR342" s="1" t="s">
        <v>86</v>
      </c>
      <c r="BS342" s="1" t="s">
        <v>86</v>
      </c>
      <c r="BT342" s="1" t="s">
        <v>86</v>
      </c>
      <c r="BU342" s="1" t="s">
        <v>163</v>
      </c>
      <c r="BV342" s="1" t="s">
        <v>86</v>
      </c>
      <c r="BW342" s="1" t="s">
        <v>101</v>
      </c>
      <c r="BX342" s="1" t="s">
        <v>414</v>
      </c>
      <c r="BY342" s="1" t="s">
        <v>86</v>
      </c>
      <c r="BZ342" s="1" t="s">
        <v>1857</v>
      </c>
      <c r="CA342" s="1" t="s">
        <v>1735</v>
      </c>
      <c r="CB342" s="1" t="s">
        <v>166</v>
      </c>
      <c r="CC342" s="1" t="s">
        <v>86</v>
      </c>
      <c r="CD342" s="1" t="s">
        <v>86</v>
      </c>
      <c r="CE342" s="1" t="s">
        <v>86</v>
      </c>
    </row>
    <row r="343">
      <c r="A343" s="1">
        <v>341</v>
      </c>
      <c r="B343" s="1" t="s">
        <v>395</v>
      </c>
      <c r="C343" s="2">
        <f>=HYPERLINK("https://i.stonehdfile.com/stoneimage?s=3b7c92e8-09d4-4659-9967-5c841924c32c","Image")</f>
      </c>
      <c r="D343" s="2">
        <f>=HYPERLINK("https://dna.stonehdfile.com/hd/viewhd.html?d=36f5b95d-234c-4755-9312-0d6b6377a898","View360")</f>
      </c>
      <c r="E343" s="2">
        <f>=HYPERLINK("https://i.stonehdfile.com/Certificate?s=3b7c92e8-09d4-4659-9967-5c841924c32c","GIA")</f>
      </c>
      <c r="F343" s="2">
        <f>=HYPERLINK("https://i.stonehdfile.com/DNAReport?s=3b7c92e8-09d4-4659-9967-5c841924c32c","DNA")</f>
      </c>
      <c r="G343" s="2">
        <f>=HYPERLINK("https://www.gia.edu/report-check?reportno=******2888","Verify")</f>
      </c>
      <c r="H343" s="1" t="s">
        <v>1858</v>
      </c>
      <c r="I343" s="1" t="s">
        <v>135</v>
      </c>
      <c r="J343" s="1">
        <v>1.52</v>
      </c>
      <c r="K343" s="1">
        <v>0</v>
      </c>
      <c r="L343" s="1">
        <v>7400</v>
      </c>
      <c r="M343" s="1">
        <v>3083</v>
      </c>
      <c r="N343" s="1">
        <v>4686.16</v>
      </c>
      <c r="O343" s="1">
        <v>-58.34</v>
      </c>
      <c r="P343" s="1">
        <v>0</v>
      </c>
      <c r="Q343" s="1" t="s">
        <v>86</v>
      </c>
      <c r="R343" s="1">
        <v>0</v>
      </c>
      <c r="S343" s="1" t="s">
        <v>86</v>
      </c>
      <c r="T343" s="1" t="s">
        <v>86</v>
      </c>
      <c r="U343" s="1" t="s">
        <v>118</v>
      </c>
      <c r="V343" s="1" t="s">
        <v>86</v>
      </c>
      <c r="W343" s="1" t="s">
        <v>223</v>
      </c>
      <c r="X343" s="1" t="s">
        <v>86</v>
      </c>
      <c r="Y343" s="1" t="s">
        <v>89</v>
      </c>
      <c r="Z343" s="1" t="s">
        <v>89</v>
      </c>
      <c r="AA343" s="1" t="s">
        <v>119</v>
      </c>
      <c r="AB343" s="1" t="s">
        <v>86</v>
      </c>
      <c r="AC343" s="1" t="s">
        <v>1859</v>
      </c>
      <c r="AD343" s="1">
        <v>70.6</v>
      </c>
      <c r="AE343" s="1">
        <v>64</v>
      </c>
      <c r="AF343" s="1" t="s">
        <v>91</v>
      </c>
      <c r="AG343" s="1">
        <v>3.8</v>
      </c>
      <c r="AH343" s="1">
        <v>36.2</v>
      </c>
      <c r="AI343" s="1" t="s">
        <v>86</v>
      </c>
      <c r="AJ343" s="1">
        <v>1.05</v>
      </c>
      <c r="AK343" s="1" t="s">
        <v>111</v>
      </c>
      <c r="AL343" s="1" t="s">
        <v>140</v>
      </c>
      <c r="AM343" s="1" t="s">
        <v>140</v>
      </c>
      <c r="AN343" s="1" t="s">
        <v>171</v>
      </c>
      <c r="AO343" s="1" t="s">
        <v>94</v>
      </c>
      <c r="AP343" s="1" t="s">
        <v>95</v>
      </c>
      <c r="AQ343" s="1">
        <v>13.3</v>
      </c>
      <c r="AR343" s="1">
        <v>52.3</v>
      </c>
      <c r="AS343" s="1">
        <v>35.5</v>
      </c>
      <c r="AT343" s="1" t="s">
        <v>96</v>
      </c>
      <c r="AU343" s="1" t="s">
        <v>86</v>
      </c>
      <c r="AV343" s="1" t="s">
        <v>86</v>
      </c>
      <c r="AW343" s="1" t="s">
        <v>86</v>
      </c>
      <c r="AX343" s="1" t="s">
        <v>86</v>
      </c>
      <c r="AY343" s="1" t="s">
        <v>86</v>
      </c>
      <c r="AZ343" s="1" t="s">
        <v>86</v>
      </c>
      <c r="BA343" s="1" t="s">
        <v>86</v>
      </c>
      <c r="BB343" s="1" t="s">
        <v>86</v>
      </c>
      <c r="BC343" s="1" t="s">
        <v>86</v>
      </c>
      <c r="BD343" s="1" t="s">
        <v>86</v>
      </c>
      <c r="BE343" s="1" t="s">
        <v>86</v>
      </c>
      <c r="BF343" s="1" t="s">
        <v>86</v>
      </c>
      <c r="BG343" s="1" t="s">
        <v>86</v>
      </c>
      <c r="BH343" s="1" t="s">
        <v>97</v>
      </c>
      <c r="BI343" s="1" t="s">
        <v>216</v>
      </c>
      <c r="BJ343" s="1" t="s">
        <v>87</v>
      </c>
      <c r="BK343" s="1">
        <v>0</v>
      </c>
      <c r="BL343" s="1">
        <v>0</v>
      </c>
      <c r="BM343" s="1" t="s">
        <v>398</v>
      </c>
      <c r="BN343" s="1" t="s">
        <v>1860</v>
      </c>
      <c r="BO343" s="1" t="s">
        <v>324</v>
      </c>
      <c r="BP343" s="1" t="s">
        <v>86</v>
      </c>
      <c r="BQ343" s="1" t="s">
        <v>86</v>
      </c>
      <c r="BR343" s="1" t="s">
        <v>86</v>
      </c>
      <c r="BS343" s="1" t="s">
        <v>86</v>
      </c>
      <c r="BT343" s="1" t="s">
        <v>86</v>
      </c>
      <c r="BU343" s="1" t="s">
        <v>163</v>
      </c>
      <c r="BV343" s="1" t="s">
        <v>86</v>
      </c>
      <c r="BW343" s="1" t="s">
        <v>101</v>
      </c>
      <c r="BX343" s="1" t="s">
        <v>545</v>
      </c>
      <c r="BY343" s="1" t="s">
        <v>86</v>
      </c>
      <c r="BZ343" s="1" t="s">
        <v>1861</v>
      </c>
      <c r="CA343" s="1" t="s">
        <v>687</v>
      </c>
      <c r="CB343" s="1" t="s">
        <v>221</v>
      </c>
      <c r="CC343" s="1" t="s">
        <v>86</v>
      </c>
      <c r="CD343" s="1" t="s">
        <v>86</v>
      </c>
      <c r="CE343" s="1" t="s">
        <v>86</v>
      </c>
    </row>
    <row r="344">
      <c r="A344" s="1">
        <v>342</v>
      </c>
      <c r="B344" s="1" t="s">
        <v>395</v>
      </c>
      <c r="C344" s="2">
        <f>=HYPERLINK("https://i.stonehdfile.com/stoneimage?s=8ac28b8b-92da-45c7-8cd2-d15e8d4b65da","Image")</f>
      </c>
      <c r="D344" s="2">
        <f>=HYPERLINK("https://dna.stonehdfile.com/hd/viewhd.html?d=5e596a39-cec1-49e2-8803-5047306d50ba","View360")</f>
      </c>
      <c r="E344" s="2">
        <f>=HYPERLINK("https://i.stonehdfile.com/Certificate?s=8ac28b8b-92da-45c7-8cd2-d15e8d4b65da","GIA")</f>
      </c>
      <c r="F344" s="2">
        <f>=HYPERLINK("https://i.stonehdfile.com/DNAReport?s=8ac28b8b-92da-45c7-8cd2-d15e8d4b65da","DNA")</f>
      </c>
      <c r="G344" s="2">
        <f>=HYPERLINK("https://www.gia.edu/report-check?reportno=******2064","Verify")</f>
      </c>
      <c r="H344" s="1" t="s">
        <v>1862</v>
      </c>
      <c r="I344" s="1" t="s">
        <v>135</v>
      </c>
      <c r="J344" s="1">
        <v>1.5</v>
      </c>
      <c r="K344" s="1">
        <v>7</v>
      </c>
      <c r="L344" s="1">
        <v>6000</v>
      </c>
      <c r="M344" s="1">
        <v>2301</v>
      </c>
      <c r="N344" s="1">
        <v>3451.5</v>
      </c>
      <c r="O344" s="1">
        <v>-61.65</v>
      </c>
      <c r="P344" s="1">
        <v>0</v>
      </c>
      <c r="Q344" s="1" t="s">
        <v>86</v>
      </c>
      <c r="R344" s="1">
        <v>0</v>
      </c>
      <c r="S344" s="1" t="s">
        <v>86</v>
      </c>
      <c r="T344" s="1" t="s">
        <v>86</v>
      </c>
      <c r="U344" s="1" t="s">
        <v>118</v>
      </c>
      <c r="V344" s="1" t="s">
        <v>86</v>
      </c>
      <c r="W344" s="1" t="s">
        <v>213</v>
      </c>
      <c r="X344" s="1" t="s">
        <v>86</v>
      </c>
      <c r="Y344" s="1" t="s">
        <v>89</v>
      </c>
      <c r="Z344" s="1" t="s">
        <v>138</v>
      </c>
      <c r="AA344" s="1" t="s">
        <v>119</v>
      </c>
      <c r="AB344" s="1" t="s">
        <v>86</v>
      </c>
      <c r="AC344" s="1" t="s">
        <v>1863</v>
      </c>
      <c r="AD344" s="1">
        <v>71.2</v>
      </c>
      <c r="AE344" s="1">
        <v>61</v>
      </c>
      <c r="AF344" s="1" t="s">
        <v>91</v>
      </c>
      <c r="AG344" s="1">
        <v>4.1</v>
      </c>
      <c r="AH344" s="1">
        <v>37.2</v>
      </c>
      <c r="AI344" s="1" t="s">
        <v>86</v>
      </c>
      <c r="AJ344" s="1">
        <v>1.04</v>
      </c>
      <c r="AK344" s="1" t="s">
        <v>111</v>
      </c>
      <c r="AL344" s="1" t="s">
        <v>128</v>
      </c>
      <c r="AM344" s="1" t="s">
        <v>140</v>
      </c>
      <c r="AN344" s="1" t="s">
        <v>171</v>
      </c>
      <c r="AO344" s="1" t="s">
        <v>94</v>
      </c>
      <c r="AP344" s="1" t="s">
        <v>95</v>
      </c>
      <c r="AQ344" s="1">
        <v>15.1</v>
      </c>
      <c r="AR344" s="1">
        <v>51.5</v>
      </c>
      <c r="AS344" s="1">
        <v>35.7</v>
      </c>
      <c r="AT344" s="1" t="s">
        <v>96</v>
      </c>
      <c r="AU344" s="1" t="s">
        <v>86</v>
      </c>
      <c r="AV344" s="1" t="s">
        <v>86</v>
      </c>
      <c r="AW344" s="1" t="s">
        <v>86</v>
      </c>
      <c r="AX344" s="1" t="s">
        <v>86</v>
      </c>
      <c r="AY344" s="1" t="s">
        <v>86</v>
      </c>
      <c r="AZ344" s="1" t="s">
        <v>86</v>
      </c>
      <c r="BA344" s="1" t="s">
        <v>86</v>
      </c>
      <c r="BB344" s="1" t="s">
        <v>86</v>
      </c>
      <c r="BC344" s="1" t="s">
        <v>86</v>
      </c>
      <c r="BD344" s="1" t="s">
        <v>86</v>
      </c>
      <c r="BE344" s="1" t="s">
        <v>86</v>
      </c>
      <c r="BF344" s="1" t="s">
        <v>86</v>
      </c>
      <c r="BG344" s="1" t="s">
        <v>172</v>
      </c>
      <c r="BH344" s="1" t="s">
        <v>97</v>
      </c>
      <c r="BI344" s="1" t="s">
        <v>341</v>
      </c>
      <c r="BJ344" s="1" t="s">
        <v>87</v>
      </c>
      <c r="BK344" s="1">
        <v>0</v>
      </c>
      <c r="BL344" s="1">
        <v>0</v>
      </c>
      <c r="BM344" s="1" t="s">
        <v>86</v>
      </c>
      <c r="BN344" s="1" t="s">
        <v>1864</v>
      </c>
      <c r="BO344" s="1" t="s">
        <v>1865</v>
      </c>
      <c r="BP344" s="1" t="s">
        <v>86</v>
      </c>
      <c r="BQ344" s="1" t="s">
        <v>86</v>
      </c>
      <c r="BR344" s="1" t="s">
        <v>86</v>
      </c>
      <c r="BS344" s="1" t="s">
        <v>86</v>
      </c>
      <c r="BT344" s="1" t="s">
        <v>86</v>
      </c>
      <c r="BU344" s="1" t="s">
        <v>163</v>
      </c>
      <c r="BV344" s="1" t="s">
        <v>86</v>
      </c>
      <c r="BW344" s="1" t="s">
        <v>101</v>
      </c>
      <c r="BX344" s="1" t="s">
        <v>545</v>
      </c>
      <c r="BY344" s="1" t="s">
        <v>86</v>
      </c>
      <c r="BZ344" s="1" t="s">
        <v>1866</v>
      </c>
      <c r="CA344" s="1" t="s">
        <v>645</v>
      </c>
      <c r="CB344" s="1" t="s">
        <v>179</v>
      </c>
      <c r="CC344" s="1" t="s">
        <v>86</v>
      </c>
      <c r="CD344" s="1" t="s">
        <v>86</v>
      </c>
      <c r="CE344" s="1" t="s">
        <v>86</v>
      </c>
    </row>
    <row r="345">
      <c r="A345" s="1">
        <v>343</v>
      </c>
      <c r="B345" s="1" t="s">
        <v>395</v>
      </c>
      <c r="C345" s="2">
        <f>=HYPERLINK("https://i.stonehdfile.com/stoneimage?s=28d6010b-a5e9-4840-b119-4c20f5520fe1","Image")</f>
      </c>
      <c r="D345" s="2">
        <f>=HYPERLINK("https://dna.stonehdfile.com/hd/viewhd.html?d=8e4b0e32-7b78-422e-a27c-f638b32550c3","View360")</f>
      </c>
      <c r="E345" s="2">
        <f>=HYPERLINK("https://i.stonehdfile.com/Certificate?s=28d6010b-a5e9-4840-b119-4c20f5520fe1","GIA")</f>
      </c>
      <c r="F345" s="2">
        <f>=HYPERLINK("https://i.stonehdfile.com/DNAReport?s=28d6010b-a5e9-4840-b119-4c20f5520fe1","DNA")</f>
      </c>
      <c r="G345" s="2">
        <f>=HYPERLINK("https://www.gia.edu/report-check?reportno=******1817","Verify")</f>
      </c>
      <c r="H345" s="1" t="s">
        <v>1867</v>
      </c>
      <c r="I345" s="1" t="s">
        <v>135</v>
      </c>
      <c r="J345" s="1">
        <v>1.5</v>
      </c>
      <c r="K345" s="1">
        <v>3</v>
      </c>
      <c r="L345" s="1">
        <v>6000</v>
      </c>
      <c r="M345" s="1">
        <v>2009</v>
      </c>
      <c r="N345" s="1">
        <v>3013.5</v>
      </c>
      <c r="O345" s="1">
        <v>-66.52</v>
      </c>
      <c r="P345" s="1">
        <v>0</v>
      </c>
      <c r="Q345" s="1" t="s">
        <v>86</v>
      </c>
      <c r="R345" s="1">
        <v>0</v>
      </c>
      <c r="S345" s="1" t="s">
        <v>86</v>
      </c>
      <c r="T345" s="1" t="s">
        <v>86</v>
      </c>
      <c r="U345" s="1" t="s">
        <v>159</v>
      </c>
      <c r="V345" s="1" t="s">
        <v>86</v>
      </c>
      <c r="W345" s="1" t="s">
        <v>213</v>
      </c>
      <c r="X345" s="1" t="s">
        <v>86</v>
      </c>
      <c r="Y345" s="1" t="s">
        <v>89</v>
      </c>
      <c r="Z345" s="1" t="s">
        <v>138</v>
      </c>
      <c r="AA345" s="1" t="s">
        <v>87</v>
      </c>
      <c r="AB345" s="1" t="s">
        <v>86</v>
      </c>
      <c r="AC345" s="1" t="s">
        <v>1868</v>
      </c>
      <c r="AD345" s="1">
        <v>71.8</v>
      </c>
      <c r="AE345" s="1">
        <v>60</v>
      </c>
      <c r="AF345" s="1" t="s">
        <v>91</v>
      </c>
      <c r="AG345" s="1">
        <v>3.8</v>
      </c>
      <c r="AH345" s="1">
        <v>37.4</v>
      </c>
      <c r="AI345" s="1" t="s">
        <v>86</v>
      </c>
      <c r="AJ345" s="1">
        <v>1.16</v>
      </c>
      <c r="AK345" s="1" t="s">
        <v>198</v>
      </c>
      <c r="AL345" s="1" t="s">
        <v>93</v>
      </c>
      <c r="AM345" s="1" t="s">
        <v>151</v>
      </c>
      <c r="AN345" s="1" t="s">
        <v>171</v>
      </c>
      <c r="AO345" s="1" t="s">
        <v>208</v>
      </c>
      <c r="AP345" s="1" t="s">
        <v>95</v>
      </c>
      <c r="AQ345" s="1">
        <v>15.2</v>
      </c>
      <c r="AR345" s="1">
        <v>52.3</v>
      </c>
      <c r="AS345" s="1">
        <v>34.8</v>
      </c>
      <c r="AT345" s="1" t="s">
        <v>96</v>
      </c>
      <c r="AU345" s="1" t="s">
        <v>86</v>
      </c>
      <c r="AV345" s="1" t="s">
        <v>86</v>
      </c>
      <c r="AW345" s="1" t="s">
        <v>86</v>
      </c>
      <c r="AX345" s="1" t="s">
        <v>86</v>
      </c>
      <c r="AY345" s="1" t="s">
        <v>86</v>
      </c>
      <c r="AZ345" s="1" t="s">
        <v>86</v>
      </c>
      <c r="BA345" s="1" t="s">
        <v>86</v>
      </c>
      <c r="BB345" s="1" t="s">
        <v>86</v>
      </c>
      <c r="BC345" s="1" t="s">
        <v>86</v>
      </c>
      <c r="BD345" s="1" t="s">
        <v>86</v>
      </c>
      <c r="BE345" s="1" t="s">
        <v>86</v>
      </c>
      <c r="BF345" s="1" t="s">
        <v>86</v>
      </c>
      <c r="BG345" s="1" t="s">
        <v>86</v>
      </c>
      <c r="BH345" s="1" t="s">
        <v>97</v>
      </c>
      <c r="BI345" s="1" t="s">
        <v>216</v>
      </c>
      <c r="BJ345" s="1" t="s">
        <v>87</v>
      </c>
      <c r="BK345" s="1">
        <v>0</v>
      </c>
      <c r="BL345" s="1">
        <v>0</v>
      </c>
      <c r="BM345" s="1" t="s">
        <v>86</v>
      </c>
      <c r="BN345" s="1" t="s">
        <v>1869</v>
      </c>
      <c r="BO345" s="1" t="s">
        <v>1232</v>
      </c>
      <c r="BP345" s="1" t="s">
        <v>86</v>
      </c>
      <c r="BQ345" s="1" t="s">
        <v>86</v>
      </c>
      <c r="BR345" s="1" t="s">
        <v>86</v>
      </c>
      <c r="BS345" s="1" t="s">
        <v>86</v>
      </c>
      <c r="BT345" s="1" t="s">
        <v>86</v>
      </c>
      <c r="BU345" s="1" t="s">
        <v>163</v>
      </c>
      <c r="BV345" s="1" t="s">
        <v>86</v>
      </c>
      <c r="BW345" s="1" t="s">
        <v>101</v>
      </c>
      <c r="BX345" s="1" t="s">
        <v>423</v>
      </c>
      <c r="BY345" s="1" t="s">
        <v>86</v>
      </c>
      <c r="BZ345" s="1" t="s">
        <v>1870</v>
      </c>
      <c r="CA345" s="1" t="s">
        <v>278</v>
      </c>
      <c r="CB345" s="1" t="s">
        <v>269</v>
      </c>
      <c r="CC345" s="1" t="s">
        <v>86</v>
      </c>
      <c r="CD345" s="1" t="s">
        <v>86</v>
      </c>
      <c r="CE345" s="1" t="s">
        <v>86</v>
      </c>
    </row>
    <row r="346">
      <c r="A346" s="1">
        <v>344</v>
      </c>
      <c r="B346" s="1" t="s">
        <v>395</v>
      </c>
      <c r="C346" s="2">
        <f>=HYPERLINK("https://i.stonehdfile.com/stoneimage?s=2f6caf0e-a89b-4686-b31f-6b33cacc8310","Image")</f>
      </c>
      <c r="D346" s="2">
        <f>=HYPERLINK("https://dna.stonehdfile.com/hd/viewhd.html?d=0e14c040-7cd3-4170-bd6d-eb5fa11df4f3","View360")</f>
      </c>
      <c r="E346" s="2">
        <f>=HYPERLINK("https://i.stonehdfile.com/Certificate?s=2f6caf0e-a89b-4686-b31f-6b33cacc8310","GIA")</f>
      </c>
      <c r="F346" s="2">
        <f>=HYPERLINK("https://i.stonehdfile.com/DNAReport?s=2f6caf0e-a89b-4686-b31f-6b33cacc8310","DNA")</f>
      </c>
      <c r="G346" s="2">
        <f>=HYPERLINK("https://www.gia.edu/report-check?reportno=******5696","Verify")</f>
      </c>
      <c r="H346" s="1" t="s">
        <v>1871</v>
      </c>
      <c r="I346" s="1" t="s">
        <v>135</v>
      </c>
      <c r="J346" s="1">
        <v>1.7</v>
      </c>
      <c r="K346" s="1">
        <v>8</v>
      </c>
      <c r="L346" s="1">
        <v>12000</v>
      </c>
      <c r="M346" s="1">
        <v>6342</v>
      </c>
      <c r="N346" s="1">
        <v>10781.4</v>
      </c>
      <c r="O346" s="1">
        <v>-47.15</v>
      </c>
      <c r="P346" s="1">
        <v>0</v>
      </c>
      <c r="Q346" s="1" t="s">
        <v>86</v>
      </c>
      <c r="R346" s="1">
        <v>0</v>
      </c>
      <c r="S346" s="1" t="s">
        <v>86</v>
      </c>
      <c r="T346" s="1" t="s">
        <v>86</v>
      </c>
      <c r="U346" s="1" t="s">
        <v>168</v>
      </c>
      <c r="V346" s="1" t="s">
        <v>86</v>
      </c>
      <c r="W346" s="1" t="s">
        <v>352</v>
      </c>
      <c r="X346" s="1" t="s">
        <v>86</v>
      </c>
      <c r="Y346" s="1" t="s">
        <v>89</v>
      </c>
      <c r="Z346" s="1" t="s">
        <v>89</v>
      </c>
      <c r="AA346" s="1" t="s">
        <v>119</v>
      </c>
      <c r="AB346" s="1" t="s">
        <v>86</v>
      </c>
      <c r="AC346" s="1" t="s">
        <v>1872</v>
      </c>
      <c r="AD346" s="1">
        <v>68.1</v>
      </c>
      <c r="AE346" s="1">
        <v>63</v>
      </c>
      <c r="AF346" s="1" t="s">
        <v>91</v>
      </c>
      <c r="AG346" s="1">
        <v>2.1</v>
      </c>
      <c r="AH346" s="1">
        <v>35.3</v>
      </c>
      <c r="AI346" s="1" t="s">
        <v>86</v>
      </c>
      <c r="AJ346" s="1">
        <v>1.06</v>
      </c>
      <c r="AK346" s="1" t="s">
        <v>111</v>
      </c>
      <c r="AL346" s="1" t="s">
        <v>93</v>
      </c>
      <c r="AM346" s="1" t="s">
        <v>140</v>
      </c>
      <c r="AN346" s="1" t="s">
        <v>1346</v>
      </c>
      <c r="AO346" s="1" t="s">
        <v>94</v>
      </c>
      <c r="AP346" s="1" t="s">
        <v>95</v>
      </c>
      <c r="AQ346" s="1">
        <v>13.1</v>
      </c>
      <c r="AR346" s="1">
        <v>51.4</v>
      </c>
      <c r="AS346" s="1">
        <v>36.2</v>
      </c>
      <c r="AT346" s="1" t="s">
        <v>96</v>
      </c>
      <c r="AU346" s="1" t="s">
        <v>86</v>
      </c>
      <c r="AV346" s="1" t="s">
        <v>86</v>
      </c>
      <c r="AW346" s="1" t="s">
        <v>86</v>
      </c>
      <c r="AX346" s="1" t="s">
        <v>86</v>
      </c>
      <c r="AY346" s="1" t="s">
        <v>86</v>
      </c>
      <c r="AZ346" s="1" t="s">
        <v>86</v>
      </c>
      <c r="BA346" s="1" t="s">
        <v>86</v>
      </c>
      <c r="BB346" s="1" t="s">
        <v>86</v>
      </c>
      <c r="BC346" s="1" t="s">
        <v>86</v>
      </c>
      <c r="BD346" s="1" t="s">
        <v>86</v>
      </c>
      <c r="BE346" s="1" t="s">
        <v>86</v>
      </c>
      <c r="BF346" s="1" t="s">
        <v>86</v>
      </c>
      <c r="BG346" s="1" t="s">
        <v>86</v>
      </c>
      <c r="BH346" s="1" t="s">
        <v>657</v>
      </c>
      <c r="BI346" s="1" t="s">
        <v>516</v>
      </c>
      <c r="BJ346" s="1" t="s">
        <v>87</v>
      </c>
      <c r="BK346" s="1">
        <v>0</v>
      </c>
      <c r="BL346" s="1">
        <v>0</v>
      </c>
      <c r="BM346" s="1" t="s">
        <v>398</v>
      </c>
      <c r="BN346" s="1" t="s">
        <v>1873</v>
      </c>
      <c r="BO346" s="1" t="s">
        <v>1121</v>
      </c>
      <c r="BP346" s="1" t="s">
        <v>86</v>
      </c>
      <c r="BQ346" s="1" t="s">
        <v>86</v>
      </c>
      <c r="BR346" s="1" t="s">
        <v>86</v>
      </c>
      <c r="BS346" s="1" t="s">
        <v>86</v>
      </c>
      <c r="BT346" s="1" t="s">
        <v>86</v>
      </c>
      <c r="BU346" s="1" t="s">
        <v>163</v>
      </c>
      <c r="BV346" s="1" t="s">
        <v>86</v>
      </c>
      <c r="BW346" s="1" t="s">
        <v>101</v>
      </c>
      <c r="BX346" s="1" t="s">
        <v>545</v>
      </c>
      <c r="BY346" s="1" t="s">
        <v>86</v>
      </c>
      <c r="BZ346" s="1" t="s">
        <v>1874</v>
      </c>
      <c r="CA346" s="1" t="s">
        <v>312</v>
      </c>
      <c r="CB346" s="1" t="s">
        <v>166</v>
      </c>
      <c r="CC346" s="1" t="s">
        <v>86</v>
      </c>
      <c r="CD346" s="1" t="s">
        <v>86</v>
      </c>
      <c r="CE346" s="1" t="s">
        <v>86</v>
      </c>
    </row>
    <row r="347">
      <c r="A347" s="1">
        <v>345</v>
      </c>
      <c r="B347" s="1" t="s">
        <v>395</v>
      </c>
      <c r="C347" s="2">
        <f>=HYPERLINK("https://i.stonehdfile.com/stoneimage?s=5220c3fb-2f84-4b58-b23e-ff7a9eaf7d3a","Image")</f>
      </c>
      <c r="D347" s="2">
        <f>=HYPERLINK("https://dna.stonehdfile.com/hd/viewhd.html?d=4eeab2d6-6d51-4f50-a634-50eb2fd1a63c","View360")</f>
      </c>
      <c r="E347" s="2">
        <f>=HYPERLINK("https://i.stonehdfile.com/Certificate?s=5220c3fb-2f84-4b58-b23e-ff7a9eaf7d3a","GIA")</f>
      </c>
      <c r="F347" s="2">
        <f>=HYPERLINK("https://i.stonehdfile.com/DNAReport?s=5220c3fb-2f84-4b58-b23e-ff7a9eaf7d3a","DNA")</f>
      </c>
      <c r="G347" s="2">
        <f>=HYPERLINK("https://www.gia.edu/report-check?reportno=******2917","Verify")</f>
      </c>
      <c r="H347" s="1" t="s">
        <v>1875</v>
      </c>
      <c r="I347" s="1" t="s">
        <v>135</v>
      </c>
      <c r="J347" s="1">
        <v>1.7</v>
      </c>
      <c r="K347" s="1">
        <v>6</v>
      </c>
      <c r="L347" s="1">
        <v>12000</v>
      </c>
      <c r="M347" s="1">
        <v>4014</v>
      </c>
      <c r="N347" s="1">
        <v>6823.8</v>
      </c>
      <c r="O347" s="1">
        <v>-66.55</v>
      </c>
      <c r="P347" s="1">
        <v>0</v>
      </c>
      <c r="Q347" s="1" t="s">
        <v>86</v>
      </c>
      <c r="R347" s="1">
        <v>0</v>
      </c>
      <c r="S347" s="1" t="s">
        <v>86</v>
      </c>
      <c r="T347" s="1" t="s">
        <v>86</v>
      </c>
      <c r="U347" s="1" t="s">
        <v>168</v>
      </c>
      <c r="V347" s="1" t="s">
        <v>86</v>
      </c>
      <c r="W347" s="1" t="s">
        <v>223</v>
      </c>
      <c r="X347" s="1" t="s">
        <v>86</v>
      </c>
      <c r="Y347" s="1" t="s">
        <v>89</v>
      </c>
      <c r="Z347" s="1" t="s">
        <v>89</v>
      </c>
      <c r="AA347" s="1" t="s">
        <v>108</v>
      </c>
      <c r="AB347" s="1" t="s">
        <v>109</v>
      </c>
      <c r="AC347" s="1" t="s">
        <v>1876</v>
      </c>
      <c r="AD347" s="1">
        <v>70.4</v>
      </c>
      <c r="AE347" s="1">
        <v>64</v>
      </c>
      <c r="AF347" s="1" t="s">
        <v>91</v>
      </c>
      <c r="AG347" s="1">
        <v>2.5</v>
      </c>
      <c r="AH347" s="1">
        <v>35.5</v>
      </c>
      <c r="AI347" s="1" t="s">
        <v>86</v>
      </c>
      <c r="AJ347" s="1">
        <v>1.05</v>
      </c>
      <c r="AK347" s="1" t="s">
        <v>111</v>
      </c>
      <c r="AL347" s="1" t="s">
        <v>93</v>
      </c>
      <c r="AM347" s="1" t="s">
        <v>128</v>
      </c>
      <c r="AN347" s="1" t="s">
        <v>171</v>
      </c>
      <c r="AO347" s="1" t="s">
        <v>94</v>
      </c>
      <c r="AP347" s="1" t="s">
        <v>95</v>
      </c>
      <c r="AQ347" s="1">
        <v>12.9</v>
      </c>
      <c r="AR347" s="1">
        <v>53.6</v>
      </c>
      <c r="AS347" s="1">
        <v>36.1</v>
      </c>
      <c r="AT347" s="1" t="s">
        <v>96</v>
      </c>
      <c r="AU347" s="1" t="s">
        <v>86</v>
      </c>
      <c r="AV347" s="1" t="s">
        <v>86</v>
      </c>
      <c r="AW347" s="1" t="s">
        <v>86</v>
      </c>
      <c r="AX347" s="1" t="s">
        <v>86</v>
      </c>
      <c r="AY347" s="1" t="s">
        <v>86</v>
      </c>
      <c r="AZ347" s="1" t="s">
        <v>86</v>
      </c>
      <c r="BA347" s="1" t="s">
        <v>86</v>
      </c>
      <c r="BB347" s="1" t="s">
        <v>86</v>
      </c>
      <c r="BC347" s="1" t="s">
        <v>86</v>
      </c>
      <c r="BD347" s="1" t="s">
        <v>86</v>
      </c>
      <c r="BE347" s="1" t="s">
        <v>86</v>
      </c>
      <c r="BF347" s="1" t="s">
        <v>86</v>
      </c>
      <c r="BG347" s="1" t="s">
        <v>86</v>
      </c>
      <c r="BH347" s="1" t="s">
        <v>429</v>
      </c>
      <c r="BI347" s="1" t="s">
        <v>328</v>
      </c>
      <c r="BJ347" s="1" t="s">
        <v>87</v>
      </c>
      <c r="BK347" s="1">
        <v>0</v>
      </c>
      <c r="BL347" s="1">
        <v>0</v>
      </c>
      <c r="BM347" s="1" t="s">
        <v>398</v>
      </c>
      <c r="BN347" s="1" t="s">
        <v>1877</v>
      </c>
      <c r="BO347" s="1" t="s">
        <v>1277</v>
      </c>
      <c r="BP347" s="1" t="s">
        <v>86</v>
      </c>
      <c r="BQ347" s="1" t="s">
        <v>86</v>
      </c>
      <c r="BR347" s="1" t="s">
        <v>86</v>
      </c>
      <c r="BS347" s="1" t="s">
        <v>86</v>
      </c>
      <c r="BT347" s="1" t="s">
        <v>86</v>
      </c>
      <c r="BU347" s="1" t="s">
        <v>163</v>
      </c>
      <c r="BV347" s="1" t="s">
        <v>86</v>
      </c>
      <c r="BW347" s="1" t="s">
        <v>101</v>
      </c>
      <c r="BX347" s="1" t="s">
        <v>545</v>
      </c>
      <c r="BY347" s="1" t="s">
        <v>86</v>
      </c>
      <c r="BZ347" s="1" t="s">
        <v>1878</v>
      </c>
      <c r="CA347" s="1" t="s">
        <v>1879</v>
      </c>
      <c r="CB347" s="1" t="s">
        <v>86</v>
      </c>
      <c r="CC347" s="1" t="s">
        <v>86</v>
      </c>
      <c r="CD347" s="1" t="s">
        <v>86</v>
      </c>
      <c r="CE347" s="1" t="s">
        <v>86</v>
      </c>
    </row>
    <row r="348">
      <c r="A348" s="1">
        <v>346</v>
      </c>
      <c r="B348" s="1" t="s">
        <v>395</v>
      </c>
      <c r="C348" s="2">
        <f>=HYPERLINK("https://i.stonehdfile.com/stoneimage?s=9814ea01-a7b4-4f39-a161-17d18d0d3099","Image")</f>
      </c>
      <c r="D348" s="2">
        <f>=HYPERLINK("https://dna.stonehdfile.com/hd/viewhd.html?d=c53e748f-3d25-4228-9ad8-1565492cd515","View360")</f>
      </c>
      <c r="E348" s="2">
        <f>=HYPERLINK("https://i.stonehdfile.com/Certificate?s=9814ea01-a7b4-4f39-a161-17d18d0d3099","GIA")</f>
      </c>
      <c r="F348" s="2">
        <f>=HYPERLINK("https://i.stonehdfile.com/DNAReport?s=9814ea01-a7b4-4f39-a161-17d18d0d3099","DNA")</f>
      </c>
      <c r="G348" s="2">
        <f>=HYPERLINK("https://www.gia.edu/report-check?reportno=******4103","Verify")</f>
      </c>
      <c r="H348" s="1" t="s">
        <v>1880</v>
      </c>
      <c r="I348" s="1" t="s">
        <v>135</v>
      </c>
      <c r="J348" s="1">
        <v>1.71</v>
      </c>
      <c r="K348" s="1">
        <v>6</v>
      </c>
      <c r="L348" s="1">
        <v>12000</v>
      </c>
      <c r="M348" s="1">
        <v>5908</v>
      </c>
      <c r="N348" s="1">
        <v>10102.68</v>
      </c>
      <c r="O348" s="1">
        <v>-50.77</v>
      </c>
      <c r="P348" s="1">
        <v>0</v>
      </c>
      <c r="Q348" s="1" t="s">
        <v>86</v>
      </c>
      <c r="R348" s="1">
        <v>0</v>
      </c>
      <c r="S348" s="1" t="s">
        <v>86</v>
      </c>
      <c r="T348" s="1" t="s">
        <v>86</v>
      </c>
      <c r="U348" s="1" t="s">
        <v>168</v>
      </c>
      <c r="V348" s="1" t="s">
        <v>86</v>
      </c>
      <c r="W348" s="1" t="s">
        <v>223</v>
      </c>
      <c r="X348" s="1" t="s">
        <v>86</v>
      </c>
      <c r="Y348" s="1" t="s">
        <v>89</v>
      </c>
      <c r="Z348" s="1" t="s">
        <v>89</v>
      </c>
      <c r="AA348" s="1" t="s">
        <v>87</v>
      </c>
      <c r="AB348" s="1" t="s">
        <v>86</v>
      </c>
      <c r="AC348" s="1" t="s">
        <v>1881</v>
      </c>
      <c r="AD348" s="1">
        <v>68</v>
      </c>
      <c r="AE348" s="1">
        <v>65</v>
      </c>
      <c r="AF348" s="1" t="s">
        <v>91</v>
      </c>
      <c r="AG348" s="1">
        <v>2.2</v>
      </c>
      <c r="AH348" s="1">
        <v>34.6</v>
      </c>
      <c r="AI348" s="1" t="s">
        <v>86</v>
      </c>
      <c r="AJ348" s="1">
        <v>1.1</v>
      </c>
      <c r="AK348" s="1" t="s">
        <v>198</v>
      </c>
      <c r="AL348" s="1" t="s">
        <v>140</v>
      </c>
      <c r="AM348" s="1" t="s">
        <v>93</v>
      </c>
      <c r="AN348" s="1" t="s">
        <v>168</v>
      </c>
      <c r="AO348" s="1" t="s">
        <v>94</v>
      </c>
      <c r="AP348" s="1" t="s">
        <v>95</v>
      </c>
      <c r="AQ348" s="1">
        <v>12.2</v>
      </c>
      <c r="AR348" s="1">
        <v>52.9</v>
      </c>
      <c r="AS348" s="1">
        <v>36.5</v>
      </c>
      <c r="AT348" s="1" t="s">
        <v>96</v>
      </c>
      <c r="AU348" s="1" t="s">
        <v>86</v>
      </c>
      <c r="AV348" s="1" t="s">
        <v>86</v>
      </c>
      <c r="AW348" s="1" t="s">
        <v>86</v>
      </c>
      <c r="AX348" s="1" t="s">
        <v>86</v>
      </c>
      <c r="AY348" s="1" t="s">
        <v>86</v>
      </c>
      <c r="AZ348" s="1" t="s">
        <v>86</v>
      </c>
      <c r="BA348" s="1" t="s">
        <v>86</v>
      </c>
      <c r="BB348" s="1" t="s">
        <v>86</v>
      </c>
      <c r="BC348" s="1" t="s">
        <v>86</v>
      </c>
      <c r="BD348" s="1" t="s">
        <v>86</v>
      </c>
      <c r="BE348" s="1" t="s">
        <v>86</v>
      </c>
      <c r="BF348" s="1" t="s">
        <v>86</v>
      </c>
      <c r="BG348" s="1" t="s">
        <v>172</v>
      </c>
      <c r="BH348" s="1" t="s">
        <v>142</v>
      </c>
      <c r="BI348" s="1" t="s">
        <v>420</v>
      </c>
      <c r="BJ348" s="1" t="s">
        <v>87</v>
      </c>
      <c r="BK348" s="1">
        <v>0</v>
      </c>
      <c r="BL348" s="1">
        <v>0</v>
      </c>
      <c r="BM348" s="1" t="s">
        <v>398</v>
      </c>
      <c r="BN348" s="1" t="s">
        <v>986</v>
      </c>
      <c r="BO348" s="1" t="s">
        <v>284</v>
      </c>
      <c r="BP348" s="1" t="s">
        <v>86</v>
      </c>
      <c r="BQ348" s="1" t="s">
        <v>86</v>
      </c>
      <c r="BR348" s="1" t="s">
        <v>86</v>
      </c>
      <c r="BS348" s="1" t="s">
        <v>86</v>
      </c>
      <c r="BT348" s="1" t="s">
        <v>86</v>
      </c>
      <c r="BU348" s="1" t="s">
        <v>163</v>
      </c>
      <c r="BV348" s="1" t="s">
        <v>86</v>
      </c>
      <c r="BW348" s="1" t="s">
        <v>101</v>
      </c>
      <c r="BX348" s="1" t="s">
        <v>414</v>
      </c>
      <c r="BY348" s="1" t="s">
        <v>86</v>
      </c>
      <c r="BZ348" s="1" t="s">
        <v>1882</v>
      </c>
      <c r="CA348" s="1" t="s">
        <v>350</v>
      </c>
      <c r="CB348" s="1" t="s">
        <v>1883</v>
      </c>
      <c r="CC348" s="1" t="s">
        <v>86</v>
      </c>
      <c r="CD348" s="1" t="s">
        <v>86</v>
      </c>
      <c r="CE348" s="1" t="s">
        <v>86</v>
      </c>
    </row>
    <row r="349">
      <c r="A349" s="1">
        <v>347</v>
      </c>
      <c r="B349" s="1" t="s">
        <v>395</v>
      </c>
      <c r="C349" s="2">
        <f>=HYPERLINK("https://i.stonehdfile.com/stoneimage?s=333f437f-6ed0-4f92-928d-061f750b1e46","Image")</f>
      </c>
      <c r="D349" s="2">
        <f>=HYPERLINK("https://dna.stonehdfile.com/hd/viewhd.html?d=16a2b3b7-5f90-48ed-a8e7-4c881eab2c74","View360")</f>
      </c>
      <c r="E349" s="2">
        <f>=HYPERLINK("https://i.stonehdfile.com/Certificate?s=333f437f-6ed0-4f92-928d-061f750b1e46","GIA")</f>
      </c>
      <c r="F349" s="2">
        <f>=HYPERLINK("https://i.stonehdfile.com/DNAReport?s=333f437f-6ed0-4f92-928d-061f750b1e46","DNA")</f>
      </c>
      <c r="G349" s="2">
        <f>=HYPERLINK("https://www.gia.edu/report-check?reportno=******3305","Verify")</f>
      </c>
      <c r="H349" s="1" t="s">
        <v>1884</v>
      </c>
      <c r="I349" s="1" t="s">
        <v>135</v>
      </c>
      <c r="J349" s="1">
        <v>1.7</v>
      </c>
      <c r="K349" s="1">
        <v>7</v>
      </c>
      <c r="L349" s="1">
        <v>12200</v>
      </c>
      <c r="M349" s="1">
        <v>6880</v>
      </c>
      <c r="N349" s="1">
        <v>11696</v>
      </c>
      <c r="O349" s="1">
        <v>-43.61</v>
      </c>
      <c r="P349" s="1">
        <v>0</v>
      </c>
      <c r="Q349" s="1" t="s">
        <v>86</v>
      </c>
      <c r="R349" s="1">
        <v>0</v>
      </c>
      <c r="S349" s="1" t="s">
        <v>86</v>
      </c>
      <c r="T349" s="1" t="s">
        <v>86</v>
      </c>
      <c r="U349" s="1" t="s">
        <v>87</v>
      </c>
      <c r="V349" s="1" t="s">
        <v>86</v>
      </c>
      <c r="W349" s="1" t="s">
        <v>149</v>
      </c>
      <c r="X349" s="1" t="s">
        <v>86</v>
      </c>
      <c r="Y349" s="1" t="s">
        <v>89</v>
      </c>
      <c r="Z349" s="1" t="s">
        <v>89</v>
      </c>
      <c r="AA349" s="1" t="s">
        <v>119</v>
      </c>
      <c r="AB349" s="1" t="s">
        <v>86</v>
      </c>
      <c r="AC349" s="1" t="s">
        <v>1885</v>
      </c>
      <c r="AD349" s="1">
        <v>69.1</v>
      </c>
      <c r="AE349" s="1">
        <v>64</v>
      </c>
      <c r="AF349" s="1" t="s">
        <v>91</v>
      </c>
      <c r="AG349" s="1">
        <v>3.1</v>
      </c>
      <c r="AH349" s="1">
        <v>36.6</v>
      </c>
      <c r="AI349" s="1" t="s">
        <v>86</v>
      </c>
      <c r="AJ349" s="1">
        <v>1.09</v>
      </c>
      <c r="AK349" s="1" t="s">
        <v>111</v>
      </c>
      <c r="AL349" s="1" t="s">
        <v>93</v>
      </c>
      <c r="AM349" s="1" t="s">
        <v>93</v>
      </c>
      <c r="AN349" s="1" t="s">
        <v>86</v>
      </c>
      <c r="AO349" s="1" t="s">
        <v>94</v>
      </c>
      <c r="AP349" s="1" t="s">
        <v>95</v>
      </c>
      <c r="AQ349" s="1">
        <v>13.5</v>
      </c>
      <c r="AR349" s="1">
        <v>51.5</v>
      </c>
      <c r="AS349" s="1">
        <v>35.9</v>
      </c>
      <c r="AT349" s="1" t="s">
        <v>96</v>
      </c>
      <c r="AU349" s="1" t="s">
        <v>86</v>
      </c>
      <c r="AV349" s="1" t="s">
        <v>86</v>
      </c>
      <c r="AW349" s="1" t="s">
        <v>86</v>
      </c>
      <c r="AX349" s="1" t="s">
        <v>86</v>
      </c>
      <c r="AY349" s="1" t="s">
        <v>86</v>
      </c>
      <c r="AZ349" s="1" t="s">
        <v>86</v>
      </c>
      <c r="BA349" s="1" t="s">
        <v>86</v>
      </c>
      <c r="BB349" s="1" t="s">
        <v>86</v>
      </c>
      <c r="BC349" s="1" t="s">
        <v>86</v>
      </c>
      <c r="BD349" s="1" t="s">
        <v>86</v>
      </c>
      <c r="BE349" s="1" t="s">
        <v>86</v>
      </c>
      <c r="BF349" s="1" t="s">
        <v>86</v>
      </c>
      <c r="BG349" s="1" t="s">
        <v>172</v>
      </c>
      <c r="BH349" s="1" t="s">
        <v>182</v>
      </c>
      <c r="BI349" s="1" t="s">
        <v>174</v>
      </c>
      <c r="BJ349" s="1" t="s">
        <v>87</v>
      </c>
      <c r="BK349" s="1">
        <v>0</v>
      </c>
      <c r="BL349" s="1">
        <v>0</v>
      </c>
      <c r="BM349" s="1" t="s">
        <v>398</v>
      </c>
      <c r="BN349" s="1" t="s">
        <v>1886</v>
      </c>
      <c r="BO349" s="1" t="s">
        <v>604</v>
      </c>
      <c r="BP349" s="1" t="s">
        <v>86</v>
      </c>
      <c r="BQ349" s="1" t="s">
        <v>86</v>
      </c>
      <c r="BR349" s="1" t="s">
        <v>86</v>
      </c>
      <c r="BS349" s="1" t="s">
        <v>438</v>
      </c>
      <c r="BT349" s="1" t="s">
        <v>86</v>
      </c>
      <c r="BU349" s="1" t="s">
        <v>163</v>
      </c>
      <c r="BV349" s="1" t="s">
        <v>86</v>
      </c>
      <c r="BW349" s="1" t="s">
        <v>101</v>
      </c>
      <c r="BX349" s="1" t="s">
        <v>439</v>
      </c>
      <c r="BY349" s="1" t="s">
        <v>86</v>
      </c>
      <c r="BZ349" s="1" t="s">
        <v>1887</v>
      </c>
      <c r="CA349" s="1" t="s">
        <v>606</v>
      </c>
      <c r="CB349" s="1" t="s">
        <v>700</v>
      </c>
      <c r="CC349" s="1" t="s">
        <v>86</v>
      </c>
      <c r="CD349" s="1" t="s">
        <v>86</v>
      </c>
      <c r="CE349" s="1" t="s">
        <v>86</v>
      </c>
    </row>
    <row r="350">
      <c r="A350" s="1">
        <v>348</v>
      </c>
      <c r="B350" s="1" t="s">
        <v>395</v>
      </c>
      <c r="C350" s="2">
        <f>=HYPERLINK("https://i.stonehdfile.com/stoneimage?s=38088059-9605-433b-8547-7b646c6ea14b","Image")</f>
      </c>
      <c r="D350" s="2">
        <f>=HYPERLINK("https://dna.stonehdfile.com/hd/viewhd.html?d=86af4eb7-c283-4151-891e-e97971ca5937","View360")</f>
      </c>
      <c r="E350" s="2">
        <f>=HYPERLINK("https://i.stonehdfile.com/Certificate?s=38088059-9605-433b-8547-7b646c6ea14b","GIA")</f>
      </c>
      <c r="F350" s="2">
        <f>=HYPERLINK("https://i.stonehdfile.com/DNAReport?s=38088059-9605-433b-8547-7b646c6ea14b","DNA")</f>
      </c>
      <c r="G350" s="2">
        <f>=HYPERLINK("https://www.gia.edu/report-check?reportno=******2863","Verify")</f>
      </c>
      <c r="H350" s="1" t="s">
        <v>1888</v>
      </c>
      <c r="I350" s="1" t="s">
        <v>135</v>
      </c>
      <c r="J350" s="1">
        <v>1.7</v>
      </c>
      <c r="K350" s="1">
        <v>8</v>
      </c>
      <c r="L350" s="1">
        <v>11200</v>
      </c>
      <c r="M350" s="1">
        <v>6353</v>
      </c>
      <c r="N350" s="1">
        <v>10800.1</v>
      </c>
      <c r="O350" s="1">
        <v>-43.28</v>
      </c>
      <c r="P350" s="1">
        <v>0</v>
      </c>
      <c r="Q350" s="1" t="s">
        <v>86</v>
      </c>
      <c r="R350" s="1">
        <v>0</v>
      </c>
      <c r="S350" s="1" t="s">
        <v>86</v>
      </c>
      <c r="T350" s="1" t="s">
        <v>86</v>
      </c>
      <c r="U350" s="1" t="s">
        <v>106</v>
      </c>
      <c r="V350" s="1" t="s">
        <v>86</v>
      </c>
      <c r="W350" s="1" t="s">
        <v>107</v>
      </c>
      <c r="X350" s="1" t="s">
        <v>86</v>
      </c>
      <c r="Y350" s="1" t="s">
        <v>89</v>
      </c>
      <c r="Z350" s="1" t="s">
        <v>89</v>
      </c>
      <c r="AA350" s="1" t="s">
        <v>119</v>
      </c>
      <c r="AB350" s="1" t="s">
        <v>86</v>
      </c>
      <c r="AC350" s="1" t="s">
        <v>1889</v>
      </c>
      <c r="AD350" s="1">
        <v>68.6</v>
      </c>
      <c r="AE350" s="1">
        <v>63</v>
      </c>
      <c r="AF350" s="1" t="s">
        <v>91</v>
      </c>
      <c r="AG350" s="1">
        <v>2.8</v>
      </c>
      <c r="AH350" s="1">
        <v>35.7</v>
      </c>
      <c r="AI350" s="1" t="s">
        <v>86</v>
      </c>
      <c r="AJ350" s="1">
        <v>1.01</v>
      </c>
      <c r="AK350" s="1" t="s">
        <v>111</v>
      </c>
      <c r="AL350" s="1" t="s">
        <v>93</v>
      </c>
      <c r="AM350" s="1" t="s">
        <v>93</v>
      </c>
      <c r="AN350" s="1" t="s">
        <v>86</v>
      </c>
      <c r="AO350" s="1" t="s">
        <v>94</v>
      </c>
      <c r="AP350" s="1" t="s">
        <v>95</v>
      </c>
      <c r="AQ350" s="1">
        <v>13.2</v>
      </c>
      <c r="AR350" s="1">
        <v>51.2</v>
      </c>
      <c r="AS350" s="1">
        <v>36.1</v>
      </c>
      <c r="AT350" s="1" t="s">
        <v>96</v>
      </c>
      <c r="AU350" s="1" t="s">
        <v>86</v>
      </c>
      <c r="AV350" s="1" t="s">
        <v>86</v>
      </c>
      <c r="AW350" s="1" t="s">
        <v>86</v>
      </c>
      <c r="AX350" s="1" t="s">
        <v>86</v>
      </c>
      <c r="AY350" s="1" t="s">
        <v>86</v>
      </c>
      <c r="AZ350" s="1" t="s">
        <v>86</v>
      </c>
      <c r="BA350" s="1" t="s">
        <v>86</v>
      </c>
      <c r="BB350" s="1" t="s">
        <v>86</v>
      </c>
      <c r="BC350" s="1" t="s">
        <v>86</v>
      </c>
      <c r="BD350" s="1" t="s">
        <v>86</v>
      </c>
      <c r="BE350" s="1" t="s">
        <v>86</v>
      </c>
      <c r="BF350" s="1" t="s">
        <v>86</v>
      </c>
      <c r="BG350" s="1" t="s">
        <v>86</v>
      </c>
      <c r="BH350" s="1" t="s">
        <v>182</v>
      </c>
      <c r="BI350" s="1" t="s">
        <v>322</v>
      </c>
      <c r="BJ350" s="1" t="s">
        <v>87</v>
      </c>
      <c r="BK350" s="1">
        <v>0</v>
      </c>
      <c r="BL350" s="1">
        <v>0</v>
      </c>
      <c r="BM350" s="1" t="s">
        <v>398</v>
      </c>
      <c r="BN350" s="1" t="s">
        <v>1890</v>
      </c>
      <c r="BO350" s="1" t="s">
        <v>815</v>
      </c>
      <c r="BP350" s="1" t="s">
        <v>86</v>
      </c>
      <c r="BQ350" s="1" t="s">
        <v>86</v>
      </c>
      <c r="BR350" s="1" t="s">
        <v>86</v>
      </c>
      <c r="BS350" s="1" t="s">
        <v>86</v>
      </c>
      <c r="BT350" s="1" t="s">
        <v>86</v>
      </c>
      <c r="BU350" s="1" t="s">
        <v>163</v>
      </c>
      <c r="BV350" s="1" t="s">
        <v>86</v>
      </c>
      <c r="BW350" s="1" t="s">
        <v>101</v>
      </c>
      <c r="BX350" s="1" t="s">
        <v>470</v>
      </c>
      <c r="BY350" s="1" t="s">
        <v>86</v>
      </c>
      <c r="BZ350" s="1" t="s">
        <v>1891</v>
      </c>
      <c r="CA350" s="1" t="s">
        <v>1892</v>
      </c>
      <c r="CB350" s="1" t="s">
        <v>156</v>
      </c>
      <c r="CC350" s="1" t="s">
        <v>86</v>
      </c>
      <c r="CD350" s="1" t="s">
        <v>86</v>
      </c>
      <c r="CE350" s="1" t="s">
        <v>86</v>
      </c>
    </row>
    <row r="351">
      <c r="A351" s="4">
        <v>349</v>
      </c>
      <c r="B351" s="4" t="s">
        <v>395</v>
      </c>
      <c r="C351" s="2">
        <f>=HYPERLINK("https://i.stonehdfile.com/stoneimage?s=3aa794cb-40a2-4b56-ae34-9e0db6d41313","Image")</f>
      </c>
      <c r="D351" s="2">
        <f>=HYPERLINK("https://dna.stonehdfile.com/hd/viewhd.html?d=148a5982-8afe-4ed0-a548-a60d6bb4193b","View360")</f>
      </c>
      <c r="E351" s="2">
        <f>=HYPERLINK("https://i.stonehdfile.com/Certificate?s=3aa794cb-40a2-4b56-ae34-9e0db6d41313","GIA")</f>
      </c>
      <c r="F351" s="2">
        <f>=HYPERLINK("https://i.stonehdfile.com/DNAReport?s=3aa794cb-40a2-4b56-ae34-9e0db6d41313","DNA")</f>
      </c>
      <c r="G351" s="2">
        <f>=HYPERLINK("https://www.gia.edu/report-check?reportno=******1600","Verify")</f>
      </c>
      <c r="H351" s="4" t="s">
        <v>1893</v>
      </c>
      <c r="I351" s="4" t="s">
        <v>135</v>
      </c>
      <c r="J351" s="4">
        <v>1.7</v>
      </c>
      <c r="K351" s="4">
        <v>3</v>
      </c>
      <c r="L351" s="4">
        <v>10100</v>
      </c>
      <c r="M351" s="4">
        <v>4788</v>
      </c>
      <c r="N351" s="4">
        <v>8139.6</v>
      </c>
      <c r="O351" s="4">
        <v>-52.59</v>
      </c>
      <c r="P351" s="4">
        <v>0</v>
      </c>
      <c r="Q351" s="4" t="s">
        <v>1097</v>
      </c>
      <c r="R351" s="4">
        <v>0</v>
      </c>
      <c r="S351" s="4" t="s">
        <v>86</v>
      </c>
      <c r="T351" s="4" t="s">
        <v>1098</v>
      </c>
      <c r="U351" s="4" t="s">
        <v>241</v>
      </c>
      <c r="V351" s="4" t="s">
        <v>86</v>
      </c>
      <c r="W351" s="4" t="s">
        <v>223</v>
      </c>
      <c r="X351" s="4" t="s">
        <v>86</v>
      </c>
      <c r="Y351" s="4" t="s">
        <v>89</v>
      </c>
      <c r="Z351" s="4" t="s">
        <v>89</v>
      </c>
      <c r="AA351" s="4" t="s">
        <v>119</v>
      </c>
      <c r="AB351" s="4" t="s">
        <v>86</v>
      </c>
      <c r="AC351" s="4" t="s">
        <v>1894</v>
      </c>
      <c r="AD351" s="4">
        <v>71</v>
      </c>
      <c r="AE351" s="4">
        <v>59</v>
      </c>
      <c r="AF351" s="4" t="s">
        <v>91</v>
      </c>
      <c r="AG351" s="4">
        <v>3.5</v>
      </c>
      <c r="AH351" s="4">
        <v>37.3</v>
      </c>
      <c r="AI351" s="4" t="s">
        <v>86</v>
      </c>
      <c r="AJ351" s="4">
        <v>1.03</v>
      </c>
      <c r="AK351" s="4" t="s">
        <v>111</v>
      </c>
      <c r="AL351" s="4" t="s">
        <v>93</v>
      </c>
      <c r="AM351" s="4" t="s">
        <v>128</v>
      </c>
      <c r="AN351" s="4" t="s">
        <v>171</v>
      </c>
      <c r="AO351" s="4" t="s">
        <v>94</v>
      </c>
      <c r="AP351" s="4" t="s">
        <v>95</v>
      </c>
      <c r="AQ351" s="4">
        <v>15.6</v>
      </c>
      <c r="AR351" s="4">
        <v>50.8</v>
      </c>
      <c r="AS351" s="4">
        <v>35</v>
      </c>
      <c r="AT351" s="4" t="s">
        <v>96</v>
      </c>
      <c r="AU351" s="4" t="s">
        <v>86</v>
      </c>
      <c r="AV351" s="4" t="s">
        <v>86</v>
      </c>
      <c r="AW351" s="4" t="s">
        <v>86</v>
      </c>
      <c r="AX351" s="4" t="s">
        <v>86</v>
      </c>
      <c r="AY351" s="4" t="s">
        <v>86</v>
      </c>
      <c r="AZ351" s="4" t="s">
        <v>86</v>
      </c>
      <c r="BA351" s="4" t="s">
        <v>86</v>
      </c>
      <c r="BB351" s="4" t="s">
        <v>86</v>
      </c>
      <c r="BC351" s="4" t="s">
        <v>86</v>
      </c>
      <c r="BD351" s="4" t="s">
        <v>86</v>
      </c>
      <c r="BE351" s="4" t="s">
        <v>86</v>
      </c>
      <c r="BF351" s="4" t="s">
        <v>86</v>
      </c>
      <c r="BG351" s="4" t="s">
        <v>86</v>
      </c>
      <c r="BH351" s="4" t="s">
        <v>97</v>
      </c>
      <c r="BI351" s="4" t="s">
        <v>183</v>
      </c>
      <c r="BJ351" s="4" t="s">
        <v>87</v>
      </c>
      <c r="BK351" s="4">
        <v>0</v>
      </c>
      <c r="BL351" s="4">
        <v>0</v>
      </c>
      <c r="BM351" s="4" t="s">
        <v>398</v>
      </c>
      <c r="BN351" s="4" t="s">
        <v>1895</v>
      </c>
      <c r="BO351" s="4" t="s">
        <v>1896</v>
      </c>
      <c r="BP351" s="4" t="s">
        <v>86</v>
      </c>
      <c r="BQ351" s="4" t="s">
        <v>86</v>
      </c>
      <c r="BR351" s="4" t="s">
        <v>86</v>
      </c>
      <c r="BS351" s="4" t="s">
        <v>86</v>
      </c>
      <c r="BT351" s="4" t="s">
        <v>86</v>
      </c>
      <c r="BU351" s="4" t="s">
        <v>163</v>
      </c>
      <c r="BV351" s="4" t="s">
        <v>86</v>
      </c>
      <c r="BW351" s="4" t="s">
        <v>101</v>
      </c>
      <c r="BX351" s="4" t="s">
        <v>423</v>
      </c>
      <c r="BY351" s="4" t="s">
        <v>86</v>
      </c>
      <c r="BZ351" s="4" t="s">
        <v>1897</v>
      </c>
      <c r="CA351" s="4" t="s">
        <v>297</v>
      </c>
      <c r="CB351" s="4" t="s">
        <v>166</v>
      </c>
      <c r="CC351" s="4" t="s">
        <v>86</v>
      </c>
      <c r="CD351" s="4" t="s">
        <v>86</v>
      </c>
      <c r="CE351" s="4" t="s">
        <v>86</v>
      </c>
    </row>
    <row r="352">
      <c r="A352" s="1">
        <v>350</v>
      </c>
      <c r="B352" s="1" t="s">
        <v>395</v>
      </c>
      <c r="C352" s="2">
        <f>=HYPERLINK("https://i.stonehdfile.com/stoneimage?s=2acc2327-d15f-4b91-a0d9-b6950b2a5048","Image")</f>
      </c>
      <c r="D352" s="2">
        <f>=HYPERLINK("https://dna.stonehdfile.com/hd/viewhd.html?d=13cd28f6-98d7-4c98-a3ff-f4c918d34876","View360")</f>
      </c>
      <c r="E352" s="2">
        <f>=HYPERLINK("https://i.stonehdfile.com/Certificate?s=2acc2327-d15f-4b91-a0d9-b6950b2a5048","GIA")</f>
      </c>
      <c r="F352" s="2">
        <f>=HYPERLINK("https://i.stonehdfile.com/DNAReport?s=2acc2327-d15f-4b91-a0d9-b6950b2a5048","DNA")</f>
      </c>
      <c r="G352" s="2">
        <f>=HYPERLINK("https://www.gia.edu/report-check?reportno=******7957","Verify")</f>
      </c>
      <c r="H352" s="1" t="s">
        <v>1898</v>
      </c>
      <c r="I352" s="1" t="s">
        <v>135</v>
      </c>
      <c r="J352" s="1">
        <v>1.7</v>
      </c>
      <c r="K352" s="1">
        <v>8</v>
      </c>
      <c r="L352" s="1">
        <v>8000</v>
      </c>
      <c r="M352" s="1">
        <v>3354</v>
      </c>
      <c r="N352" s="1">
        <v>5701.8</v>
      </c>
      <c r="O352" s="1">
        <v>-58.08</v>
      </c>
      <c r="P352" s="1">
        <v>0</v>
      </c>
      <c r="Q352" s="1" t="s">
        <v>86</v>
      </c>
      <c r="R352" s="1">
        <v>0</v>
      </c>
      <c r="S352" s="1" t="s">
        <v>86</v>
      </c>
      <c r="T352" s="1" t="s">
        <v>86</v>
      </c>
      <c r="U352" s="1" t="s">
        <v>375</v>
      </c>
      <c r="V352" s="1" t="s">
        <v>86</v>
      </c>
      <c r="W352" s="1" t="s">
        <v>206</v>
      </c>
      <c r="X352" s="1" t="s">
        <v>86</v>
      </c>
      <c r="Y352" s="1" t="s">
        <v>89</v>
      </c>
      <c r="Z352" s="1" t="s">
        <v>89</v>
      </c>
      <c r="AA352" s="1" t="s">
        <v>119</v>
      </c>
      <c r="AB352" s="1" t="s">
        <v>86</v>
      </c>
      <c r="AC352" s="1" t="s">
        <v>1899</v>
      </c>
      <c r="AD352" s="1">
        <v>70.7</v>
      </c>
      <c r="AE352" s="1">
        <v>65</v>
      </c>
      <c r="AF352" s="1" t="s">
        <v>91</v>
      </c>
      <c r="AG352" s="1">
        <v>4</v>
      </c>
      <c r="AH352" s="1">
        <v>34.7</v>
      </c>
      <c r="AI352" s="1" t="s">
        <v>86</v>
      </c>
      <c r="AJ352" s="1">
        <v>1.17</v>
      </c>
      <c r="AK352" s="1" t="s">
        <v>198</v>
      </c>
      <c r="AL352" s="1" t="s">
        <v>140</v>
      </c>
      <c r="AM352" s="1" t="s">
        <v>151</v>
      </c>
      <c r="AN352" s="1" t="s">
        <v>171</v>
      </c>
      <c r="AO352" s="1" t="s">
        <v>208</v>
      </c>
      <c r="AP352" s="1" t="s">
        <v>95</v>
      </c>
      <c r="AQ352" s="1">
        <v>12.1</v>
      </c>
      <c r="AR352" s="1">
        <v>54.1</v>
      </c>
      <c r="AS352" s="1">
        <v>35</v>
      </c>
      <c r="AT352" s="1" t="s">
        <v>96</v>
      </c>
      <c r="AU352" s="1" t="s">
        <v>86</v>
      </c>
      <c r="AV352" s="1" t="s">
        <v>86</v>
      </c>
      <c r="AW352" s="1" t="s">
        <v>86</v>
      </c>
      <c r="AX352" s="1" t="s">
        <v>86</v>
      </c>
      <c r="AY352" s="1" t="s">
        <v>86</v>
      </c>
      <c r="AZ352" s="1" t="s">
        <v>86</v>
      </c>
      <c r="BA352" s="1" t="s">
        <v>86</v>
      </c>
      <c r="BB352" s="1" t="s">
        <v>86</v>
      </c>
      <c r="BC352" s="1" t="s">
        <v>86</v>
      </c>
      <c r="BD352" s="1" t="s">
        <v>86</v>
      </c>
      <c r="BE352" s="1" t="s">
        <v>86</v>
      </c>
      <c r="BF352" s="1" t="s">
        <v>282</v>
      </c>
      <c r="BG352" s="1" t="s">
        <v>86</v>
      </c>
      <c r="BH352" s="1" t="s">
        <v>215</v>
      </c>
      <c r="BI352" s="1" t="s">
        <v>225</v>
      </c>
      <c r="BJ352" s="1" t="s">
        <v>87</v>
      </c>
      <c r="BK352" s="1">
        <v>0</v>
      </c>
      <c r="BL352" s="1">
        <v>0</v>
      </c>
      <c r="BM352" s="1" t="s">
        <v>398</v>
      </c>
      <c r="BN352" s="1" t="s">
        <v>1900</v>
      </c>
      <c r="BO352" s="1" t="s">
        <v>324</v>
      </c>
      <c r="BP352" s="1" t="s">
        <v>86</v>
      </c>
      <c r="BQ352" s="1" t="s">
        <v>86</v>
      </c>
      <c r="BR352" s="1" t="s">
        <v>86</v>
      </c>
      <c r="BS352" s="1" t="s">
        <v>86</v>
      </c>
      <c r="BT352" s="1" t="s">
        <v>86</v>
      </c>
      <c r="BU352" s="1" t="s">
        <v>163</v>
      </c>
      <c r="BV352" s="1" t="s">
        <v>86</v>
      </c>
      <c r="BW352" s="1" t="s">
        <v>101</v>
      </c>
      <c r="BX352" s="1" t="s">
        <v>470</v>
      </c>
      <c r="BY352" s="1" t="s">
        <v>86</v>
      </c>
      <c r="BZ352" s="1" t="s">
        <v>1901</v>
      </c>
      <c r="CA352" s="1" t="s">
        <v>229</v>
      </c>
      <c r="CB352" s="1" t="s">
        <v>286</v>
      </c>
      <c r="CC352" s="1" t="s">
        <v>86</v>
      </c>
      <c r="CD352" s="1" t="s">
        <v>86</v>
      </c>
      <c r="CE352" s="1" t="s">
        <v>86</v>
      </c>
    </row>
    <row r="353">
      <c r="A353" s="1">
        <v>351</v>
      </c>
      <c r="B353" s="1" t="s">
        <v>395</v>
      </c>
      <c r="C353" s="2">
        <f>=HYPERLINK("https://i.stonehdfile.com/stoneimage?s=794b86c1-f15b-4b60-bb97-4d10b109b583","Image")</f>
      </c>
      <c r="D353" s="2">
        <f>=HYPERLINK("https://dna.stonehdfile.com/hd/viewhd.html?d=2455f916-8785-42e9-82cc-a2dd121aac77","View360")</f>
      </c>
      <c r="E353" s="2">
        <f>=HYPERLINK("https://i.stonehdfile.com/Certificate?s=794b86c1-f15b-4b60-bb97-4d10b109b583","GIA")</f>
      </c>
      <c r="F353" s="2">
        <f>=HYPERLINK("https://i.stonehdfile.com/DNAReport?s=794b86c1-f15b-4b60-bb97-4d10b109b583","DNA")</f>
      </c>
      <c r="G353" s="2">
        <f>=HYPERLINK("https://www.gia.edu/report-check?reportno=******1105","Verify")</f>
      </c>
      <c r="H353" s="1" t="s">
        <v>1902</v>
      </c>
      <c r="I353" s="1" t="s">
        <v>135</v>
      </c>
      <c r="J353" s="1">
        <v>1.71</v>
      </c>
      <c r="K353" s="1">
        <v>5</v>
      </c>
      <c r="L353" s="1">
        <v>7400</v>
      </c>
      <c r="M353" s="1">
        <v>3923</v>
      </c>
      <c r="N353" s="1">
        <v>6708.33</v>
      </c>
      <c r="O353" s="1">
        <v>-46.99</v>
      </c>
      <c r="P353" s="1">
        <v>0</v>
      </c>
      <c r="Q353" s="1" t="s">
        <v>86</v>
      </c>
      <c r="R353" s="1">
        <v>0</v>
      </c>
      <c r="S353" s="1" t="s">
        <v>86</v>
      </c>
      <c r="T353" s="1" t="s">
        <v>86</v>
      </c>
      <c r="U353" s="1" t="s">
        <v>159</v>
      </c>
      <c r="V353" s="1" t="s">
        <v>86</v>
      </c>
      <c r="W353" s="1" t="s">
        <v>223</v>
      </c>
      <c r="X353" s="1" t="s">
        <v>86</v>
      </c>
      <c r="Y353" s="1" t="s">
        <v>89</v>
      </c>
      <c r="Z353" s="1" t="s">
        <v>89</v>
      </c>
      <c r="AA353" s="1" t="s">
        <v>119</v>
      </c>
      <c r="AB353" s="1" t="s">
        <v>86</v>
      </c>
      <c r="AC353" s="1" t="s">
        <v>1903</v>
      </c>
      <c r="AD353" s="1">
        <v>69.3</v>
      </c>
      <c r="AE353" s="1">
        <v>60</v>
      </c>
      <c r="AF353" s="1" t="s">
        <v>91</v>
      </c>
      <c r="AG353" s="1">
        <v>3.2</v>
      </c>
      <c r="AH353" s="1">
        <v>36.1</v>
      </c>
      <c r="AI353" s="1" t="s">
        <v>86</v>
      </c>
      <c r="AJ353" s="1">
        <v>1.01</v>
      </c>
      <c r="AK353" s="1" t="s">
        <v>111</v>
      </c>
      <c r="AL353" s="1" t="s">
        <v>128</v>
      </c>
      <c r="AM353" s="1" t="s">
        <v>128</v>
      </c>
      <c r="AN353" s="1" t="s">
        <v>171</v>
      </c>
      <c r="AO353" s="1" t="s">
        <v>94</v>
      </c>
      <c r="AP353" s="1" t="s">
        <v>95</v>
      </c>
      <c r="AQ353" s="1">
        <v>14.5</v>
      </c>
      <c r="AR353" s="1">
        <v>50.8</v>
      </c>
      <c r="AS353" s="1">
        <v>35.6</v>
      </c>
      <c r="AT353" s="1" t="s">
        <v>96</v>
      </c>
      <c r="AU353" s="1" t="s">
        <v>86</v>
      </c>
      <c r="AV353" s="1" t="s">
        <v>86</v>
      </c>
      <c r="AW353" s="1" t="s">
        <v>86</v>
      </c>
      <c r="AX353" s="1" t="s">
        <v>86</v>
      </c>
      <c r="AY353" s="1" t="s">
        <v>86</v>
      </c>
      <c r="AZ353" s="1" t="s">
        <v>86</v>
      </c>
      <c r="BA353" s="1" t="s">
        <v>86</v>
      </c>
      <c r="BB353" s="1" t="s">
        <v>86</v>
      </c>
      <c r="BC353" s="1" t="s">
        <v>86</v>
      </c>
      <c r="BD353" s="1" t="s">
        <v>86</v>
      </c>
      <c r="BE353" s="1" t="s">
        <v>86</v>
      </c>
      <c r="BF353" s="1" t="s">
        <v>86</v>
      </c>
      <c r="BG353" s="1" t="s">
        <v>86</v>
      </c>
      <c r="BH353" s="1" t="s">
        <v>182</v>
      </c>
      <c r="BI353" s="1" t="s">
        <v>199</v>
      </c>
      <c r="BJ353" s="1" t="s">
        <v>87</v>
      </c>
      <c r="BK353" s="1">
        <v>0</v>
      </c>
      <c r="BL353" s="1">
        <v>0</v>
      </c>
      <c r="BM353" s="1" t="s">
        <v>398</v>
      </c>
      <c r="BN353" s="1" t="s">
        <v>1904</v>
      </c>
      <c r="BO353" s="1" t="s">
        <v>726</v>
      </c>
      <c r="BP353" s="1" t="s">
        <v>86</v>
      </c>
      <c r="BQ353" s="1" t="s">
        <v>86</v>
      </c>
      <c r="BR353" s="1" t="s">
        <v>86</v>
      </c>
      <c r="BS353" s="1" t="s">
        <v>86</v>
      </c>
      <c r="BT353" s="1" t="s">
        <v>86</v>
      </c>
      <c r="BU353" s="1" t="s">
        <v>163</v>
      </c>
      <c r="BV353" s="1" t="s">
        <v>86</v>
      </c>
      <c r="BW353" s="1" t="s">
        <v>101</v>
      </c>
      <c r="BX353" s="1" t="s">
        <v>423</v>
      </c>
      <c r="BY353" s="1" t="s">
        <v>86</v>
      </c>
      <c r="BZ353" s="1" t="s">
        <v>1905</v>
      </c>
      <c r="CA353" s="1" t="s">
        <v>416</v>
      </c>
      <c r="CB353" s="1" t="s">
        <v>221</v>
      </c>
      <c r="CC353" s="1" t="s">
        <v>86</v>
      </c>
      <c r="CD353" s="1" t="s">
        <v>86</v>
      </c>
      <c r="CE353" s="1" t="s">
        <v>86</v>
      </c>
    </row>
    <row r="354">
      <c r="A354" s="1">
        <v>352</v>
      </c>
      <c r="B354" s="1" t="s">
        <v>395</v>
      </c>
      <c r="C354" s="2">
        <f>=HYPERLINK("https://i.stonehdfile.com/stoneimage?s=8f1286ce-2a4f-4af5-b32c-0d2b6706ac5b","Image")</f>
      </c>
      <c r="D354" s="2">
        <f>=HYPERLINK("https://dna.stonehdfile.com/hd/viewhd.html?d=2e27e4d2-b224-425b-93a0-75ddbc730ab2","View360")</f>
      </c>
      <c r="E354" s="2">
        <f>=HYPERLINK("https://i.stonehdfile.com/Certificate?s=8f1286ce-2a4f-4af5-b32c-0d2b6706ac5b","GIA")</f>
      </c>
      <c r="F354" s="2">
        <f>=HYPERLINK("https://i.stonehdfile.com/DNAReport?s=8f1286ce-2a4f-4af5-b32c-0d2b6706ac5b","DNA")</f>
      </c>
      <c r="G354" s="2">
        <f>=HYPERLINK("https://www.gia.edu/report-check?reportno=******2302","Verify")</f>
      </c>
      <c r="H354" s="1" t="s">
        <v>1906</v>
      </c>
      <c r="I354" s="1" t="s">
        <v>135</v>
      </c>
      <c r="J354" s="1">
        <v>1.7</v>
      </c>
      <c r="K354" s="1">
        <v>3</v>
      </c>
      <c r="L354" s="1">
        <v>7000</v>
      </c>
      <c r="M354" s="1">
        <v>3041</v>
      </c>
      <c r="N354" s="1">
        <v>5169.7</v>
      </c>
      <c r="O354" s="1">
        <v>-56.56</v>
      </c>
      <c r="P354" s="1">
        <v>0</v>
      </c>
      <c r="Q354" s="1" t="s">
        <v>86</v>
      </c>
      <c r="R354" s="1">
        <v>0</v>
      </c>
      <c r="S354" s="1" t="s">
        <v>86</v>
      </c>
      <c r="T354" s="1" t="s">
        <v>86</v>
      </c>
      <c r="U354" s="1" t="s">
        <v>118</v>
      </c>
      <c r="V354" s="1" t="s">
        <v>86</v>
      </c>
      <c r="W354" s="1" t="s">
        <v>137</v>
      </c>
      <c r="X354" s="1" t="s">
        <v>86</v>
      </c>
      <c r="Y354" s="1" t="s">
        <v>89</v>
      </c>
      <c r="Z354" s="1" t="s">
        <v>89</v>
      </c>
      <c r="AA354" s="1" t="s">
        <v>119</v>
      </c>
      <c r="AB354" s="1" t="s">
        <v>86</v>
      </c>
      <c r="AC354" s="1" t="s">
        <v>1907</v>
      </c>
      <c r="AD354" s="1">
        <v>71.6</v>
      </c>
      <c r="AE354" s="1">
        <v>62</v>
      </c>
      <c r="AF354" s="1" t="s">
        <v>91</v>
      </c>
      <c r="AG354" s="1">
        <v>4.9</v>
      </c>
      <c r="AH354" s="1">
        <v>36.6</v>
      </c>
      <c r="AI354" s="1" t="s">
        <v>86</v>
      </c>
      <c r="AJ354" s="1">
        <v>1</v>
      </c>
      <c r="AK354" s="1" t="s">
        <v>111</v>
      </c>
      <c r="AL354" s="1" t="s">
        <v>140</v>
      </c>
      <c r="AM354" s="1" t="s">
        <v>128</v>
      </c>
      <c r="AN354" s="1" t="s">
        <v>171</v>
      </c>
      <c r="AO354" s="1" t="s">
        <v>94</v>
      </c>
      <c r="AP354" s="1" t="s">
        <v>95</v>
      </c>
      <c r="AQ354" s="1">
        <v>14.1</v>
      </c>
      <c r="AR354" s="1">
        <v>51.3</v>
      </c>
      <c r="AS354" s="1">
        <v>36.2</v>
      </c>
      <c r="AT354" s="1" t="s">
        <v>96</v>
      </c>
      <c r="AU354" s="1" t="s">
        <v>86</v>
      </c>
      <c r="AV354" s="1" t="s">
        <v>86</v>
      </c>
      <c r="AW354" s="1" t="s">
        <v>86</v>
      </c>
      <c r="AX354" s="1" t="s">
        <v>86</v>
      </c>
      <c r="AY354" s="1" t="s">
        <v>86</v>
      </c>
      <c r="AZ354" s="1" t="s">
        <v>86</v>
      </c>
      <c r="BA354" s="1" t="s">
        <v>86</v>
      </c>
      <c r="BB354" s="1" t="s">
        <v>86</v>
      </c>
      <c r="BC354" s="1" t="s">
        <v>86</v>
      </c>
      <c r="BD354" s="1" t="s">
        <v>86</v>
      </c>
      <c r="BE354" s="1" t="s">
        <v>86</v>
      </c>
      <c r="BF354" s="1" t="s">
        <v>86</v>
      </c>
      <c r="BG354" s="1" t="s">
        <v>86</v>
      </c>
      <c r="BH354" s="1" t="s">
        <v>121</v>
      </c>
      <c r="BI354" s="1" t="s">
        <v>244</v>
      </c>
      <c r="BJ354" s="1" t="s">
        <v>87</v>
      </c>
      <c r="BK354" s="1">
        <v>0</v>
      </c>
      <c r="BL354" s="1">
        <v>0</v>
      </c>
      <c r="BM354" s="1" t="s">
        <v>398</v>
      </c>
      <c r="BN354" s="1" t="s">
        <v>1908</v>
      </c>
      <c r="BO354" s="1" t="s">
        <v>324</v>
      </c>
      <c r="BP354" s="1" t="s">
        <v>86</v>
      </c>
      <c r="BQ354" s="1" t="s">
        <v>86</v>
      </c>
      <c r="BR354" s="1" t="s">
        <v>86</v>
      </c>
      <c r="BS354" s="1" t="s">
        <v>86</v>
      </c>
      <c r="BT354" s="1" t="s">
        <v>86</v>
      </c>
      <c r="BU354" s="1" t="s">
        <v>163</v>
      </c>
      <c r="BV354" s="1" t="s">
        <v>86</v>
      </c>
      <c r="BW354" s="1" t="s">
        <v>101</v>
      </c>
      <c r="BX354" s="1" t="s">
        <v>545</v>
      </c>
      <c r="BY354" s="1" t="s">
        <v>86</v>
      </c>
      <c r="BZ354" s="1" t="s">
        <v>1909</v>
      </c>
      <c r="CA354" s="1" t="s">
        <v>645</v>
      </c>
      <c r="CB354" s="1" t="s">
        <v>166</v>
      </c>
      <c r="CC354" s="1" t="s">
        <v>86</v>
      </c>
      <c r="CD354" s="1" t="s">
        <v>86</v>
      </c>
      <c r="CE354" s="1" t="s">
        <v>86</v>
      </c>
    </row>
    <row r="355">
      <c r="A355" s="1">
        <v>353</v>
      </c>
      <c r="B355" s="1" t="s">
        <v>395</v>
      </c>
      <c r="C355" s="2">
        <f>=HYPERLINK("https://i.stonehdfile.com/stoneimage?s=eb8424c0-50a9-4454-b62a-c5d6b78e64ab","Image")</f>
      </c>
      <c r="D355" s="2">
        <f>=HYPERLINK("https://dna.stonehdfile.com/hd/viewhd.html?d=06a1d277-2d3c-4fde-870e-4b273d154424","View360")</f>
      </c>
      <c r="E355" s="2">
        <f>=HYPERLINK("https://i.stonehdfile.com/Certificate?s=eb8424c0-50a9-4454-b62a-c5d6b78e64ab","GIA")</f>
      </c>
      <c r="F355" s="2">
        <f>=HYPERLINK("https://i.stonehdfile.com/DNAReport?s=eb8424c0-50a9-4454-b62a-c5d6b78e64ab","DNA")</f>
      </c>
      <c r="G355" s="2">
        <f>=HYPERLINK("https://www.gia.edu/report-check?reportno=******7119","Verify")</f>
      </c>
      <c r="H355" s="1" t="s">
        <v>1910</v>
      </c>
      <c r="I355" s="1" t="s">
        <v>135</v>
      </c>
      <c r="J355" s="1">
        <v>1.7</v>
      </c>
      <c r="K355" s="1">
        <v>8</v>
      </c>
      <c r="L355" s="1">
        <v>6000</v>
      </c>
      <c r="M355" s="1">
        <v>2997</v>
      </c>
      <c r="N355" s="1">
        <v>5094.9</v>
      </c>
      <c r="O355" s="1">
        <v>-50.05</v>
      </c>
      <c r="P355" s="1">
        <v>0</v>
      </c>
      <c r="Q355" s="1" t="s">
        <v>86</v>
      </c>
      <c r="R355" s="1">
        <v>0</v>
      </c>
      <c r="S355" s="1" t="s">
        <v>86</v>
      </c>
      <c r="T355" s="1" t="s">
        <v>86</v>
      </c>
      <c r="U355" s="1" t="s">
        <v>159</v>
      </c>
      <c r="V355" s="1" t="s">
        <v>86</v>
      </c>
      <c r="W355" s="1" t="s">
        <v>213</v>
      </c>
      <c r="X355" s="1" t="s">
        <v>86</v>
      </c>
      <c r="Y355" s="1" t="s">
        <v>89</v>
      </c>
      <c r="Z355" s="1" t="s">
        <v>89</v>
      </c>
      <c r="AA355" s="1" t="s">
        <v>119</v>
      </c>
      <c r="AB355" s="1" t="s">
        <v>86</v>
      </c>
      <c r="AC355" s="1" t="s">
        <v>1911</v>
      </c>
      <c r="AD355" s="1">
        <v>70.2</v>
      </c>
      <c r="AE355" s="1">
        <v>59</v>
      </c>
      <c r="AF355" s="1" t="s">
        <v>91</v>
      </c>
      <c r="AG355" s="1">
        <v>2.2</v>
      </c>
      <c r="AH355" s="1">
        <v>37.1</v>
      </c>
      <c r="AI355" s="1" t="s">
        <v>86</v>
      </c>
      <c r="AJ355" s="1">
        <v>1.04</v>
      </c>
      <c r="AK355" s="1" t="s">
        <v>111</v>
      </c>
      <c r="AL355" s="1" t="s">
        <v>140</v>
      </c>
      <c r="AM355" s="1" t="s">
        <v>140</v>
      </c>
      <c r="AN355" s="1" t="s">
        <v>171</v>
      </c>
      <c r="AO355" s="1" t="s">
        <v>94</v>
      </c>
      <c r="AP355" s="1" t="s">
        <v>95</v>
      </c>
      <c r="AQ355" s="1">
        <v>15.5</v>
      </c>
      <c r="AR355" s="1">
        <v>49.5</v>
      </c>
      <c r="AS355" s="1">
        <v>34.3</v>
      </c>
      <c r="AT355" s="1" t="s">
        <v>96</v>
      </c>
      <c r="AU355" s="1" t="s">
        <v>86</v>
      </c>
      <c r="AV355" s="1" t="s">
        <v>141</v>
      </c>
      <c r="AW355" s="1" t="s">
        <v>86</v>
      </c>
      <c r="AX355" s="1" t="s">
        <v>86</v>
      </c>
      <c r="AY355" s="1" t="s">
        <v>86</v>
      </c>
      <c r="AZ355" s="1" t="s">
        <v>86</v>
      </c>
      <c r="BA355" s="1" t="s">
        <v>86</v>
      </c>
      <c r="BB355" s="1" t="s">
        <v>86</v>
      </c>
      <c r="BC355" s="1" t="s">
        <v>86</v>
      </c>
      <c r="BD355" s="1" t="s">
        <v>86</v>
      </c>
      <c r="BE355" s="1" t="s">
        <v>86</v>
      </c>
      <c r="BF355" s="1" t="s">
        <v>86</v>
      </c>
      <c r="BG355" s="1" t="s">
        <v>86</v>
      </c>
      <c r="BH355" s="1" t="s">
        <v>142</v>
      </c>
      <c r="BI355" s="1" t="s">
        <v>420</v>
      </c>
      <c r="BJ355" s="1" t="s">
        <v>87</v>
      </c>
      <c r="BK355" s="1">
        <v>0</v>
      </c>
      <c r="BL355" s="1">
        <v>0</v>
      </c>
      <c r="BM355" s="1" t="s">
        <v>86</v>
      </c>
      <c r="BN355" s="1" t="s">
        <v>1912</v>
      </c>
      <c r="BO355" s="1" t="s">
        <v>201</v>
      </c>
      <c r="BP355" s="1" t="s">
        <v>86</v>
      </c>
      <c r="BQ355" s="1" t="s">
        <v>86</v>
      </c>
      <c r="BR355" s="1" t="s">
        <v>86</v>
      </c>
      <c r="BS355" s="1" t="s">
        <v>86</v>
      </c>
      <c r="BT355" s="1" t="s">
        <v>86</v>
      </c>
      <c r="BU355" s="1" t="s">
        <v>163</v>
      </c>
      <c r="BV355" s="1" t="s">
        <v>86</v>
      </c>
      <c r="BW355" s="1" t="s">
        <v>101</v>
      </c>
      <c r="BX355" s="1" t="s">
        <v>530</v>
      </c>
      <c r="BY355" s="1" t="s">
        <v>86</v>
      </c>
      <c r="BZ355" s="1" t="s">
        <v>1913</v>
      </c>
      <c r="CA355" s="1" t="s">
        <v>178</v>
      </c>
      <c r="CB355" s="1" t="s">
        <v>166</v>
      </c>
      <c r="CC355" s="1" t="s">
        <v>86</v>
      </c>
      <c r="CD355" s="1" t="s">
        <v>86</v>
      </c>
      <c r="CE355" s="1" t="s">
        <v>86</v>
      </c>
    </row>
    <row r="356">
      <c r="A356" s="1">
        <v>354</v>
      </c>
      <c r="B356" s="1" t="s">
        <v>395</v>
      </c>
      <c r="C356" s="2">
        <f>=HYPERLINK("https://i.stonehdfile.com/stoneimage?s=cb7139bd-dcf0-44e9-af62-73944e368f88","Image")</f>
      </c>
      <c r="D356" s="2">
        <f>=HYPERLINK("https://dna.stonehdfile.com/hd/viewhd.html?d=2971ecee-e7a4-468d-92b2-2405ed8a5c9f","View360")</f>
      </c>
      <c r="E356" s="2">
        <f>=HYPERLINK("https://i.stonehdfile.com/Certificate?s=cb7139bd-dcf0-44e9-af62-73944e368f88","GIA")</f>
      </c>
      <c r="F356" s="2">
        <f>=HYPERLINK("https://i.stonehdfile.com/DNAReport?s=cb7139bd-dcf0-44e9-af62-73944e368f88","DNA")</f>
      </c>
      <c r="G356" s="2">
        <f>=HYPERLINK("https://www.gia.edu/report-check?reportno=******0091","Verify")</f>
      </c>
      <c r="H356" s="1" t="s">
        <v>1914</v>
      </c>
      <c r="I356" s="1" t="s">
        <v>135</v>
      </c>
      <c r="J356" s="1">
        <v>1.7</v>
      </c>
      <c r="K356" s="1">
        <v>3</v>
      </c>
      <c r="L356" s="1">
        <v>6000</v>
      </c>
      <c r="M356" s="1">
        <v>2483</v>
      </c>
      <c r="N356" s="1">
        <v>4221.1</v>
      </c>
      <c r="O356" s="1">
        <v>-58.62</v>
      </c>
      <c r="P356" s="1">
        <v>0</v>
      </c>
      <c r="Q356" s="1" t="s">
        <v>86</v>
      </c>
      <c r="R356" s="1">
        <v>0</v>
      </c>
      <c r="S356" s="1" t="s">
        <v>86</v>
      </c>
      <c r="T356" s="1" t="s">
        <v>86</v>
      </c>
      <c r="U356" s="1" t="s">
        <v>118</v>
      </c>
      <c r="V356" s="1" t="s">
        <v>86</v>
      </c>
      <c r="W356" s="1" t="s">
        <v>213</v>
      </c>
      <c r="X356" s="1" t="s">
        <v>86</v>
      </c>
      <c r="Y356" s="1" t="s">
        <v>89</v>
      </c>
      <c r="Z356" s="1" t="s">
        <v>89</v>
      </c>
      <c r="AA356" s="1" t="s">
        <v>119</v>
      </c>
      <c r="AB356" s="1" t="s">
        <v>86</v>
      </c>
      <c r="AC356" s="1" t="s">
        <v>1915</v>
      </c>
      <c r="AD356" s="1">
        <v>71.1</v>
      </c>
      <c r="AE356" s="1">
        <v>64</v>
      </c>
      <c r="AF356" s="1" t="s">
        <v>91</v>
      </c>
      <c r="AG356" s="1">
        <v>2.8</v>
      </c>
      <c r="AH356" s="1">
        <v>36.4</v>
      </c>
      <c r="AI356" s="1" t="s">
        <v>86</v>
      </c>
      <c r="AJ356" s="1">
        <v>1</v>
      </c>
      <c r="AK356" s="1" t="s">
        <v>111</v>
      </c>
      <c r="AL356" s="1" t="s">
        <v>140</v>
      </c>
      <c r="AM356" s="1" t="s">
        <v>151</v>
      </c>
      <c r="AN356" s="1" t="s">
        <v>168</v>
      </c>
      <c r="AO356" s="1" t="s">
        <v>208</v>
      </c>
      <c r="AP356" s="1" t="s">
        <v>95</v>
      </c>
      <c r="AQ356" s="1">
        <v>13.1</v>
      </c>
      <c r="AR356" s="1">
        <v>53</v>
      </c>
      <c r="AS356" s="1">
        <v>35.9</v>
      </c>
      <c r="AT356" s="1" t="s">
        <v>96</v>
      </c>
      <c r="AU356" s="1" t="s">
        <v>86</v>
      </c>
      <c r="AV356" s="1" t="s">
        <v>86</v>
      </c>
      <c r="AW356" s="1" t="s">
        <v>86</v>
      </c>
      <c r="AX356" s="1" t="s">
        <v>86</v>
      </c>
      <c r="AY356" s="1" t="s">
        <v>86</v>
      </c>
      <c r="AZ356" s="1" t="s">
        <v>86</v>
      </c>
      <c r="BA356" s="1" t="s">
        <v>86</v>
      </c>
      <c r="BB356" s="1" t="s">
        <v>86</v>
      </c>
      <c r="BC356" s="1" t="s">
        <v>86</v>
      </c>
      <c r="BD356" s="1" t="s">
        <v>86</v>
      </c>
      <c r="BE356" s="1" t="s">
        <v>86</v>
      </c>
      <c r="BF356" s="1" t="s">
        <v>86</v>
      </c>
      <c r="BG356" s="1" t="s">
        <v>86</v>
      </c>
      <c r="BH356" s="1" t="s">
        <v>97</v>
      </c>
      <c r="BI356" s="1" t="s">
        <v>322</v>
      </c>
      <c r="BJ356" s="1" t="s">
        <v>87</v>
      </c>
      <c r="BK356" s="1">
        <v>0</v>
      </c>
      <c r="BL356" s="1">
        <v>0</v>
      </c>
      <c r="BM356" s="1" t="s">
        <v>398</v>
      </c>
      <c r="BN356" s="1" t="s">
        <v>1916</v>
      </c>
      <c r="BO356" s="1" t="s">
        <v>153</v>
      </c>
      <c r="BP356" s="1" t="s">
        <v>86</v>
      </c>
      <c r="BQ356" s="1" t="s">
        <v>86</v>
      </c>
      <c r="BR356" s="1" t="s">
        <v>86</v>
      </c>
      <c r="BS356" s="1" t="s">
        <v>86</v>
      </c>
      <c r="BT356" s="1" t="s">
        <v>86</v>
      </c>
      <c r="BU356" s="1" t="s">
        <v>163</v>
      </c>
      <c r="BV356" s="1" t="s">
        <v>86</v>
      </c>
      <c r="BW356" s="1" t="s">
        <v>101</v>
      </c>
      <c r="BX356" s="1" t="s">
        <v>545</v>
      </c>
      <c r="BY356" s="1" t="s">
        <v>86</v>
      </c>
      <c r="BZ356" s="1" t="s">
        <v>1917</v>
      </c>
      <c r="CA356" s="1" t="s">
        <v>178</v>
      </c>
      <c r="CB356" s="1" t="s">
        <v>166</v>
      </c>
      <c r="CC356" s="1" t="s">
        <v>86</v>
      </c>
      <c r="CD356" s="1" t="s">
        <v>86</v>
      </c>
      <c r="CE356" s="1" t="s">
        <v>86</v>
      </c>
    </row>
    <row r="357">
      <c r="A357" s="1">
        <v>355</v>
      </c>
      <c r="B357" s="1" t="s">
        <v>395</v>
      </c>
      <c r="C357" s="2">
        <f>=HYPERLINK("https://i.stonehdfile.com/stoneimage?s=fbca1ba5-0179-4733-8541-1d4826f686c5","Image")</f>
      </c>
      <c r="D357" s="2">
        <f>=HYPERLINK("https://dna.stonehdfile.com/hd/viewhd.html?d=a22eb03b-e0b8-4ba8-b828-ef1f73057105","View360")</f>
      </c>
      <c r="E357" s="2">
        <f>=HYPERLINK("https://i.stonehdfile.com/Certificate?s=fbca1ba5-0179-4733-8541-1d4826f686c5","GIA")</f>
      </c>
      <c r="F357" s="2">
        <f>=HYPERLINK("https://i.stonehdfile.com/DNAReport?s=fbca1ba5-0179-4733-8541-1d4826f686c5","DNA")</f>
      </c>
      <c r="G357" s="2">
        <f>=HYPERLINK("https://www.gia.edu/report-check?reportno=******9752","Verify")</f>
      </c>
      <c r="H357" s="1" t="s">
        <v>1918</v>
      </c>
      <c r="I357" s="1" t="s">
        <v>135</v>
      </c>
      <c r="J357" s="1">
        <v>2.01</v>
      </c>
      <c r="K357" s="1">
        <v>3</v>
      </c>
      <c r="L357" s="1">
        <v>15500</v>
      </c>
      <c r="M357" s="1">
        <v>8043</v>
      </c>
      <c r="N357" s="1">
        <v>16166.43</v>
      </c>
      <c r="O357" s="1">
        <v>-48.11</v>
      </c>
      <c r="P357" s="1">
        <v>0</v>
      </c>
      <c r="Q357" s="1" t="s">
        <v>86</v>
      </c>
      <c r="R357" s="1">
        <v>0</v>
      </c>
      <c r="S357" s="1" t="s">
        <v>86</v>
      </c>
      <c r="T357" s="1" t="s">
        <v>86</v>
      </c>
      <c r="U357" s="1" t="s">
        <v>241</v>
      </c>
      <c r="V357" s="1" t="s">
        <v>86</v>
      </c>
      <c r="W357" s="1" t="s">
        <v>107</v>
      </c>
      <c r="X357" s="1" t="s">
        <v>86</v>
      </c>
      <c r="Y357" s="1" t="s">
        <v>89</v>
      </c>
      <c r="Z357" s="1" t="s">
        <v>89</v>
      </c>
      <c r="AA357" s="1" t="s">
        <v>119</v>
      </c>
      <c r="AB357" s="1" t="s">
        <v>86</v>
      </c>
      <c r="AC357" s="1" t="s">
        <v>1919</v>
      </c>
      <c r="AD357" s="1">
        <v>69.5</v>
      </c>
      <c r="AE357" s="1">
        <v>66</v>
      </c>
      <c r="AF357" s="1" t="s">
        <v>91</v>
      </c>
      <c r="AG357" s="1">
        <v>3.6</v>
      </c>
      <c r="AH357" s="1">
        <v>34.1</v>
      </c>
      <c r="AI357" s="1" t="s">
        <v>86</v>
      </c>
      <c r="AJ357" s="1">
        <v>1.18</v>
      </c>
      <c r="AK357" s="1" t="s">
        <v>111</v>
      </c>
      <c r="AL357" s="1" t="s">
        <v>93</v>
      </c>
      <c r="AM357" s="1" t="s">
        <v>93</v>
      </c>
      <c r="AN357" s="1" t="s">
        <v>86</v>
      </c>
      <c r="AO357" s="1" t="s">
        <v>94</v>
      </c>
      <c r="AP357" s="1" t="s">
        <v>95</v>
      </c>
      <c r="AQ357" s="1">
        <v>11.7</v>
      </c>
      <c r="AR357" s="1">
        <v>53.8</v>
      </c>
      <c r="AS357" s="1">
        <v>38.5</v>
      </c>
      <c r="AT357" s="1" t="s">
        <v>96</v>
      </c>
      <c r="AU357" s="1" t="s">
        <v>86</v>
      </c>
      <c r="AV357" s="1" t="s">
        <v>86</v>
      </c>
      <c r="AW357" s="1" t="s">
        <v>86</v>
      </c>
      <c r="AX357" s="1" t="s">
        <v>86</v>
      </c>
      <c r="AY357" s="1" t="s">
        <v>86</v>
      </c>
      <c r="AZ357" s="1" t="s">
        <v>86</v>
      </c>
      <c r="BA357" s="1" t="s">
        <v>86</v>
      </c>
      <c r="BB357" s="1" t="s">
        <v>86</v>
      </c>
      <c r="BC357" s="1" t="s">
        <v>86</v>
      </c>
      <c r="BD357" s="1" t="s">
        <v>86</v>
      </c>
      <c r="BE357" s="1" t="s">
        <v>86</v>
      </c>
      <c r="BF357" s="1" t="s">
        <v>86</v>
      </c>
      <c r="BG357" s="1" t="s">
        <v>86</v>
      </c>
      <c r="BH357" s="1" t="s">
        <v>215</v>
      </c>
      <c r="BI357" s="1" t="s">
        <v>576</v>
      </c>
      <c r="BJ357" s="1" t="s">
        <v>87</v>
      </c>
      <c r="BK357" s="1">
        <v>0</v>
      </c>
      <c r="BL357" s="1">
        <v>0</v>
      </c>
      <c r="BM357" s="1" t="s">
        <v>398</v>
      </c>
      <c r="BN357" s="1" t="s">
        <v>1920</v>
      </c>
      <c r="BO357" s="1" t="s">
        <v>1052</v>
      </c>
      <c r="BP357" s="1" t="s">
        <v>86</v>
      </c>
      <c r="BQ357" s="1" t="s">
        <v>86</v>
      </c>
      <c r="BR357" s="1" t="s">
        <v>86</v>
      </c>
      <c r="BS357" s="1" t="s">
        <v>86</v>
      </c>
      <c r="BT357" s="1" t="s">
        <v>86</v>
      </c>
      <c r="BU357" s="1" t="s">
        <v>163</v>
      </c>
      <c r="BV357" s="1" t="s">
        <v>86</v>
      </c>
      <c r="BW357" s="1" t="s">
        <v>101</v>
      </c>
      <c r="BX357" s="1" t="s">
        <v>470</v>
      </c>
      <c r="BY357" s="1" t="s">
        <v>86</v>
      </c>
      <c r="BZ357" s="1" t="s">
        <v>1921</v>
      </c>
      <c r="CA357" s="1" t="s">
        <v>1239</v>
      </c>
      <c r="CB357" s="1" t="s">
        <v>166</v>
      </c>
      <c r="CC357" s="1" t="s">
        <v>86</v>
      </c>
      <c r="CD357" s="1" t="s">
        <v>86</v>
      </c>
      <c r="CE357" s="1" t="s">
        <v>86</v>
      </c>
    </row>
    <row r="358">
      <c r="A358" s="1">
        <v>356</v>
      </c>
      <c r="B358" s="1" t="s">
        <v>395</v>
      </c>
      <c r="C358" s="2">
        <f>=HYPERLINK("https://i.stonehdfile.com/stoneimage?s=b590e36b-f2fe-4098-9b39-9dff4bd246d5","Image")</f>
      </c>
      <c r="D358" s="2">
        <f>=HYPERLINK("https://dna.stonehdfile.com/hd/viewhd.html?d=02cbb496-1933-4deb-8256-1f327dc06340","View360")</f>
      </c>
      <c r="E358" s="2">
        <f>=HYPERLINK("https://i.stonehdfile.com/Certificate?s=b590e36b-f2fe-4098-9b39-9dff4bd246d5","GIA")</f>
      </c>
      <c r="F358" s="2">
        <f>=HYPERLINK("https://i.stonehdfile.com/DNAReport?s=b590e36b-f2fe-4098-9b39-9dff4bd246d5","DNA")</f>
      </c>
      <c r="G358" s="2">
        <f>=HYPERLINK("https://www.gia.edu/report-check?reportno=******6764","Verify")</f>
      </c>
      <c r="H358" s="1" t="s">
        <v>1922</v>
      </c>
      <c r="I358" s="1" t="s">
        <v>135</v>
      </c>
      <c r="J358" s="1">
        <v>2.01</v>
      </c>
      <c r="K358" s="1">
        <v>3</v>
      </c>
      <c r="L358" s="1">
        <v>10700</v>
      </c>
      <c r="M358" s="1">
        <v>5771</v>
      </c>
      <c r="N358" s="1">
        <v>11599.71</v>
      </c>
      <c r="O358" s="1">
        <v>-46.07</v>
      </c>
      <c r="P358" s="1">
        <v>0</v>
      </c>
      <c r="Q358" s="1" t="s">
        <v>86</v>
      </c>
      <c r="R358" s="1">
        <v>0</v>
      </c>
      <c r="S358" s="1" t="s">
        <v>86</v>
      </c>
      <c r="T358" s="1" t="s">
        <v>86</v>
      </c>
      <c r="U358" s="1" t="s">
        <v>118</v>
      </c>
      <c r="V358" s="1" t="s">
        <v>86</v>
      </c>
      <c r="W358" s="1" t="s">
        <v>474</v>
      </c>
      <c r="X358" s="1" t="s">
        <v>86</v>
      </c>
      <c r="Y358" s="1" t="s">
        <v>89</v>
      </c>
      <c r="Z358" s="1" t="s">
        <v>89</v>
      </c>
      <c r="AA358" s="1" t="s">
        <v>119</v>
      </c>
      <c r="AB358" s="1" t="s">
        <v>86</v>
      </c>
      <c r="AC358" s="1" t="s">
        <v>1923</v>
      </c>
      <c r="AD358" s="1">
        <v>68.8</v>
      </c>
      <c r="AE358" s="1">
        <v>61</v>
      </c>
      <c r="AF358" s="1" t="s">
        <v>91</v>
      </c>
      <c r="AG358" s="1">
        <v>1.9</v>
      </c>
      <c r="AH358" s="1">
        <v>35.9</v>
      </c>
      <c r="AI358" s="1" t="s">
        <v>86</v>
      </c>
      <c r="AJ358" s="1">
        <v>1.06</v>
      </c>
      <c r="AK358" s="1" t="s">
        <v>92</v>
      </c>
      <c r="AL358" s="1" t="s">
        <v>93</v>
      </c>
      <c r="AM358" s="1" t="s">
        <v>93</v>
      </c>
      <c r="AN358" s="1" t="s">
        <v>86</v>
      </c>
      <c r="AO358" s="1" t="s">
        <v>94</v>
      </c>
      <c r="AP358" s="1" t="s">
        <v>95</v>
      </c>
      <c r="AQ358" s="1">
        <v>14.1</v>
      </c>
      <c r="AR358" s="1">
        <v>51</v>
      </c>
      <c r="AS358" s="1">
        <v>37.1</v>
      </c>
      <c r="AT358" s="1" t="s">
        <v>96</v>
      </c>
      <c r="AU358" s="1" t="s">
        <v>86</v>
      </c>
      <c r="AV358" s="1" t="s">
        <v>86</v>
      </c>
      <c r="AW358" s="1" t="s">
        <v>86</v>
      </c>
      <c r="AX358" s="1" t="s">
        <v>86</v>
      </c>
      <c r="AY358" s="1" t="s">
        <v>86</v>
      </c>
      <c r="AZ358" s="1" t="s">
        <v>86</v>
      </c>
      <c r="BA358" s="1" t="s">
        <v>86</v>
      </c>
      <c r="BB358" s="1" t="s">
        <v>86</v>
      </c>
      <c r="BC358" s="1" t="s">
        <v>86</v>
      </c>
      <c r="BD358" s="1" t="s">
        <v>86</v>
      </c>
      <c r="BE358" s="1" t="s">
        <v>86</v>
      </c>
      <c r="BF358" s="1" t="s">
        <v>86</v>
      </c>
      <c r="BG358" s="1" t="s">
        <v>86</v>
      </c>
      <c r="BH358" s="1" t="s">
        <v>657</v>
      </c>
      <c r="BI358" s="1" t="s">
        <v>658</v>
      </c>
      <c r="BJ358" s="1" t="s">
        <v>87</v>
      </c>
      <c r="BK358" s="1">
        <v>0</v>
      </c>
      <c r="BL358" s="1">
        <v>0</v>
      </c>
      <c r="BM358" s="1" t="s">
        <v>398</v>
      </c>
      <c r="BN358" s="1" t="s">
        <v>1924</v>
      </c>
      <c r="BO358" s="1" t="s">
        <v>536</v>
      </c>
      <c r="BP358" s="1" t="s">
        <v>86</v>
      </c>
      <c r="BQ358" s="1" t="s">
        <v>86</v>
      </c>
      <c r="BR358" s="1" t="s">
        <v>86</v>
      </c>
      <c r="BS358" s="1" t="s">
        <v>86</v>
      </c>
      <c r="BT358" s="1" t="s">
        <v>86</v>
      </c>
      <c r="BU358" s="1" t="s">
        <v>163</v>
      </c>
      <c r="BV358" s="1" t="s">
        <v>86</v>
      </c>
      <c r="BW358" s="1" t="s">
        <v>101</v>
      </c>
      <c r="BX358" s="1" t="s">
        <v>414</v>
      </c>
      <c r="BY358" s="1" t="s">
        <v>86</v>
      </c>
      <c r="BZ358" s="1" t="s">
        <v>1925</v>
      </c>
      <c r="CA358" s="1" t="s">
        <v>480</v>
      </c>
      <c r="CB358" s="1" t="s">
        <v>86</v>
      </c>
      <c r="CC358" s="1" t="s">
        <v>86</v>
      </c>
      <c r="CD358" s="1" t="s">
        <v>86</v>
      </c>
      <c r="CE358" s="1" t="s">
        <v>86</v>
      </c>
    </row>
    <row r="359">
      <c r="A359" s="1">
        <v>357</v>
      </c>
      <c r="B359" s="1" t="s">
        <v>395</v>
      </c>
      <c r="C359" s="2">
        <f>=HYPERLINK("https://i.stonehdfile.com/stoneimage?s=968082b0-2bf2-4504-be7e-f59055390f48","Image")</f>
      </c>
      <c r="D359" s="2">
        <f>=HYPERLINK("https://dna.stonehdfile.com/hd/viewhd.html?d=7b5e0919-a189-4eeb-af90-dc997d48aa10","View360")</f>
      </c>
      <c r="E359" s="2">
        <f>=HYPERLINK("https://i.stonehdfile.com/Certificate?s=968082b0-2bf2-4504-be7e-f59055390f48","GIA")</f>
      </c>
      <c r="F359" s="2">
        <f>=HYPERLINK("https://i.stonehdfile.com/DNAReport?s=968082b0-2bf2-4504-be7e-f59055390f48","DNA")</f>
      </c>
      <c r="G359" s="2">
        <f>=HYPERLINK("https://www.gia.edu/report-check?reportno=******1423","Verify")</f>
      </c>
      <c r="H359" s="1" t="s">
        <v>1926</v>
      </c>
      <c r="I359" s="1" t="s">
        <v>135</v>
      </c>
      <c r="J359" s="1">
        <v>2.01</v>
      </c>
      <c r="K359" s="1">
        <v>8</v>
      </c>
      <c r="L359" s="1">
        <v>10700</v>
      </c>
      <c r="M359" s="1">
        <v>5047</v>
      </c>
      <c r="N359" s="1">
        <v>10144.47</v>
      </c>
      <c r="O359" s="1">
        <v>-52.83</v>
      </c>
      <c r="P359" s="1">
        <v>0</v>
      </c>
      <c r="Q359" s="1" t="s">
        <v>86</v>
      </c>
      <c r="R359" s="1">
        <v>0</v>
      </c>
      <c r="S359" s="1" t="s">
        <v>86</v>
      </c>
      <c r="T359" s="1" t="s">
        <v>86</v>
      </c>
      <c r="U359" s="1" t="s">
        <v>118</v>
      </c>
      <c r="V359" s="1" t="s">
        <v>86</v>
      </c>
      <c r="W359" s="1" t="s">
        <v>88</v>
      </c>
      <c r="X359" s="1" t="s">
        <v>86</v>
      </c>
      <c r="Y359" s="1" t="s">
        <v>89</v>
      </c>
      <c r="Z359" s="1" t="s">
        <v>138</v>
      </c>
      <c r="AA359" s="1" t="s">
        <v>119</v>
      </c>
      <c r="AB359" s="1" t="s">
        <v>86</v>
      </c>
      <c r="AC359" s="1" t="s">
        <v>1927</v>
      </c>
      <c r="AD359" s="1">
        <v>71.4</v>
      </c>
      <c r="AE359" s="1">
        <v>59</v>
      </c>
      <c r="AF359" s="1" t="s">
        <v>91</v>
      </c>
      <c r="AG359" s="1">
        <v>2.8</v>
      </c>
      <c r="AH359" s="1">
        <v>36.9</v>
      </c>
      <c r="AI359" s="1" t="s">
        <v>86</v>
      </c>
      <c r="AJ359" s="1">
        <v>1.01</v>
      </c>
      <c r="AK359" s="1" t="s">
        <v>92</v>
      </c>
      <c r="AL359" s="1" t="s">
        <v>93</v>
      </c>
      <c r="AM359" s="1" t="s">
        <v>93</v>
      </c>
      <c r="AN359" s="1" t="s">
        <v>86</v>
      </c>
      <c r="AO359" s="1" t="s">
        <v>94</v>
      </c>
      <c r="AP359" s="1" t="s">
        <v>95</v>
      </c>
      <c r="AQ359" s="1">
        <v>15.6</v>
      </c>
      <c r="AR359" s="1">
        <v>52.2</v>
      </c>
      <c r="AS359" s="1">
        <v>35.1</v>
      </c>
      <c r="AT359" s="1" t="s">
        <v>96</v>
      </c>
      <c r="AU359" s="1" t="s">
        <v>86</v>
      </c>
      <c r="AV359" s="1" t="s">
        <v>86</v>
      </c>
      <c r="AW359" s="1" t="s">
        <v>86</v>
      </c>
      <c r="AX359" s="1" t="s">
        <v>86</v>
      </c>
      <c r="AY359" s="1" t="s">
        <v>86</v>
      </c>
      <c r="AZ359" s="1" t="s">
        <v>86</v>
      </c>
      <c r="BA359" s="1" t="s">
        <v>86</v>
      </c>
      <c r="BB359" s="1" t="s">
        <v>86</v>
      </c>
      <c r="BC359" s="1" t="s">
        <v>86</v>
      </c>
      <c r="BD359" s="1" t="s">
        <v>86</v>
      </c>
      <c r="BE359" s="1" t="s">
        <v>86</v>
      </c>
      <c r="BF359" s="1" t="s">
        <v>86</v>
      </c>
      <c r="BG359" s="1" t="s">
        <v>86</v>
      </c>
      <c r="BH359" s="1" t="s">
        <v>182</v>
      </c>
      <c r="BI359" s="1" t="s">
        <v>322</v>
      </c>
      <c r="BJ359" s="1" t="s">
        <v>87</v>
      </c>
      <c r="BK359" s="1">
        <v>0</v>
      </c>
      <c r="BL359" s="1">
        <v>0</v>
      </c>
      <c r="BM359" s="1" t="s">
        <v>398</v>
      </c>
      <c r="BN359" s="1" t="s">
        <v>1928</v>
      </c>
      <c r="BO359" s="1" t="s">
        <v>477</v>
      </c>
      <c r="BP359" s="1" t="s">
        <v>86</v>
      </c>
      <c r="BQ359" s="1" t="s">
        <v>86</v>
      </c>
      <c r="BR359" s="1" t="s">
        <v>86</v>
      </c>
      <c r="BS359" s="1" t="s">
        <v>86</v>
      </c>
      <c r="BT359" s="1" t="s">
        <v>86</v>
      </c>
      <c r="BU359" s="1" t="s">
        <v>163</v>
      </c>
      <c r="BV359" s="1" t="s">
        <v>86</v>
      </c>
      <c r="BW359" s="1" t="s">
        <v>101</v>
      </c>
      <c r="BX359" s="1" t="s">
        <v>478</v>
      </c>
      <c r="BY359" s="1" t="s">
        <v>86</v>
      </c>
      <c r="BZ359" s="1" t="s">
        <v>1929</v>
      </c>
      <c r="CA359" s="1" t="s">
        <v>1017</v>
      </c>
      <c r="CB359" s="1" t="s">
        <v>86</v>
      </c>
      <c r="CC359" s="1" t="s">
        <v>86</v>
      </c>
      <c r="CD359" s="1" t="s">
        <v>86</v>
      </c>
      <c r="CE359" s="1" t="s">
        <v>86</v>
      </c>
    </row>
    <row r="360">
      <c r="A360" s="1">
        <v>358</v>
      </c>
      <c r="B360" s="1" t="s">
        <v>395</v>
      </c>
      <c r="C360" s="2">
        <f>=HYPERLINK("https://i.stonehdfile.com/stoneimage?s=4c28c42a-9378-43fc-be8a-c44e2f1db5fb","Image")</f>
      </c>
      <c r="D360" s="2">
        <f>=HYPERLINK("https://dna.stonehdfile.com/hd/viewhd.html?d=361b28ef-4445-4c17-a036-d25fe898d313","View360")</f>
      </c>
      <c r="E360" s="2">
        <f>=HYPERLINK("https://i.stonehdfile.com/Certificate?s=4c28c42a-9378-43fc-be8a-c44e2f1db5fb","GIA")</f>
      </c>
      <c r="F360" s="2">
        <f>=HYPERLINK("https://i.stonehdfile.com/DNAReport?s=4c28c42a-9378-43fc-be8a-c44e2f1db5fb","DNA")</f>
      </c>
      <c r="G360" s="2">
        <f>=HYPERLINK("https://www.gia.edu/report-check?reportno=******2846","Verify")</f>
      </c>
      <c r="H360" s="1" t="s">
        <v>1930</v>
      </c>
      <c r="I360" s="1" t="s">
        <v>135</v>
      </c>
      <c r="J360" s="1">
        <v>2.01</v>
      </c>
      <c r="K360" s="1">
        <v>5</v>
      </c>
      <c r="L360" s="1">
        <v>10300</v>
      </c>
      <c r="M360" s="1">
        <v>5069</v>
      </c>
      <c r="N360" s="1">
        <v>10188.69</v>
      </c>
      <c r="O360" s="1">
        <v>-50.79</v>
      </c>
      <c r="P360" s="1">
        <v>0</v>
      </c>
      <c r="Q360" s="1" t="s">
        <v>86</v>
      </c>
      <c r="R360" s="1">
        <v>0</v>
      </c>
      <c r="S360" s="1" t="s">
        <v>86</v>
      </c>
      <c r="T360" s="1" t="s">
        <v>86</v>
      </c>
      <c r="U360" s="1" t="s">
        <v>118</v>
      </c>
      <c r="V360" s="1" t="s">
        <v>86</v>
      </c>
      <c r="W360" s="1" t="s">
        <v>107</v>
      </c>
      <c r="X360" s="1" t="s">
        <v>86</v>
      </c>
      <c r="Y360" s="1" t="s">
        <v>89</v>
      </c>
      <c r="Z360" s="1" t="s">
        <v>89</v>
      </c>
      <c r="AA360" s="1" t="s">
        <v>87</v>
      </c>
      <c r="AB360" s="1" t="s">
        <v>86</v>
      </c>
      <c r="AC360" s="1" t="s">
        <v>1931</v>
      </c>
      <c r="AD360" s="1">
        <v>69</v>
      </c>
      <c r="AE360" s="1">
        <v>63</v>
      </c>
      <c r="AF360" s="1" t="s">
        <v>91</v>
      </c>
      <c r="AG360" s="1">
        <v>3.7</v>
      </c>
      <c r="AH360" s="1">
        <v>36.1</v>
      </c>
      <c r="AI360" s="1" t="s">
        <v>86</v>
      </c>
      <c r="AJ360" s="1">
        <v>1.07</v>
      </c>
      <c r="AK360" s="1" t="s">
        <v>111</v>
      </c>
      <c r="AL360" s="1" t="s">
        <v>140</v>
      </c>
      <c r="AM360" s="1" t="s">
        <v>93</v>
      </c>
      <c r="AN360" s="1" t="s">
        <v>86</v>
      </c>
      <c r="AO360" s="1" t="s">
        <v>94</v>
      </c>
      <c r="AP360" s="1" t="s">
        <v>95</v>
      </c>
      <c r="AQ360" s="1">
        <v>13.3</v>
      </c>
      <c r="AR360" s="1">
        <v>51</v>
      </c>
      <c r="AS360" s="1">
        <v>35.6</v>
      </c>
      <c r="AT360" s="1" t="s">
        <v>96</v>
      </c>
      <c r="AU360" s="1" t="s">
        <v>86</v>
      </c>
      <c r="AV360" s="1" t="s">
        <v>86</v>
      </c>
      <c r="AW360" s="1" t="s">
        <v>86</v>
      </c>
      <c r="AX360" s="1" t="s">
        <v>86</v>
      </c>
      <c r="AY360" s="1" t="s">
        <v>86</v>
      </c>
      <c r="AZ360" s="1" t="s">
        <v>86</v>
      </c>
      <c r="BA360" s="1" t="s">
        <v>86</v>
      </c>
      <c r="BB360" s="1" t="s">
        <v>86</v>
      </c>
      <c r="BC360" s="1" t="s">
        <v>86</v>
      </c>
      <c r="BD360" s="1" t="s">
        <v>86</v>
      </c>
      <c r="BE360" s="1" t="s">
        <v>86</v>
      </c>
      <c r="BF360" s="1" t="s">
        <v>86</v>
      </c>
      <c r="BG360" s="1" t="s">
        <v>172</v>
      </c>
      <c r="BH360" s="1" t="s">
        <v>215</v>
      </c>
      <c r="BI360" s="1" t="s">
        <v>459</v>
      </c>
      <c r="BJ360" s="1" t="s">
        <v>87</v>
      </c>
      <c r="BK360" s="1">
        <v>0</v>
      </c>
      <c r="BL360" s="1">
        <v>0</v>
      </c>
      <c r="BM360" s="1" t="s">
        <v>398</v>
      </c>
      <c r="BN360" s="1" t="s">
        <v>1932</v>
      </c>
      <c r="BO360" s="1" t="s">
        <v>1469</v>
      </c>
      <c r="BP360" s="1" t="s">
        <v>86</v>
      </c>
      <c r="BQ360" s="1" t="s">
        <v>86</v>
      </c>
      <c r="BR360" s="1" t="s">
        <v>86</v>
      </c>
      <c r="BS360" s="1" t="s">
        <v>86</v>
      </c>
      <c r="BT360" s="1" t="s">
        <v>86</v>
      </c>
      <c r="BU360" s="1" t="s">
        <v>163</v>
      </c>
      <c r="BV360" s="1" t="s">
        <v>86</v>
      </c>
      <c r="BW360" s="1" t="s">
        <v>101</v>
      </c>
      <c r="BX360" s="1" t="s">
        <v>401</v>
      </c>
      <c r="BY360" s="1" t="s">
        <v>86</v>
      </c>
      <c r="BZ360" s="1" t="s">
        <v>1933</v>
      </c>
      <c r="CA360" s="1" t="s">
        <v>203</v>
      </c>
      <c r="CB360" s="1" t="s">
        <v>700</v>
      </c>
      <c r="CC360" s="1" t="s">
        <v>86</v>
      </c>
      <c r="CD360" s="1" t="s">
        <v>86</v>
      </c>
      <c r="CE360" s="1" t="s">
        <v>86</v>
      </c>
    </row>
    <row r="361">
      <c r="A361" s="1">
        <v>359</v>
      </c>
      <c r="B361" s="1" t="s">
        <v>395</v>
      </c>
      <c r="C361" s="2">
        <f>=HYPERLINK("https://i.stonehdfile.com/stoneimage?s=d0001c97-1fc4-4551-992c-e69f82b2bc12","Image")</f>
      </c>
      <c r="D361" s="2">
        <f>=HYPERLINK("https://dna.stonehdfile.com/hd/viewhd.html?d=be8bb9a6-6c70-4b4f-a029-2fd8c6eec027","View360")</f>
      </c>
      <c r="E361" s="2">
        <f>=HYPERLINK("https://i.stonehdfile.com/Certificate?s=d0001c97-1fc4-4551-992c-e69f82b2bc12","GIA")</f>
      </c>
      <c r="F361" s="2">
        <f>=HYPERLINK("https://i.stonehdfile.com/DNAReport?s=d0001c97-1fc4-4551-992c-e69f82b2bc12","DNA")</f>
      </c>
      <c r="G361" s="2">
        <f>=HYPERLINK("https://www.gia.edu/report-check?reportno=******2366","Verify")</f>
      </c>
      <c r="H361" s="1" t="s">
        <v>1934</v>
      </c>
      <c r="I361" s="1" t="s">
        <v>135</v>
      </c>
      <c r="J361" s="1">
        <v>2.01</v>
      </c>
      <c r="K361" s="1">
        <v>3</v>
      </c>
      <c r="L361" s="1">
        <v>10300</v>
      </c>
      <c r="M361" s="1">
        <v>4726</v>
      </c>
      <c r="N361" s="1">
        <v>9499.26</v>
      </c>
      <c r="O361" s="1">
        <v>-54.12</v>
      </c>
      <c r="P361" s="1">
        <v>0</v>
      </c>
      <c r="Q361" s="1" t="s">
        <v>86</v>
      </c>
      <c r="R361" s="1">
        <v>0</v>
      </c>
      <c r="S361" s="1" t="s">
        <v>86</v>
      </c>
      <c r="T361" s="1" t="s">
        <v>86</v>
      </c>
      <c r="U361" s="1" t="s">
        <v>159</v>
      </c>
      <c r="V361" s="1" t="s">
        <v>86</v>
      </c>
      <c r="W361" s="1" t="s">
        <v>149</v>
      </c>
      <c r="X361" s="1" t="s">
        <v>86</v>
      </c>
      <c r="Y361" s="1" t="s">
        <v>89</v>
      </c>
      <c r="Z361" s="1" t="s">
        <v>89</v>
      </c>
      <c r="AA361" s="1" t="s">
        <v>119</v>
      </c>
      <c r="AB361" s="1" t="s">
        <v>86</v>
      </c>
      <c r="AC361" s="1" t="s">
        <v>1935</v>
      </c>
      <c r="AD361" s="1">
        <v>70.2</v>
      </c>
      <c r="AE361" s="1">
        <v>60</v>
      </c>
      <c r="AF361" s="1" t="s">
        <v>91</v>
      </c>
      <c r="AG361" s="1">
        <v>3.5</v>
      </c>
      <c r="AH361" s="1">
        <v>36.2</v>
      </c>
      <c r="AI361" s="1" t="s">
        <v>86</v>
      </c>
      <c r="AJ361" s="1">
        <v>1.04</v>
      </c>
      <c r="AK361" s="1" t="s">
        <v>111</v>
      </c>
      <c r="AL361" s="1" t="s">
        <v>93</v>
      </c>
      <c r="AM361" s="1" t="s">
        <v>151</v>
      </c>
      <c r="AN361" s="1" t="s">
        <v>86</v>
      </c>
      <c r="AO361" s="1" t="s">
        <v>94</v>
      </c>
      <c r="AP361" s="1" t="s">
        <v>95</v>
      </c>
      <c r="AQ361" s="1">
        <v>14.8</v>
      </c>
      <c r="AR361" s="1">
        <v>50.8</v>
      </c>
      <c r="AS361" s="1">
        <v>35.6</v>
      </c>
      <c r="AT361" s="1" t="s">
        <v>96</v>
      </c>
      <c r="AU361" s="1" t="s">
        <v>86</v>
      </c>
      <c r="AV361" s="1" t="s">
        <v>86</v>
      </c>
      <c r="AW361" s="1" t="s">
        <v>86</v>
      </c>
      <c r="AX361" s="1" t="s">
        <v>86</v>
      </c>
      <c r="AY361" s="1" t="s">
        <v>86</v>
      </c>
      <c r="AZ361" s="1" t="s">
        <v>86</v>
      </c>
      <c r="BA361" s="1" t="s">
        <v>86</v>
      </c>
      <c r="BB361" s="1" t="s">
        <v>86</v>
      </c>
      <c r="BC361" s="1" t="s">
        <v>86</v>
      </c>
      <c r="BD361" s="1" t="s">
        <v>86</v>
      </c>
      <c r="BE361" s="1" t="s">
        <v>86</v>
      </c>
      <c r="BF361" s="1" t="s">
        <v>86</v>
      </c>
      <c r="BG361" s="1" t="s">
        <v>86</v>
      </c>
      <c r="BH361" s="1" t="s">
        <v>215</v>
      </c>
      <c r="BI361" s="1" t="s">
        <v>183</v>
      </c>
      <c r="BJ361" s="1" t="s">
        <v>87</v>
      </c>
      <c r="BK361" s="1">
        <v>0</v>
      </c>
      <c r="BL361" s="1">
        <v>0</v>
      </c>
      <c r="BM361" s="1" t="s">
        <v>398</v>
      </c>
      <c r="BN361" s="1" t="s">
        <v>1936</v>
      </c>
      <c r="BO361" s="1" t="s">
        <v>1388</v>
      </c>
      <c r="BP361" s="1" t="s">
        <v>86</v>
      </c>
      <c r="BQ361" s="1" t="s">
        <v>86</v>
      </c>
      <c r="BR361" s="1" t="s">
        <v>86</v>
      </c>
      <c r="BS361" s="1" t="s">
        <v>86</v>
      </c>
      <c r="BT361" s="1" t="s">
        <v>86</v>
      </c>
      <c r="BU361" s="1" t="s">
        <v>163</v>
      </c>
      <c r="BV361" s="1" t="s">
        <v>86</v>
      </c>
      <c r="BW361" s="1" t="s">
        <v>101</v>
      </c>
      <c r="BX361" s="1" t="s">
        <v>470</v>
      </c>
      <c r="BY361" s="1" t="s">
        <v>86</v>
      </c>
      <c r="BZ361" s="1" t="s">
        <v>1937</v>
      </c>
      <c r="CA361" s="1" t="s">
        <v>195</v>
      </c>
      <c r="CB361" s="1" t="s">
        <v>166</v>
      </c>
      <c r="CC361" s="1" t="s">
        <v>86</v>
      </c>
      <c r="CD361" s="1" t="s">
        <v>86</v>
      </c>
      <c r="CE361" s="1" t="s">
        <v>86</v>
      </c>
    </row>
    <row r="362">
      <c r="A362" s="1">
        <v>360</v>
      </c>
      <c r="B362" s="1" t="s">
        <v>395</v>
      </c>
      <c r="C362" s="2">
        <f>=HYPERLINK("https://i.stonehdfile.com/stoneimage?s=9923ee4f-75c7-4316-b5cc-f611d19bc459","Image")</f>
      </c>
      <c r="D362" s="2">
        <f>=HYPERLINK("https://dna.stonehdfile.com/hd/viewhd.html?d=e3fdbf7d-60a5-46b8-a2fb-c2a978ab275c","View360")</f>
      </c>
      <c r="E362" s="2">
        <f>=HYPERLINK("https://i.stonehdfile.com/Certificate?s=9923ee4f-75c7-4316-b5cc-f611d19bc459","GIA")</f>
      </c>
      <c r="F362" s="2">
        <f>=HYPERLINK("https://i.stonehdfile.com/DNAReport?s=9923ee4f-75c7-4316-b5cc-f611d19bc459","DNA")</f>
      </c>
      <c r="G362" s="2">
        <f>=HYPERLINK("https://www.gia.edu/report-check?reportno=******7272","Verify")</f>
      </c>
      <c r="H362" s="1" t="s">
        <v>1938</v>
      </c>
      <c r="I362" s="1" t="s">
        <v>135</v>
      </c>
      <c r="J362" s="1">
        <v>2.01</v>
      </c>
      <c r="K362" s="1">
        <v>3</v>
      </c>
      <c r="L362" s="1">
        <v>10300</v>
      </c>
      <c r="M362" s="1">
        <v>4140</v>
      </c>
      <c r="N362" s="1">
        <v>8321.4</v>
      </c>
      <c r="O362" s="1">
        <v>-59.81</v>
      </c>
      <c r="P362" s="1">
        <v>0</v>
      </c>
      <c r="Q362" s="1" t="s">
        <v>86</v>
      </c>
      <c r="R362" s="1">
        <v>0</v>
      </c>
      <c r="S362" s="1" t="s">
        <v>86</v>
      </c>
      <c r="T362" s="1" t="s">
        <v>86</v>
      </c>
      <c r="U362" s="1" t="s">
        <v>118</v>
      </c>
      <c r="V362" s="1" t="s">
        <v>86</v>
      </c>
      <c r="W362" s="1" t="s">
        <v>149</v>
      </c>
      <c r="X362" s="1" t="s">
        <v>86</v>
      </c>
      <c r="Y362" s="1" t="s">
        <v>89</v>
      </c>
      <c r="Z362" s="1" t="s">
        <v>138</v>
      </c>
      <c r="AA362" s="1" t="s">
        <v>87</v>
      </c>
      <c r="AB362" s="1" t="s">
        <v>86</v>
      </c>
      <c r="AC362" s="1" t="s">
        <v>1939</v>
      </c>
      <c r="AD362" s="1">
        <v>71.5</v>
      </c>
      <c r="AE362" s="1">
        <v>60</v>
      </c>
      <c r="AF362" s="1" t="s">
        <v>91</v>
      </c>
      <c r="AG362" s="1">
        <v>3.3</v>
      </c>
      <c r="AH362" s="1">
        <v>36.8</v>
      </c>
      <c r="AI362" s="1" t="s">
        <v>86</v>
      </c>
      <c r="AJ362" s="1">
        <v>1.03</v>
      </c>
      <c r="AK362" s="1" t="s">
        <v>111</v>
      </c>
      <c r="AL362" s="1" t="s">
        <v>93</v>
      </c>
      <c r="AM362" s="1" t="s">
        <v>128</v>
      </c>
      <c r="AN362" s="1" t="s">
        <v>86</v>
      </c>
      <c r="AO362" s="1" t="s">
        <v>94</v>
      </c>
      <c r="AP362" s="1" t="s">
        <v>95</v>
      </c>
      <c r="AQ362" s="1">
        <v>15.1</v>
      </c>
      <c r="AR362" s="1">
        <v>52.2</v>
      </c>
      <c r="AS362" s="1">
        <v>36.6</v>
      </c>
      <c r="AT362" s="1" t="s">
        <v>96</v>
      </c>
      <c r="AU362" s="1" t="s">
        <v>86</v>
      </c>
      <c r="AV362" s="1" t="s">
        <v>86</v>
      </c>
      <c r="AW362" s="1" t="s">
        <v>86</v>
      </c>
      <c r="AX362" s="1" t="s">
        <v>86</v>
      </c>
      <c r="AY362" s="1" t="s">
        <v>86</v>
      </c>
      <c r="AZ362" s="1" t="s">
        <v>86</v>
      </c>
      <c r="BA362" s="1" t="s">
        <v>86</v>
      </c>
      <c r="BB362" s="1" t="s">
        <v>86</v>
      </c>
      <c r="BC362" s="1" t="s">
        <v>86</v>
      </c>
      <c r="BD362" s="1" t="s">
        <v>86</v>
      </c>
      <c r="BE362" s="1" t="s">
        <v>86</v>
      </c>
      <c r="BF362" s="1" t="s">
        <v>86</v>
      </c>
      <c r="BG362" s="1" t="s">
        <v>86</v>
      </c>
      <c r="BH362" s="1" t="s">
        <v>97</v>
      </c>
      <c r="BI362" s="1" t="s">
        <v>232</v>
      </c>
      <c r="BJ362" s="1" t="s">
        <v>87</v>
      </c>
      <c r="BK362" s="1">
        <v>0</v>
      </c>
      <c r="BL362" s="1">
        <v>0</v>
      </c>
      <c r="BM362" s="1" t="s">
        <v>398</v>
      </c>
      <c r="BN362" s="1" t="s">
        <v>1940</v>
      </c>
      <c r="BO362" s="1" t="s">
        <v>1764</v>
      </c>
      <c r="BP362" s="1" t="s">
        <v>86</v>
      </c>
      <c r="BQ362" s="1" t="s">
        <v>86</v>
      </c>
      <c r="BR362" s="1" t="s">
        <v>86</v>
      </c>
      <c r="BS362" s="1" t="s">
        <v>86</v>
      </c>
      <c r="BT362" s="1" t="s">
        <v>86</v>
      </c>
      <c r="BU362" s="1" t="s">
        <v>163</v>
      </c>
      <c r="BV362" s="1" t="s">
        <v>86</v>
      </c>
      <c r="BW362" s="1" t="s">
        <v>101</v>
      </c>
      <c r="BX362" s="1" t="s">
        <v>470</v>
      </c>
      <c r="BY362" s="1" t="s">
        <v>86</v>
      </c>
      <c r="BZ362" s="1" t="s">
        <v>1941</v>
      </c>
      <c r="CA362" s="1" t="s">
        <v>1942</v>
      </c>
      <c r="CB362" s="1" t="s">
        <v>156</v>
      </c>
      <c r="CC362" s="1" t="s">
        <v>86</v>
      </c>
      <c r="CD362" s="1" t="s">
        <v>86</v>
      </c>
      <c r="CE362" s="1" t="s">
        <v>86</v>
      </c>
    </row>
    <row r="363">
      <c r="A363" s="1">
        <v>361</v>
      </c>
      <c r="B363" s="1" t="s">
        <v>395</v>
      </c>
      <c r="C363" s="2">
        <f>=HYPERLINK("https://i.stonehdfile.com/stoneimage?s=f462f574-3ee5-4d2f-9445-57ddca641d1b","Image")</f>
      </c>
      <c r="D363" s="2">
        <f>=HYPERLINK("https://dna.stonehdfile.com/hd/viewhd.html?d=66795fe7-1e2c-4312-b68a-7827eb6b0ca6","View360")</f>
      </c>
      <c r="E363" s="2">
        <f>=HYPERLINK("https://i.stonehdfile.com/Certificate?s=f462f574-3ee5-4d2f-9445-57ddca641d1b","GIA")</f>
      </c>
      <c r="F363" s="2">
        <f>=HYPERLINK("https://i.stonehdfile.com/DNAReport?s=f462f574-3ee5-4d2f-9445-57ddca641d1b","DNA")</f>
      </c>
      <c r="G363" s="2">
        <f>=HYPERLINK("https://www.gia.edu/report-check?reportno=******5305","Verify")</f>
      </c>
      <c r="H363" s="1" t="s">
        <v>1943</v>
      </c>
      <c r="I363" s="1" t="s">
        <v>135</v>
      </c>
      <c r="J363" s="1">
        <v>2.01</v>
      </c>
      <c r="K363" s="1">
        <v>5</v>
      </c>
      <c r="L363" s="1">
        <v>9700</v>
      </c>
      <c r="M363" s="1">
        <v>4695</v>
      </c>
      <c r="N363" s="1">
        <v>9436.95</v>
      </c>
      <c r="O363" s="1">
        <v>-51.6</v>
      </c>
      <c r="P363" s="1">
        <v>0</v>
      </c>
      <c r="Q363" s="1" t="s">
        <v>86</v>
      </c>
      <c r="R363" s="1">
        <v>0</v>
      </c>
      <c r="S363" s="1" t="s">
        <v>86</v>
      </c>
      <c r="T363" s="1" t="s">
        <v>86</v>
      </c>
      <c r="U363" s="1" t="s">
        <v>159</v>
      </c>
      <c r="V363" s="1" t="s">
        <v>86</v>
      </c>
      <c r="W363" s="1" t="s">
        <v>352</v>
      </c>
      <c r="X363" s="1" t="s">
        <v>86</v>
      </c>
      <c r="Y363" s="1" t="s">
        <v>89</v>
      </c>
      <c r="Z363" s="1" t="s">
        <v>89</v>
      </c>
      <c r="AA363" s="1" t="s">
        <v>119</v>
      </c>
      <c r="AB363" s="1" t="s">
        <v>86</v>
      </c>
      <c r="AC363" s="1" t="s">
        <v>1944</v>
      </c>
      <c r="AD363" s="1">
        <v>71.2</v>
      </c>
      <c r="AE363" s="1">
        <v>61</v>
      </c>
      <c r="AF363" s="1" t="s">
        <v>91</v>
      </c>
      <c r="AG363" s="1">
        <v>3.2</v>
      </c>
      <c r="AH363" s="1">
        <v>36.7</v>
      </c>
      <c r="AI363" s="1" t="s">
        <v>86</v>
      </c>
      <c r="AJ363" s="1">
        <v>1.11</v>
      </c>
      <c r="AK363" s="1" t="s">
        <v>190</v>
      </c>
      <c r="AL363" s="1" t="s">
        <v>93</v>
      </c>
      <c r="AM363" s="1" t="s">
        <v>140</v>
      </c>
      <c r="AN363" s="1" t="s">
        <v>307</v>
      </c>
      <c r="AO363" s="1" t="s">
        <v>94</v>
      </c>
      <c r="AP363" s="1" t="s">
        <v>95</v>
      </c>
      <c r="AQ363" s="1">
        <v>14.6</v>
      </c>
      <c r="AR363" s="1">
        <v>53.1</v>
      </c>
      <c r="AS363" s="1">
        <v>34.8</v>
      </c>
      <c r="AT363" s="1" t="s">
        <v>96</v>
      </c>
      <c r="AU363" s="1" t="s">
        <v>86</v>
      </c>
      <c r="AV363" s="1" t="s">
        <v>86</v>
      </c>
      <c r="AW363" s="1" t="s">
        <v>86</v>
      </c>
      <c r="AX363" s="1" t="s">
        <v>86</v>
      </c>
      <c r="AY363" s="1" t="s">
        <v>86</v>
      </c>
      <c r="AZ363" s="1" t="s">
        <v>86</v>
      </c>
      <c r="BA363" s="1" t="s">
        <v>86</v>
      </c>
      <c r="BB363" s="1" t="s">
        <v>86</v>
      </c>
      <c r="BC363" s="1" t="s">
        <v>86</v>
      </c>
      <c r="BD363" s="1" t="s">
        <v>86</v>
      </c>
      <c r="BE363" s="1" t="s">
        <v>86</v>
      </c>
      <c r="BF363" s="1" t="s">
        <v>86</v>
      </c>
      <c r="BG363" s="1" t="s">
        <v>86</v>
      </c>
      <c r="BH363" s="1" t="s">
        <v>182</v>
      </c>
      <c r="BI363" s="1" t="s">
        <v>199</v>
      </c>
      <c r="BJ363" s="1" t="s">
        <v>87</v>
      </c>
      <c r="BK363" s="1">
        <v>0</v>
      </c>
      <c r="BL363" s="1">
        <v>0</v>
      </c>
      <c r="BM363" s="1" t="s">
        <v>398</v>
      </c>
      <c r="BN363" s="1" t="s">
        <v>1945</v>
      </c>
      <c r="BO363" s="1" t="s">
        <v>259</v>
      </c>
      <c r="BP363" s="1" t="s">
        <v>86</v>
      </c>
      <c r="BQ363" s="1" t="s">
        <v>86</v>
      </c>
      <c r="BR363" s="1" t="s">
        <v>86</v>
      </c>
      <c r="BS363" s="1" t="s">
        <v>86</v>
      </c>
      <c r="BT363" s="1" t="s">
        <v>86</v>
      </c>
      <c r="BU363" s="1" t="s">
        <v>163</v>
      </c>
      <c r="BV363" s="1" t="s">
        <v>86</v>
      </c>
      <c r="BW363" s="1" t="s">
        <v>101</v>
      </c>
      <c r="BX363" s="1" t="s">
        <v>401</v>
      </c>
      <c r="BY363" s="1" t="s">
        <v>86</v>
      </c>
      <c r="BZ363" s="1" t="s">
        <v>1946</v>
      </c>
      <c r="CA363" s="1" t="s">
        <v>1947</v>
      </c>
      <c r="CB363" s="1" t="s">
        <v>86</v>
      </c>
      <c r="CC363" s="1" t="s">
        <v>86</v>
      </c>
      <c r="CD363" s="1" t="s">
        <v>86</v>
      </c>
      <c r="CE363" s="1" t="s">
        <v>86</v>
      </c>
    </row>
    <row r="364">
      <c r="A364" s="1">
        <v>362</v>
      </c>
      <c r="B364" s="1" t="s">
        <v>395</v>
      </c>
      <c r="C364" s="2">
        <f>=HYPERLINK("https://i.stonehdfile.com/stoneimage?s=2219746f-b384-4d07-a408-909f0856dba6","Image")</f>
      </c>
      <c r="D364" s="2">
        <f>=HYPERLINK("https://dna.stonehdfile.com/hd/viewhd.html?d=e2f4133f-5dc8-4d18-8620-05bf2ec30a1d","View360")</f>
      </c>
      <c r="E364" s="2">
        <f>=HYPERLINK("https://i.stonehdfile.com/Certificate?s=2219746f-b384-4d07-a408-909f0856dba6","GIA")</f>
      </c>
      <c r="F364" s="2">
        <f>=HYPERLINK("https://i.stonehdfile.com/DNAReport?s=2219746f-b384-4d07-a408-909f0856dba6","DNA")</f>
      </c>
      <c r="G364" s="2">
        <f>=HYPERLINK("https://www.gia.edu/report-check?reportno=******2567","Verify")</f>
      </c>
      <c r="H364" s="1" t="s">
        <v>1948</v>
      </c>
      <c r="I364" s="1" t="s">
        <v>135</v>
      </c>
      <c r="J364" s="1">
        <v>2.02</v>
      </c>
      <c r="K364" s="1">
        <v>1</v>
      </c>
      <c r="L364" s="1">
        <v>9700</v>
      </c>
      <c r="M364" s="1">
        <v>4457</v>
      </c>
      <c r="N364" s="1">
        <v>9003.14</v>
      </c>
      <c r="O364" s="1">
        <v>-54.05</v>
      </c>
      <c r="P364" s="1">
        <v>0</v>
      </c>
      <c r="Q364" s="1" t="s">
        <v>86</v>
      </c>
      <c r="R364" s="1">
        <v>0</v>
      </c>
      <c r="S364" s="1" t="s">
        <v>86</v>
      </c>
      <c r="T364" s="1" t="s">
        <v>86</v>
      </c>
      <c r="U364" s="1" t="s">
        <v>118</v>
      </c>
      <c r="V364" s="1" t="s">
        <v>86</v>
      </c>
      <c r="W364" s="1" t="s">
        <v>223</v>
      </c>
      <c r="X364" s="1" t="s">
        <v>86</v>
      </c>
      <c r="Y364" s="1" t="s">
        <v>89</v>
      </c>
      <c r="Z364" s="1" t="s">
        <v>89</v>
      </c>
      <c r="AA364" s="1" t="s">
        <v>108</v>
      </c>
      <c r="AB364" s="1" t="s">
        <v>109</v>
      </c>
      <c r="AC364" s="1" t="s">
        <v>1949</v>
      </c>
      <c r="AD364" s="1">
        <v>69.3</v>
      </c>
      <c r="AE364" s="1">
        <v>65</v>
      </c>
      <c r="AF364" s="1" t="s">
        <v>91</v>
      </c>
      <c r="AG364" s="1">
        <v>3.3</v>
      </c>
      <c r="AH364" s="1">
        <v>35.9</v>
      </c>
      <c r="AI364" s="1" t="s">
        <v>86</v>
      </c>
      <c r="AJ364" s="1">
        <v>1.1</v>
      </c>
      <c r="AK364" s="1" t="s">
        <v>111</v>
      </c>
      <c r="AL364" s="1" t="s">
        <v>93</v>
      </c>
      <c r="AM364" s="1" t="s">
        <v>140</v>
      </c>
      <c r="AN364" s="1" t="s">
        <v>171</v>
      </c>
      <c r="AO364" s="1" t="s">
        <v>94</v>
      </c>
      <c r="AP364" s="1" t="s">
        <v>95</v>
      </c>
      <c r="AQ364" s="1">
        <v>12.8</v>
      </c>
      <c r="AR364" s="1">
        <v>52.5</v>
      </c>
      <c r="AS364" s="1">
        <v>35.6</v>
      </c>
      <c r="AT364" s="1" t="s">
        <v>96</v>
      </c>
      <c r="AU364" s="1" t="s">
        <v>86</v>
      </c>
      <c r="AV364" s="1" t="s">
        <v>86</v>
      </c>
      <c r="AW364" s="1" t="s">
        <v>86</v>
      </c>
      <c r="AX364" s="1" t="s">
        <v>86</v>
      </c>
      <c r="AY364" s="1" t="s">
        <v>86</v>
      </c>
      <c r="AZ364" s="1" t="s">
        <v>86</v>
      </c>
      <c r="BA364" s="1" t="s">
        <v>86</v>
      </c>
      <c r="BB364" s="1" t="s">
        <v>86</v>
      </c>
      <c r="BC364" s="1" t="s">
        <v>112</v>
      </c>
      <c r="BD364" s="1" t="s">
        <v>86</v>
      </c>
      <c r="BE364" s="1" t="s">
        <v>86</v>
      </c>
      <c r="BF364" s="1" t="s">
        <v>86</v>
      </c>
      <c r="BG364" s="1" t="s">
        <v>86</v>
      </c>
      <c r="BH364" s="1" t="s">
        <v>97</v>
      </c>
      <c r="BI364" s="1" t="s">
        <v>232</v>
      </c>
      <c r="BJ364" s="1" t="s">
        <v>87</v>
      </c>
      <c r="BK364" s="1">
        <v>0</v>
      </c>
      <c r="BL364" s="1">
        <v>0</v>
      </c>
      <c r="BM364" s="1" t="s">
        <v>398</v>
      </c>
      <c r="BN364" s="1" t="s">
        <v>1950</v>
      </c>
      <c r="BO364" s="1" t="s">
        <v>506</v>
      </c>
      <c r="BP364" s="1" t="s">
        <v>86</v>
      </c>
      <c r="BQ364" s="1" t="s">
        <v>86</v>
      </c>
      <c r="BR364" s="1" t="s">
        <v>86</v>
      </c>
      <c r="BS364" s="1" t="s">
        <v>86</v>
      </c>
      <c r="BT364" s="1" t="s">
        <v>86</v>
      </c>
      <c r="BU364" s="1" t="s">
        <v>590</v>
      </c>
      <c r="BV364" s="1" t="s">
        <v>86</v>
      </c>
      <c r="BW364" s="1" t="s">
        <v>101</v>
      </c>
      <c r="BX364" s="1" t="s">
        <v>439</v>
      </c>
      <c r="BY364" s="1" t="s">
        <v>86</v>
      </c>
      <c r="BZ364" s="1" t="s">
        <v>1951</v>
      </c>
      <c r="CA364" s="1" t="s">
        <v>1952</v>
      </c>
      <c r="CB364" s="1" t="s">
        <v>269</v>
      </c>
      <c r="CC364" s="1" t="s">
        <v>86</v>
      </c>
      <c r="CD364" s="1" t="s">
        <v>86</v>
      </c>
      <c r="CE364" s="1" t="s">
        <v>86</v>
      </c>
    </row>
    <row r="365">
      <c r="A365" s="4">
        <v>363</v>
      </c>
      <c r="B365" s="4" t="s">
        <v>395</v>
      </c>
      <c r="C365" s="2">
        <f>=HYPERLINK("https://i.stonehdfile.com/stoneimage?s=b7f4ac26-6564-4505-abe2-4085e7d3f588","Image")</f>
      </c>
      <c r="D365" s="2">
        <f>=HYPERLINK("https://dna.stonehdfile.com/hd/viewhd.html?d=6dc5d242-521e-474a-8800-8c24ea4c658a","View360")</f>
      </c>
      <c r="E365" s="2">
        <f>=HYPERLINK("https://i.stonehdfile.com/Certificate?s=b7f4ac26-6564-4505-abe2-4085e7d3f588","GIA")</f>
      </c>
      <c r="F365" s="2">
        <f>=HYPERLINK("https://i.stonehdfile.com/DNAReport?s=b7f4ac26-6564-4505-abe2-4085e7d3f588","DNA")</f>
      </c>
      <c r="G365" s="2">
        <f>=HYPERLINK("https://www.gia.edu/report-check?reportno=******2943","Verify")</f>
      </c>
      <c r="H365" s="4" t="s">
        <v>1953</v>
      </c>
      <c r="I365" s="4" t="s">
        <v>135</v>
      </c>
      <c r="J365" s="4">
        <v>3.01</v>
      </c>
      <c r="K365" s="4">
        <v>3</v>
      </c>
      <c r="L365" s="4">
        <v>20000</v>
      </c>
      <c r="M365" s="4">
        <v>7634</v>
      </c>
      <c r="N365" s="4">
        <v>22978.34</v>
      </c>
      <c r="O365" s="4">
        <v>-61.83</v>
      </c>
      <c r="P365" s="4">
        <v>0</v>
      </c>
      <c r="Q365" s="4" t="s">
        <v>1730</v>
      </c>
      <c r="R365" s="4">
        <v>0</v>
      </c>
      <c r="S365" s="4" t="s">
        <v>86</v>
      </c>
      <c r="T365" s="4" t="s">
        <v>1731</v>
      </c>
      <c r="U365" s="4" t="s">
        <v>271</v>
      </c>
      <c r="V365" s="4" t="s">
        <v>86</v>
      </c>
      <c r="W365" s="4" t="s">
        <v>149</v>
      </c>
      <c r="X365" s="4" t="s">
        <v>86</v>
      </c>
      <c r="Y365" s="4" t="s">
        <v>89</v>
      </c>
      <c r="Z365" s="4" t="s">
        <v>138</v>
      </c>
      <c r="AA365" s="4" t="s">
        <v>87</v>
      </c>
      <c r="AB365" s="4" t="s">
        <v>86</v>
      </c>
      <c r="AC365" s="4" t="s">
        <v>1954</v>
      </c>
      <c r="AD365" s="4">
        <v>71.2</v>
      </c>
      <c r="AE365" s="4">
        <v>60</v>
      </c>
      <c r="AF365" s="4" t="s">
        <v>91</v>
      </c>
      <c r="AG365" s="4">
        <v>3.4</v>
      </c>
      <c r="AH365" s="4">
        <v>36.5</v>
      </c>
      <c r="AI365" s="4" t="s">
        <v>86</v>
      </c>
      <c r="AJ365" s="4">
        <v>1.03</v>
      </c>
      <c r="AK365" s="4" t="s">
        <v>111</v>
      </c>
      <c r="AL365" s="4" t="s">
        <v>93</v>
      </c>
      <c r="AM365" s="4" t="s">
        <v>93</v>
      </c>
      <c r="AN365" s="4" t="s">
        <v>86</v>
      </c>
      <c r="AO365" s="4" t="s">
        <v>94</v>
      </c>
      <c r="AP365" s="4" t="s">
        <v>95</v>
      </c>
      <c r="AQ365" s="4">
        <v>14.6</v>
      </c>
      <c r="AR365" s="4">
        <v>51</v>
      </c>
      <c r="AS365" s="4">
        <v>36.3</v>
      </c>
      <c r="AT365" s="4" t="s">
        <v>96</v>
      </c>
      <c r="AU365" s="4" t="s">
        <v>86</v>
      </c>
      <c r="AV365" s="4" t="s">
        <v>86</v>
      </c>
      <c r="AW365" s="4" t="s">
        <v>86</v>
      </c>
      <c r="AX365" s="4" t="s">
        <v>86</v>
      </c>
      <c r="AY365" s="4" t="s">
        <v>86</v>
      </c>
      <c r="AZ365" s="4" t="s">
        <v>86</v>
      </c>
      <c r="BA365" s="4" t="s">
        <v>86</v>
      </c>
      <c r="BB365" s="4" t="s">
        <v>86</v>
      </c>
      <c r="BC365" s="4" t="s">
        <v>86</v>
      </c>
      <c r="BD365" s="4" t="s">
        <v>86</v>
      </c>
      <c r="BE365" s="4" t="s">
        <v>86</v>
      </c>
      <c r="BF365" s="4" t="s">
        <v>86</v>
      </c>
      <c r="BG365" s="4" t="s">
        <v>172</v>
      </c>
      <c r="BH365" s="4" t="s">
        <v>97</v>
      </c>
      <c r="BI365" s="4" t="s">
        <v>191</v>
      </c>
      <c r="BJ365" s="4" t="s">
        <v>87</v>
      </c>
      <c r="BK365" s="4">
        <v>0</v>
      </c>
      <c r="BL365" s="4">
        <v>0</v>
      </c>
      <c r="BM365" s="4" t="s">
        <v>398</v>
      </c>
      <c r="BN365" s="4" t="s">
        <v>1955</v>
      </c>
      <c r="BO365" s="4" t="s">
        <v>1341</v>
      </c>
      <c r="BP365" s="4" t="s">
        <v>86</v>
      </c>
      <c r="BQ365" s="4" t="s">
        <v>86</v>
      </c>
      <c r="BR365" s="4" t="s">
        <v>86</v>
      </c>
      <c r="BS365" s="4" t="s">
        <v>438</v>
      </c>
      <c r="BT365" s="4" t="s">
        <v>86</v>
      </c>
      <c r="BU365" s="4" t="s">
        <v>163</v>
      </c>
      <c r="BV365" s="4" t="s">
        <v>86</v>
      </c>
      <c r="BW365" s="4" t="s">
        <v>101</v>
      </c>
      <c r="BX365" s="4" t="s">
        <v>530</v>
      </c>
      <c r="BY365" s="4" t="s">
        <v>86</v>
      </c>
      <c r="BZ365" s="4" t="s">
        <v>1956</v>
      </c>
      <c r="CA365" s="4" t="s">
        <v>1957</v>
      </c>
      <c r="CB365" s="4" t="s">
        <v>1958</v>
      </c>
      <c r="CC365" s="4" t="s">
        <v>86</v>
      </c>
      <c r="CD365" s="4" t="s">
        <v>86</v>
      </c>
      <c r="CE365" s="4" t="s">
        <v>86</v>
      </c>
    </row>
  </sheetData>
  <autoFilter ref="A2:CE2"/>
  <mergeCells>
    <mergeCell ref="A1:CE1"/>
  </mergeCells>
  <headerFooter/>
</worksheet>
</file>