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lantic\Downloads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Sheet1!$A$5:$AL$5</definedName>
  </definedNames>
  <calcPr calcId="162913"/>
</workbook>
</file>

<file path=xl/calcChain.xml><?xml version="1.0" encoding="utf-8"?>
<calcChain xmlns="http://schemas.openxmlformats.org/spreadsheetml/2006/main">
  <c r="P4" i="1" l="1"/>
  <c r="M4" i="1"/>
  <c r="L4" i="1" s="1"/>
  <c r="I4" i="1"/>
  <c r="H4" i="1"/>
  <c r="P3" i="1"/>
  <c r="M3" i="1"/>
  <c r="L3" i="1" s="1"/>
  <c r="I3" i="1"/>
  <c r="H3" i="1"/>
  <c r="N3" i="1" l="1"/>
  <c r="N4" i="1"/>
  <c r="O4" i="1"/>
  <c r="O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</calcChain>
</file>

<file path=xl/sharedStrings.xml><?xml version="1.0" encoding="utf-8"?>
<sst xmlns="http://schemas.openxmlformats.org/spreadsheetml/2006/main" count="594" uniqueCount="178">
  <si>
    <t>Note: Use filter to select stones and check your selection average discount and total amount.</t>
  </si>
  <si>
    <t>No.of.Pcs</t>
  </si>
  <si>
    <t>Weight</t>
  </si>
  <si>
    <t>RAP AVG</t>
  </si>
  <si>
    <t>RAP TOTAL</t>
  </si>
  <si>
    <t>AVG DIS%</t>
  </si>
  <si>
    <t>AVG P.CT</t>
  </si>
  <si>
    <t>TOTAL VL</t>
  </si>
  <si>
    <t>All</t>
  </si>
  <si>
    <t>Selection</t>
  </si>
  <si>
    <t>Stone No</t>
  </si>
  <si>
    <t>Image link</t>
  </si>
  <si>
    <t>Video Link</t>
  </si>
  <si>
    <t>Video</t>
  </si>
  <si>
    <t>Lab</t>
  </si>
  <si>
    <t>Report No</t>
  </si>
  <si>
    <t>Shape</t>
  </si>
  <si>
    <t>Carats</t>
  </si>
  <si>
    <t>Color</t>
  </si>
  <si>
    <t>Clarity</t>
  </si>
  <si>
    <t>Rap</t>
  </si>
  <si>
    <t>value</t>
  </si>
  <si>
    <t>Disc %</t>
  </si>
  <si>
    <t>Price/Ct</t>
  </si>
  <si>
    <t>Amount</t>
  </si>
  <si>
    <t>Cut</t>
  </si>
  <si>
    <t>Polish</t>
  </si>
  <si>
    <t>Sym</t>
  </si>
  <si>
    <t>Flour</t>
  </si>
  <si>
    <t>Measurement</t>
  </si>
  <si>
    <t>Table %</t>
  </si>
  <si>
    <t>Depth %</t>
  </si>
  <si>
    <t>Crown Angle</t>
  </si>
  <si>
    <t>Crown Height</t>
  </si>
  <si>
    <t>Pav Angle</t>
  </si>
  <si>
    <t>Pav Height</t>
  </si>
  <si>
    <t>Key To Symbols</t>
  </si>
  <si>
    <t>lower Half</t>
  </si>
  <si>
    <t>Girdle Thickness</t>
  </si>
  <si>
    <t>Girdle Size</t>
  </si>
  <si>
    <t>Ratio</t>
  </si>
  <si>
    <t>Natts</t>
  </si>
  <si>
    <t>HNA</t>
  </si>
  <si>
    <t>Comment</t>
  </si>
  <si>
    <t>Shade</t>
  </si>
  <si>
    <t>Kapan Origin</t>
  </si>
  <si>
    <t>CULET</t>
  </si>
  <si>
    <t>Report Type</t>
  </si>
  <si>
    <t>FB-1</t>
  </si>
  <si>
    <t>GIA</t>
  </si>
  <si>
    <t>P</t>
  </si>
  <si>
    <t>ROUND</t>
  </si>
  <si>
    <t>F</t>
  </si>
  <si>
    <t>VS2</t>
  </si>
  <si>
    <t>EX</t>
  </si>
  <si>
    <t>NON</t>
  </si>
  <si>
    <t>13.71 - 13.81 * 8.57</t>
  </si>
  <si>
    <t>CRYSTAL,FEATHER,NEEDLE,INDENTED NATURAL</t>
  </si>
  <si>
    <t>80</t>
  </si>
  <si>
    <t>MED to STK</t>
  </si>
  <si>
    <t>BC0 - BT1</t>
  </si>
  <si>
    <t>Clouds are not shown. Pinpoints are not shown.</t>
  </si>
  <si>
    <t>NO</t>
  </si>
  <si>
    <t>NO BROWN NO MILKY</t>
  </si>
  <si>
    <t>GB-46</t>
  </si>
  <si>
    <t>G</t>
  </si>
  <si>
    <t>I1</t>
  </si>
  <si>
    <t>7.41 - 7.47 * 4.70</t>
  </si>
  <si>
    <t>TWINNING WISP,FEATHER,NEEDLE,INDENTED NATURAL,NATURAL</t>
  </si>
  <si>
    <t>75</t>
  </si>
  <si>
    <t>BC3 - BT3</t>
  </si>
  <si>
    <t>100</t>
  </si>
  <si>
    <t>Additional twinning wisps, clouds, pinpoints and surface graining are not shown.</t>
  </si>
  <si>
    <t>GJ-1</t>
  </si>
  <si>
    <t>I</t>
  </si>
  <si>
    <t>FNT</t>
  </si>
  <si>
    <t>10.85 - 10.93 * 6.86</t>
  </si>
  <si>
    <t>CRYSTAL,FEATHER,CLOUD,NEEDLE,NATURAL</t>
  </si>
  <si>
    <t>THN to STK</t>
  </si>
  <si>
    <t>BC1 - BT1</t>
  </si>
  <si>
    <t>Additional clouds, pinpoints and surface graining are not shown.</t>
  </si>
  <si>
    <t>GL-1</t>
  </si>
  <si>
    <t>E</t>
  </si>
  <si>
    <t>SI1</t>
  </si>
  <si>
    <t>11.08 - 11.11 * 6.77</t>
  </si>
  <si>
    <t>TWINNING WISP,FEATHER,CRYSTAL,CLOUD,NEEDLE</t>
  </si>
  <si>
    <t>THN to MED</t>
  </si>
  <si>
    <t>BC1 - BT0</t>
  </si>
  <si>
    <t>Additional twinning wisps, additional clouds, pinpoints and surface graining are not shown.</t>
  </si>
  <si>
    <t>HV-5</t>
  </si>
  <si>
    <t>SI2</t>
  </si>
  <si>
    <t>9.48 - 9.55 * 5.91</t>
  </si>
  <si>
    <t>CRYSTAL,CLOUD,NEEDLE,FEATHER,INDENTED NATURAL</t>
  </si>
  <si>
    <t>BC1 - BT2</t>
  </si>
  <si>
    <t>Additional clouds are not shown. Pinpoints are not shown.</t>
  </si>
  <si>
    <t>HZ-1</t>
  </si>
  <si>
    <t>11.01 - 11.08 * 6.64</t>
  </si>
  <si>
    <t>CRYSTAL,NEEDLE,FEATHER</t>
  </si>
  <si>
    <t>BC2 - BT1</t>
  </si>
  <si>
    <t>JV-127</t>
  </si>
  <si>
    <t>J</t>
  </si>
  <si>
    <t>7.34 - 7.39 * 4.55</t>
  </si>
  <si>
    <t>TWINNING WISP,FEATHER,NATURAL</t>
  </si>
  <si>
    <t>BC2 - BT2</t>
  </si>
  <si>
    <t>JV-147</t>
  </si>
  <si>
    <t>H</t>
  </si>
  <si>
    <t>7.32 - 7.36 * 4.62</t>
  </si>
  <si>
    <t>CRYSTAL,FEATHER,KNOT,CAVITY,INDENTED NATURAL,NEEDLE</t>
  </si>
  <si>
    <t>BC2 - BT3</t>
  </si>
  <si>
    <t>Clouds, pinpoints and surface graining are not shown.</t>
  </si>
  <si>
    <t>MH-1</t>
  </si>
  <si>
    <t>MED</t>
  </si>
  <si>
    <t>11.06 - 11.12 * 6.64</t>
  </si>
  <si>
    <t>CRYSTAL,PINPOINT</t>
  </si>
  <si>
    <t>BC0 - BT0</t>
  </si>
  <si>
    <t>Additional pinpoints are not shown.</t>
  </si>
  <si>
    <t>MP-1</t>
  </si>
  <si>
    <t>D</t>
  </si>
  <si>
    <t>11.21 - 11.29 * 7.04</t>
  </si>
  <si>
    <t>Crystal, Needle</t>
  </si>
  <si>
    <t>MED to MED</t>
  </si>
  <si>
    <t>Pinpoints are not shown.</t>
  </si>
  <si>
    <t>No BROWN NO MILKY</t>
  </si>
  <si>
    <t>MP-5</t>
  </si>
  <si>
    <t>11.01 - 11.05 * 6.76</t>
  </si>
  <si>
    <t>CRYSTAL,FEATHER,NEEDLE</t>
  </si>
  <si>
    <t>NC-1</t>
  </si>
  <si>
    <t>VS1</t>
  </si>
  <si>
    <t>9.64 - 9.72 * 6.09</t>
  </si>
  <si>
    <t>CRYSTAL</t>
  </si>
  <si>
    <t/>
  </si>
  <si>
    <t>NT-31</t>
  </si>
  <si>
    <t>7.32 - 7.37 * 4.52</t>
  </si>
  <si>
    <t>FEATHER,CRYSTAL,CLOUD,NEEDLE,INDENTED NATURAL,NATURAL</t>
  </si>
  <si>
    <t>NT-39</t>
  </si>
  <si>
    <t>7.45 - 7.51 * 4.70</t>
  </si>
  <si>
    <t>CRYSTAL,FEATHER,NEEDLE,NATURAL</t>
  </si>
  <si>
    <t>BC0 - BT3</t>
  </si>
  <si>
    <t>OQ-22</t>
  </si>
  <si>
    <t>7.27 - 7.32 * 4.60</t>
  </si>
  <si>
    <t>OQ-34</t>
  </si>
  <si>
    <t>8.06 - 8.12 * 5.01</t>
  </si>
  <si>
    <t>CRYSTAL,FEATHER,CLOUD,INDENTED NATURAL,NEEDLE</t>
  </si>
  <si>
    <t>Pinpoints are not shown. Surface graining is not shown.</t>
  </si>
  <si>
    <t>QM-17</t>
  </si>
  <si>
    <t>7.42 - 7.48 * 4.66</t>
  </si>
  <si>
    <t>Crystal, Cloud, Feather, Needle, Indented Natural</t>
  </si>
  <si>
    <t>STK to STK</t>
  </si>
  <si>
    <t>BC3 - BT2</t>
  </si>
  <si>
    <t>QM-29</t>
  </si>
  <si>
    <t>7.42 - 7.47 * 4.63</t>
  </si>
  <si>
    <t>Crystal, Feather, Cloud, Needle</t>
  </si>
  <si>
    <t>BC0 - BT2</t>
  </si>
  <si>
    <t>RA-2</t>
  </si>
  <si>
    <t>9.36 - 9.42 * 5.90</t>
  </si>
  <si>
    <t>Cloud, Crystal</t>
  </si>
  <si>
    <t>50</t>
  </si>
  <si>
    <t>RP-4</t>
  </si>
  <si>
    <t>11.74 - 11.80 * 7.39</t>
  </si>
  <si>
    <t>RU-5</t>
  </si>
  <si>
    <t>7.34 - 7.38 * 4.56</t>
  </si>
  <si>
    <t>Cloud, Crystal, Feather, Needle</t>
  </si>
  <si>
    <t>RU-103</t>
  </si>
  <si>
    <t>7.32 - 7.37 * 4.55</t>
  </si>
  <si>
    <t>Crystal, Feather, Needle, Natural</t>
  </si>
  <si>
    <t>SE-32</t>
  </si>
  <si>
    <t>7.26 - 7.31 * 4.58</t>
  </si>
  <si>
    <t>VSM</t>
  </si>
  <si>
    <t>Crystal, Natural</t>
  </si>
  <si>
    <t>SE-41</t>
  </si>
  <si>
    <t>7.50 - 7.55 * 4.68</t>
  </si>
  <si>
    <t>SF-7</t>
  </si>
  <si>
    <t>7.27 - 7.31 * 4.58</t>
  </si>
  <si>
    <t>Twinning Wisp, Cloud, Feather, Indented Natural, Needle</t>
  </si>
  <si>
    <t>SF-47</t>
  </si>
  <si>
    <t>7.23 - 7.29 * 4.58</t>
  </si>
  <si>
    <t>SF-69</t>
  </si>
  <si>
    <t>7.30 - 7.33 * 4.59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</si>
</sst>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mbria"/>
    </font>
    <font>
      <b/>
      <sz val="8"/>
      <color rgb="FF000000"/>
      <name val="Cambria"/>
    </font>
    <font>
      <u/>
      <sz val="11"/>
      <color rgb="FF0000FF"/>
      <name val="Calibri"/>
    </font>
    <font>
      <b/>
      <sz val="10"/>
      <color rgb="FF000000"/>
      <name val="Cambria"/>
    </font>
    <font>
      <sz val="10"/>
      <color rgb="FF000000"/>
      <name val="Cambri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CC0D9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E6B8B9"/>
        <bgColor rgb="FFFFFFFF"/>
      </patternFill>
    </fill>
    <fill>
      <patternFill patternType="solid">
        <fgColor rgb="FFFAC090"/>
        <bgColor rgb="FFFFFFFF"/>
      </patternFill>
    </fill>
    <fill>
      <patternFill patternType="solid">
        <fgColor rgb="FF95B3D7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2" fontId="4" fillId="6" borderId="9" xfId="0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1" fontId="4" fillId="6" borderId="9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topLeftCell="U1" workbookViewId="0">
      <selection activeCell="E10" sqref="E1:E1048576"/>
    </sheetView>
  </sheetViews>
  <sheetFormatPr defaultRowHeight="15" x14ac:dyDescent="0.25"/>
  <cols>
    <col min="1" max="1" width="11.85546875" style="3" bestFit="1" customWidth="1"/>
    <col min="2" max="3" width="13.28515625" style="9" bestFit="1" customWidth="1"/>
    <col min="4" max="4" width="9.7109375" style="9" bestFit="1" customWidth="1"/>
    <col min="5" max="5" width="9.140625" style="3" customWidth="1"/>
    <col min="6" max="6" width="12.7109375" style="3" bestFit="1" customWidth="1"/>
    <col min="7" max="7" width="14.5703125" style="3" bestFit="1" customWidth="1"/>
    <col min="8" max="8" width="9.140625" style="3" customWidth="1"/>
    <col min="9" max="9" width="9.140625" style="4" customWidth="1"/>
    <col min="10" max="10" width="9.140625" style="3" customWidth="1"/>
    <col min="11" max="11" width="10.28515625" style="3" bestFit="1" customWidth="1"/>
    <col min="12" max="12" width="9.140625" style="3" customWidth="1"/>
    <col min="13" max="13" width="10.7109375" style="3" bestFit="1" customWidth="1"/>
    <col min="14" max="14" width="10.42578125" style="4" bestFit="1" customWidth="1"/>
    <col min="15" max="15" width="11.5703125" style="3" bestFit="1" customWidth="1"/>
    <col min="16" max="16" width="11.42578125" style="3" bestFit="1" customWidth="1"/>
    <col min="17" max="17" width="9.140625" style="3" customWidth="1"/>
    <col min="18" max="18" width="10" style="3" bestFit="1" customWidth="1"/>
    <col min="19" max="19" width="9.140625" style="3" customWidth="1"/>
    <col min="20" max="20" width="9.42578125" style="3" bestFit="1" customWidth="1"/>
    <col min="21" max="21" width="15.7109375" style="3" bestFit="1" customWidth="1"/>
    <col min="22" max="22" width="11.5703125" style="4" bestFit="1" customWidth="1"/>
    <col min="23" max="23" width="12" style="4" bestFit="1" customWidth="1"/>
    <col min="24" max="24" width="10.140625" style="4" bestFit="1" customWidth="1"/>
    <col min="25" max="25" width="14.7109375" style="4" bestFit="1" customWidth="1"/>
    <col min="26" max="26" width="15.42578125" style="4" bestFit="1" customWidth="1"/>
    <col min="27" max="27" width="12.7109375" style="4" bestFit="1" customWidth="1"/>
    <col min="28" max="28" width="13.42578125" style="4" bestFit="1" customWidth="1"/>
    <col min="29" max="29" width="16.85546875" style="3" bestFit="1" customWidth="1"/>
    <col min="30" max="30" width="13" style="3" bestFit="1" customWidth="1"/>
    <col min="31" max="31" width="17.85546875" style="3" bestFit="1" customWidth="1"/>
    <col min="32" max="34" width="9.140625" style="3" customWidth="1"/>
    <col min="35" max="35" width="8.7109375" style="3" bestFit="1" customWidth="1"/>
    <col min="36" max="37" width="23.85546875" style="5" customWidth="1"/>
    <col min="38" max="38" width="13.5703125" style="6" customWidth="1"/>
  </cols>
  <sheetData>
    <row r="1" spans="1:39" ht="15.75" customHeight="1" x14ac:dyDescent="0.25">
      <c r="A1" s="1"/>
      <c r="B1" s="2"/>
      <c r="C1" s="2"/>
      <c r="D1" s="2"/>
      <c r="E1" s="1"/>
      <c r="F1" s="2"/>
      <c r="G1" s="33" t="s">
        <v>0</v>
      </c>
      <c r="H1" s="34"/>
      <c r="I1" s="34"/>
      <c r="J1" s="34"/>
      <c r="K1" s="34"/>
      <c r="L1" s="34"/>
      <c r="M1" s="34"/>
      <c r="N1" s="34"/>
      <c r="O1" s="34"/>
      <c r="P1" s="35"/>
      <c r="Q1" s="1"/>
      <c r="R1" s="1"/>
      <c r="S1" s="1"/>
      <c r="T1" s="1"/>
      <c r="U1" s="1"/>
      <c r="V1" s="1"/>
      <c r="W1" s="1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7"/>
    </row>
    <row r="2" spans="1:39" x14ac:dyDescent="0.25">
      <c r="A2" s="1"/>
      <c r="B2" s="2"/>
      <c r="C2" s="2"/>
      <c r="D2" s="2"/>
      <c r="E2" s="1"/>
      <c r="F2" s="2"/>
      <c r="G2" s="10"/>
      <c r="H2" s="11" t="s">
        <v>1</v>
      </c>
      <c r="I2" s="12" t="s">
        <v>2</v>
      </c>
      <c r="J2" s="10"/>
      <c r="K2" s="10"/>
      <c r="L2" s="12" t="s">
        <v>3</v>
      </c>
      <c r="M2" s="12" t="s">
        <v>4</v>
      </c>
      <c r="N2" s="12" t="s">
        <v>5</v>
      </c>
      <c r="O2" s="12" t="s">
        <v>6</v>
      </c>
      <c r="P2" s="12" t="s">
        <v>7</v>
      </c>
      <c r="Q2" s="1"/>
      <c r="R2" s="1"/>
      <c r="S2" s="1"/>
      <c r="T2" s="1"/>
      <c r="U2" s="1"/>
      <c r="V2" s="1"/>
      <c r="W2" s="1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7"/>
    </row>
    <row r="3" spans="1:39" x14ac:dyDescent="0.25">
      <c r="A3" s="1"/>
      <c r="B3" s="2"/>
      <c r="C3" s="2"/>
      <c r="D3" s="2"/>
      <c r="E3" s="1"/>
      <c r="F3" s="2"/>
      <c r="G3" s="13" t="s">
        <v>8</v>
      </c>
      <c r="H3" s="14">
        <f>COUNTA(A6:A50000)</f>
        <v>27</v>
      </c>
      <c r="I3" s="15">
        <f>ROUND(SUM(I6:I50000),2)</f>
        <v>82.17</v>
      </c>
      <c r="J3" s="16"/>
      <c r="K3" s="17"/>
      <c r="L3" s="18">
        <f>ROUND(M3/I3,2)</f>
        <v>30199.59</v>
      </c>
      <c r="M3" s="19">
        <f>ROUND(SUM(M6:M50000),2)</f>
        <v>2481500</v>
      </c>
      <c r="N3" s="15">
        <f>((P3/M3)*100)-100</f>
        <v>-38.274128148297407</v>
      </c>
      <c r="O3" s="20">
        <f>P3/I3</f>
        <v>18640.95789217476</v>
      </c>
      <c r="P3" s="19">
        <f>ROUND(SUM(P6:P50000),2)</f>
        <v>1531727.51</v>
      </c>
      <c r="Q3" s="1"/>
      <c r="R3" s="1"/>
      <c r="S3" s="1"/>
      <c r="T3" s="1"/>
      <c r="U3" s="1"/>
      <c r="V3" s="1"/>
      <c r="W3" s="1"/>
      <c r="X3" s="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7"/>
    </row>
    <row r="4" spans="1:39" x14ac:dyDescent="0.25">
      <c r="A4" s="1"/>
      <c r="B4" s="2"/>
      <c r="C4" s="2"/>
      <c r="D4" s="2"/>
      <c r="E4" s="1"/>
      <c r="F4" s="2"/>
      <c r="G4" s="21" t="s">
        <v>9</v>
      </c>
      <c r="H4" s="22">
        <f>SUBTOTAL(3,A6:A50000)</f>
        <v>27</v>
      </c>
      <c r="I4" s="23">
        <f>ROUND(SUBTOTAL(9,I6:I50000),2)</f>
        <v>82.17</v>
      </c>
      <c r="J4" s="24"/>
      <c r="K4" s="25"/>
      <c r="L4" s="26">
        <f>ROUND(M4/I4,2)</f>
        <v>30199.59</v>
      </c>
      <c r="M4" s="27">
        <f>ROUND(SUBTOTAL(9,M6:M50000),2)</f>
        <v>2481500</v>
      </c>
      <c r="N4" s="23">
        <f>((P4/M4)*100)-100</f>
        <v>-38.274128148297407</v>
      </c>
      <c r="O4" s="28">
        <f>P4/I4</f>
        <v>18640.95789217476</v>
      </c>
      <c r="P4" s="27">
        <f>ROUND(SUBTOTAL(9,P6:P50000),2)</f>
        <v>1531727.51</v>
      </c>
      <c r="Q4" s="1"/>
      <c r="R4" s="1"/>
      <c r="S4" s="1"/>
      <c r="T4" s="1"/>
      <c r="U4" s="1"/>
      <c r="V4" s="1"/>
      <c r="W4" s="1"/>
      <c r="X4" s="2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7"/>
    </row>
    <row r="5" spans="1:39" x14ac:dyDescent="0.25">
      <c r="A5" s="29" t="s">
        <v>10</v>
      </c>
      <c r="B5" s="29" t="s">
        <v>11</v>
      </c>
      <c r="C5" s="29" t="s">
        <v>12</v>
      </c>
      <c r="D5" s="29" t="s">
        <v>13</v>
      </c>
      <c r="E5" s="29" t="s">
        <v>14</v>
      </c>
      <c r="F5" s="29" t="s">
        <v>15</v>
      </c>
      <c r="G5" s="29" t="s">
        <v>47</v>
      </c>
      <c r="H5" s="29" t="s">
        <v>16</v>
      </c>
      <c r="I5" s="29" t="s">
        <v>17</v>
      </c>
      <c r="J5" s="29" t="s">
        <v>18</v>
      </c>
      <c r="K5" s="29" t="s">
        <v>19</v>
      </c>
      <c r="L5" s="29" t="s">
        <v>20</v>
      </c>
      <c r="M5" s="29" t="s">
        <v>21</v>
      </c>
      <c r="N5" s="29" t="s">
        <v>22</v>
      </c>
      <c r="O5" s="29" t="s">
        <v>23</v>
      </c>
      <c r="P5" s="29" t="s">
        <v>24</v>
      </c>
      <c r="Q5" s="29" t="s">
        <v>25</v>
      </c>
      <c r="R5" s="29" t="s">
        <v>26</v>
      </c>
      <c r="S5" s="29" t="s">
        <v>27</v>
      </c>
      <c r="T5" s="29" t="s">
        <v>28</v>
      </c>
      <c r="U5" s="29" t="s">
        <v>29</v>
      </c>
      <c r="V5" s="29" t="s">
        <v>30</v>
      </c>
      <c r="W5" s="29" t="s">
        <v>31</v>
      </c>
      <c r="X5" s="29" t="s">
        <v>46</v>
      </c>
      <c r="Y5" s="29" t="s">
        <v>32</v>
      </c>
      <c r="Z5" s="29" t="s">
        <v>33</v>
      </c>
      <c r="AA5" s="29" t="s">
        <v>34</v>
      </c>
      <c r="AB5" s="29" t="s">
        <v>35</v>
      </c>
      <c r="AC5" s="29" t="s">
        <v>36</v>
      </c>
      <c r="AD5" s="29" t="s">
        <v>37</v>
      </c>
      <c r="AE5" s="29" t="s">
        <v>38</v>
      </c>
      <c r="AF5" s="29" t="s">
        <v>39</v>
      </c>
      <c r="AG5" s="29" t="s">
        <v>40</v>
      </c>
      <c r="AH5" s="29" t="s">
        <v>41</v>
      </c>
      <c r="AI5" s="29" t="s">
        <v>42</v>
      </c>
      <c r="AJ5" s="30" t="s">
        <v>43</v>
      </c>
      <c r="AK5" s="30" t="s">
        <v>44</v>
      </c>
      <c r="AL5" s="31" t="s">
        <v>45</v>
      </c>
    </row>
    <row r="6" spans="1:39" x14ac:dyDescent="0.25">
      <c r="A6" s="32" t="s">
        <v>48</v>
      </c>
      <c r="B6" s="32" t="str">
        <f>HYPERLINK("https://diamdna.azureedge.net/imaged/fb-1/still.jpg ","Image")</f>
        <v>Image</v>
      </c>
      <c r="C6" s="32" t="str">
        <f>HYPERLINK("https://diamdna.azureedge.net/Vision360.html?d=fb-1&amp;sr=-30&amp;s=30 ","Video")</f>
        <v>Video</v>
      </c>
      <c r="D6" s="32" t="str">
        <f>HYPERLINK("https://diamdna.azureedge.net/imaged/fb-1/video.mp4 ","Download")</f>
        <v>Download</v>
      </c>
      <c r="E6" s="32" t="s">
        <v>49</v>
      </c>
      <c r="F6" s="32" t="str">
        <f>HYPERLINK("https://diamdna.azureedge.net/reports/2215997161.pdf#zoom=150 ","2215997161")</f>
        <v>2215997161</v>
      </c>
      <c r="G6" s="32" t="s">
        <v>50</v>
      </c>
      <c r="H6" s="32" t="s">
        <v>51</v>
      </c>
      <c r="I6" s="32">
        <v>10.02</v>
      </c>
      <c r="J6" s="32" t="s">
        <v>52</v>
      </c>
      <c r="K6" s="32" t="s">
        <v>53</v>
      </c>
      <c r="L6" s="32">
        <v>75500</v>
      </c>
      <c r="M6" s="32">
        <v>756510</v>
      </c>
      <c r="N6" s="32">
        <v>-36</v>
      </c>
      <c r="O6" s="32">
        <v>48320</v>
      </c>
      <c r="P6" s="32">
        <v>484166.40000000002</v>
      </c>
      <c r="Q6" s="32" t="s">
        <v>54</v>
      </c>
      <c r="R6" s="32" t="s">
        <v>54</v>
      </c>
      <c r="S6" s="32" t="s">
        <v>54</v>
      </c>
      <c r="T6" s="32" t="s">
        <v>55</v>
      </c>
      <c r="U6" s="32" t="s">
        <v>56</v>
      </c>
      <c r="V6" s="32">
        <v>58</v>
      </c>
      <c r="W6" s="32">
        <v>62.3</v>
      </c>
      <c r="X6" s="32" t="s">
        <v>55</v>
      </c>
      <c r="Y6" s="32">
        <v>35</v>
      </c>
      <c r="Z6" s="32">
        <v>15</v>
      </c>
      <c r="AA6" s="32">
        <v>41.2</v>
      </c>
      <c r="AB6" s="32">
        <v>43.5</v>
      </c>
      <c r="AC6" s="32" t="s">
        <v>57</v>
      </c>
      <c r="AD6" s="32" t="s">
        <v>58</v>
      </c>
      <c r="AE6" s="32" t="s">
        <v>59</v>
      </c>
      <c r="AF6" s="32">
        <v>3.5</v>
      </c>
      <c r="AG6" s="32">
        <v>0</v>
      </c>
      <c r="AH6" s="32" t="s">
        <v>60</v>
      </c>
      <c r="AI6" s="32" t="s">
        <v>58</v>
      </c>
      <c r="AJ6" s="32" t="s">
        <v>61</v>
      </c>
      <c r="AK6" s="32" t="s">
        <v>62</v>
      </c>
      <c r="AL6" s="32"/>
      <c r="AM6" s="32" t="s">
        <v>63</v>
      </c>
    </row>
    <row r="7" spans="1:39" x14ac:dyDescent="0.25">
      <c r="A7" s="32" t="s">
        <v>64</v>
      </c>
      <c r="B7" s="32" t="str">
        <f>HYPERLINK("https://diamdna.azureedge.net/imaged/gb-46/still.jpg ","Image")</f>
        <v>Image</v>
      </c>
      <c r="C7" s="32" t="str">
        <f>HYPERLINK("https://diamdna.azureedge.net/Vision360.html?d=gb-46&amp;sr=-30&amp;s=30 ","Video")</f>
        <v>Video</v>
      </c>
      <c r="D7" s="32" t="str">
        <f>HYPERLINK("https://diamdna.azureedge.net/imaged/gb-46/video.mp4 ","Download")</f>
        <v>Download</v>
      </c>
      <c r="E7" s="32" t="s">
        <v>49</v>
      </c>
      <c r="F7" s="32" t="str">
        <f>HYPERLINK("https://diamdna.azureedge.net/reports/1419703389.pdf#zoom=150 ","1419703389")</f>
        <v>1419703389</v>
      </c>
      <c r="G7" s="32" t="s">
        <v>50</v>
      </c>
      <c r="H7" s="32" t="s">
        <v>51</v>
      </c>
      <c r="I7" s="32">
        <v>1.61</v>
      </c>
      <c r="J7" s="32" t="s">
        <v>65</v>
      </c>
      <c r="K7" s="32" t="s">
        <v>66</v>
      </c>
      <c r="L7" s="32">
        <v>6200</v>
      </c>
      <c r="M7" s="32">
        <v>9982</v>
      </c>
      <c r="N7" s="32">
        <v>-52</v>
      </c>
      <c r="O7" s="32">
        <v>2976</v>
      </c>
      <c r="P7" s="32">
        <v>4791.3599999999997</v>
      </c>
      <c r="Q7" s="32" t="s">
        <v>54</v>
      </c>
      <c r="R7" s="32" t="s">
        <v>54</v>
      </c>
      <c r="S7" s="32" t="s">
        <v>54</v>
      </c>
      <c r="T7" s="32" t="s">
        <v>55</v>
      </c>
      <c r="U7" s="32" t="s">
        <v>67</v>
      </c>
      <c r="V7" s="32">
        <v>55</v>
      </c>
      <c r="W7" s="32">
        <v>63.1</v>
      </c>
      <c r="X7" s="32" t="s">
        <v>55</v>
      </c>
      <c r="Y7" s="32">
        <v>36.5</v>
      </c>
      <c r="Z7" s="32">
        <v>16.5</v>
      </c>
      <c r="AA7" s="32">
        <v>40.6</v>
      </c>
      <c r="AB7" s="32">
        <v>43</v>
      </c>
      <c r="AC7" s="32" t="s">
        <v>68</v>
      </c>
      <c r="AD7" s="32" t="s">
        <v>69</v>
      </c>
      <c r="AE7" s="32" t="s">
        <v>59</v>
      </c>
      <c r="AF7" s="32">
        <v>3.5</v>
      </c>
      <c r="AG7" s="32">
        <v>0</v>
      </c>
      <c r="AH7" s="32" t="s">
        <v>70</v>
      </c>
      <c r="AI7" s="32" t="s">
        <v>71</v>
      </c>
      <c r="AJ7" s="32" t="s">
        <v>72</v>
      </c>
      <c r="AK7" s="32" t="s">
        <v>62</v>
      </c>
      <c r="AL7" s="32"/>
      <c r="AM7" s="32" t="s">
        <v>63</v>
      </c>
    </row>
    <row r="8" spans="1:39" x14ac:dyDescent="0.25">
      <c r="A8" s="32" t="s">
        <v>73</v>
      </c>
      <c r="B8" s="32" t="str">
        <f>HYPERLINK("https://diamdna.azureedge.net/imaged/gj-1/still.jpg ","Image")</f>
        <v>Image</v>
      </c>
      <c r="C8" s="32" t="str">
        <f>HYPERLINK("https://diamdna.azureedge.net/Vision360.html?d=gj-1&amp;sr=-30&amp;s=30 ","Video")</f>
        <v>Video</v>
      </c>
      <c r="D8" s="32" t="str">
        <f>HYPERLINK("https://diamdna.azureedge.net/imaged/gj-1/video.mp4 ","Download")</f>
        <v>Download</v>
      </c>
      <c r="E8" s="32" t="s">
        <v>49</v>
      </c>
      <c r="F8" s="32" t="str">
        <f>HYPERLINK("https://diamdna.azureedge.net/reports/6411941595.pdf#zoom=150 ","6411941595")</f>
        <v>6411941595</v>
      </c>
      <c r="G8" s="32" t="s">
        <v>50</v>
      </c>
      <c r="H8" s="32" t="s">
        <v>51</v>
      </c>
      <c r="I8" s="32">
        <v>5.01</v>
      </c>
      <c r="J8" s="32" t="s">
        <v>74</v>
      </c>
      <c r="K8" s="32" t="s">
        <v>53</v>
      </c>
      <c r="L8" s="32">
        <v>26500</v>
      </c>
      <c r="M8" s="32">
        <v>132765</v>
      </c>
      <c r="N8" s="32">
        <v>-38</v>
      </c>
      <c r="O8" s="32">
        <v>16430</v>
      </c>
      <c r="P8" s="32">
        <v>82314.3</v>
      </c>
      <c r="Q8" s="32" t="s">
        <v>54</v>
      </c>
      <c r="R8" s="32" t="s">
        <v>54</v>
      </c>
      <c r="S8" s="32" t="s">
        <v>54</v>
      </c>
      <c r="T8" s="32" t="s">
        <v>75</v>
      </c>
      <c r="U8" s="32" t="s">
        <v>76</v>
      </c>
      <c r="V8" s="32">
        <v>57</v>
      </c>
      <c r="W8" s="32">
        <v>63</v>
      </c>
      <c r="X8" s="32" t="s">
        <v>55</v>
      </c>
      <c r="Y8" s="32">
        <v>36</v>
      </c>
      <c r="Z8" s="32">
        <v>15.5</v>
      </c>
      <c r="AA8" s="32">
        <v>41.2</v>
      </c>
      <c r="AB8" s="32">
        <v>43.5</v>
      </c>
      <c r="AC8" s="32" t="s">
        <v>77</v>
      </c>
      <c r="AD8" s="32" t="s">
        <v>58</v>
      </c>
      <c r="AE8" s="32" t="s">
        <v>78</v>
      </c>
      <c r="AF8" s="32">
        <v>3.5</v>
      </c>
      <c r="AG8" s="32">
        <v>0</v>
      </c>
      <c r="AH8" s="32" t="s">
        <v>79</v>
      </c>
      <c r="AI8" s="32" t="s">
        <v>58</v>
      </c>
      <c r="AJ8" s="32" t="s">
        <v>80</v>
      </c>
      <c r="AK8" s="32" t="s">
        <v>62</v>
      </c>
      <c r="AL8" s="32"/>
      <c r="AM8" s="32" t="s">
        <v>63</v>
      </c>
    </row>
    <row r="9" spans="1:39" x14ac:dyDescent="0.25">
      <c r="A9" s="32" t="s">
        <v>81</v>
      </c>
      <c r="B9" s="32" t="str">
        <f>HYPERLINK("https://diamdna.azureedge.net/imaged/gl-1/still.jpg ","Image")</f>
        <v>Image</v>
      </c>
      <c r="C9" s="32" t="str">
        <f>HYPERLINK("https://diamdna.azureedge.net/Vision360.html?d=gl-1&amp;sr=-30&amp;s=30 ","Video")</f>
        <v>Video</v>
      </c>
      <c r="D9" s="32" t="str">
        <f>HYPERLINK("https://diamdna.azureedge.net/imaged/gl-1/video.mp4 ","Download")</f>
        <v>Download</v>
      </c>
      <c r="E9" s="32" t="s">
        <v>49</v>
      </c>
      <c r="F9" s="32" t="str">
        <f>HYPERLINK("https://diamdna.azureedge.net/reports/5423065854.pdf#zoom=150 ","5423065854")</f>
        <v>5423065854</v>
      </c>
      <c r="G9" s="32" t="s">
        <v>50</v>
      </c>
      <c r="H9" s="32" t="s">
        <v>51</v>
      </c>
      <c r="I9" s="32">
        <v>5.0599999999999996</v>
      </c>
      <c r="J9" s="32" t="s">
        <v>82</v>
      </c>
      <c r="K9" s="32" t="s">
        <v>83</v>
      </c>
      <c r="L9" s="32">
        <v>40500</v>
      </c>
      <c r="M9" s="32">
        <v>204929.99999999997</v>
      </c>
      <c r="N9" s="32">
        <v>-40</v>
      </c>
      <c r="O9" s="32">
        <v>24300</v>
      </c>
      <c r="P9" s="32">
        <v>122958</v>
      </c>
      <c r="Q9" s="32" t="s">
        <v>54</v>
      </c>
      <c r="R9" s="32" t="s">
        <v>54</v>
      </c>
      <c r="S9" s="32" t="s">
        <v>54</v>
      </c>
      <c r="T9" s="32" t="s">
        <v>55</v>
      </c>
      <c r="U9" s="32" t="s">
        <v>84</v>
      </c>
      <c r="V9" s="32">
        <v>57</v>
      </c>
      <c r="W9" s="32">
        <v>61</v>
      </c>
      <c r="X9" s="32" t="s">
        <v>55</v>
      </c>
      <c r="Y9" s="32">
        <v>34</v>
      </c>
      <c r="Z9" s="32">
        <v>14.5</v>
      </c>
      <c r="AA9" s="32">
        <v>41</v>
      </c>
      <c r="AB9" s="32">
        <v>43.5</v>
      </c>
      <c r="AC9" s="32" t="s">
        <v>85</v>
      </c>
      <c r="AD9" s="32" t="s">
        <v>69</v>
      </c>
      <c r="AE9" s="32" t="s">
        <v>86</v>
      </c>
      <c r="AF9" s="32">
        <v>3</v>
      </c>
      <c r="AG9" s="32">
        <v>0</v>
      </c>
      <c r="AH9" s="32" t="s">
        <v>87</v>
      </c>
      <c r="AI9" s="32" t="s">
        <v>58</v>
      </c>
      <c r="AJ9" s="32" t="s">
        <v>88</v>
      </c>
      <c r="AK9" s="32" t="s">
        <v>62</v>
      </c>
      <c r="AL9" s="32"/>
      <c r="AM9" s="32" t="s">
        <v>63</v>
      </c>
    </row>
    <row r="10" spans="1:39" x14ac:dyDescent="0.25">
      <c r="A10" s="32" t="s">
        <v>89</v>
      </c>
      <c r="B10" s="32" t="str">
        <f>HYPERLINK("https://diamdna.azureedge.net/imaged/hv-5/still.jpg ","Image")</f>
        <v>Image</v>
      </c>
      <c r="C10" s="32" t="str">
        <f>HYPERLINK("https://diamdna.azureedge.net/Vision360.html?d=hv-5&amp;sr=-30&amp;s=30 ","Video")</f>
        <v>Video</v>
      </c>
      <c r="D10" s="32" t="str">
        <f>HYPERLINK("https://diamdna.azureedge.net/imaged/hv-5/video.mp4 ","Download")</f>
        <v>Download</v>
      </c>
      <c r="E10" s="32" t="s">
        <v>49</v>
      </c>
      <c r="F10" s="32" t="str">
        <f>HYPERLINK("https://diamdna.azureedge.net/reports/6227251661.pdf#zoom=150 ","6227251661")</f>
        <v>6227251661</v>
      </c>
      <c r="G10" s="32" t="s">
        <v>50</v>
      </c>
      <c r="H10" s="32" t="s">
        <v>51</v>
      </c>
      <c r="I10" s="32">
        <v>3.3</v>
      </c>
      <c r="J10" s="32" t="s">
        <v>52</v>
      </c>
      <c r="K10" s="32" t="s">
        <v>90</v>
      </c>
      <c r="L10" s="32">
        <v>18400</v>
      </c>
      <c r="M10" s="32">
        <v>60720</v>
      </c>
      <c r="N10" s="32">
        <v>-45</v>
      </c>
      <c r="O10" s="32">
        <v>10120</v>
      </c>
      <c r="P10" s="32">
        <v>33396</v>
      </c>
      <c r="Q10" s="32" t="s">
        <v>54</v>
      </c>
      <c r="R10" s="32" t="s">
        <v>54</v>
      </c>
      <c r="S10" s="32" t="s">
        <v>54</v>
      </c>
      <c r="T10" s="32" t="s">
        <v>55</v>
      </c>
      <c r="U10" s="32" t="s">
        <v>91</v>
      </c>
      <c r="V10" s="32">
        <v>60</v>
      </c>
      <c r="W10" s="32">
        <v>62.2</v>
      </c>
      <c r="X10" s="32" t="s">
        <v>55</v>
      </c>
      <c r="Y10" s="32">
        <v>34.5</v>
      </c>
      <c r="Z10" s="32">
        <v>14</v>
      </c>
      <c r="AA10" s="32">
        <v>41.6</v>
      </c>
      <c r="AB10" s="32">
        <v>44.5</v>
      </c>
      <c r="AC10" s="32" t="s">
        <v>92</v>
      </c>
      <c r="AD10" s="32" t="s">
        <v>58</v>
      </c>
      <c r="AE10" s="32" t="s">
        <v>59</v>
      </c>
      <c r="AF10" s="32">
        <v>4</v>
      </c>
      <c r="AG10" s="32">
        <v>0</v>
      </c>
      <c r="AH10" s="32" t="s">
        <v>93</v>
      </c>
      <c r="AI10" s="32" t="s">
        <v>62</v>
      </c>
      <c r="AJ10" s="32" t="s">
        <v>94</v>
      </c>
      <c r="AK10" s="32" t="s">
        <v>62</v>
      </c>
      <c r="AL10" s="32"/>
      <c r="AM10" s="32" t="s">
        <v>63</v>
      </c>
    </row>
    <row r="11" spans="1:39" x14ac:dyDescent="0.25">
      <c r="A11" s="32" t="s">
        <v>95</v>
      </c>
      <c r="B11" s="32" t="str">
        <f>HYPERLINK("https://diamdna.azureedge.net/imaged/hz-1/still.jpg ","Image")</f>
        <v>Image</v>
      </c>
      <c r="C11" s="32" t="str">
        <f>HYPERLINK("https://diamdna.azureedge.net/Vision360.html?d=hz-1&amp;sr=-30&amp;s=30 ","Video")</f>
        <v>Video</v>
      </c>
      <c r="D11" s="32" t="str">
        <f>HYPERLINK("https://diamdna.azureedge.net/imaged/hz-1/video.mp4 ","Download")</f>
        <v>Download</v>
      </c>
      <c r="E11" s="32" t="s">
        <v>49</v>
      </c>
      <c r="F11" s="32" t="str">
        <f>HYPERLINK("https://diamdna.azureedge.net/reports/1428630298.pdf#zoom=150 ","1428630298")</f>
        <v>1428630298</v>
      </c>
      <c r="G11" s="32" t="s">
        <v>50</v>
      </c>
      <c r="H11" s="32" t="s">
        <v>51</v>
      </c>
      <c r="I11" s="32">
        <v>5.01</v>
      </c>
      <c r="J11" s="32" t="s">
        <v>82</v>
      </c>
      <c r="K11" s="32" t="s">
        <v>66</v>
      </c>
      <c r="L11" s="32">
        <v>12000</v>
      </c>
      <c r="M11" s="32">
        <v>60120</v>
      </c>
      <c r="N11" s="32">
        <v>-5</v>
      </c>
      <c r="O11" s="32">
        <v>11400</v>
      </c>
      <c r="P11" s="32">
        <v>57114</v>
      </c>
      <c r="Q11" s="32" t="s">
        <v>54</v>
      </c>
      <c r="R11" s="32" t="s">
        <v>54</v>
      </c>
      <c r="S11" s="32" t="s">
        <v>54</v>
      </c>
      <c r="T11" s="32" t="s">
        <v>55</v>
      </c>
      <c r="U11" s="32" t="s">
        <v>96</v>
      </c>
      <c r="V11" s="32">
        <v>59</v>
      </c>
      <c r="W11" s="32">
        <v>60.1</v>
      </c>
      <c r="X11" s="32" t="s">
        <v>55</v>
      </c>
      <c r="Y11" s="32">
        <v>34</v>
      </c>
      <c r="Z11" s="32">
        <v>13.5</v>
      </c>
      <c r="AA11" s="32">
        <v>40.6</v>
      </c>
      <c r="AB11" s="32">
        <v>43</v>
      </c>
      <c r="AC11" s="32" t="s">
        <v>97</v>
      </c>
      <c r="AD11" s="32" t="s">
        <v>58</v>
      </c>
      <c r="AE11" s="32" t="s">
        <v>59</v>
      </c>
      <c r="AF11" s="32">
        <v>3.5</v>
      </c>
      <c r="AG11" s="32">
        <v>0</v>
      </c>
      <c r="AH11" s="32" t="s">
        <v>98</v>
      </c>
      <c r="AI11" s="32" t="s">
        <v>58</v>
      </c>
      <c r="AJ11" s="32" t="s">
        <v>61</v>
      </c>
      <c r="AK11" s="32" t="s">
        <v>62</v>
      </c>
      <c r="AL11" s="32"/>
      <c r="AM11" s="32" t="s">
        <v>63</v>
      </c>
    </row>
    <row r="12" spans="1:39" x14ac:dyDescent="0.25">
      <c r="A12" s="32" t="s">
        <v>99</v>
      </c>
      <c r="B12" s="32" t="str">
        <f>HYPERLINK("https://diamdna.azureedge.net/imaged/jv-127/still.jpg ","Image")</f>
        <v>Image</v>
      </c>
      <c r="C12" s="32" t="str">
        <f>HYPERLINK("https://diamdna.azureedge.net/Vision360.html?d=jv-127&amp;sr=-30&amp;s=30 ","Video")</f>
        <v>Video</v>
      </c>
      <c r="D12" s="32" t="str">
        <f>HYPERLINK("https://diamdna.azureedge.net/imaged/jv-127/video.mp4 ","Download")</f>
        <v>Download</v>
      </c>
      <c r="E12" s="32" t="s">
        <v>49</v>
      </c>
      <c r="F12" s="32" t="str">
        <f>HYPERLINK("https://diamdna.azureedge.net/reports/6435073746.pdf#zoom=150 ","6435073746")</f>
        <v>6435073746</v>
      </c>
      <c r="G12" s="32" t="s">
        <v>50</v>
      </c>
      <c r="H12" s="32" t="s">
        <v>51</v>
      </c>
      <c r="I12" s="32">
        <v>1.51</v>
      </c>
      <c r="J12" s="32" t="s">
        <v>100</v>
      </c>
      <c r="K12" s="32" t="s">
        <v>66</v>
      </c>
      <c r="L12" s="32">
        <v>4800</v>
      </c>
      <c r="M12" s="32">
        <v>7248</v>
      </c>
      <c r="N12" s="32">
        <v>-43</v>
      </c>
      <c r="O12" s="32">
        <v>2736</v>
      </c>
      <c r="P12" s="32">
        <v>4131.3599999999997</v>
      </c>
      <c r="Q12" s="32" t="s">
        <v>54</v>
      </c>
      <c r="R12" s="32" t="s">
        <v>54</v>
      </c>
      <c r="S12" s="32" t="s">
        <v>54</v>
      </c>
      <c r="T12" s="32" t="s">
        <v>55</v>
      </c>
      <c r="U12" s="32" t="s">
        <v>101</v>
      </c>
      <c r="V12" s="32">
        <v>56</v>
      </c>
      <c r="W12" s="32">
        <v>61.8</v>
      </c>
      <c r="X12" s="32" t="s">
        <v>55</v>
      </c>
      <c r="Y12" s="32">
        <v>34</v>
      </c>
      <c r="Z12" s="32">
        <v>15</v>
      </c>
      <c r="AA12" s="32">
        <v>40.799999999999997</v>
      </c>
      <c r="AB12" s="32">
        <v>43</v>
      </c>
      <c r="AC12" s="32" t="s">
        <v>102</v>
      </c>
      <c r="AD12" s="32" t="s">
        <v>58</v>
      </c>
      <c r="AE12" s="32" t="s">
        <v>59</v>
      </c>
      <c r="AF12" s="32">
        <v>3.5</v>
      </c>
      <c r="AG12" s="32">
        <v>0</v>
      </c>
      <c r="AH12" s="32" t="s">
        <v>103</v>
      </c>
      <c r="AI12" s="32" t="s">
        <v>58</v>
      </c>
      <c r="AJ12" s="32" t="s">
        <v>72</v>
      </c>
      <c r="AK12" s="32" t="s">
        <v>62</v>
      </c>
      <c r="AL12" s="32"/>
      <c r="AM12" s="32" t="s">
        <v>63</v>
      </c>
    </row>
    <row r="13" spans="1:39" x14ac:dyDescent="0.25">
      <c r="A13" s="32" t="s">
        <v>104</v>
      </c>
      <c r="B13" s="32" t="str">
        <f>HYPERLINK("https://diamdna.azureedge.net/imaged/jv-147/still.jpg ","Image")</f>
        <v>Image</v>
      </c>
      <c r="C13" s="32" t="str">
        <f>HYPERLINK("https://diamdna.azureedge.net/Vision360.html?d=jv-147&amp;sr=-30&amp;s=30 ","Video")</f>
        <v>Video</v>
      </c>
      <c r="D13" s="32" t="str">
        <f>HYPERLINK("https://diamdna.azureedge.net/imaged/jv-147/video.mp4 ","Download")</f>
        <v>Download</v>
      </c>
      <c r="E13" s="32" t="s">
        <v>49</v>
      </c>
      <c r="F13" s="32" t="str">
        <f>HYPERLINK("https://diamdna.azureedge.net/reports/1433110025.pdf#zoom=150 ","1433110025")</f>
        <v>1433110025</v>
      </c>
      <c r="G13" s="32" t="s">
        <v>50</v>
      </c>
      <c r="H13" s="32" t="s">
        <v>51</v>
      </c>
      <c r="I13" s="32">
        <v>1.53</v>
      </c>
      <c r="J13" s="32" t="s">
        <v>105</v>
      </c>
      <c r="K13" s="32" t="s">
        <v>66</v>
      </c>
      <c r="L13" s="32">
        <v>5800</v>
      </c>
      <c r="M13" s="32">
        <v>8874</v>
      </c>
      <c r="N13" s="32">
        <v>-55</v>
      </c>
      <c r="O13" s="32">
        <v>2610</v>
      </c>
      <c r="P13" s="32">
        <v>3993.3</v>
      </c>
      <c r="Q13" s="32" t="s">
        <v>54</v>
      </c>
      <c r="R13" s="32" t="s">
        <v>54</v>
      </c>
      <c r="S13" s="32" t="s">
        <v>54</v>
      </c>
      <c r="T13" s="32" t="s">
        <v>75</v>
      </c>
      <c r="U13" s="32" t="s">
        <v>106</v>
      </c>
      <c r="V13" s="32">
        <v>56</v>
      </c>
      <c r="W13" s="32">
        <v>63</v>
      </c>
      <c r="X13" s="32" t="s">
        <v>55</v>
      </c>
      <c r="Y13" s="32">
        <v>36</v>
      </c>
      <c r="Z13" s="32">
        <v>16</v>
      </c>
      <c r="AA13" s="32">
        <v>41</v>
      </c>
      <c r="AB13" s="32">
        <v>43.5</v>
      </c>
      <c r="AC13" s="32" t="s">
        <v>107</v>
      </c>
      <c r="AD13" s="32" t="s">
        <v>58</v>
      </c>
      <c r="AE13" s="32" t="s">
        <v>59</v>
      </c>
      <c r="AF13" s="32">
        <v>3.5</v>
      </c>
      <c r="AG13" s="32">
        <v>0</v>
      </c>
      <c r="AH13" s="32" t="s">
        <v>108</v>
      </c>
      <c r="AI13" s="32" t="s">
        <v>58</v>
      </c>
      <c r="AJ13" s="32" t="s">
        <v>109</v>
      </c>
      <c r="AK13" s="32" t="s">
        <v>62</v>
      </c>
      <c r="AL13" s="32"/>
      <c r="AM13" s="32" t="s">
        <v>63</v>
      </c>
    </row>
    <row r="14" spans="1:39" x14ac:dyDescent="0.25">
      <c r="A14" s="32" t="s">
        <v>110</v>
      </c>
      <c r="B14" s="32" t="str">
        <f>HYPERLINK("https://diamdna.azureedge.net/imaged/mh-1/still.jpg ","Image")</f>
        <v>Image</v>
      </c>
      <c r="C14" s="32" t="str">
        <f>HYPERLINK("https://diamdna.azureedge.net/Vision360.html?d=mh-1&amp;sr=-30&amp;s=30 ","Video")</f>
        <v>Video</v>
      </c>
      <c r="D14" s="32" t="str">
        <f>HYPERLINK("https://diamdna.azureedge.net/imaged/mh-1/video.mp4 ","Download")</f>
        <v>Download</v>
      </c>
      <c r="E14" s="32" t="s">
        <v>49</v>
      </c>
      <c r="F14" s="32" t="str">
        <f>HYPERLINK("https://diamdna.azureedge.net/reports/7432852688.pdf#zoom=150 ","7432852688")</f>
        <v>7432852688</v>
      </c>
      <c r="G14" s="32" t="s">
        <v>50</v>
      </c>
      <c r="H14" s="32" t="s">
        <v>51</v>
      </c>
      <c r="I14" s="32">
        <v>5.01</v>
      </c>
      <c r="J14" s="32" t="s">
        <v>82</v>
      </c>
      <c r="K14" s="32" t="s">
        <v>53</v>
      </c>
      <c r="L14" s="32">
        <v>55500</v>
      </c>
      <c r="M14" s="32">
        <v>278055</v>
      </c>
      <c r="N14" s="32">
        <v>-52</v>
      </c>
      <c r="O14" s="32">
        <v>26640</v>
      </c>
      <c r="P14" s="32">
        <v>133466.4</v>
      </c>
      <c r="Q14" s="32" t="s">
        <v>54</v>
      </c>
      <c r="R14" s="32" t="s">
        <v>54</v>
      </c>
      <c r="S14" s="32" t="s">
        <v>54</v>
      </c>
      <c r="T14" s="32" t="s">
        <v>111</v>
      </c>
      <c r="U14" s="32" t="s">
        <v>112</v>
      </c>
      <c r="V14" s="32">
        <v>60</v>
      </c>
      <c r="W14" s="32">
        <v>59.9</v>
      </c>
      <c r="X14" s="32" t="s">
        <v>55</v>
      </c>
      <c r="Y14" s="32">
        <v>33.5</v>
      </c>
      <c r="Z14" s="32">
        <v>13</v>
      </c>
      <c r="AA14" s="32">
        <v>40.799999999999997</v>
      </c>
      <c r="AB14" s="32">
        <v>43</v>
      </c>
      <c r="AC14" s="32" t="s">
        <v>113</v>
      </c>
      <c r="AD14" s="32" t="s">
        <v>58</v>
      </c>
      <c r="AE14" s="32" t="s">
        <v>59</v>
      </c>
      <c r="AF14" s="32">
        <v>3.5</v>
      </c>
      <c r="AG14" s="32">
        <v>0</v>
      </c>
      <c r="AH14" s="32" t="s">
        <v>114</v>
      </c>
      <c r="AI14" s="32" t="s">
        <v>71</v>
      </c>
      <c r="AJ14" s="32" t="s">
        <v>115</v>
      </c>
      <c r="AK14" s="32" t="s">
        <v>62</v>
      </c>
      <c r="AL14" s="32"/>
      <c r="AM14" s="32" t="s">
        <v>63</v>
      </c>
    </row>
    <row r="15" spans="1:39" x14ac:dyDescent="0.25">
      <c r="A15" s="32" t="s">
        <v>116</v>
      </c>
      <c r="B15" s="32" t="str">
        <f>HYPERLINK("https://diamdna.azureedge.net/imaged/mp-1/still.jpg ","Image")</f>
        <v>Image</v>
      </c>
      <c r="C15" s="32" t="str">
        <f>HYPERLINK("https://diamdna.azureedge.net/Vision360.html?d=mp-1&amp;sr=-30&amp;s=30 ","Video")</f>
        <v>Video</v>
      </c>
      <c r="D15" s="32" t="str">
        <f>HYPERLINK("https://diamdna.azureedge.net/imaged/mp-1/video.mp4 ","Download")</f>
        <v>Download</v>
      </c>
      <c r="E15" s="32" t="s">
        <v>49</v>
      </c>
      <c r="F15" s="32" t="str">
        <f>HYPERLINK("https://diamdna.azureedge.net/reports/6455828446.pdf#zoom=150 ","6455828446")</f>
        <v>6455828446</v>
      </c>
      <c r="G15" s="32" t="s">
        <v>50</v>
      </c>
      <c r="H15" s="32" t="s">
        <v>51</v>
      </c>
      <c r="I15" s="32">
        <v>5.49</v>
      </c>
      <c r="J15" s="32" t="s">
        <v>117</v>
      </c>
      <c r="K15" s="32" t="s">
        <v>83</v>
      </c>
      <c r="L15" s="32">
        <v>44000</v>
      </c>
      <c r="M15" s="32">
        <v>241560</v>
      </c>
      <c r="N15" s="32">
        <v>-36</v>
      </c>
      <c r="O15" s="32">
        <v>28160</v>
      </c>
      <c r="P15" s="32">
        <v>154598.39999999999</v>
      </c>
      <c r="Q15" s="32" t="s">
        <v>54</v>
      </c>
      <c r="R15" s="32" t="s">
        <v>54</v>
      </c>
      <c r="S15" s="32" t="s">
        <v>54</v>
      </c>
      <c r="T15" s="32" t="s">
        <v>55</v>
      </c>
      <c r="U15" s="32" t="s">
        <v>118</v>
      </c>
      <c r="V15" s="32">
        <v>57</v>
      </c>
      <c r="W15" s="32">
        <v>62.6</v>
      </c>
      <c r="X15" s="32" t="s">
        <v>55</v>
      </c>
      <c r="Y15" s="32">
        <v>35.5</v>
      </c>
      <c r="Z15" s="32">
        <v>15.5</v>
      </c>
      <c r="AA15" s="32">
        <v>41</v>
      </c>
      <c r="AB15" s="32">
        <v>43.5</v>
      </c>
      <c r="AC15" s="32" t="s">
        <v>119</v>
      </c>
      <c r="AD15" s="32" t="s">
        <v>58</v>
      </c>
      <c r="AE15" s="32" t="s">
        <v>120</v>
      </c>
      <c r="AF15" s="32">
        <v>3.5</v>
      </c>
      <c r="AG15" s="32">
        <v>1.01</v>
      </c>
      <c r="AH15" s="32" t="s">
        <v>93</v>
      </c>
      <c r="AI15" s="32" t="s">
        <v>58</v>
      </c>
      <c r="AJ15" s="32" t="s">
        <v>121</v>
      </c>
      <c r="AK15" s="32" t="s">
        <v>62</v>
      </c>
      <c r="AL15" s="32"/>
      <c r="AM15" s="32" t="s">
        <v>122</v>
      </c>
    </row>
    <row r="16" spans="1:39" x14ac:dyDescent="0.25">
      <c r="A16" s="32" t="s">
        <v>123</v>
      </c>
      <c r="B16" s="32" t="str">
        <f>HYPERLINK("https://diamdna.azureedge.net/imaged/mp-5/still.jpg ","Image")</f>
        <v>Image</v>
      </c>
      <c r="C16" s="32" t="str">
        <f>HYPERLINK("https://diamdna.azureedge.net/Vision360.html?d=mp-5&amp;sr=-30&amp;s=30 ","Video")</f>
        <v>Video</v>
      </c>
      <c r="D16" s="32" t="str">
        <f>HYPERLINK("https://diamdna.azureedge.net/imaged/mp-5/video.mp4 ","Download")</f>
        <v>Download</v>
      </c>
      <c r="E16" s="32" t="s">
        <v>49</v>
      </c>
      <c r="F16" s="32" t="str">
        <f>HYPERLINK("https://diamdna.azureedge.net/reports/6442172890.pdf#zoom=150 ","6442172890")</f>
        <v>6442172890</v>
      </c>
      <c r="G16" s="32" t="s">
        <v>50</v>
      </c>
      <c r="H16" s="32" t="s">
        <v>51</v>
      </c>
      <c r="I16" s="32">
        <v>5.01</v>
      </c>
      <c r="J16" s="32" t="s">
        <v>117</v>
      </c>
      <c r="K16" s="32" t="s">
        <v>83</v>
      </c>
      <c r="L16" s="32">
        <v>44000</v>
      </c>
      <c r="M16" s="32">
        <v>220440</v>
      </c>
      <c r="N16" s="32">
        <v>-37.1</v>
      </c>
      <c r="O16" s="32">
        <v>27676</v>
      </c>
      <c r="P16" s="32">
        <v>138656.76</v>
      </c>
      <c r="Q16" s="32" t="s">
        <v>54</v>
      </c>
      <c r="R16" s="32" t="s">
        <v>54</v>
      </c>
      <c r="S16" s="32" t="s">
        <v>54</v>
      </c>
      <c r="T16" s="32" t="s">
        <v>55</v>
      </c>
      <c r="U16" s="32" t="s">
        <v>124</v>
      </c>
      <c r="V16" s="32">
        <v>56</v>
      </c>
      <c r="W16" s="32">
        <v>61.3</v>
      </c>
      <c r="X16" s="32" t="s">
        <v>55</v>
      </c>
      <c r="Y16" s="32">
        <v>34</v>
      </c>
      <c r="Z16" s="32">
        <v>15</v>
      </c>
      <c r="AA16" s="32">
        <v>40.799999999999997</v>
      </c>
      <c r="AB16" s="32">
        <v>43</v>
      </c>
      <c r="AC16" s="32" t="s">
        <v>125</v>
      </c>
      <c r="AD16" s="32" t="s">
        <v>58</v>
      </c>
      <c r="AE16" s="32" t="s">
        <v>59</v>
      </c>
      <c r="AF16" s="32">
        <v>3.5</v>
      </c>
      <c r="AG16" s="32">
        <v>0</v>
      </c>
      <c r="AH16" s="32" t="s">
        <v>103</v>
      </c>
      <c r="AI16" s="32" t="s">
        <v>58</v>
      </c>
      <c r="AJ16" s="32" t="s">
        <v>121</v>
      </c>
      <c r="AK16" s="32" t="s">
        <v>62</v>
      </c>
      <c r="AL16" s="32"/>
      <c r="AM16" s="32" t="s">
        <v>63</v>
      </c>
    </row>
    <row r="17" spans="1:39" x14ac:dyDescent="0.25">
      <c r="A17" s="32" t="s">
        <v>126</v>
      </c>
      <c r="B17" s="32" t="str">
        <f>HYPERLINK("https://diamdna.azureedge.net/imaged/nc-1/still.jpg ","Image")</f>
        <v>Image</v>
      </c>
      <c r="C17" s="32" t="str">
        <f>HYPERLINK("https://diamdna.azureedge.net/Vision360.html?d=nc-1&amp;sr=-30&amp;s=30 ","Video")</f>
        <v>Video</v>
      </c>
      <c r="D17" s="32" t="str">
        <f>HYPERLINK("https://diamdna.azureedge.net/imaged/nc-1/video.mp4 ","Download")</f>
        <v>Download</v>
      </c>
      <c r="E17" s="32" t="s">
        <v>49</v>
      </c>
      <c r="F17" s="32" t="str">
        <f>HYPERLINK("https://diamdna.azureedge.net/reports/2446266591.pdf#zoom=150 ","2446266591")</f>
        <v>2446266591</v>
      </c>
      <c r="G17" s="32" t="s">
        <v>50</v>
      </c>
      <c r="H17" s="32" t="s">
        <v>51</v>
      </c>
      <c r="I17" s="32">
        <v>3.56</v>
      </c>
      <c r="J17" s="32" t="s">
        <v>65</v>
      </c>
      <c r="K17" s="32" t="s">
        <v>127</v>
      </c>
      <c r="L17" s="32">
        <v>28000</v>
      </c>
      <c r="M17" s="32">
        <v>99680</v>
      </c>
      <c r="N17" s="32">
        <v>-43</v>
      </c>
      <c r="O17" s="32">
        <v>15960</v>
      </c>
      <c r="P17" s="32">
        <v>56817.599999999999</v>
      </c>
      <c r="Q17" s="32" t="s">
        <v>54</v>
      </c>
      <c r="R17" s="32" t="s">
        <v>54</v>
      </c>
      <c r="S17" s="32" t="s">
        <v>54</v>
      </c>
      <c r="T17" s="32" t="s">
        <v>111</v>
      </c>
      <c r="U17" s="32" t="s">
        <v>128</v>
      </c>
      <c r="V17" s="32">
        <v>57</v>
      </c>
      <c r="W17" s="32">
        <v>62.9</v>
      </c>
      <c r="X17" s="32" t="s">
        <v>55</v>
      </c>
      <c r="Y17" s="32">
        <v>35.5</v>
      </c>
      <c r="Z17" s="32">
        <v>15.5</v>
      </c>
      <c r="AA17" s="32">
        <v>41</v>
      </c>
      <c r="AB17" s="32">
        <v>43.5</v>
      </c>
      <c r="AC17" s="32" t="s">
        <v>129</v>
      </c>
      <c r="AD17" s="32" t="s">
        <v>58</v>
      </c>
      <c r="AE17" s="32" t="s">
        <v>59</v>
      </c>
      <c r="AF17" s="32">
        <v>4</v>
      </c>
      <c r="AG17" s="32">
        <v>0</v>
      </c>
      <c r="AH17" s="32" t="s">
        <v>114</v>
      </c>
      <c r="AI17" s="32" t="s">
        <v>58</v>
      </c>
      <c r="AJ17" s="32" t="s">
        <v>130</v>
      </c>
      <c r="AK17" s="32" t="s">
        <v>62</v>
      </c>
      <c r="AL17" s="32"/>
      <c r="AM17" s="32" t="s">
        <v>63</v>
      </c>
    </row>
    <row r="18" spans="1:39" x14ac:dyDescent="0.25">
      <c r="A18" s="32" t="s">
        <v>131</v>
      </c>
      <c r="B18" s="32" t="str">
        <f>HYPERLINK("https://diamdna.azureedge.net/imaged/nt-31/still.jpg ","Image")</f>
        <v>Image</v>
      </c>
      <c r="C18" s="32" t="str">
        <f>HYPERLINK("https://diamdna.azureedge.net/Vision360.html?d=nt-31&amp;sr=-30&amp;s=30 ","Video")</f>
        <v>Video</v>
      </c>
      <c r="D18" s="32" t="str">
        <f>HYPERLINK("https://diamdna.azureedge.net/imaged/nt-31/video.mp4 ","Download")</f>
        <v>Download</v>
      </c>
      <c r="E18" s="32" t="s">
        <v>49</v>
      </c>
      <c r="F18" s="32" t="str">
        <f>HYPERLINK("https://diamdna.azureedge.net/reports/7446636537.pdf#zoom=150 ","7446636537")</f>
        <v>7446636537</v>
      </c>
      <c r="G18" s="32" t="s">
        <v>50</v>
      </c>
      <c r="H18" s="32" t="s">
        <v>51</v>
      </c>
      <c r="I18" s="32">
        <v>1.51</v>
      </c>
      <c r="J18" s="32" t="s">
        <v>74</v>
      </c>
      <c r="K18" s="32" t="s">
        <v>53</v>
      </c>
      <c r="L18" s="32">
        <v>9000</v>
      </c>
      <c r="M18" s="32">
        <v>13590</v>
      </c>
      <c r="N18" s="32">
        <v>-46</v>
      </c>
      <c r="O18" s="32">
        <v>4860</v>
      </c>
      <c r="P18" s="32">
        <v>7338.6</v>
      </c>
      <c r="Q18" s="32" t="s">
        <v>54</v>
      </c>
      <c r="R18" s="32" t="s">
        <v>54</v>
      </c>
      <c r="S18" s="32" t="s">
        <v>54</v>
      </c>
      <c r="T18" s="32" t="s">
        <v>55</v>
      </c>
      <c r="U18" s="32" t="s">
        <v>132</v>
      </c>
      <c r="V18" s="32">
        <v>61</v>
      </c>
      <c r="W18" s="32">
        <v>61.6</v>
      </c>
      <c r="X18" s="32" t="s">
        <v>55</v>
      </c>
      <c r="Y18" s="32">
        <v>33</v>
      </c>
      <c r="Z18" s="32">
        <v>13</v>
      </c>
      <c r="AA18" s="32">
        <v>41.8</v>
      </c>
      <c r="AB18" s="32">
        <v>44.5</v>
      </c>
      <c r="AC18" s="32" t="s">
        <v>133</v>
      </c>
      <c r="AD18" s="32" t="s">
        <v>69</v>
      </c>
      <c r="AE18" s="32" t="s">
        <v>59</v>
      </c>
      <c r="AF18" s="32">
        <v>4</v>
      </c>
      <c r="AG18" s="32">
        <v>0</v>
      </c>
      <c r="AH18" s="32" t="s">
        <v>60</v>
      </c>
      <c r="AI18" s="32" t="s">
        <v>62</v>
      </c>
      <c r="AJ18" s="32" t="s">
        <v>121</v>
      </c>
      <c r="AK18" s="32" t="s">
        <v>62</v>
      </c>
      <c r="AL18" s="32"/>
      <c r="AM18" s="32" t="s">
        <v>63</v>
      </c>
    </row>
    <row r="19" spans="1:39" x14ac:dyDescent="0.25">
      <c r="A19" s="32" t="s">
        <v>134</v>
      </c>
      <c r="B19" s="32" t="str">
        <f>HYPERLINK("https://diamdna.azureedge.net/imaged/nt-39/still.jpg ","Image")</f>
        <v>Image</v>
      </c>
      <c r="C19" s="32" t="str">
        <f>HYPERLINK("https://diamdna.azureedge.net/Vision360.html?d=nt-39&amp;sr=-30&amp;s=30 ","Video")</f>
        <v>Video</v>
      </c>
      <c r="D19" s="32" t="str">
        <f>HYPERLINK("https://diamdna.azureedge.net/imaged/nt-39/video.mp4 ","Download")</f>
        <v>Download</v>
      </c>
      <c r="E19" s="32" t="s">
        <v>49</v>
      </c>
      <c r="F19" s="32" t="str">
        <f>HYPERLINK("https://diamdna.azureedge.net/reports/6445672913.pdf#zoom=150 ","6445672913")</f>
        <v>6445672913</v>
      </c>
      <c r="G19" s="32" t="s">
        <v>50</v>
      </c>
      <c r="H19" s="32" t="s">
        <v>51</v>
      </c>
      <c r="I19" s="32">
        <v>1.63</v>
      </c>
      <c r="J19" s="32" t="s">
        <v>52</v>
      </c>
      <c r="K19" s="32" t="s">
        <v>90</v>
      </c>
      <c r="L19" s="32">
        <v>8600</v>
      </c>
      <c r="M19" s="32">
        <v>14017.999999999998</v>
      </c>
      <c r="N19" s="32">
        <v>-55</v>
      </c>
      <c r="O19" s="32">
        <v>3870</v>
      </c>
      <c r="P19" s="32">
        <v>6308.1</v>
      </c>
      <c r="Q19" s="32" t="s">
        <v>54</v>
      </c>
      <c r="R19" s="32" t="s">
        <v>54</v>
      </c>
      <c r="S19" s="32" t="s">
        <v>54</v>
      </c>
      <c r="T19" s="32" t="s">
        <v>75</v>
      </c>
      <c r="U19" s="32" t="s">
        <v>135</v>
      </c>
      <c r="V19" s="32">
        <v>58</v>
      </c>
      <c r="W19" s="32">
        <v>62.8</v>
      </c>
      <c r="X19" s="32" t="s">
        <v>55</v>
      </c>
      <c r="Y19" s="32">
        <v>35.5</v>
      </c>
      <c r="Z19" s="32">
        <v>15</v>
      </c>
      <c r="AA19" s="32">
        <v>41.2</v>
      </c>
      <c r="AB19" s="32">
        <v>43.5</v>
      </c>
      <c r="AC19" s="32" t="s">
        <v>136</v>
      </c>
      <c r="AD19" s="32" t="s">
        <v>58</v>
      </c>
      <c r="AE19" s="32" t="s">
        <v>59</v>
      </c>
      <c r="AF19" s="32">
        <v>4</v>
      </c>
      <c r="AG19" s="32">
        <v>0</v>
      </c>
      <c r="AH19" s="32" t="s">
        <v>137</v>
      </c>
      <c r="AI19" s="32" t="s">
        <v>62</v>
      </c>
      <c r="AJ19" s="32" t="s">
        <v>121</v>
      </c>
      <c r="AK19" s="32" t="s">
        <v>62</v>
      </c>
      <c r="AL19" s="32"/>
      <c r="AM19" s="32" t="s">
        <v>63</v>
      </c>
    </row>
    <row r="20" spans="1:39" x14ac:dyDescent="0.25">
      <c r="A20" s="32" t="s">
        <v>138</v>
      </c>
      <c r="B20" s="32" t="str">
        <f>HYPERLINK("https://diamdna.azureedge.net/imaged/oq-22/still.jpg ","Image")</f>
        <v>Image</v>
      </c>
      <c r="C20" s="32" t="str">
        <f>HYPERLINK("https://diamdna.azureedge.net/Vision360.html?d=oq-22&amp;sr=-30&amp;s=30 ","Video")</f>
        <v>Video</v>
      </c>
      <c r="D20" s="32" t="str">
        <f>HYPERLINK("https://diamdna.azureedge.net/imaged/oq-22/video.mp4 ","Download")</f>
        <v>Download</v>
      </c>
      <c r="E20" s="32" t="s">
        <v>49</v>
      </c>
      <c r="F20" s="32" t="str">
        <f>HYPERLINK("https://diamdna.azureedge.net/reports/7451158449.pdf#zoom=150 ","7451158449")</f>
        <v>7451158449</v>
      </c>
      <c r="G20" s="32" t="s">
        <v>50</v>
      </c>
      <c r="H20" s="32" t="s">
        <v>51</v>
      </c>
      <c r="I20" s="32">
        <v>1.5</v>
      </c>
      <c r="J20" s="32" t="s">
        <v>100</v>
      </c>
      <c r="K20" s="32" t="s">
        <v>127</v>
      </c>
      <c r="L20" s="32">
        <v>8100</v>
      </c>
      <c r="M20" s="32">
        <v>12150</v>
      </c>
      <c r="N20" s="32">
        <v>-46</v>
      </c>
      <c r="O20" s="32">
        <v>4374</v>
      </c>
      <c r="P20" s="32">
        <v>6561</v>
      </c>
      <c r="Q20" s="32" t="s">
        <v>54</v>
      </c>
      <c r="R20" s="32" t="s">
        <v>54</v>
      </c>
      <c r="S20" s="32" t="s">
        <v>54</v>
      </c>
      <c r="T20" s="32" t="s">
        <v>75</v>
      </c>
      <c r="U20" s="32" t="s">
        <v>139</v>
      </c>
      <c r="V20" s="32">
        <v>57</v>
      </c>
      <c r="W20" s="32">
        <v>63</v>
      </c>
      <c r="X20" s="32" t="s">
        <v>55</v>
      </c>
      <c r="Y20" s="32">
        <v>36</v>
      </c>
      <c r="Z20" s="32">
        <v>15.5</v>
      </c>
      <c r="AA20" s="32">
        <v>41.4</v>
      </c>
      <c r="AB20" s="32">
        <v>44</v>
      </c>
      <c r="AC20" s="32" t="s">
        <v>77</v>
      </c>
      <c r="AD20" s="32" t="s">
        <v>58</v>
      </c>
      <c r="AE20" s="32" t="s">
        <v>120</v>
      </c>
      <c r="AF20" s="32">
        <v>3.5</v>
      </c>
      <c r="AG20" s="32">
        <v>0</v>
      </c>
      <c r="AH20" s="32" t="s">
        <v>87</v>
      </c>
      <c r="AI20" s="32" t="s">
        <v>62</v>
      </c>
      <c r="AJ20" s="32" t="s">
        <v>94</v>
      </c>
      <c r="AK20" s="32" t="s">
        <v>62</v>
      </c>
      <c r="AL20" s="32"/>
      <c r="AM20" s="32" t="s">
        <v>63</v>
      </c>
    </row>
    <row r="21" spans="1:39" x14ac:dyDescent="0.25">
      <c r="A21" s="32" t="s">
        <v>140</v>
      </c>
      <c r="B21" s="32" t="str">
        <f>HYPERLINK("https://diamdna.azureedge.net/imaged/oq-34/still.jpg ","Image")</f>
        <v>Image</v>
      </c>
      <c r="C21" s="32" t="str">
        <f>HYPERLINK("https://diamdna.azureedge.net/Vision360.html?d=oq-34&amp;sr=-30&amp;s=30 ","Video")</f>
        <v>Video</v>
      </c>
      <c r="D21" s="32" t="str">
        <f>HYPERLINK("https://diamdna.azureedge.net/imaged/oq-34/video.mp4 ","Download")</f>
        <v>Download</v>
      </c>
      <c r="E21" s="32" t="s">
        <v>49</v>
      </c>
      <c r="F21" s="32" t="str">
        <f>HYPERLINK("https://diamdna.azureedge.net/reports/6452078664.pdf#zoom=150 ","6452078664")</f>
        <v>6452078664</v>
      </c>
      <c r="G21" s="32" t="s">
        <v>50</v>
      </c>
      <c r="H21" s="32" t="s">
        <v>51</v>
      </c>
      <c r="I21" s="32">
        <v>2</v>
      </c>
      <c r="J21" s="32" t="s">
        <v>65</v>
      </c>
      <c r="K21" s="32" t="s">
        <v>83</v>
      </c>
      <c r="L21" s="32">
        <v>13700</v>
      </c>
      <c r="M21" s="32">
        <v>27400</v>
      </c>
      <c r="N21" s="32">
        <v>-48</v>
      </c>
      <c r="O21" s="32">
        <v>7124</v>
      </c>
      <c r="P21" s="32">
        <v>14248</v>
      </c>
      <c r="Q21" s="32" t="s">
        <v>54</v>
      </c>
      <c r="R21" s="32" t="s">
        <v>54</v>
      </c>
      <c r="S21" s="32" t="s">
        <v>54</v>
      </c>
      <c r="T21" s="32" t="s">
        <v>75</v>
      </c>
      <c r="U21" s="32" t="s">
        <v>141</v>
      </c>
      <c r="V21" s="32">
        <v>55</v>
      </c>
      <c r="W21" s="32">
        <v>62</v>
      </c>
      <c r="X21" s="32" t="s">
        <v>55</v>
      </c>
      <c r="Y21" s="32">
        <v>32.5</v>
      </c>
      <c r="Z21" s="32">
        <v>14.5</v>
      </c>
      <c r="AA21" s="32">
        <v>41.2</v>
      </c>
      <c r="AB21" s="32">
        <v>43.5</v>
      </c>
      <c r="AC21" s="32" t="s">
        <v>142</v>
      </c>
      <c r="AD21" s="32" t="s">
        <v>58</v>
      </c>
      <c r="AE21" s="32" t="s">
        <v>59</v>
      </c>
      <c r="AF21" s="32">
        <v>4</v>
      </c>
      <c r="AG21" s="32">
        <v>0</v>
      </c>
      <c r="AH21" s="32" t="s">
        <v>98</v>
      </c>
      <c r="AI21" s="32" t="s">
        <v>58</v>
      </c>
      <c r="AJ21" s="32" t="s">
        <v>143</v>
      </c>
      <c r="AK21" s="32" t="s">
        <v>62</v>
      </c>
      <c r="AL21" s="32"/>
      <c r="AM21" s="32" t="s">
        <v>63</v>
      </c>
    </row>
    <row r="22" spans="1:39" x14ac:dyDescent="0.25">
      <c r="A22" s="32" t="s">
        <v>144</v>
      </c>
      <c r="B22" s="32" t="str">
        <f>HYPERLINK("https://diamdna.azureedge.net/imaged/qm-17/still.jpg ","Image")</f>
        <v>Image</v>
      </c>
      <c r="C22" s="32" t="str">
        <f>HYPERLINK("https://diamdna.azureedge.net/Vision360.html?d=qm-17&amp;sr=-30&amp;s=30 ","Video")</f>
        <v>Video</v>
      </c>
      <c r="D22" s="32" t="str">
        <f>HYPERLINK("https://diamdna.azureedge.net/imaged/qm-17/video.mp4 ","Download")</f>
        <v>Download</v>
      </c>
      <c r="E22" s="32" t="s">
        <v>49</v>
      </c>
      <c r="F22" s="32" t="str">
        <f>HYPERLINK("https://diamdna.azureedge.net/reports/6452963501.pdf#zoom=150 ","6452963501")</f>
        <v>6452963501</v>
      </c>
      <c r="G22" s="32" t="s">
        <v>50</v>
      </c>
      <c r="H22" s="32" t="s">
        <v>51</v>
      </c>
      <c r="I22" s="32">
        <v>1.61</v>
      </c>
      <c r="J22" s="32" t="s">
        <v>117</v>
      </c>
      <c r="K22" s="32" t="s">
        <v>90</v>
      </c>
      <c r="L22" s="32">
        <v>10000</v>
      </c>
      <c r="M22" s="32">
        <v>16100.000000000002</v>
      </c>
      <c r="N22" s="32">
        <v>-50</v>
      </c>
      <c r="O22" s="32">
        <v>5000</v>
      </c>
      <c r="P22" s="32">
        <v>8050</v>
      </c>
      <c r="Q22" s="32" t="s">
        <v>54</v>
      </c>
      <c r="R22" s="32" t="s">
        <v>54</v>
      </c>
      <c r="S22" s="32" t="s">
        <v>54</v>
      </c>
      <c r="T22" s="32" t="s">
        <v>55</v>
      </c>
      <c r="U22" s="32" t="s">
        <v>145</v>
      </c>
      <c r="V22" s="32">
        <v>59</v>
      </c>
      <c r="W22" s="32">
        <v>62.6</v>
      </c>
      <c r="X22" s="32" t="s">
        <v>55</v>
      </c>
      <c r="Y22" s="32">
        <v>36</v>
      </c>
      <c r="Z22" s="32">
        <v>15</v>
      </c>
      <c r="AA22" s="32">
        <v>41</v>
      </c>
      <c r="AB22" s="32">
        <v>43.5</v>
      </c>
      <c r="AC22" s="32" t="s">
        <v>146</v>
      </c>
      <c r="AD22" s="32" t="s">
        <v>130</v>
      </c>
      <c r="AE22" s="32" t="s">
        <v>147</v>
      </c>
      <c r="AF22" s="32">
        <v>4</v>
      </c>
      <c r="AG22" s="32">
        <v>1.01</v>
      </c>
      <c r="AH22" s="32" t="s">
        <v>148</v>
      </c>
      <c r="AI22" s="32" t="s">
        <v>62</v>
      </c>
      <c r="AJ22" s="32" t="s">
        <v>80</v>
      </c>
      <c r="AK22" s="32" t="s">
        <v>62</v>
      </c>
      <c r="AL22" s="32"/>
      <c r="AM22" s="32" t="s">
        <v>122</v>
      </c>
    </row>
    <row r="23" spans="1:39" x14ac:dyDescent="0.25">
      <c r="A23" s="32" t="s">
        <v>149</v>
      </c>
      <c r="B23" s="32" t="str">
        <f>HYPERLINK("https://diamdna.azureedge.net/imaged/qm-29/still.jpg ","Image")</f>
        <v>Image</v>
      </c>
      <c r="C23" s="32" t="str">
        <f>HYPERLINK("https://diamdna.azureedge.net/Vision360.html?d=qm-29&amp;sr=-30&amp;s=30 ","Video")</f>
        <v>Video</v>
      </c>
      <c r="D23" s="32" t="str">
        <f>HYPERLINK("https://diamdna.azureedge.net/imaged/qm-29/video.mp4 ","Download")</f>
        <v>Download</v>
      </c>
      <c r="E23" s="32" t="s">
        <v>49</v>
      </c>
      <c r="F23" s="32" t="str">
        <f>HYPERLINK("https://diamdna.azureedge.net/reports/6452963490.pdf#zoom=150 ","6452963490")</f>
        <v>6452963490</v>
      </c>
      <c r="G23" s="32" t="s">
        <v>50</v>
      </c>
      <c r="H23" s="32" t="s">
        <v>51</v>
      </c>
      <c r="I23" s="32">
        <v>1.61</v>
      </c>
      <c r="J23" s="32" t="s">
        <v>74</v>
      </c>
      <c r="K23" s="32" t="s">
        <v>83</v>
      </c>
      <c r="L23" s="32">
        <v>8100</v>
      </c>
      <c r="M23" s="32">
        <v>13041</v>
      </c>
      <c r="N23" s="32">
        <v>-49</v>
      </c>
      <c r="O23" s="32">
        <v>4131</v>
      </c>
      <c r="P23" s="32">
        <v>6650.91</v>
      </c>
      <c r="Q23" s="32" t="s">
        <v>54</v>
      </c>
      <c r="R23" s="32" t="s">
        <v>54</v>
      </c>
      <c r="S23" s="32" t="s">
        <v>54</v>
      </c>
      <c r="T23" s="32" t="s">
        <v>55</v>
      </c>
      <c r="U23" s="32" t="s">
        <v>150</v>
      </c>
      <c r="V23" s="32">
        <v>58</v>
      </c>
      <c r="W23" s="32">
        <v>62.2</v>
      </c>
      <c r="X23" s="32" t="s">
        <v>55</v>
      </c>
      <c r="Y23" s="32">
        <v>36</v>
      </c>
      <c r="Z23" s="32">
        <v>15.5</v>
      </c>
      <c r="AA23" s="32">
        <v>40.6</v>
      </c>
      <c r="AB23" s="32">
        <v>43</v>
      </c>
      <c r="AC23" s="32" t="s">
        <v>151</v>
      </c>
      <c r="AD23" s="32" t="s">
        <v>130</v>
      </c>
      <c r="AE23" s="32" t="s">
        <v>59</v>
      </c>
      <c r="AF23" s="32">
        <v>4</v>
      </c>
      <c r="AG23" s="32">
        <v>1.01</v>
      </c>
      <c r="AH23" s="32" t="s">
        <v>152</v>
      </c>
      <c r="AI23" s="32" t="s">
        <v>58</v>
      </c>
      <c r="AJ23" s="32" t="s">
        <v>94</v>
      </c>
      <c r="AK23" s="32" t="s">
        <v>62</v>
      </c>
      <c r="AL23" s="32"/>
      <c r="AM23" s="32" t="s">
        <v>122</v>
      </c>
    </row>
    <row r="24" spans="1:39" x14ac:dyDescent="0.25">
      <c r="A24" s="32" t="s">
        <v>153</v>
      </c>
      <c r="B24" s="32" t="str">
        <f>HYPERLINK("https://diamdna.azureedge.net/imaged/ra-2/still.jpg ","Image")</f>
        <v>Image</v>
      </c>
      <c r="C24" s="32" t="str">
        <f>HYPERLINK("https://diamdna.azureedge.net/Vision360.html?d=ra-2&amp;sr=-30&amp;s=30 ","Video")</f>
        <v>Video</v>
      </c>
      <c r="D24" s="32" t="str">
        <f>HYPERLINK("https://diamdna.azureedge.net/imaged/ra-2/video.mp4 ","Download")</f>
        <v>Download</v>
      </c>
      <c r="E24" s="32" t="s">
        <v>49</v>
      </c>
      <c r="F24" s="32" t="str">
        <f>HYPERLINK("https://diamdna.azureedge.net/reports/6452956249.pdf#zoom=150 ","6452956249")</f>
        <v>6452956249</v>
      </c>
      <c r="G24" s="32" t="s">
        <v>50</v>
      </c>
      <c r="H24" s="32" t="s">
        <v>51</v>
      </c>
      <c r="I24" s="32">
        <v>3.2</v>
      </c>
      <c r="J24" s="32" t="s">
        <v>100</v>
      </c>
      <c r="K24" s="32" t="s">
        <v>127</v>
      </c>
      <c r="L24" s="32">
        <v>16000</v>
      </c>
      <c r="M24" s="32">
        <v>51200</v>
      </c>
      <c r="N24" s="32">
        <v>-44</v>
      </c>
      <c r="O24" s="32">
        <v>8960</v>
      </c>
      <c r="P24" s="32">
        <v>28672</v>
      </c>
      <c r="Q24" s="32" t="s">
        <v>54</v>
      </c>
      <c r="R24" s="32" t="s">
        <v>54</v>
      </c>
      <c r="S24" s="32" t="s">
        <v>54</v>
      </c>
      <c r="T24" s="32" t="s">
        <v>75</v>
      </c>
      <c r="U24" s="32" t="s">
        <v>154</v>
      </c>
      <c r="V24" s="32">
        <v>57</v>
      </c>
      <c r="W24" s="32">
        <v>62.8</v>
      </c>
      <c r="X24" s="32" t="s">
        <v>55</v>
      </c>
      <c r="Y24" s="32">
        <v>35.5</v>
      </c>
      <c r="Z24" s="32">
        <v>15.5</v>
      </c>
      <c r="AA24" s="32">
        <v>41.2</v>
      </c>
      <c r="AB24" s="32">
        <v>43.5</v>
      </c>
      <c r="AC24" s="32" t="s">
        <v>155</v>
      </c>
      <c r="AD24" s="32" t="s">
        <v>130</v>
      </c>
      <c r="AE24" s="32" t="s">
        <v>59</v>
      </c>
      <c r="AF24" s="32">
        <v>3.5</v>
      </c>
      <c r="AG24" s="32">
        <v>1.01</v>
      </c>
      <c r="AH24" s="32" t="s">
        <v>114</v>
      </c>
      <c r="AI24" s="32" t="s">
        <v>156</v>
      </c>
      <c r="AJ24" s="32" t="s">
        <v>94</v>
      </c>
      <c r="AK24" s="32" t="s">
        <v>62</v>
      </c>
      <c r="AL24" s="32"/>
      <c r="AM24" s="32" t="s">
        <v>122</v>
      </c>
    </row>
    <row r="25" spans="1:39" x14ac:dyDescent="0.25">
      <c r="A25" s="32" t="s">
        <v>157</v>
      </c>
      <c r="B25" s="32" t="str">
        <f>HYPERLINK("https://diamdna.azureedge.net/imaged/rp-4/still.jpg ","Image")</f>
        <v>Image</v>
      </c>
      <c r="C25" s="32" t="str">
        <f>HYPERLINK("https://diamdna.azureedge.net/Vision360.html?d=rp-4&amp;sr=-30&amp;s=30 ","Video")</f>
        <v>Video</v>
      </c>
      <c r="D25" s="32" t="str">
        <f>HYPERLINK("https://diamdna.azureedge.net/imaged/rp-4/video.mp4 ","Download")</f>
        <v>Download</v>
      </c>
      <c r="E25" s="32" t="s">
        <v>49</v>
      </c>
      <c r="F25" s="32" t="str">
        <f>HYPERLINK("https://diamdna.azureedge.net/reports/2466280967.pdf#zoom=150 ","2466280967")</f>
        <v>2466280967</v>
      </c>
      <c r="G25" s="32" t="s">
        <v>50</v>
      </c>
      <c r="H25" s="32" t="s">
        <v>51</v>
      </c>
      <c r="I25" s="32">
        <v>6.3</v>
      </c>
      <c r="J25" s="32" t="s">
        <v>100</v>
      </c>
      <c r="K25" s="32" t="s">
        <v>127</v>
      </c>
      <c r="L25" s="32">
        <v>23500</v>
      </c>
      <c r="M25" s="32">
        <v>148050</v>
      </c>
      <c r="N25" s="32">
        <v>-19</v>
      </c>
      <c r="O25" s="32">
        <v>19035</v>
      </c>
      <c r="P25" s="32">
        <v>119920.5</v>
      </c>
      <c r="Q25" s="32" t="s">
        <v>54</v>
      </c>
      <c r="R25" s="32" t="s">
        <v>54</v>
      </c>
      <c r="S25" s="32" t="s">
        <v>54</v>
      </c>
      <c r="T25" s="32" t="s">
        <v>55</v>
      </c>
      <c r="U25" s="32" t="s">
        <v>158</v>
      </c>
      <c r="V25" s="32">
        <v>57</v>
      </c>
      <c r="W25" s="32">
        <v>62.8</v>
      </c>
      <c r="X25" s="32" t="s">
        <v>55</v>
      </c>
      <c r="Y25" s="32">
        <v>35.5</v>
      </c>
      <c r="Z25" s="32">
        <v>15.5</v>
      </c>
      <c r="AA25" s="32">
        <v>41.2</v>
      </c>
      <c r="AB25" s="32">
        <v>43.5</v>
      </c>
      <c r="AC25" s="32" t="s">
        <v>155</v>
      </c>
      <c r="AD25" s="32" t="s">
        <v>130</v>
      </c>
      <c r="AE25" s="32" t="s">
        <v>59</v>
      </c>
      <c r="AF25" s="32">
        <v>3.5</v>
      </c>
      <c r="AG25" s="32">
        <v>1.01</v>
      </c>
      <c r="AH25" s="32" t="s">
        <v>114</v>
      </c>
      <c r="AI25" s="32" t="s">
        <v>156</v>
      </c>
      <c r="AJ25" s="32" t="s">
        <v>94</v>
      </c>
      <c r="AK25" s="32" t="s">
        <v>62</v>
      </c>
      <c r="AL25" s="32"/>
      <c r="AM25" s="32" t="s">
        <v>122</v>
      </c>
    </row>
    <row r="26" spans="1:39" x14ac:dyDescent="0.25">
      <c r="A26" s="32" t="s">
        <v>159</v>
      </c>
      <c r="B26" s="32" t="str">
        <f>HYPERLINK("https://diamdna.azureedge.net/imaged/ru-5/still.jpg ","Image")</f>
        <v>Image</v>
      </c>
      <c r="C26" s="32" t="str">
        <f>HYPERLINK("https://diamdna.azureedge.net/Vision360.html?d=ru-5&amp;sr=-30&amp;s=30 ","Video")</f>
        <v>Video</v>
      </c>
      <c r="D26" s="32" t="str">
        <f>HYPERLINK("https://diamdna.azureedge.net/imaged/ru-5/video.mp4 ","Download")</f>
        <v>Download</v>
      </c>
      <c r="E26" s="32" t="s">
        <v>49</v>
      </c>
      <c r="F26" s="32" t="str">
        <f>HYPERLINK("https://diamdna.azureedge.net/reports/5466474712.pdf#zoom=150 ","5466474712")</f>
        <v>5466474712</v>
      </c>
      <c r="G26" s="32" t="s">
        <v>50</v>
      </c>
      <c r="H26" s="32" t="s">
        <v>51</v>
      </c>
      <c r="I26" s="32">
        <v>1.54</v>
      </c>
      <c r="J26" s="32" t="s">
        <v>105</v>
      </c>
      <c r="K26" s="32" t="s">
        <v>53</v>
      </c>
      <c r="L26" s="32">
        <v>10700</v>
      </c>
      <c r="M26" s="32">
        <v>16478</v>
      </c>
      <c r="N26" s="32">
        <v>-45.5</v>
      </c>
      <c r="O26" s="32">
        <v>5831.5</v>
      </c>
      <c r="P26" s="32">
        <v>8980.51</v>
      </c>
      <c r="Q26" s="32" t="s">
        <v>54</v>
      </c>
      <c r="R26" s="32" t="s">
        <v>54</v>
      </c>
      <c r="S26" s="32" t="s">
        <v>54</v>
      </c>
      <c r="T26" s="32" t="s">
        <v>55</v>
      </c>
      <c r="U26" s="32" t="s">
        <v>160</v>
      </c>
      <c r="V26" s="32">
        <v>60</v>
      </c>
      <c r="W26" s="32">
        <v>61.9</v>
      </c>
      <c r="X26" s="32" t="s">
        <v>55</v>
      </c>
      <c r="Y26" s="32">
        <v>35.5</v>
      </c>
      <c r="Z26" s="32">
        <v>14.5</v>
      </c>
      <c r="AA26" s="32">
        <v>41</v>
      </c>
      <c r="AB26" s="32">
        <v>43.5</v>
      </c>
      <c r="AC26" s="32" t="s">
        <v>161</v>
      </c>
      <c r="AD26" s="32" t="s">
        <v>130</v>
      </c>
      <c r="AE26" s="32" t="s">
        <v>59</v>
      </c>
      <c r="AF26" s="32">
        <v>4</v>
      </c>
      <c r="AG26" s="32">
        <v>1.01</v>
      </c>
      <c r="AH26" s="32" t="s">
        <v>60</v>
      </c>
      <c r="AI26" s="32" t="s">
        <v>58</v>
      </c>
      <c r="AJ26" s="32" t="s">
        <v>94</v>
      </c>
      <c r="AK26" s="32" t="s">
        <v>62</v>
      </c>
      <c r="AL26" s="32"/>
      <c r="AM26" s="32" t="s">
        <v>122</v>
      </c>
    </row>
    <row r="27" spans="1:39" x14ac:dyDescent="0.25">
      <c r="A27" s="32" t="s">
        <v>162</v>
      </c>
      <c r="B27" s="32" t="str">
        <f>HYPERLINK("https://diamdna.azureedge.net/imaged/ru-103/still.jpg ","Image")</f>
        <v>Image</v>
      </c>
      <c r="C27" s="32" t="str">
        <f>HYPERLINK("https://diamdna.azureedge.net/Vision360.html?d=ru-103&amp;sr=-30&amp;s=30 ","Video")</f>
        <v>Video</v>
      </c>
      <c r="D27" s="32" t="str">
        <f>HYPERLINK("https://diamdna.azureedge.net/imaged/ru-103/video.mp4 ","Download")</f>
        <v>Download</v>
      </c>
      <c r="E27" s="32" t="s">
        <v>49</v>
      </c>
      <c r="F27" s="32" t="str">
        <f>HYPERLINK("https://diamdna.azureedge.net/reports/6465474526.pdf#zoom=150 ","6465474526")</f>
        <v>6465474526</v>
      </c>
      <c r="G27" s="32" t="s">
        <v>50</v>
      </c>
      <c r="H27" s="32" t="s">
        <v>51</v>
      </c>
      <c r="I27" s="32">
        <v>1.5</v>
      </c>
      <c r="J27" s="32" t="s">
        <v>82</v>
      </c>
      <c r="K27" s="32" t="s">
        <v>53</v>
      </c>
      <c r="L27" s="32">
        <v>14200</v>
      </c>
      <c r="M27" s="32">
        <v>21300</v>
      </c>
      <c r="N27" s="32">
        <v>-46.5</v>
      </c>
      <c r="O27" s="32">
        <v>7597</v>
      </c>
      <c r="P27" s="32">
        <v>11395.5</v>
      </c>
      <c r="Q27" s="32" t="s">
        <v>54</v>
      </c>
      <c r="R27" s="32" t="s">
        <v>54</v>
      </c>
      <c r="S27" s="32" t="s">
        <v>54</v>
      </c>
      <c r="T27" s="32" t="s">
        <v>55</v>
      </c>
      <c r="U27" s="32" t="s">
        <v>163</v>
      </c>
      <c r="V27" s="32">
        <v>59</v>
      </c>
      <c r="W27" s="32">
        <v>62</v>
      </c>
      <c r="X27" s="32" t="s">
        <v>55</v>
      </c>
      <c r="Y27" s="32">
        <v>33</v>
      </c>
      <c r="Z27" s="32">
        <v>13.5</v>
      </c>
      <c r="AA27" s="32">
        <v>41.6</v>
      </c>
      <c r="AB27" s="32">
        <v>44.5</v>
      </c>
      <c r="AC27" s="32" t="s">
        <v>164</v>
      </c>
      <c r="AD27" s="32" t="s">
        <v>130</v>
      </c>
      <c r="AE27" s="32" t="s">
        <v>59</v>
      </c>
      <c r="AF27" s="32">
        <v>4</v>
      </c>
      <c r="AG27" s="32">
        <v>1.01</v>
      </c>
      <c r="AH27" s="32" t="s">
        <v>60</v>
      </c>
      <c r="AI27" s="32" t="s">
        <v>62</v>
      </c>
      <c r="AJ27" s="32" t="s">
        <v>61</v>
      </c>
      <c r="AK27" s="32" t="s">
        <v>62</v>
      </c>
      <c r="AL27" s="32"/>
      <c r="AM27" s="32" t="s">
        <v>122</v>
      </c>
    </row>
    <row r="28" spans="1:39" x14ac:dyDescent="0.25">
      <c r="A28" s="32" t="s">
        <v>165</v>
      </c>
      <c r="B28" s="32" t="str">
        <f>HYPERLINK("https://diamdna.azureedge.net/imaged/se-32/still.jpg ","Image")</f>
        <v>Image</v>
      </c>
      <c r="C28" s="32" t="str">
        <f>HYPERLINK("https://diamdna.azureedge.net/Vision360.html?d=se-32&amp;sr=-30&amp;s=30 ","Video")</f>
        <v>Video</v>
      </c>
      <c r="D28" s="32" t="str">
        <f>HYPERLINK("https://diamdna.azureedge.net/imaged/se-32/video.mp4 ","Download")</f>
        <v>Download</v>
      </c>
      <c r="E28" s="32" t="s">
        <v>49</v>
      </c>
      <c r="F28" s="32" t="str">
        <f>HYPERLINK("https://diamdna.azureedge.net/reports/2466575142.pdf#zoom=150 ","2466575142")</f>
        <v>2466575142</v>
      </c>
      <c r="G28" s="32" t="s">
        <v>50</v>
      </c>
      <c r="H28" s="32" t="s">
        <v>51</v>
      </c>
      <c r="I28" s="32">
        <v>1.5</v>
      </c>
      <c r="J28" s="32" t="s">
        <v>105</v>
      </c>
      <c r="K28" s="32" t="s">
        <v>53</v>
      </c>
      <c r="L28" s="32">
        <v>10700</v>
      </c>
      <c r="M28" s="32">
        <v>16050</v>
      </c>
      <c r="N28" s="32">
        <v>-47</v>
      </c>
      <c r="O28" s="32">
        <v>5671</v>
      </c>
      <c r="P28" s="32">
        <v>8506.5</v>
      </c>
      <c r="Q28" s="32" t="s">
        <v>54</v>
      </c>
      <c r="R28" s="32" t="s">
        <v>54</v>
      </c>
      <c r="S28" s="32" t="s">
        <v>54</v>
      </c>
      <c r="T28" s="32" t="s">
        <v>75</v>
      </c>
      <c r="U28" s="32" t="s">
        <v>166</v>
      </c>
      <c r="V28" s="32">
        <v>57</v>
      </c>
      <c r="W28" s="32">
        <v>63</v>
      </c>
      <c r="X28" s="32" t="s">
        <v>167</v>
      </c>
      <c r="Y28" s="32">
        <v>36.5</v>
      </c>
      <c r="Z28" s="32">
        <v>16</v>
      </c>
      <c r="AA28" s="32">
        <v>41</v>
      </c>
      <c r="AB28" s="32">
        <v>43.5</v>
      </c>
      <c r="AC28" s="32" t="s">
        <v>168</v>
      </c>
      <c r="AD28" s="32" t="s">
        <v>130</v>
      </c>
      <c r="AE28" s="32" t="s">
        <v>59</v>
      </c>
      <c r="AF28" s="32">
        <v>3.5</v>
      </c>
      <c r="AG28" s="32">
        <v>1.01</v>
      </c>
      <c r="AH28" s="32" t="s">
        <v>60</v>
      </c>
      <c r="AI28" s="32" t="s">
        <v>62</v>
      </c>
      <c r="AJ28" s="32" t="s">
        <v>121</v>
      </c>
      <c r="AK28" s="32" t="s">
        <v>62</v>
      </c>
      <c r="AL28" s="32"/>
      <c r="AM28" s="32" t="s">
        <v>122</v>
      </c>
    </row>
    <row r="29" spans="1:39" x14ac:dyDescent="0.25">
      <c r="A29" s="32" t="s">
        <v>169</v>
      </c>
      <c r="B29" s="32" t="str">
        <f>HYPERLINK("https://diamdna.azureedge.net/imaged/se-41/still.jpg ","Image")</f>
        <v>Image</v>
      </c>
      <c r="C29" s="32" t="str">
        <f>HYPERLINK("https://diamdna.azureedge.net/Vision360.html?d=se-41&amp;sr=-30&amp;s=30 ","Video")</f>
        <v>Video</v>
      </c>
      <c r="D29" s="32" t="str">
        <f>HYPERLINK("https://diamdna.azureedge.net/imaged/se-41/video.mp4 ","Download")</f>
        <v>Download</v>
      </c>
      <c r="E29" s="32" t="s">
        <v>49</v>
      </c>
      <c r="F29" s="32" t="str">
        <f>HYPERLINK("https://diamdna.azureedge.net/reports/1468578423.pdf#zoom=150 ","1468578423")</f>
        <v>1468578423</v>
      </c>
      <c r="G29" s="32" t="s">
        <v>50</v>
      </c>
      <c r="H29" s="32" t="s">
        <v>51</v>
      </c>
      <c r="I29" s="32">
        <v>1.63</v>
      </c>
      <c r="J29" s="32" t="s">
        <v>100</v>
      </c>
      <c r="K29" s="32" t="s">
        <v>53</v>
      </c>
      <c r="L29" s="32">
        <v>7600</v>
      </c>
      <c r="M29" s="32">
        <v>12388</v>
      </c>
      <c r="N29" s="32">
        <v>-42</v>
      </c>
      <c r="O29" s="32">
        <v>4408</v>
      </c>
      <c r="P29" s="32">
        <v>7185.04</v>
      </c>
      <c r="Q29" s="32" t="s">
        <v>54</v>
      </c>
      <c r="R29" s="32" t="s">
        <v>54</v>
      </c>
      <c r="S29" s="32" t="s">
        <v>54</v>
      </c>
      <c r="T29" s="32" t="s">
        <v>55</v>
      </c>
      <c r="U29" s="32" t="s">
        <v>170</v>
      </c>
      <c r="V29" s="32">
        <v>56</v>
      </c>
      <c r="W29" s="32">
        <v>62.3</v>
      </c>
      <c r="X29" s="32" t="s">
        <v>55</v>
      </c>
      <c r="Y29" s="32">
        <v>36.5</v>
      </c>
      <c r="Z29" s="32">
        <v>16</v>
      </c>
      <c r="AA29" s="32">
        <v>40.6</v>
      </c>
      <c r="AB29" s="32">
        <v>43</v>
      </c>
      <c r="AC29" s="32" t="s">
        <v>161</v>
      </c>
      <c r="AD29" s="32" t="s">
        <v>130</v>
      </c>
      <c r="AE29" s="32" t="s">
        <v>120</v>
      </c>
      <c r="AF29" s="32">
        <v>3.5</v>
      </c>
      <c r="AG29" s="32">
        <v>1.01</v>
      </c>
      <c r="AH29" s="32" t="s">
        <v>60</v>
      </c>
      <c r="AI29" s="32" t="s">
        <v>58</v>
      </c>
      <c r="AJ29" s="32" t="s">
        <v>94</v>
      </c>
      <c r="AK29" s="32" t="s">
        <v>62</v>
      </c>
      <c r="AL29" s="32"/>
      <c r="AM29" s="32" t="s">
        <v>122</v>
      </c>
    </row>
    <row r="30" spans="1:39" x14ac:dyDescent="0.25">
      <c r="A30" s="32" t="s">
        <v>171</v>
      </c>
      <c r="B30" s="32" t="str">
        <f>HYPERLINK("https://diamdna.azureedge.net/imaged/sf-7/still.jpg ","Image")</f>
        <v>Image</v>
      </c>
      <c r="C30" s="32" t="str">
        <f>HYPERLINK("https://diamdna.azureedge.net/Vision360.html?d=sf-7&amp;sr=-30&amp;s=30 ","Video")</f>
        <v>Video</v>
      </c>
      <c r="D30" s="32" t="str">
        <f>HYPERLINK("https://diamdna.azureedge.net/imaged/sf-7/video.mp4 ","Download")</f>
        <v>Download</v>
      </c>
      <c r="E30" s="32" t="s">
        <v>49</v>
      </c>
      <c r="F30" s="32" t="str">
        <f>HYPERLINK("https://diamdna.azureedge.net/reports/2466612711.pdf#zoom=150 ","2466612711")</f>
        <v>2466612711</v>
      </c>
      <c r="G30" s="32" t="s">
        <v>50</v>
      </c>
      <c r="H30" s="32" t="s">
        <v>51</v>
      </c>
      <c r="I30" s="32">
        <v>1.51</v>
      </c>
      <c r="J30" s="32" t="s">
        <v>105</v>
      </c>
      <c r="K30" s="32" t="s">
        <v>66</v>
      </c>
      <c r="L30" s="32">
        <v>5800</v>
      </c>
      <c r="M30" s="32">
        <v>8758</v>
      </c>
      <c r="N30" s="32">
        <v>-37</v>
      </c>
      <c r="O30" s="32">
        <v>3654</v>
      </c>
      <c r="P30" s="32">
        <v>5517.54</v>
      </c>
      <c r="Q30" s="32" t="s">
        <v>54</v>
      </c>
      <c r="R30" s="32" t="s">
        <v>54</v>
      </c>
      <c r="S30" s="32" t="s">
        <v>54</v>
      </c>
      <c r="T30" s="32" t="s">
        <v>55</v>
      </c>
      <c r="U30" s="32" t="s">
        <v>172</v>
      </c>
      <c r="V30" s="32">
        <v>57</v>
      </c>
      <c r="W30" s="32">
        <v>62.9</v>
      </c>
      <c r="X30" s="32" t="s">
        <v>55</v>
      </c>
      <c r="Y30" s="32">
        <v>35</v>
      </c>
      <c r="Z30" s="32">
        <v>15</v>
      </c>
      <c r="AA30" s="32">
        <v>41.2</v>
      </c>
      <c r="AB30" s="32">
        <v>43.5</v>
      </c>
      <c r="AC30" s="32" t="s">
        <v>173</v>
      </c>
      <c r="AD30" s="32" t="s">
        <v>130</v>
      </c>
      <c r="AE30" s="32" t="s">
        <v>59</v>
      </c>
      <c r="AF30" s="32">
        <v>4</v>
      </c>
      <c r="AG30" s="32">
        <v>1.01</v>
      </c>
      <c r="AH30" s="32" t="s">
        <v>79</v>
      </c>
      <c r="AI30" s="32" t="s">
        <v>62</v>
      </c>
      <c r="AJ30" s="32" t="s">
        <v>88</v>
      </c>
      <c r="AK30" s="32" t="s">
        <v>62</v>
      </c>
      <c r="AL30" s="32"/>
      <c r="AM30" s="32" t="s">
        <v>122</v>
      </c>
    </row>
    <row r="31" spans="1:39" x14ac:dyDescent="0.25">
      <c r="A31" s="32" t="s">
        <v>174</v>
      </c>
      <c r="B31" s="32" t="str">
        <f>HYPERLINK("https://diamdna.azureedge.net/imaged/sf-47/still.jpg ","Image")</f>
        <v>Image</v>
      </c>
      <c r="C31" s="32" t="str">
        <f>HYPERLINK("https://diamdna.azureedge.net/Vision360.html?d=sf-47&amp;sr=-30&amp;s=30 ","Video")</f>
        <v>Video</v>
      </c>
      <c r="D31" s="32" t="str">
        <f>HYPERLINK("https://diamdna.azureedge.net/imaged/sf-47/video.mp4 ","Download")</f>
        <v>Download</v>
      </c>
      <c r="E31" s="32" t="s">
        <v>49</v>
      </c>
      <c r="F31" s="32" t="str">
        <f>HYPERLINK("https://diamdna.azureedge.net/reports/2467578154.pdf#zoom=150 ","2467578154")</f>
        <v>2467578154</v>
      </c>
      <c r="G31" s="32" t="s">
        <v>50</v>
      </c>
      <c r="H31" s="32" t="s">
        <v>51</v>
      </c>
      <c r="I31" s="32">
        <v>1.5</v>
      </c>
      <c r="J31" s="32" t="s">
        <v>105</v>
      </c>
      <c r="K31" s="32" t="s">
        <v>53</v>
      </c>
      <c r="L31" s="32">
        <v>10700</v>
      </c>
      <c r="M31" s="32">
        <v>16050</v>
      </c>
      <c r="N31" s="32">
        <v>-45</v>
      </c>
      <c r="O31" s="32">
        <v>5885</v>
      </c>
      <c r="P31" s="32">
        <v>8827.5</v>
      </c>
      <c r="Q31" s="32" t="s">
        <v>54</v>
      </c>
      <c r="R31" s="32" t="s">
        <v>54</v>
      </c>
      <c r="S31" s="32" t="s">
        <v>54</v>
      </c>
      <c r="T31" s="32" t="s">
        <v>55</v>
      </c>
      <c r="U31" s="32" t="s">
        <v>175</v>
      </c>
      <c r="V31" s="32">
        <v>57</v>
      </c>
      <c r="W31" s="32">
        <v>63.1</v>
      </c>
      <c r="X31" s="32" t="s">
        <v>55</v>
      </c>
      <c r="Y31" s="32">
        <v>35</v>
      </c>
      <c r="Z31" s="32">
        <v>15</v>
      </c>
      <c r="AA31" s="32">
        <v>41.4</v>
      </c>
      <c r="AB31" s="32">
        <v>44</v>
      </c>
      <c r="AC31" s="32" t="s">
        <v>164</v>
      </c>
      <c r="AD31" s="32" t="s">
        <v>130</v>
      </c>
      <c r="AE31" s="32" t="s">
        <v>59</v>
      </c>
      <c r="AF31" s="32">
        <v>4</v>
      </c>
      <c r="AG31" s="32">
        <v>1.01</v>
      </c>
      <c r="AH31" s="32" t="s">
        <v>98</v>
      </c>
      <c r="AI31" s="32" t="s">
        <v>62</v>
      </c>
      <c r="AJ31" s="32" t="s">
        <v>61</v>
      </c>
      <c r="AK31" s="32" t="s">
        <v>62</v>
      </c>
      <c r="AL31" s="32"/>
      <c r="AM31" s="32" t="s">
        <v>122</v>
      </c>
    </row>
    <row r="32" spans="1:39" x14ac:dyDescent="0.25">
      <c r="A32" s="32" t="s">
        <v>176</v>
      </c>
      <c r="B32" s="32" t="str">
        <f>HYPERLINK("https://diamdna.azureedge.net/imaged/sf-69/still.jpg ","Image")</f>
        <v>Image</v>
      </c>
      <c r="C32" s="32" t="str">
        <f>HYPERLINK("https://diamdna.azureedge.net/Vision360.html?d=sf-69&amp;sr=-30&amp;s=30 ","Video")</f>
        <v>Video</v>
      </c>
      <c r="D32" s="32" t="str">
        <f>HYPERLINK("https://diamdna.azureedge.net/imaged/sf-69/video.mp4 ","Download")</f>
        <v>Download</v>
      </c>
      <c r="E32" s="32" t="s">
        <v>49</v>
      </c>
      <c r="F32" s="32" t="str">
        <f>HYPERLINK("https://diamdna.azureedge.net/reports/2467612665.pdf#zoom=150 ","2467612665")</f>
        <v>2467612665</v>
      </c>
      <c r="G32" s="32" t="s">
        <v>50</v>
      </c>
      <c r="H32" s="32" t="s">
        <v>51</v>
      </c>
      <c r="I32" s="32">
        <v>1.51</v>
      </c>
      <c r="J32" s="32" t="s">
        <v>82</v>
      </c>
      <c r="K32" s="32" t="s">
        <v>90</v>
      </c>
      <c r="L32" s="32">
        <v>9300</v>
      </c>
      <c r="M32" s="32">
        <v>14043</v>
      </c>
      <c r="N32" s="32">
        <v>-49</v>
      </c>
      <c r="O32" s="32">
        <v>4743</v>
      </c>
      <c r="P32" s="32">
        <v>7161.93</v>
      </c>
      <c r="Q32" s="32" t="s">
        <v>54</v>
      </c>
      <c r="R32" s="32" t="s">
        <v>54</v>
      </c>
      <c r="S32" s="32" t="s">
        <v>54</v>
      </c>
      <c r="T32" s="32" t="s">
        <v>55</v>
      </c>
      <c r="U32" s="32" t="s">
        <v>177</v>
      </c>
      <c r="V32" s="32">
        <v>57</v>
      </c>
      <c r="W32" s="32">
        <v>62.7</v>
      </c>
      <c r="X32" s="32" t="s">
        <v>55</v>
      </c>
      <c r="Y32" s="32">
        <v>36.5</v>
      </c>
      <c r="Z32" s="32">
        <v>16</v>
      </c>
      <c r="AA32" s="32">
        <v>41</v>
      </c>
      <c r="AB32" s="32">
        <v>43.5</v>
      </c>
      <c r="AC32" s="32" t="s">
        <v>146</v>
      </c>
      <c r="AD32" s="32" t="s">
        <v>130</v>
      </c>
      <c r="AE32" s="32" t="s">
        <v>59</v>
      </c>
      <c r="AF32" s="32">
        <v>3.5</v>
      </c>
      <c r="AG32" s="32">
        <v>1</v>
      </c>
      <c r="AH32" s="32" t="s">
        <v>103</v>
      </c>
      <c r="AI32" s="32" t="s">
        <v>62</v>
      </c>
      <c r="AJ32" s="32" t="s">
        <v>94</v>
      </c>
      <c r="AK32" s="32" t="s">
        <v>62</v>
      </c>
      <c r="AL32" s="32"/>
      <c r="AM32" s="32" t="s">
        <v>122</v>
      </c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  <row r="36" spans="12:12" x14ac:dyDescent="0.25">
      <c r="L36" s="4"/>
    </row>
    <row r="37" spans="12:12" x14ac:dyDescent="0.25">
      <c r="L37" s="4"/>
    </row>
    <row r="38" spans="12:12" x14ac:dyDescent="0.25">
      <c r="L38" s="4"/>
    </row>
  </sheetData>
  <sheetProtection formatCells="0" formatColumns="0" formatRows="0" insertColumns="0" insertRows="0" insertHyperlinks="0" deleteColumns="0" deleteRows="0" sort="0" autoFilter="0" pivotTables="0"/>
  <autoFilter ref="A5:AL5">
    <filterColumn colId="5" showButton="0"/>
  </autoFilter>
  <mergeCells count="1">
    <mergeCell ref="G1:P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selection activeCell="U11" sqref="U11"/>
    </sheetView>
  </sheetViews>
  <sheetFormatPr defaultRowHeight="15" x14ac:dyDescent="0.25"/>
  <cols>
    <col min="1" max="5" width="9.140625" style="3" customWidth="1"/>
    <col min="6" max="6" width="13.42578125" style="3" customWidth="1"/>
    <col min="7" max="7" width="9.140625" style="3" customWidth="1"/>
    <col min="8" max="8" width="9.140625" style="4" customWidth="1"/>
    <col min="9" max="12" width="9.140625" style="3" customWidth="1"/>
    <col min="13" max="13" width="9.140625" style="4" customWidth="1"/>
    <col min="14" max="19" width="9.140625" style="3" customWidth="1"/>
    <col min="20" max="20" width="14.7109375" style="3" customWidth="1"/>
    <col min="21" max="26" width="9.140625" style="4" customWidth="1"/>
    <col min="27" max="27" width="14.7109375" style="3" customWidth="1"/>
    <col min="28" max="33" width="9.140625" style="3" customWidth="1"/>
    <col min="34" max="35" width="23.85546875" style="5" customWidth="1"/>
    <col min="36" max="36" width="13.5703125" style="6" customWidth="1"/>
  </cols>
  <sheetData>
    <row r="1" spans="3:36" x14ac:dyDescent="0.25">
      <c r="AJ1" s="7"/>
    </row>
    <row r="2" spans="3:36" x14ac:dyDescent="0.25">
      <c r="O2" s="3" t="s">
        <v>7</v>
      </c>
      <c r="AJ2" s="7"/>
    </row>
    <row r="3" spans="3:36" x14ac:dyDescent="0.25">
      <c r="AJ3" s="7"/>
    </row>
    <row r="4" spans="3:36" x14ac:dyDescent="0.25">
      <c r="AJ4" s="7"/>
    </row>
    <row r="5" spans="3:36" x14ac:dyDescent="0.25">
      <c r="C5" s="3" t="s">
        <v>12</v>
      </c>
      <c r="D5" s="3" t="s">
        <v>13</v>
      </c>
      <c r="AE5" s="3" t="s">
        <v>40</v>
      </c>
      <c r="AI5" s="5" t="s">
        <v>44</v>
      </c>
      <c r="AJ5" s="8" t="s">
        <v>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atlantic</cp:lastModifiedBy>
  <dcterms:created xsi:type="dcterms:W3CDTF">2006-09-16T00:00:00Z</dcterms:created>
  <dcterms:modified xsi:type="dcterms:W3CDTF">2023-06-14T21:09:13Z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