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Sheet1!$A$5:$AL$5</definedName>
  </definedNames>
  <calcPr calcId="162913"/>
</workbook>
</file>

<file path=xl/calcChain.xml><?xml version="1.0" encoding="utf-8"?>
<calcChain xmlns="http://schemas.openxmlformats.org/spreadsheetml/2006/main">
  <c r="F17" i="1" l="1"/>
  <c r="D17" i="1"/>
  <c r="C17" i="1"/>
  <c r="B17" i="1"/>
  <c r="B8" i="1" l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P4" i="1" l="1"/>
  <c r="N4" i="1" s="1"/>
  <c r="M4" i="1"/>
  <c r="I4" i="1"/>
  <c r="H4" i="1"/>
  <c r="P3" i="1"/>
  <c r="M3" i="1"/>
  <c r="I3" i="1"/>
  <c r="H3" i="1"/>
  <c r="L3" i="1" l="1"/>
  <c r="L4" i="1"/>
  <c r="N3" i="1"/>
  <c r="O4" i="1"/>
  <c r="O3" i="1"/>
  <c r="F7" i="1"/>
  <c r="D7" i="1"/>
  <c r="C7" i="1"/>
  <c r="B7" i="1"/>
  <c r="F6" i="1"/>
  <c r="D6" i="1"/>
  <c r="C6" i="1"/>
  <c r="B6" i="1"/>
</calcChain>
</file>

<file path=xl/sharedStrings.xml><?xml version="1.0" encoding="utf-8"?>
<sst xmlns="http://schemas.openxmlformats.org/spreadsheetml/2006/main" count="291" uniqueCount="123">
  <si>
    <t>Note: Use filter to select stones and check your selection average discount and total amount.</t>
  </si>
  <si>
    <t>No.of.Pcs</t>
  </si>
  <si>
    <t>Weight</t>
  </si>
  <si>
    <t>RAP AVG</t>
  </si>
  <si>
    <t>RAP TOTAL</t>
  </si>
  <si>
    <t>AVG DIS%</t>
  </si>
  <si>
    <t>AVG P.CT</t>
  </si>
  <si>
    <t>TOTAL VL</t>
  </si>
  <si>
    <t>All</t>
  </si>
  <si>
    <t>Selection</t>
  </si>
  <si>
    <t>Stone No</t>
  </si>
  <si>
    <t>Image link</t>
  </si>
  <si>
    <t>Video Link</t>
  </si>
  <si>
    <t>Video</t>
  </si>
  <si>
    <t>Lab</t>
  </si>
  <si>
    <t>Report No</t>
  </si>
  <si>
    <t>Shape</t>
  </si>
  <si>
    <t>Carats</t>
  </si>
  <si>
    <t>Color</t>
  </si>
  <si>
    <t>Clarity</t>
  </si>
  <si>
    <t>Rap</t>
  </si>
  <si>
    <t>value</t>
  </si>
  <si>
    <t>Disc %</t>
  </si>
  <si>
    <t>Price/Ct</t>
  </si>
  <si>
    <t>Amount</t>
  </si>
  <si>
    <t>Cut</t>
  </si>
  <si>
    <t>Polish</t>
  </si>
  <si>
    <t>Sym</t>
  </si>
  <si>
    <t>Flour</t>
  </si>
  <si>
    <t>Measurement</t>
  </si>
  <si>
    <t>Table %</t>
  </si>
  <si>
    <t>Depth %</t>
  </si>
  <si>
    <t>Crown Angle</t>
  </si>
  <si>
    <t>Crown Height</t>
  </si>
  <si>
    <t>Pav Angle</t>
  </si>
  <si>
    <t>Pav Height</t>
  </si>
  <si>
    <t>Key To Symbols</t>
  </si>
  <si>
    <t>lower Half</t>
  </si>
  <si>
    <t>Girdle Thickness</t>
  </si>
  <si>
    <t>Girdle Size</t>
  </si>
  <si>
    <t>Ratio</t>
  </si>
  <si>
    <t>Natts</t>
  </si>
  <si>
    <t>HNA</t>
  </si>
  <si>
    <t>Comment</t>
  </si>
  <si>
    <t>Shade</t>
  </si>
  <si>
    <t>Kapan Origin</t>
  </si>
  <si>
    <t>CULET</t>
  </si>
  <si>
    <t>Report Type</t>
  </si>
  <si>
    <t>LV-1</t>
  </si>
  <si>
    <t>GIA</t>
  </si>
  <si>
    <t>P</t>
  </si>
  <si>
    <t>OVAL</t>
  </si>
  <si>
    <t>G</t>
  </si>
  <si>
    <t>SI1</t>
  </si>
  <si>
    <t/>
  </si>
  <si>
    <t>EX</t>
  </si>
  <si>
    <t>MED</t>
  </si>
  <si>
    <t>13.93 * 9.95 * 6.35</t>
  </si>
  <si>
    <t>NON</t>
  </si>
  <si>
    <t>CRYSTAL,PINPOINT</t>
  </si>
  <si>
    <t>MED to STK</t>
  </si>
  <si>
    <t>BC0 - BT2</t>
  </si>
  <si>
    <t>NO</t>
  </si>
  <si>
    <t>Additional pinpoints are not shown.</t>
  </si>
  <si>
    <t>NO BROWN NO MILKY</t>
  </si>
  <si>
    <t>RU-31</t>
  </si>
  <si>
    <t>H</t>
  </si>
  <si>
    <t>VVS2</t>
  </si>
  <si>
    <t>8.97 * 6.50 * 4.12</t>
  </si>
  <si>
    <t>Cloud, Pinpoint</t>
  </si>
  <si>
    <t>BC0 - BT0</t>
  </si>
  <si>
    <t>No BROWN NO MILKY</t>
  </si>
  <si>
    <t>Clouds are not shown. Pinpoints are not shown.</t>
  </si>
  <si>
    <t>BC0 - BT1</t>
  </si>
  <si>
    <t>VTK to ETK</t>
  </si>
  <si>
    <t>CRYSTAL,FEATHER,NEEDLE,NATURAL</t>
  </si>
  <si>
    <t>6.33 * 6.31 * 4.39</t>
  </si>
  <si>
    <t>VG</t>
  </si>
  <si>
    <t>F</t>
  </si>
  <si>
    <t>CUSHION</t>
  </si>
  <si>
    <t>VJ-20</t>
  </si>
  <si>
    <t>MED to THK</t>
  </si>
  <si>
    <t>Pinpoint, Natural</t>
  </si>
  <si>
    <t>7.08 * 6.98 * 4.66</t>
  </si>
  <si>
    <t>I</t>
  </si>
  <si>
    <t>SE-54</t>
  </si>
  <si>
    <t>Additional clouds are not shown. Pinpoints are not shown.</t>
  </si>
  <si>
    <t>BC1 - BT1</t>
  </si>
  <si>
    <t>Cloud, Crystal, Feather, Needle</t>
  </si>
  <si>
    <t>6.68 * 6.20 * 4.24</t>
  </si>
  <si>
    <t>FNT</t>
  </si>
  <si>
    <t>VS2</t>
  </si>
  <si>
    <t>RU-110</t>
  </si>
  <si>
    <t>THN to MED</t>
  </si>
  <si>
    <t>Crystal, Needle</t>
  </si>
  <si>
    <t>6.86 * 6.57 * 4.39</t>
  </si>
  <si>
    <t>VS1</t>
  </si>
  <si>
    <t>QM-50</t>
  </si>
  <si>
    <t>Crystal, Feather, Cloud, Pinpoint, Indented Natural</t>
  </si>
  <si>
    <t>7.64 * 7.61 * 5.05</t>
  </si>
  <si>
    <t>E</t>
  </si>
  <si>
    <t>QM-30</t>
  </si>
  <si>
    <t>BC2 - BT1</t>
  </si>
  <si>
    <t>STK to THK</t>
  </si>
  <si>
    <t>Crystal, Cloud, Feather, Needle, Knot</t>
  </si>
  <si>
    <t>9.23 * 8.61 * 5.88</t>
  </si>
  <si>
    <t>SI2</t>
  </si>
  <si>
    <t>QL-2</t>
  </si>
  <si>
    <t>BC1 - BT2</t>
  </si>
  <si>
    <t>CRYSTAL,CLOUD,FEATHER,NEEDLE</t>
  </si>
  <si>
    <t>6.56 * 6.50 * 4.31</t>
  </si>
  <si>
    <t>OQ-31</t>
  </si>
  <si>
    <t>NEEDLE,CLOUD,INDENTED NATURAL,NATURAL</t>
  </si>
  <si>
    <t>6.66 * 6.04 * 4.05</t>
  </si>
  <si>
    <t>ML-31</t>
  </si>
  <si>
    <t>THK to VTK</t>
  </si>
  <si>
    <t>CRYSTAL,NEEDLE,PINPOINT,INDENTED NATURAL,NATURAL</t>
  </si>
  <si>
    <t>6.27 * 6.19 * 4.31</t>
  </si>
  <si>
    <t>HX-2</t>
  </si>
  <si>
    <t>RU-1</t>
  </si>
  <si>
    <t>PRINCESS</t>
  </si>
  <si>
    <t>6.91 * 6.79 * 4.99</t>
  </si>
  <si>
    <t>Cloud, Crystal, Needle, Indented Natural,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</si>
</sst>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mbria"/>
    </font>
    <font>
      <b/>
      <sz val="8"/>
      <color rgb="FF000000"/>
      <name val="Cambria"/>
    </font>
    <font>
      <u/>
      <sz val="11"/>
      <color rgb="FF0000FF"/>
      <name val="Calibri"/>
    </font>
    <font>
      <b/>
      <sz val="10"/>
      <color rgb="FF000000"/>
      <name val="Cambria"/>
    </font>
    <font>
      <sz val="10"/>
      <color rgb="FF000000"/>
      <name val="Cambri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CC0D9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E6B8B9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95B3D7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2" fontId="4" fillId="6" borderId="9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workbookViewId="0">
      <selection activeCell="F21" sqref="F21"/>
    </sheetView>
  </sheetViews>
  <sheetFormatPr defaultRowHeight="15" x14ac:dyDescent="0.25"/>
  <cols>
    <col min="1" max="1" width="11.85546875" style="3" bestFit="1" customWidth="1"/>
    <col min="2" max="3" width="13.28515625" style="9" bestFit="1" customWidth="1"/>
    <col min="4" max="4" width="9.7109375" style="9" bestFit="1" customWidth="1"/>
    <col min="5" max="5" width="9.140625" style="3" customWidth="1"/>
    <col min="6" max="6" width="12.7109375" style="3" bestFit="1" customWidth="1"/>
    <col min="7" max="7" width="14.5703125" style="3" bestFit="1" customWidth="1"/>
    <col min="8" max="8" width="9.140625" style="3" customWidth="1"/>
    <col min="9" max="9" width="9.140625" style="4" customWidth="1"/>
    <col min="10" max="10" width="9.140625" style="3" customWidth="1"/>
    <col min="11" max="11" width="10.28515625" style="3" bestFit="1" customWidth="1"/>
    <col min="12" max="12" width="9.140625" style="3" customWidth="1"/>
    <col min="13" max="13" width="10.7109375" style="3" bestFit="1" customWidth="1"/>
    <col min="14" max="14" width="10.42578125" style="4" bestFit="1" customWidth="1"/>
    <col min="15" max="15" width="11.5703125" style="3" bestFit="1" customWidth="1"/>
    <col min="16" max="16" width="11.42578125" style="3" bestFit="1" customWidth="1"/>
    <col min="17" max="17" width="9.140625" style="3" customWidth="1"/>
    <col min="18" max="18" width="10" style="3" bestFit="1" customWidth="1"/>
    <col min="19" max="19" width="9.140625" style="3" customWidth="1"/>
    <col min="20" max="20" width="9.42578125" style="3" bestFit="1" customWidth="1"/>
    <col min="21" max="21" width="15.7109375" style="3" bestFit="1" customWidth="1"/>
    <col min="22" max="22" width="11.5703125" style="4" bestFit="1" customWidth="1"/>
    <col min="23" max="23" width="12" style="4" bestFit="1" customWidth="1"/>
    <col min="24" max="24" width="10.140625" style="4" bestFit="1" customWidth="1"/>
    <col min="25" max="25" width="14.7109375" style="4" bestFit="1" customWidth="1"/>
    <col min="26" max="26" width="15.42578125" style="4" bestFit="1" customWidth="1"/>
    <col min="27" max="27" width="12.7109375" style="4" bestFit="1" customWidth="1"/>
    <col min="28" max="28" width="13.42578125" style="4" bestFit="1" customWidth="1"/>
    <col min="29" max="29" width="16.85546875" style="3" bestFit="1" customWidth="1"/>
    <col min="30" max="30" width="13" style="3" bestFit="1" customWidth="1"/>
    <col min="31" max="31" width="17.85546875" style="3" bestFit="1" customWidth="1"/>
    <col min="32" max="34" width="9.140625" style="3" customWidth="1"/>
    <col min="35" max="35" width="8.7109375" style="3" bestFit="1" customWidth="1"/>
    <col min="36" max="37" width="23.85546875" style="5" customWidth="1"/>
    <col min="38" max="38" width="13.5703125" style="6" customWidth="1"/>
  </cols>
  <sheetData>
    <row r="1" spans="1:39" ht="15.75" customHeight="1" x14ac:dyDescent="0.25">
      <c r="A1" s="1"/>
      <c r="B1" s="2"/>
      <c r="C1" s="2"/>
      <c r="D1" s="2"/>
      <c r="E1" s="1"/>
      <c r="F1" s="2"/>
      <c r="G1" s="33" t="s">
        <v>0</v>
      </c>
      <c r="H1" s="34"/>
      <c r="I1" s="34"/>
      <c r="J1" s="34"/>
      <c r="K1" s="34"/>
      <c r="L1" s="34"/>
      <c r="M1" s="34"/>
      <c r="N1" s="34"/>
      <c r="O1" s="34"/>
      <c r="P1" s="35"/>
      <c r="Q1" s="1"/>
      <c r="R1" s="1"/>
      <c r="S1" s="1"/>
      <c r="T1" s="1"/>
      <c r="U1" s="1"/>
      <c r="V1" s="1"/>
      <c r="W1" s="1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7"/>
    </row>
    <row r="2" spans="1:39" x14ac:dyDescent="0.25">
      <c r="A2" s="1"/>
      <c r="B2" s="2"/>
      <c r="C2" s="2"/>
      <c r="D2" s="2"/>
      <c r="E2" s="1"/>
      <c r="F2" s="2"/>
      <c r="G2" s="10"/>
      <c r="H2" s="11" t="s">
        <v>1</v>
      </c>
      <c r="I2" s="12" t="s">
        <v>2</v>
      </c>
      <c r="J2" s="10"/>
      <c r="K2" s="10"/>
      <c r="L2" s="12" t="s">
        <v>3</v>
      </c>
      <c r="M2" s="12" t="s">
        <v>4</v>
      </c>
      <c r="N2" s="12" t="s">
        <v>5</v>
      </c>
      <c r="O2" s="12" t="s">
        <v>6</v>
      </c>
      <c r="P2" s="12" t="s">
        <v>7</v>
      </c>
      <c r="Q2" s="1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7"/>
    </row>
    <row r="3" spans="1:39" x14ac:dyDescent="0.25">
      <c r="A3" s="1"/>
      <c r="B3" s="2"/>
      <c r="C3" s="2"/>
      <c r="D3" s="2"/>
      <c r="E3" s="1"/>
      <c r="F3" s="2"/>
      <c r="G3" s="13" t="s">
        <v>8</v>
      </c>
      <c r="H3" s="14">
        <f>COUNTA(A6:A50000)</f>
        <v>12</v>
      </c>
      <c r="I3" s="15">
        <f>ROUND(SUM(I6:I50000),2)</f>
        <v>26.86</v>
      </c>
      <c r="J3" s="16"/>
      <c r="K3" s="17"/>
      <c r="L3" s="18">
        <f>ROUND(M3/I3,2)</f>
        <v>15066.01</v>
      </c>
      <c r="M3" s="19">
        <f>ROUND(SUM(M6:M50000),2)</f>
        <v>404673</v>
      </c>
      <c r="N3" s="15">
        <f>((P3/M3)*100)-100</f>
        <v>-49.054599639709096</v>
      </c>
      <c r="O3" s="20">
        <f>P3/I3</f>
        <v>7675.438570364855</v>
      </c>
      <c r="P3" s="19">
        <f>ROUND(SUM(P6:P50000),2)</f>
        <v>206162.28</v>
      </c>
      <c r="Q3" s="1"/>
      <c r="R3" s="1"/>
      <c r="S3" s="1"/>
      <c r="T3" s="1"/>
      <c r="U3" s="1"/>
      <c r="V3" s="1"/>
      <c r="W3" s="1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7"/>
    </row>
    <row r="4" spans="1:39" x14ac:dyDescent="0.25">
      <c r="A4" s="1"/>
      <c r="B4" s="2"/>
      <c r="C4" s="2"/>
      <c r="D4" s="2"/>
      <c r="E4" s="1"/>
      <c r="F4" s="2"/>
      <c r="G4" s="21" t="s">
        <v>9</v>
      </c>
      <c r="H4" s="22">
        <f>SUBTOTAL(3,A6:A50000)</f>
        <v>12</v>
      </c>
      <c r="I4" s="23">
        <f>ROUND(SUBTOTAL(9,I6:I50000),2)</f>
        <v>26.86</v>
      </c>
      <c r="J4" s="24"/>
      <c r="K4" s="25"/>
      <c r="L4" s="26">
        <f>ROUND(M4/I4,2)</f>
        <v>15066.01</v>
      </c>
      <c r="M4" s="27">
        <f>ROUND(SUBTOTAL(9,M6:M50000),2)</f>
        <v>404673</v>
      </c>
      <c r="N4" s="23">
        <f>((P4/M4)*100)-100</f>
        <v>-49.054599639709096</v>
      </c>
      <c r="O4" s="28">
        <f>P4/I4</f>
        <v>7675.438570364855</v>
      </c>
      <c r="P4" s="27">
        <f>ROUND(SUBTOTAL(9,P6:P50000),2)</f>
        <v>206162.28</v>
      </c>
      <c r="Q4" s="1"/>
      <c r="R4" s="1"/>
      <c r="S4" s="1"/>
      <c r="T4" s="1"/>
      <c r="U4" s="1"/>
      <c r="V4" s="1"/>
      <c r="W4" s="1"/>
      <c r="X4" s="2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7"/>
    </row>
    <row r="5" spans="1:39" x14ac:dyDescent="0.25">
      <c r="A5" s="29" t="s">
        <v>10</v>
      </c>
      <c r="B5" s="29" t="s">
        <v>11</v>
      </c>
      <c r="C5" s="29" t="s">
        <v>12</v>
      </c>
      <c r="D5" s="29" t="s">
        <v>13</v>
      </c>
      <c r="E5" s="29" t="s">
        <v>14</v>
      </c>
      <c r="F5" s="29" t="s">
        <v>15</v>
      </c>
      <c r="G5" s="29" t="s">
        <v>47</v>
      </c>
      <c r="H5" s="29" t="s">
        <v>16</v>
      </c>
      <c r="I5" s="29" t="s">
        <v>17</v>
      </c>
      <c r="J5" s="29" t="s">
        <v>18</v>
      </c>
      <c r="K5" s="29" t="s">
        <v>19</v>
      </c>
      <c r="L5" s="29" t="s">
        <v>20</v>
      </c>
      <c r="M5" s="29" t="s">
        <v>21</v>
      </c>
      <c r="N5" s="29" t="s">
        <v>22</v>
      </c>
      <c r="O5" s="29" t="s">
        <v>23</v>
      </c>
      <c r="P5" s="29" t="s">
        <v>24</v>
      </c>
      <c r="Q5" s="29" t="s">
        <v>25</v>
      </c>
      <c r="R5" s="29" t="s">
        <v>26</v>
      </c>
      <c r="S5" s="29" t="s">
        <v>27</v>
      </c>
      <c r="T5" s="29" t="s">
        <v>28</v>
      </c>
      <c r="U5" s="29" t="s">
        <v>29</v>
      </c>
      <c r="V5" s="29" t="s">
        <v>30</v>
      </c>
      <c r="W5" s="29" t="s">
        <v>31</v>
      </c>
      <c r="X5" s="29" t="s">
        <v>46</v>
      </c>
      <c r="Y5" s="29" t="s">
        <v>32</v>
      </c>
      <c r="Z5" s="29" t="s">
        <v>33</v>
      </c>
      <c r="AA5" s="29" t="s">
        <v>34</v>
      </c>
      <c r="AB5" s="29" t="s">
        <v>35</v>
      </c>
      <c r="AC5" s="29" t="s">
        <v>36</v>
      </c>
      <c r="AD5" s="29" t="s">
        <v>37</v>
      </c>
      <c r="AE5" s="29" t="s">
        <v>38</v>
      </c>
      <c r="AF5" s="29" t="s">
        <v>39</v>
      </c>
      <c r="AG5" s="29" t="s">
        <v>40</v>
      </c>
      <c r="AH5" s="29" t="s">
        <v>41</v>
      </c>
      <c r="AI5" s="29" t="s">
        <v>42</v>
      </c>
      <c r="AJ5" s="30" t="s">
        <v>43</v>
      </c>
      <c r="AK5" s="30" t="s">
        <v>44</v>
      </c>
      <c r="AL5" s="31" t="s">
        <v>45</v>
      </c>
    </row>
    <row r="6" spans="1:39" x14ac:dyDescent="0.25">
      <c r="A6" s="32" t="s">
        <v>48</v>
      </c>
      <c r="B6" s="32" t="str">
        <f>HYPERLINK("https://diamdna.azureedge.net/imaged/lv-1/still.jpg ","Image")</f>
        <v>Image</v>
      </c>
      <c r="C6" s="32" t="str">
        <f>HYPERLINK("https://diamdna.azureedge.net/Vision360.html?d=lv-1&amp;sr=-30&amp;s=30 ","Video")</f>
        <v>Video</v>
      </c>
      <c r="D6" s="32" t="str">
        <f>HYPERLINK("https://diamdna.azureedge.net/imaged/lv-1/video.mp4 ","Download")</f>
        <v>Download</v>
      </c>
      <c r="E6" s="32" t="s">
        <v>49</v>
      </c>
      <c r="F6" s="32" t="str">
        <f>HYPERLINK("https://diamdna.azureedge.net/reports/2434511694.pdf#zoom=150 ","2434511694")</f>
        <v>2434511694</v>
      </c>
      <c r="G6" s="32" t="s">
        <v>50</v>
      </c>
      <c r="H6" s="32" t="s">
        <v>51</v>
      </c>
      <c r="I6" s="32">
        <v>5.55</v>
      </c>
      <c r="J6" s="32" t="s">
        <v>52</v>
      </c>
      <c r="K6" s="32" t="s">
        <v>53</v>
      </c>
      <c r="L6" s="32">
        <v>29500</v>
      </c>
      <c r="M6" s="32">
        <v>163725</v>
      </c>
      <c r="N6" s="32">
        <v>-44</v>
      </c>
      <c r="O6" s="32">
        <v>16520</v>
      </c>
      <c r="P6" s="32">
        <v>91686</v>
      </c>
      <c r="Q6" s="32" t="s">
        <v>54</v>
      </c>
      <c r="R6" s="32" t="s">
        <v>55</v>
      </c>
      <c r="S6" s="32" t="s">
        <v>55</v>
      </c>
      <c r="T6" s="32" t="s">
        <v>56</v>
      </c>
      <c r="U6" s="32" t="s">
        <v>57</v>
      </c>
      <c r="V6" s="32">
        <v>59</v>
      </c>
      <c r="W6" s="32">
        <v>63.9</v>
      </c>
      <c r="X6" s="32" t="s">
        <v>58</v>
      </c>
      <c r="Y6" s="32">
        <v>0</v>
      </c>
      <c r="Z6" s="32">
        <v>0</v>
      </c>
      <c r="AA6" s="32">
        <v>0</v>
      </c>
      <c r="AB6" s="32">
        <v>0</v>
      </c>
      <c r="AC6" s="32" t="s">
        <v>59</v>
      </c>
      <c r="AD6" s="32" t="s">
        <v>54</v>
      </c>
      <c r="AE6" s="32" t="s">
        <v>60</v>
      </c>
      <c r="AF6" s="32">
        <v>3.35</v>
      </c>
      <c r="AG6" s="32">
        <v>1.4</v>
      </c>
      <c r="AH6" s="32" t="s">
        <v>61</v>
      </c>
      <c r="AI6" s="32" t="s">
        <v>62</v>
      </c>
      <c r="AJ6" s="32" t="s">
        <v>63</v>
      </c>
      <c r="AK6" s="32" t="s">
        <v>62</v>
      </c>
      <c r="AL6" s="32"/>
      <c r="AM6" s="32" t="s">
        <v>64</v>
      </c>
    </row>
    <row r="7" spans="1:39" x14ac:dyDescent="0.25">
      <c r="A7" s="32" t="s">
        <v>65</v>
      </c>
      <c r="B7" s="32" t="str">
        <f>HYPERLINK("https://diamdna.azureedge.net/imaged/ru-31/still.jpg ","Image")</f>
        <v>Image</v>
      </c>
      <c r="C7" s="32" t="str">
        <f>HYPERLINK("https://diamdna.azureedge.net/Vision360.html?d=ru-31&amp;sr=-30&amp;s=30 ","Video")</f>
        <v>Video</v>
      </c>
      <c r="D7" s="32" t="str">
        <f>HYPERLINK("https://diamdna.azureedge.net/imaged/ru-31/video.mp4 ","Download")</f>
        <v>Download</v>
      </c>
      <c r="E7" s="32" t="s">
        <v>49</v>
      </c>
      <c r="F7" s="32" t="str">
        <f>HYPERLINK("https://diamdna.azureedge.net/reports/1468411832.pdf#zoom=150 ","1468411832")</f>
        <v>1468411832</v>
      </c>
      <c r="G7" s="32" t="s">
        <v>50</v>
      </c>
      <c r="H7" s="32" t="s">
        <v>51</v>
      </c>
      <c r="I7" s="32">
        <v>1.5</v>
      </c>
      <c r="J7" s="32" t="s">
        <v>66</v>
      </c>
      <c r="K7" s="32" t="s">
        <v>67</v>
      </c>
      <c r="L7" s="32">
        <v>9900</v>
      </c>
      <c r="M7" s="32">
        <v>14850</v>
      </c>
      <c r="N7" s="32">
        <v>-30</v>
      </c>
      <c r="O7" s="32">
        <v>6930</v>
      </c>
      <c r="P7" s="32">
        <v>10395</v>
      </c>
      <c r="Q7" s="32" t="s">
        <v>54</v>
      </c>
      <c r="R7" s="32" t="s">
        <v>55</v>
      </c>
      <c r="S7" s="32" t="s">
        <v>55</v>
      </c>
      <c r="T7" s="32" t="s">
        <v>58</v>
      </c>
      <c r="U7" s="32" t="s">
        <v>68</v>
      </c>
      <c r="V7" s="32">
        <v>60</v>
      </c>
      <c r="W7" s="32">
        <v>63.4</v>
      </c>
      <c r="X7" s="32" t="s">
        <v>58</v>
      </c>
      <c r="Y7" s="32">
        <v>39.200000000000003</v>
      </c>
      <c r="Z7" s="32">
        <v>0</v>
      </c>
      <c r="AA7" s="32">
        <v>0</v>
      </c>
      <c r="AB7" s="32">
        <v>0</v>
      </c>
      <c r="AC7" s="32" t="s">
        <v>69</v>
      </c>
      <c r="AD7" s="32" t="s">
        <v>54</v>
      </c>
      <c r="AE7" s="32" t="s">
        <v>60</v>
      </c>
      <c r="AF7" s="32">
        <v>3.35</v>
      </c>
      <c r="AG7" s="32">
        <v>1.38</v>
      </c>
      <c r="AH7" s="32" t="s">
        <v>70</v>
      </c>
      <c r="AI7" s="32" t="s">
        <v>62</v>
      </c>
      <c r="AJ7" s="32"/>
      <c r="AK7" s="32" t="s">
        <v>62</v>
      </c>
      <c r="AL7" s="32"/>
      <c r="AM7" s="32" t="s">
        <v>71</v>
      </c>
    </row>
    <row r="8" spans="1:39" s="7" customFormat="1" x14ac:dyDescent="0.25">
      <c r="A8" s="32" t="s">
        <v>118</v>
      </c>
      <c r="B8" s="32" t="str">
        <f>HYPERLINK("https://diamdna.azureedge.net/imaged/hx-2/still.jpg ","Image")</f>
        <v>Image</v>
      </c>
      <c r="C8" s="32" t="str">
        <f>HYPERLINK("https://diamdna.azureedge.net/Vision360.html?d=hx-2&amp;sr=-30&amp;s=30 ","Video")</f>
        <v>Video</v>
      </c>
      <c r="D8" s="32" t="str">
        <f>HYPERLINK("https://diamdna.azureedge.net/imaged/hx-2/video.mp4 ","Download")</f>
        <v>Download</v>
      </c>
      <c r="E8" s="32" t="s">
        <v>49</v>
      </c>
      <c r="F8" s="32" t="str">
        <f>HYPERLINK("https://diamdna.azureedge.net/reports/6421414877.pdf#zoom=150 ","6421414877")</f>
        <v>6421414877</v>
      </c>
      <c r="G8" s="32" t="s">
        <v>50</v>
      </c>
      <c r="H8" s="32" t="s">
        <v>79</v>
      </c>
      <c r="I8" s="32">
        <v>1.51</v>
      </c>
      <c r="J8" s="32" t="s">
        <v>66</v>
      </c>
      <c r="K8" s="32" t="s">
        <v>106</v>
      </c>
      <c r="L8" s="32">
        <v>6900</v>
      </c>
      <c r="M8" s="32">
        <v>10419</v>
      </c>
      <c r="N8" s="32">
        <v>-70.5</v>
      </c>
      <c r="O8" s="32">
        <v>2035.5</v>
      </c>
      <c r="P8" s="32">
        <v>3073.61</v>
      </c>
      <c r="Q8" s="32" t="s">
        <v>54</v>
      </c>
      <c r="R8" s="32" t="s">
        <v>55</v>
      </c>
      <c r="S8" s="32" t="s">
        <v>77</v>
      </c>
      <c r="T8" s="32" t="s">
        <v>58</v>
      </c>
      <c r="U8" s="32" t="s">
        <v>117</v>
      </c>
      <c r="V8" s="32">
        <v>59</v>
      </c>
      <c r="W8" s="32">
        <v>69.599999999999994</v>
      </c>
      <c r="X8" s="32" t="s">
        <v>58</v>
      </c>
      <c r="Y8" s="32">
        <v>0</v>
      </c>
      <c r="Z8" s="32">
        <v>0</v>
      </c>
      <c r="AA8" s="32">
        <v>0</v>
      </c>
      <c r="AB8" s="32">
        <v>0</v>
      </c>
      <c r="AC8" s="32" t="s">
        <v>116</v>
      </c>
      <c r="AD8" s="32" t="s">
        <v>54</v>
      </c>
      <c r="AE8" s="32" t="s">
        <v>115</v>
      </c>
      <c r="AF8" s="32">
        <v>4.3499999999999996</v>
      </c>
      <c r="AG8" s="32">
        <v>1.01</v>
      </c>
      <c r="AH8" s="32" t="s">
        <v>61</v>
      </c>
      <c r="AI8" s="32" t="s">
        <v>62</v>
      </c>
      <c r="AJ8" s="32" t="s">
        <v>63</v>
      </c>
      <c r="AK8" s="32" t="s">
        <v>62</v>
      </c>
      <c r="AL8" s="32"/>
      <c r="AM8" s="32" t="s">
        <v>64</v>
      </c>
    </row>
    <row r="9" spans="1:39" s="7" customFormat="1" x14ac:dyDescent="0.25">
      <c r="A9" s="32" t="s">
        <v>114</v>
      </c>
      <c r="B9" s="32" t="str">
        <f>HYPERLINK("https://diamdna.azureedge.net/imaged/ml-31/still.jpg ","Image")</f>
        <v>Image</v>
      </c>
      <c r="C9" s="32" t="str">
        <f>HYPERLINK("https://diamdna.azureedge.net/Vision360.html?d=ml-31&amp;sr=-30&amp;s=30 ","Video")</f>
        <v>Video</v>
      </c>
      <c r="D9" s="32" t="str">
        <f>HYPERLINK("https://diamdna.azureedge.net/imaged/ml-31/video.mp4 ","Download")</f>
        <v>Download</v>
      </c>
      <c r="E9" s="32" t="s">
        <v>49</v>
      </c>
      <c r="F9" s="32" t="str">
        <f>HYPERLINK("https://diamdna.azureedge.net/reports/6445020614.pdf#zoom=150 ","6445020614")</f>
        <v>6445020614</v>
      </c>
      <c r="G9" s="32" t="s">
        <v>50</v>
      </c>
      <c r="H9" s="32" t="s">
        <v>79</v>
      </c>
      <c r="I9" s="32">
        <v>1.51</v>
      </c>
      <c r="J9" s="32" t="s">
        <v>66</v>
      </c>
      <c r="K9" s="32" t="s">
        <v>96</v>
      </c>
      <c r="L9" s="32">
        <v>9500</v>
      </c>
      <c r="M9" s="32">
        <v>14345</v>
      </c>
      <c r="N9" s="32">
        <v>-64</v>
      </c>
      <c r="O9" s="32">
        <v>3420</v>
      </c>
      <c r="P9" s="32">
        <v>5164.2</v>
      </c>
      <c r="Q9" s="32" t="s">
        <v>54</v>
      </c>
      <c r="R9" s="32" t="s">
        <v>55</v>
      </c>
      <c r="S9" s="32" t="s">
        <v>55</v>
      </c>
      <c r="T9" s="32" t="s">
        <v>58</v>
      </c>
      <c r="U9" s="32" t="s">
        <v>113</v>
      </c>
      <c r="V9" s="32">
        <v>63</v>
      </c>
      <c r="W9" s="32">
        <v>67</v>
      </c>
      <c r="X9" s="32" t="s">
        <v>58</v>
      </c>
      <c r="Y9" s="32">
        <v>0</v>
      </c>
      <c r="Z9" s="32">
        <v>0</v>
      </c>
      <c r="AA9" s="32">
        <v>0</v>
      </c>
      <c r="AB9" s="32">
        <v>0</v>
      </c>
      <c r="AC9" s="32" t="s">
        <v>112</v>
      </c>
      <c r="AD9" s="32" t="s">
        <v>54</v>
      </c>
      <c r="AE9" s="32" t="s">
        <v>60</v>
      </c>
      <c r="AF9" s="32">
        <v>3.35</v>
      </c>
      <c r="AG9" s="32">
        <v>1.1000000000000001</v>
      </c>
      <c r="AH9" s="32" t="s">
        <v>73</v>
      </c>
      <c r="AI9" s="32" t="s">
        <v>62</v>
      </c>
      <c r="AJ9" s="32" t="s">
        <v>86</v>
      </c>
      <c r="AK9" s="32" t="s">
        <v>62</v>
      </c>
      <c r="AL9" s="32"/>
      <c r="AM9" s="32" t="s">
        <v>64</v>
      </c>
    </row>
    <row r="10" spans="1:39" s="7" customFormat="1" x14ac:dyDescent="0.25">
      <c r="A10" s="32" t="s">
        <v>111</v>
      </c>
      <c r="B10" s="32" t="str">
        <f>HYPERLINK("https://diamdna.azureedge.net/imaged/oq-31/still.jpg ","Image")</f>
        <v>Image</v>
      </c>
      <c r="C10" s="32" t="str">
        <f>HYPERLINK("https://diamdna.azureedge.net/Vision360.html?d=oq-31&amp;sr=-30&amp;s=30 ","Video")</f>
        <v>Video</v>
      </c>
      <c r="D10" s="32" t="str">
        <f>HYPERLINK("https://diamdna.azureedge.net/imaged/oq-31/video.mp4 ","Download")</f>
        <v>Download</v>
      </c>
      <c r="E10" s="32" t="s">
        <v>49</v>
      </c>
      <c r="F10" s="32" t="str">
        <f>HYPERLINK("https://diamdna.azureedge.net/reports/6445988672.pdf#zoom=150 ","6445988672")</f>
        <v>6445988672</v>
      </c>
      <c r="G10" s="32" t="s">
        <v>50</v>
      </c>
      <c r="H10" s="32" t="s">
        <v>79</v>
      </c>
      <c r="I10" s="32">
        <v>1.57</v>
      </c>
      <c r="J10" s="32" t="s">
        <v>52</v>
      </c>
      <c r="K10" s="32" t="s">
        <v>106</v>
      </c>
      <c r="L10" s="32">
        <v>7300</v>
      </c>
      <c r="M10" s="32">
        <v>11461</v>
      </c>
      <c r="N10" s="32">
        <v>-69</v>
      </c>
      <c r="O10" s="32">
        <v>2263</v>
      </c>
      <c r="P10" s="32">
        <v>3552.91</v>
      </c>
      <c r="Q10" s="32" t="s">
        <v>54</v>
      </c>
      <c r="R10" s="32" t="s">
        <v>55</v>
      </c>
      <c r="S10" s="32" t="s">
        <v>55</v>
      </c>
      <c r="T10" s="32" t="s">
        <v>58</v>
      </c>
      <c r="U10" s="32" t="s">
        <v>110</v>
      </c>
      <c r="V10" s="32">
        <v>62</v>
      </c>
      <c r="W10" s="32">
        <v>66.3</v>
      </c>
      <c r="X10" s="32" t="s">
        <v>58</v>
      </c>
      <c r="Y10" s="32">
        <v>0</v>
      </c>
      <c r="Z10" s="32">
        <v>0</v>
      </c>
      <c r="AA10" s="32">
        <v>0</v>
      </c>
      <c r="AB10" s="32">
        <v>0</v>
      </c>
      <c r="AC10" s="32" t="s">
        <v>109</v>
      </c>
      <c r="AD10" s="32" t="s">
        <v>54</v>
      </c>
      <c r="AE10" s="32" t="s">
        <v>60</v>
      </c>
      <c r="AF10" s="32">
        <v>3.35</v>
      </c>
      <c r="AG10" s="32">
        <v>1.01</v>
      </c>
      <c r="AH10" s="32" t="s">
        <v>108</v>
      </c>
      <c r="AI10" s="32" t="s">
        <v>62</v>
      </c>
      <c r="AJ10" s="32" t="s">
        <v>86</v>
      </c>
      <c r="AK10" s="32" t="s">
        <v>62</v>
      </c>
      <c r="AL10" s="32"/>
      <c r="AM10" s="32" t="s">
        <v>64</v>
      </c>
    </row>
    <row r="11" spans="1:39" s="7" customFormat="1" x14ac:dyDescent="0.25">
      <c r="A11" s="32" t="s">
        <v>107</v>
      </c>
      <c r="B11" s="32" t="str">
        <f>HYPERLINK("https://diamdna.azureedge.net/imaged/ql-2/still.jpg ","Image")</f>
        <v>Image</v>
      </c>
      <c r="C11" s="32" t="str">
        <f>HYPERLINK("https://diamdna.azureedge.net/Vision360.html?d=ql-2&amp;sr=-30&amp;s=30 ","Video")</f>
        <v>Video</v>
      </c>
      <c r="D11" s="32" t="str">
        <f>HYPERLINK("https://diamdna.azureedge.net/imaged/ql-2/video.mp4 ","Download")</f>
        <v>Download</v>
      </c>
      <c r="E11" s="32" t="s">
        <v>49</v>
      </c>
      <c r="F11" s="32" t="str">
        <f>HYPERLINK("https://diamdna.azureedge.net/reports/7451956388.pdf#zoom=150 ","7451956388")</f>
        <v>7451956388</v>
      </c>
      <c r="G11" s="32" t="s">
        <v>50</v>
      </c>
      <c r="H11" s="32" t="s">
        <v>79</v>
      </c>
      <c r="I11" s="32">
        <v>4.05</v>
      </c>
      <c r="J11" s="32" t="s">
        <v>84</v>
      </c>
      <c r="K11" s="32" t="s">
        <v>106</v>
      </c>
      <c r="L11" s="32">
        <v>14000</v>
      </c>
      <c r="M11" s="32">
        <v>56700</v>
      </c>
      <c r="N11" s="32">
        <v>-41</v>
      </c>
      <c r="O11" s="32">
        <v>8260</v>
      </c>
      <c r="P11" s="32">
        <v>33453</v>
      </c>
      <c r="Q11" s="32" t="s">
        <v>54</v>
      </c>
      <c r="R11" s="32" t="s">
        <v>55</v>
      </c>
      <c r="S11" s="32" t="s">
        <v>55</v>
      </c>
      <c r="T11" s="32" t="s">
        <v>58</v>
      </c>
      <c r="U11" s="32" t="s">
        <v>105</v>
      </c>
      <c r="V11" s="32">
        <v>63</v>
      </c>
      <c r="W11" s="32">
        <v>68.3</v>
      </c>
      <c r="X11" s="32" t="s">
        <v>58</v>
      </c>
      <c r="Y11" s="32">
        <v>35</v>
      </c>
      <c r="Z11" s="32">
        <v>0</v>
      </c>
      <c r="AA11" s="32">
        <v>0</v>
      </c>
      <c r="AB11" s="32">
        <v>0</v>
      </c>
      <c r="AC11" s="32" t="s">
        <v>104</v>
      </c>
      <c r="AD11" s="32" t="s">
        <v>54</v>
      </c>
      <c r="AE11" s="32" t="s">
        <v>103</v>
      </c>
      <c r="AF11" s="32">
        <v>3.6</v>
      </c>
      <c r="AG11" s="32">
        <v>1.07</v>
      </c>
      <c r="AH11" s="32" t="s">
        <v>102</v>
      </c>
      <c r="AI11" s="32" t="s">
        <v>62</v>
      </c>
      <c r="AJ11" s="32" t="s">
        <v>86</v>
      </c>
      <c r="AK11" s="32" t="s">
        <v>62</v>
      </c>
      <c r="AL11" s="32"/>
      <c r="AM11" s="32" t="s">
        <v>71</v>
      </c>
    </row>
    <row r="12" spans="1:39" s="7" customFormat="1" x14ac:dyDescent="0.25">
      <c r="A12" s="32" t="s">
        <v>101</v>
      </c>
      <c r="B12" s="32" t="str">
        <f>HYPERLINK("https://diamdna.azureedge.net/imaged/qm-30/still.jpg ","Image")</f>
        <v>Image</v>
      </c>
      <c r="C12" s="32" t="str">
        <f>HYPERLINK("https://diamdna.azureedge.net/Vision360.html?d=qm-30&amp;sr=-30&amp;s=30 ","Video")</f>
        <v>Video</v>
      </c>
      <c r="D12" s="32" t="str">
        <f>HYPERLINK("https://diamdna.azureedge.net/imaged/qm-30/video.mp4 ","Download")</f>
        <v>Download</v>
      </c>
      <c r="E12" s="32" t="s">
        <v>49</v>
      </c>
      <c r="F12" s="32" t="str">
        <f>HYPERLINK("https://diamdna.azureedge.net/reports/6451963548.pdf#zoom=150 ","6451963548")</f>
        <v>6451963548</v>
      </c>
      <c r="G12" s="32" t="s">
        <v>50</v>
      </c>
      <c r="H12" s="32" t="s">
        <v>79</v>
      </c>
      <c r="I12" s="32">
        <v>2.44</v>
      </c>
      <c r="J12" s="32" t="s">
        <v>100</v>
      </c>
      <c r="K12" s="32" t="s">
        <v>91</v>
      </c>
      <c r="L12" s="32">
        <v>16500</v>
      </c>
      <c r="M12" s="32">
        <v>40260</v>
      </c>
      <c r="N12" s="32">
        <v>-54</v>
      </c>
      <c r="O12" s="32">
        <v>7590</v>
      </c>
      <c r="P12" s="32">
        <v>18519.599999999999</v>
      </c>
      <c r="Q12" s="32" t="s">
        <v>54</v>
      </c>
      <c r="R12" s="32" t="s">
        <v>55</v>
      </c>
      <c r="S12" s="32" t="s">
        <v>55</v>
      </c>
      <c r="T12" s="32" t="s">
        <v>58</v>
      </c>
      <c r="U12" s="32" t="s">
        <v>99</v>
      </c>
      <c r="V12" s="32">
        <v>59</v>
      </c>
      <c r="W12" s="32">
        <v>66.400000000000006</v>
      </c>
      <c r="X12" s="32" t="s">
        <v>58</v>
      </c>
      <c r="Y12" s="32">
        <v>37</v>
      </c>
      <c r="Z12" s="32">
        <v>0</v>
      </c>
      <c r="AA12" s="32">
        <v>0</v>
      </c>
      <c r="AB12" s="32">
        <v>0</v>
      </c>
      <c r="AC12" s="32" t="s">
        <v>98</v>
      </c>
      <c r="AD12" s="32" t="s">
        <v>54</v>
      </c>
      <c r="AE12" s="32" t="s">
        <v>81</v>
      </c>
      <c r="AF12" s="32">
        <v>3.6</v>
      </c>
      <c r="AG12" s="32">
        <v>1</v>
      </c>
      <c r="AH12" s="32" t="s">
        <v>73</v>
      </c>
      <c r="AI12" s="32" t="s">
        <v>62</v>
      </c>
      <c r="AJ12" s="32" t="s">
        <v>63</v>
      </c>
      <c r="AK12" s="32" t="s">
        <v>62</v>
      </c>
      <c r="AL12" s="32"/>
      <c r="AM12" s="32" t="s">
        <v>71</v>
      </c>
    </row>
    <row r="13" spans="1:39" s="7" customFormat="1" x14ac:dyDescent="0.25">
      <c r="A13" s="32" t="s">
        <v>97</v>
      </c>
      <c r="B13" s="32" t="str">
        <f>HYPERLINK("https://diamdna.azureedge.net/imaged/qm-50/still.jpg ","Image")</f>
        <v>Image</v>
      </c>
      <c r="C13" s="32" t="str">
        <f>HYPERLINK("https://diamdna.azureedge.net/Vision360.html?d=qm-50&amp;sr=-30&amp;s=30 ","Video")</f>
        <v>Video</v>
      </c>
      <c r="D13" s="32" t="str">
        <f>HYPERLINK("https://diamdna.azureedge.net/imaged/qm-50/video.mp4 ","Download")</f>
        <v>Download</v>
      </c>
      <c r="E13" s="32" t="s">
        <v>49</v>
      </c>
      <c r="F13" s="32" t="str">
        <f>HYPERLINK("https://diamdna.azureedge.net/reports/2458963545.pdf#zoom=150 ","2458963545")</f>
        <v>2458963545</v>
      </c>
      <c r="G13" s="32" t="s">
        <v>50</v>
      </c>
      <c r="H13" s="32" t="s">
        <v>79</v>
      </c>
      <c r="I13" s="32">
        <v>1.7</v>
      </c>
      <c r="J13" s="32" t="s">
        <v>52</v>
      </c>
      <c r="K13" s="32" t="s">
        <v>96</v>
      </c>
      <c r="L13" s="32">
        <v>11200</v>
      </c>
      <c r="M13" s="32">
        <v>19040</v>
      </c>
      <c r="N13" s="32">
        <v>-59</v>
      </c>
      <c r="O13" s="32">
        <v>4592</v>
      </c>
      <c r="P13" s="32">
        <v>7806.4</v>
      </c>
      <c r="Q13" s="32" t="s">
        <v>54</v>
      </c>
      <c r="R13" s="32" t="s">
        <v>55</v>
      </c>
      <c r="S13" s="32" t="s">
        <v>55</v>
      </c>
      <c r="T13" s="32" t="s">
        <v>58</v>
      </c>
      <c r="U13" s="32" t="s">
        <v>95</v>
      </c>
      <c r="V13" s="32">
        <v>59</v>
      </c>
      <c r="W13" s="32">
        <v>66.8</v>
      </c>
      <c r="X13" s="32" t="s">
        <v>58</v>
      </c>
      <c r="Y13" s="32">
        <v>38</v>
      </c>
      <c r="Z13" s="32">
        <v>0</v>
      </c>
      <c r="AA13" s="32">
        <v>0</v>
      </c>
      <c r="AB13" s="32">
        <v>0</v>
      </c>
      <c r="AC13" s="32" t="s">
        <v>94</v>
      </c>
      <c r="AD13" s="32" t="s">
        <v>54</v>
      </c>
      <c r="AE13" s="32" t="s">
        <v>93</v>
      </c>
      <c r="AF13" s="32">
        <v>3.35</v>
      </c>
      <c r="AG13" s="32">
        <v>1.04</v>
      </c>
      <c r="AH13" s="32" t="s">
        <v>73</v>
      </c>
      <c r="AI13" s="32" t="s">
        <v>62</v>
      </c>
      <c r="AJ13" s="32"/>
      <c r="AK13" s="32" t="s">
        <v>62</v>
      </c>
      <c r="AL13" s="32"/>
      <c r="AM13" s="32" t="s">
        <v>71</v>
      </c>
    </row>
    <row r="14" spans="1:39" s="7" customFormat="1" x14ac:dyDescent="0.25">
      <c r="A14" s="32" t="s">
        <v>92</v>
      </c>
      <c r="B14" s="32" t="str">
        <f>HYPERLINK("https://diamdna.azureedge.net/imaged/ru-110/still.jpg ","Image")</f>
        <v>Image</v>
      </c>
      <c r="C14" s="32" t="str">
        <f>HYPERLINK("https://diamdna.azureedge.net/Vision360.html?d=ru-110&amp;sr=-30&amp;s=30 ","Video")</f>
        <v>Video</v>
      </c>
      <c r="D14" s="32" t="str">
        <f>HYPERLINK("https://diamdna.azureedge.net/imaged/ru-110/video.mp4 ","Download")</f>
        <v>Download</v>
      </c>
      <c r="E14" s="32" t="s">
        <v>49</v>
      </c>
      <c r="F14" s="32" t="str">
        <f>HYPERLINK("https://diamdna.azureedge.net/reports/6462475175.pdf#zoom=150 ","6462475175")</f>
        <v>6462475175</v>
      </c>
      <c r="G14" s="32" t="s">
        <v>50</v>
      </c>
      <c r="H14" s="32" t="s">
        <v>79</v>
      </c>
      <c r="I14" s="32">
        <v>1.51</v>
      </c>
      <c r="J14" s="32" t="s">
        <v>78</v>
      </c>
      <c r="K14" s="32" t="s">
        <v>91</v>
      </c>
      <c r="L14" s="32">
        <v>10900</v>
      </c>
      <c r="M14" s="32">
        <v>16459</v>
      </c>
      <c r="N14" s="32">
        <v>-62</v>
      </c>
      <c r="O14" s="32">
        <v>4142</v>
      </c>
      <c r="P14" s="32">
        <v>6254.42</v>
      </c>
      <c r="Q14" s="32" t="s">
        <v>54</v>
      </c>
      <c r="R14" s="32" t="s">
        <v>55</v>
      </c>
      <c r="S14" s="32" t="s">
        <v>77</v>
      </c>
      <c r="T14" s="32" t="s">
        <v>90</v>
      </c>
      <c r="U14" s="32" t="s">
        <v>89</v>
      </c>
      <c r="V14" s="32">
        <v>62</v>
      </c>
      <c r="W14" s="32">
        <v>68.400000000000006</v>
      </c>
      <c r="X14" s="32" t="s">
        <v>58</v>
      </c>
      <c r="Y14" s="32">
        <v>37</v>
      </c>
      <c r="Z14" s="32">
        <v>0</v>
      </c>
      <c r="AA14" s="32">
        <v>0</v>
      </c>
      <c r="AB14" s="32">
        <v>0</v>
      </c>
      <c r="AC14" s="32" t="s">
        <v>88</v>
      </c>
      <c r="AD14" s="32" t="s">
        <v>54</v>
      </c>
      <c r="AE14" s="32" t="s">
        <v>81</v>
      </c>
      <c r="AF14" s="32">
        <v>3.6</v>
      </c>
      <c r="AG14" s="32">
        <v>1.08</v>
      </c>
      <c r="AH14" s="32" t="s">
        <v>87</v>
      </c>
      <c r="AI14" s="32" t="s">
        <v>62</v>
      </c>
      <c r="AJ14" s="32" t="s">
        <v>86</v>
      </c>
      <c r="AK14" s="32" t="s">
        <v>62</v>
      </c>
      <c r="AL14" s="32"/>
      <c r="AM14" s="32" t="s">
        <v>71</v>
      </c>
    </row>
    <row r="15" spans="1:39" s="7" customFormat="1" x14ac:dyDescent="0.25">
      <c r="A15" s="32" t="s">
        <v>85</v>
      </c>
      <c r="B15" s="32" t="str">
        <f>HYPERLINK("https://diamdna.azureedge.net/imaged/se-54/still.jpg ","Image")</f>
        <v>Image</v>
      </c>
      <c r="C15" s="32" t="str">
        <f>HYPERLINK("https://diamdna.azureedge.net/Vision360.html?d=se-54&amp;sr=-30&amp;s=30 ","Video")</f>
        <v>Video</v>
      </c>
      <c r="D15" s="32" t="str">
        <f>HYPERLINK("https://diamdna.azureedge.net/imaged/se-54/video.mp4 ","Download")</f>
        <v>Download</v>
      </c>
      <c r="E15" s="32" t="s">
        <v>49</v>
      </c>
      <c r="F15" s="32" t="str">
        <f>HYPERLINK("https://diamdna.azureedge.net/reports/1465577474.pdf#zoom=150 ","1465577474")</f>
        <v>1465577474</v>
      </c>
      <c r="G15" s="32" t="s">
        <v>50</v>
      </c>
      <c r="H15" s="32" t="s">
        <v>79</v>
      </c>
      <c r="I15" s="32">
        <v>2.0099999999999998</v>
      </c>
      <c r="J15" s="32" t="s">
        <v>84</v>
      </c>
      <c r="K15" s="32" t="s">
        <v>67</v>
      </c>
      <c r="L15" s="32">
        <v>10700</v>
      </c>
      <c r="M15" s="32">
        <v>21506.999999999996</v>
      </c>
      <c r="N15" s="32">
        <v>-49</v>
      </c>
      <c r="O15" s="32">
        <v>5457</v>
      </c>
      <c r="P15" s="32">
        <v>10968.57</v>
      </c>
      <c r="Q15" s="32" t="s">
        <v>54</v>
      </c>
      <c r="R15" s="32" t="s">
        <v>55</v>
      </c>
      <c r="S15" s="32" t="s">
        <v>55</v>
      </c>
      <c r="T15" s="32" t="s">
        <v>58</v>
      </c>
      <c r="U15" s="32" t="s">
        <v>83</v>
      </c>
      <c r="V15" s="32">
        <v>61</v>
      </c>
      <c r="W15" s="32">
        <v>66.8</v>
      </c>
      <c r="X15" s="32" t="s">
        <v>58</v>
      </c>
      <c r="Y15" s="32">
        <v>38</v>
      </c>
      <c r="Z15" s="32">
        <v>0</v>
      </c>
      <c r="AA15" s="32">
        <v>0</v>
      </c>
      <c r="AB15" s="32">
        <v>0</v>
      </c>
      <c r="AC15" s="32" t="s">
        <v>82</v>
      </c>
      <c r="AD15" s="32" t="s">
        <v>54</v>
      </c>
      <c r="AE15" s="32" t="s">
        <v>81</v>
      </c>
      <c r="AF15" s="32">
        <v>3.6</v>
      </c>
      <c r="AG15" s="32">
        <v>1.01</v>
      </c>
      <c r="AH15" s="32" t="s">
        <v>70</v>
      </c>
      <c r="AI15" s="32" t="s">
        <v>62</v>
      </c>
      <c r="AJ15" s="32"/>
      <c r="AK15" s="32" t="s">
        <v>62</v>
      </c>
      <c r="AL15" s="32"/>
      <c r="AM15" s="32" t="s">
        <v>71</v>
      </c>
    </row>
    <row r="16" spans="1:39" s="7" customFormat="1" x14ac:dyDescent="0.25">
      <c r="A16" s="32" t="s">
        <v>80</v>
      </c>
      <c r="B16" s="32" t="str">
        <f>HYPERLINK("https://diamdna.azureedge.net/imaged/vj-20/still.jpg ","Image")</f>
        <v>Image</v>
      </c>
      <c r="C16" s="32" t="str">
        <f>HYPERLINK("https://diamdna.azureedge.net/Vision360.html?d=vj-20&amp;sr=-30&amp;s=30 ","Video")</f>
        <v>Video</v>
      </c>
      <c r="D16" s="32" t="str">
        <f>HYPERLINK("https://diamdna.azureedge.net/imaged/vj-20/video.mp4 ","Download")</f>
        <v>Download</v>
      </c>
      <c r="E16" s="32" t="s">
        <v>49</v>
      </c>
      <c r="F16" s="32" t="str">
        <f>HYPERLINK("https://diamdna.azureedge.net/reports/2377773696.pdf#zoom=150 ","2377773696")</f>
        <v>2377773696</v>
      </c>
      <c r="G16" s="32" t="s">
        <v>50</v>
      </c>
      <c r="H16" s="32" t="s">
        <v>79</v>
      </c>
      <c r="I16" s="32">
        <v>1.5</v>
      </c>
      <c r="J16" s="32" t="s">
        <v>78</v>
      </c>
      <c r="K16" s="32" t="s">
        <v>53</v>
      </c>
      <c r="L16" s="32">
        <v>9600</v>
      </c>
      <c r="M16" s="32">
        <v>14400</v>
      </c>
      <c r="N16" s="32">
        <v>-70</v>
      </c>
      <c r="O16" s="32">
        <v>2880</v>
      </c>
      <c r="P16" s="32">
        <v>4320</v>
      </c>
      <c r="Q16" s="32" t="s">
        <v>54</v>
      </c>
      <c r="R16" s="32" t="s">
        <v>55</v>
      </c>
      <c r="S16" s="32" t="s">
        <v>77</v>
      </c>
      <c r="T16" s="32" t="s">
        <v>58</v>
      </c>
      <c r="U16" s="32" t="s">
        <v>76</v>
      </c>
      <c r="V16" s="32">
        <v>60</v>
      </c>
      <c r="W16" s="32">
        <v>69.599999999999994</v>
      </c>
      <c r="X16" s="32" t="s">
        <v>58</v>
      </c>
      <c r="Y16" s="32">
        <v>0</v>
      </c>
      <c r="Z16" s="32">
        <v>0</v>
      </c>
      <c r="AA16" s="32">
        <v>0</v>
      </c>
      <c r="AB16" s="32">
        <v>0</v>
      </c>
      <c r="AC16" s="32" t="s">
        <v>75</v>
      </c>
      <c r="AD16" s="32" t="s">
        <v>54</v>
      </c>
      <c r="AE16" s="32" t="s">
        <v>74</v>
      </c>
      <c r="AF16" s="32">
        <v>5.25</v>
      </c>
      <c r="AG16" s="32">
        <v>1</v>
      </c>
      <c r="AH16" s="32" t="s">
        <v>73</v>
      </c>
      <c r="AI16" s="32" t="s">
        <v>62</v>
      </c>
      <c r="AJ16" s="32" t="s">
        <v>72</v>
      </c>
      <c r="AK16" s="32" t="s">
        <v>62</v>
      </c>
      <c r="AL16" s="32"/>
      <c r="AM16" s="32" t="s">
        <v>64</v>
      </c>
    </row>
    <row r="17" spans="1:39" s="7" customFormat="1" x14ac:dyDescent="0.25">
      <c r="A17" s="32" t="s">
        <v>119</v>
      </c>
      <c r="B17" s="32" t="str">
        <f>HYPERLINK("https://diamdna.azureedge.net/imaged/ru-1/still.jpg ","Image")</f>
        <v>Image</v>
      </c>
      <c r="C17" s="32" t="str">
        <f>HYPERLINK("https://diamdna.azureedge.net/Vision360.html?d=ru-1&amp;sr=-30&amp;s=30 ","Video")</f>
        <v>Video</v>
      </c>
      <c r="D17" s="32" t="str">
        <f>HYPERLINK("https://diamdna.azureedge.net/imaged/ru-1/video.mp4 ","Download")</f>
        <v>Download</v>
      </c>
      <c r="E17" s="32" t="s">
        <v>49</v>
      </c>
      <c r="F17" s="32" t="str">
        <f>HYPERLINK("https://diamdna.azureedge.net/reports/2466411924.pdf#zoom=150 ","2466411924")</f>
        <v>2466411924</v>
      </c>
      <c r="G17" s="32" t="s">
        <v>50</v>
      </c>
      <c r="H17" s="32" t="s">
        <v>120</v>
      </c>
      <c r="I17" s="32">
        <v>2.0099999999999998</v>
      </c>
      <c r="J17" s="32" t="s">
        <v>66</v>
      </c>
      <c r="K17" s="32" t="s">
        <v>53</v>
      </c>
      <c r="L17" s="32">
        <v>10700</v>
      </c>
      <c r="M17" s="32">
        <v>21506.999999999996</v>
      </c>
      <c r="N17" s="32">
        <v>-49</v>
      </c>
      <c r="O17" s="32">
        <v>5457</v>
      </c>
      <c r="P17" s="32">
        <v>10968.57</v>
      </c>
      <c r="Q17" s="32" t="s">
        <v>54</v>
      </c>
      <c r="R17" s="32" t="s">
        <v>55</v>
      </c>
      <c r="S17" s="32" t="s">
        <v>55</v>
      </c>
      <c r="T17" s="32" t="s">
        <v>58</v>
      </c>
      <c r="U17" s="32" t="s">
        <v>121</v>
      </c>
      <c r="V17" s="32">
        <v>69</v>
      </c>
      <c r="W17" s="32">
        <v>73.5</v>
      </c>
      <c r="X17" s="32" t="s">
        <v>58</v>
      </c>
      <c r="Y17" s="32">
        <v>44.8</v>
      </c>
      <c r="Z17" s="32">
        <v>0</v>
      </c>
      <c r="AA17" s="32">
        <v>0</v>
      </c>
      <c r="AB17" s="32">
        <v>0</v>
      </c>
      <c r="AC17" s="32" t="s">
        <v>122</v>
      </c>
      <c r="AD17" s="32" t="s">
        <v>54</v>
      </c>
      <c r="AE17" s="32" t="s">
        <v>81</v>
      </c>
      <c r="AF17" s="32">
        <v>3.25</v>
      </c>
      <c r="AG17" s="32">
        <v>1.02</v>
      </c>
      <c r="AH17" s="32" t="s">
        <v>87</v>
      </c>
      <c r="AI17" s="32" t="s">
        <v>62</v>
      </c>
      <c r="AJ17" s="32" t="s">
        <v>86</v>
      </c>
      <c r="AK17" s="32" t="s">
        <v>62</v>
      </c>
      <c r="AL17" s="32"/>
      <c r="AM17" s="32" t="s">
        <v>71</v>
      </c>
    </row>
    <row r="18" spans="1:39" x14ac:dyDescent="0.25">
      <c r="L18" s="4"/>
    </row>
    <row r="19" spans="1:39" x14ac:dyDescent="0.25">
      <c r="L19" s="4"/>
    </row>
    <row r="20" spans="1:39" x14ac:dyDescent="0.25">
      <c r="L20" s="4"/>
    </row>
    <row r="21" spans="1:39" x14ac:dyDescent="0.25">
      <c r="L21" s="4"/>
    </row>
    <row r="22" spans="1:39" x14ac:dyDescent="0.25">
      <c r="L22" s="4"/>
    </row>
    <row r="23" spans="1:39" x14ac:dyDescent="0.25">
      <c r="L23" s="4"/>
    </row>
    <row r="24" spans="1:39" x14ac:dyDescent="0.25">
      <c r="L24" s="4"/>
    </row>
    <row r="25" spans="1:39" x14ac:dyDescent="0.25">
      <c r="L25" s="4"/>
    </row>
    <row r="26" spans="1:39" x14ac:dyDescent="0.25">
      <c r="L26" s="4"/>
    </row>
    <row r="27" spans="1:39" x14ac:dyDescent="0.25">
      <c r="L27" s="4"/>
    </row>
    <row r="28" spans="1:39" x14ac:dyDescent="0.25">
      <c r="L28" s="4"/>
    </row>
    <row r="29" spans="1:39" x14ac:dyDescent="0.25">
      <c r="L29" s="4"/>
    </row>
    <row r="30" spans="1:39" x14ac:dyDescent="0.25">
      <c r="L30" s="4"/>
    </row>
    <row r="31" spans="1:39" x14ac:dyDescent="0.25">
      <c r="L31" s="4"/>
    </row>
    <row r="32" spans="1:39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</sheetData>
  <sheetProtection formatCells="0" formatColumns="0" formatRows="0" insertColumns="0" insertRows="0" insertHyperlinks="0" deleteColumns="0" deleteRows="0" sort="0" autoFilter="0" pivotTables="0"/>
  <autoFilter ref="A5:AL5">
    <filterColumn colId="5" showButton="0"/>
  </autoFilter>
  <mergeCells count="1">
    <mergeCell ref="G1:P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selection activeCell="U11" sqref="U11"/>
    </sheetView>
  </sheetViews>
  <sheetFormatPr defaultRowHeight="15" x14ac:dyDescent="0.25"/>
  <cols>
    <col min="1" max="5" width="9.140625" style="3" customWidth="1"/>
    <col min="6" max="6" width="13.42578125" style="3" customWidth="1"/>
    <col min="7" max="7" width="9.140625" style="3" customWidth="1"/>
    <col min="8" max="8" width="9.140625" style="4" customWidth="1"/>
    <col min="9" max="12" width="9.140625" style="3" customWidth="1"/>
    <col min="13" max="13" width="9.140625" style="4" customWidth="1"/>
    <col min="14" max="19" width="9.140625" style="3" customWidth="1"/>
    <col min="20" max="20" width="14.7109375" style="3" customWidth="1"/>
    <col min="21" max="26" width="9.140625" style="4" customWidth="1"/>
    <col min="27" max="27" width="14.7109375" style="3" customWidth="1"/>
    <col min="28" max="33" width="9.140625" style="3" customWidth="1"/>
    <col min="34" max="35" width="23.85546875" style="5" customWidth="1"/>
    <col min="36" max="36" width="13.5703125" style="6" customWidth="1"/>
  </cols>
  <sheetData>
    <row r="1" spans="3:36" x14ac:dyDescent="0.25">
      <c r="AJ1" s="7"/>
    </row>
    <row r="2" spans="3:36" x14ac:dyDescent="0.25">
      <c r="O2" s="3" t="s">
        <v>7</v>
      </c>
      <c r="AJ2" s="7"/>
    </row>
    <row r="3" spans="3:36" x14ac:dyDescent="0.25">
      <c r="AJ3" s="7"/>
    </row>
    <row r="4" spans="3:36" x14ac:dyDescent="0.25">
      <c r="AJ4" s="7"/>
    </row>
    <row r="5" spans="3:36" x14ac:dyDescent="0.25">
      <c r="C5" s="3" t="s">
        <v>12</v>
      </c>
      <c r="D5" s="3" t="s">
        <v>13</v>
      </c>
      <c r="AE5" s="3" t="s">
        <v>40</v>
      </c>
      <c r="AI5" s="5" t="s">
        <v>44</v>
      </c>
      <c r="AJ5" s="8" t="s">
        <v>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atlantic</cp:lastModifiedBy>
  <dcterms:created xsi:type="dcterms:W3CDTF">2006-09-16T00:00:00Z</dcterms:created>
  <dcterms:modified xsi:type="dcterms:W3CDTF">2023-06-14T21:12:50Z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